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.shortcut-targets-by-id\1oHC0_9lNrurmNP0_71QomwzsiNZnRUzZ\Cobenefices_Clara\Codage\"/>
    </mc:Choice>
  </mc:AlternateContent>
  <xr:revisionPtr revIDLastSave="0" documentId="13_ncr:1_{8DFC2D51-824F-4587-902E-3D5D0A4CC67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traction" sheetId="1" r:id="rId1"/>
    <sheet name="Listes" sheetId="2" r:id="rId2"/>
    <sheet name="Codebook" sheetId="3" r:id="rId3"/>
    <sheet name="Kogel" sheetId="4" r:id="rId4"/>
  </sheets>
  <definedNames>
    <definedName name="_xlnm._FilterDatabase" localSheetId="0" hidden="1">Extraction!$A$1:$CT$1172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T1172" i="1" l="1"/>
  <c r="AP1172" i="1"/>
  <c r="AD1172" i="1" a="1"/>
  <c r="AD1172" i="1" s="1"/>
  <c r="AC1172" i="1"/>
  <c r="X1172" i="1"/>
  <c r="Y1172" i="1" s="1"/>
  <c r="O1172" i="1"/>
  <c r="S1172" i="1" s="1"/>
  <c r="BT1171" i="1"/>
  <c r="AP1171" i="1"/>
  <c r="AD1171" i="1" a="1"/>
  <c r="AD1171" i="1" s="1"/>
  <c r="AC1171" i="1"/>
  <c r="AI1171" i="1" s="1"/>
  <c r="X1171" i="1"/>
  <c r="Y1171" i="1" s="1"/>
  <c r="O1171" i="1"/>
  <c r="S1171" i="1" s="1"/>
  <c r="BT1170" i="1"/>
  <c r="AP1170" i="1"/>
  <c r="AD1170" i="1" a="1"/>
  <c r="AD1170" i="1" s="1"/>
  <c r="AC1170" i="1"/>
  <c r="AI1170" i="1" s="1"/>
  <c r="X1170" i="1"/>
  <c r="Y1170" i="1" s="1"/>
  <c r="O1170" i="1"/>
  <c r="S1170" i="1" s="1"/>
  <c r="BT1169" i="1"/>
  <c r="AP1169" i="1"/>
  <c r="AD1169" i="1" a="1"/>
  <c r="AD1169" i="1" s="1"/>
  <c r="AC1169" i="1"/>
  <c r="X1169" i="1"/>
  <c r="Y1169" i="1" s="1"/>
  <c r="Z1169" i="1" s="1"/>
  <c r="O1169" i="1"/>
  <c r="R1169" i="1" s="1"/>
  <c r="AC1160" i="1"/>
  <c r="AI1160" i="1" s="1"/>
  <c r="AC1164" i="1"/>
  <c r="AI1164" i="1" s="1"/>
  <c r="AC1165" i="1"/>
  <c r="AI1165" i="1" s="1"/>
  <c r="AC1166" i="1"/>
  <c r="AI1166" i="1" s="1"/>
  <c r="AC1167" i="1"/>
  <c r="AI1167" i="1" s="1"/>
  <c r="AC1168" i="1"/>
  <c r="AI1168" i="1" s="1"/>
  <c r="AC1163" i="1"/>
  <c r="AI1163" i="1" s="1"/>
  <c r="BT1168" i="1"/>
  <c r="BT1167" i="1"/>
  <c r="BT1166" i="1"/>
  <c r="BT1165" i="1"/>
  <c r="BT1164" i="1"/>
  <c r="BT1163" i="1"/>
  <c r="AP1168" i="1"/>
  <c r="AP1167" i="1"/>
  <c r="AP1166" i="1"/>
  <c r="AP1165" i="1"/>
  <c r="AP1164" i="1"/>
  <c r="AP1163" i="1"/>
  <c r="X1164" i="1"/>
  <c r="Y1164" i="1" s="1"/>
  <c r="X1165" i="1"/>
  <c r="Y1165" i="1" s="1"/>
  <c r="X1166" i="1"/>
  <c r="X1167" i="1"/>
  <c r="Y1167" i="1" s="1"/>
  <c r="X1168" i="1"/>
  <c r="Y1168" i="1" s="1"/>
  <c r="X1163" i="1"/>
  <c r="Y1163" i="1" s="1"/>
  <c r="AA1163" i="1" s="1"/>
  <c r="AD1168" i="1" a="1"/>
  <c r="AD1168" i="1" s="1"/>
  <c r="AD1167" i="1" a="1"/>
  <c r="AD1167" i="1" s="1"/>
  <c r="AD1166" i="1" a="1"/>
  <c r="AD1166" i="1" s="1"/>
  <c r="Y1166" i="1"/>
  <c r="AD1165" i="1" a="1"/>
  <c r="AD1165" i="1" s="1"/>
  <c r="AD1164" i="1" a="1"/>
  <c r="AD1164" i="1" s="1"/>
  <c r="AD1163" i="1" a="1"/>
  <c r="AD1163" i="1" s="1"/>
  <c r="O1164" i="1"/>
  <c r="S1164" i="1" s="1"/>
  <c r="O1165" i="1"/>
  <c r="AG1165" i="1" s="1" a="1"/>
  <c r="AG1165" i="1" s="1"/>
  <c r="O1166" i="1"/>
  <c r="AF1166" i="1" s="1"/>
  <c r="O1167" i="1"/>
  <c r="AF1167" i="1" s="1"/>
  <c r="O1168" i="1"/>
  <c r="AF1168" i="1" s="1"/>
  <c r="O1163" i="1"/>
  <c r="S1163" i="1" s="1"/>
  <c r="AP1162" i="1"/>
  <c r="AG1162" i="1" a="1"/>
  <c r="AG1162" i="1" s="1"/>
  <c r="AF1162" i="1"/>
  <c r="AD1162" i="1" a="1"/>
  <c r="AD1162" i="1" s="1"/>
  <c r="AC1162" i="1"/>
  <c r="AI1162" i="1" s="1"/>
  <c r="X1162" i="1"/>
  <c r="S1162" i="1"/>
  <c r="R1162" i="1"/>
  <c r="P1162" i="1"/>
  <c r="AP1161" i="1"/>
  <c r="AG1161" i="1" a="1"/>
  <c r="AG1161" i="1" s="1"/>
  <c r="AF1161" i="1"/>
  <c r="AD1161" i="1" a="1"/>
  <c r="AD1161" i="1" s="1"/>
  <c r="AC1161" i="1"/>
  <c r="AI1161" i="1" s="1"/>
  <c r="X1161" i="1"/>
  <c r="S1161" i="1"/>
  <c r="R1161" i="1"/>
  <c r="P1161" i="1"/>
  <c r="AP1160" i="1"/>
  <c r="AG1160" i="1" a="1"/>
  <c r="AG1160" i="1" s="1"/>
  <c r="AF1160" i="1"/>
  <c r="AD1160" i="1" a="1"/>
  <c r="AD1160" i="1" s="1"/>
  <c r="X1160" i="1"/>
  <c r="S1160" i="1"/>
  <c r="R1160" i="1"/>
  <c r="P1160" i="1"/>
  <c r="AP1159" i="1"/>
  <c r="AG1159" i="1" a="1"/>
  <c r="AG1159" i="1" s="1"/>
  <c r="AF1159" i="1"/>
  <c r="AD1159" i="1" a="1"/>
  <c r="AD1159" i="1" s="1"/>
  <c r="AC1159" i="1"/>
  <c r="AI1159" i="1" s="1"/>
  <c r="X1159" i="1"/>
  <c r="S1159" i="1"/>
  <c r="R1159" i="1"/>
  <c r="P1159" i="1"/>
  <c r="AP1158" i="1"/>
  <c r="AG1158" i="1" a="1"/>
  <c r="AG1158" i="1" s="1"/>
  <c r="AF1158" i="1"/>
  <c r="AD1158" i="1" a="1"/>
  <c r="AD1158" i="1" s="1"/>
  <c r="AC1158" i="1"/>
  <c r="X1158" i="1"/>
  <c r="S1158" i="1"/>
  <c r="R1158" i="1"/>
  <c r="P1158" i="1"/>
  <c r="AP1157" i="1"/>
  <c r="AG1157" i="1" a="1"/>
  <c r="AG1157" i="1" s="1"/>
  <c r="AF1157" i="1"/>
  <c r="AD1157" i="1" a="1"/>
  <c r="AD1157" i="1" s="1"/>
  <c r="AC1157" i="1"/>
  <c r="AI1157" i="1" s="1"/>
  <c r="X1157" i="1"/>
  <c r="S1157" i="1"/>
  <c r="R1157" i="1"/>
  <c r="P1157" i="1"/>
  <c r="AP1156" i="1"/>
  <c r="AG1156" i="1" a="1"/>
  <c r="AG1156" i="1" s="1"/>
  <c r="AF1156" i="1"/>
  <c r="AD1156" i="1" a="1"/>
  <c r="AD1156" i="1" s="1"/>
  <c r="AC1156" i="1"/>
  <c r="AI1156" i="1" s="1"/>
  <c r="X1156" i="1"/>
  <c r="S1156" i="1"/>
  <c r="R1156" i="1"/>
  <c r="P1156" i="1"/>
  <c r="AP1155" i="1"/>
  <c r="AG1155" i="1" a="1"/>
  <c r="AG1155" i="1" s="1"/>
  <c r="AF1155" i="1"/>
  <c r="AD1155" i="1" a="1"/>
  <c r="AD1155" i="1" s="1"/>
  <c r="AC1155" i="1"/>
  <c r="AI1155" i="1" s="1"/>
  <c r="X1155" i="1"/>
  <c r="S1155" i="1"/>
  <c r="R1155" i="1"/>
  <c r="P1155" i="1"/>
  <c r="AP1154" i="1"/>
  <c r="AG1154" i="1" a="1"/>
  <c r="AG1154" i="1" s="1"/>
  <c r="AF1154" i="1"/>
  <c r="AD1154" i="1" a="1"/>
  <c r="AD1154" i="1" s="1"/>
  <c r="AC1154" i="1"/>
  <c r="AI1154" i="1" s="1"/>
  <c r="X1154" i="1"/>
  <c r="S1154" i="1"/>
  <c r="R1154" i="1"/>
  <c r="P1154" i="1"/>
  <c r="AP1153" i="1"/>
  <c r="AG1153" i="1" a="1"/>
  <c r="AG1153" i="1" s="1"/>
  <c r="AF1153" i="1"/>
  <c r="AD1153" i="1" a="1"/>
  <c r="AD1153" i="1" s="1"/>
  <c r="AC1153" i="1"/>
  <c r="AI1153" i="1" s="1"/>
  <c r="X1153" i="1"/>
  <c r="S1153" i="1"/>
  <c r="R1153" i="1"/>
  <c r="P1153" i="1"/>
  <c r="AP1152" i="1"/>
  <c r="AG1152" i="1" a="1"/>
  <c r="AG1152" i="1" s="1"/>
  <c r="AF1152" i="1"/>
  <c r="AD1152" i="1" a="1"/>
  <c r="AD1152" i="1" s="1"/>
  <c r="AC1152" i="1"/>
  <c r="AI1152" i="1" s="1"/>
  <c r="X1152" i="1"/>
  <c r="S1152" i="1"/>
  <c r="R1152" i="1"/>
  <c r="P1152" i="1"/>
  <c r="AP1151" i="1"/>
  <c r="AG1151" i="1" a="1"/>
  <c r="AG1151" i="1" s="1"/>
  <c r="AF1151" i="1"/>
  <c r="AD1151" i="1" a="1"/>
  <c r="AD1151" i="1" s="1"/>
  <c r="AC1151" i="1"/>
  <c r="AI1151" i="1" s="1"/>
  <c r="X1151" i="1"/>
  <c r="S1151" i="1"/>
  <c r="R1151" i="1"/>
  <c r="P1151" i="1"/>
  <c r="AG1148" i="1" a="1"/>
  <c r="AG1148" i="1" s="1"/>
  <c r="AP1146" i="1"/>
  <c r="AD1145" i="1" a="1"/>
  <c r="AD1145" i="1" s="1"/>
  <c r="AF1150" i="1"/>
  <c r="AF1147" i="1"/>
  <c r="AC1147" i="1"/>
  <c r="AI1147" i="1" s="1"/>
  <c r="AC1150" i="1"/>
  <c r="AP1150" i="1"/>
  <c r="AG1150" i="1" a="1"/>
  <c r="AG1150" i="1" s="1"/>
  <c r="AD1150" i="1" a="1"/>
  <c r="AD1150" i="1" s="1"/>
  <c r="X1150" i="1"/>
  <c r="S1150" i="1"/>
  <c r="R1150" i="1"/>
  <c r="P1150" i="1"/>
  <c r="AP1149" i="1"/>
  <c r="AG1149" i="1" a="1"/>
  <c r="AG1149" i="1" s="1"/>
  <c r="AF1149" i="1"/>
  <c r="AD1149" i="1" a="1"/>
  <c r="AD1149" i="1" s="1"/>
  <c r="AC1149" i="1"/>
  <c r="AI1149" i="1" s="1"/>
  <c r="X1149" i="1"/>
  <c r="S1149" i="1"/>
  <c r="R1149" i="1"/>
  <c r="P1149" i="1"/>
  <c r="AP1148" i="1"/>
  <c r="AF1148" i="1"/>
  <c r="AD1148" i="1" a="1"/>
  <c r="AD1148" i="1" s="1"/>
  <c r="AC1148" i="1"/>
  <c r="AI1148" i="1" s="1"/>
  <c r="X1148" i="1"/>
  <c r="S1148" i="1"/>
  <c r="R1148" i="1"/>
  <c r="P1148" i="1"/>
  <c r="AP1147" i="1"/>
  <c r="AG1147" i="1" a="1"/>
  <c r="AG1147" i="1" s="1"/>
  <c r="AD1147" i="1" a="1"/>
  <c r="AD1147" i="1" s="1"/>
  <c r="X1147" i="1"/>
  <c r="S1147" i="1"/>
  <c r="R1147" i="1"/>
  <c r="P1147" i="1"/>
  <c r="AF1146" i="1"/>
  <c r="AD1146" i="1" a="1"/>
  <c r="AD1146" i="1" s="1"/>
  <c r="AC1146" i="1"/>
  <c r="X1146" i="1"/>
  <c r="S1146" i="1"/>
  <c r="R1146" i="1"/>
  <c r="P1146" i="1"/>
  <c r="AP1145" i="1"/>
  <c r="AG1145" i="1" a="1"/>
  <c r="AG1145" i="1" s="1"/>
  <c r="AF1145" i="1"/>
  <c r="AC1145" i="1"/>
  <c r="AI1145" i="1" s="1"/>
  <c r="X1145" i="1"/>
  <c r="S1145" i="1"/>
  <c r="R1145" i="1"/>
  <c r="P1145" i="1"/>
  <c r="AP1144" i="1"/>
  <c r="AG1144" i="1" a="1"/>
  <c r="AG1144" i="1" s="1"/>
  <c r="AF1144" i="1"/>
  <c r="AD1144" i="1" a="1"/>
  <c r="AD1144" i="1" s="1"/>
  <c r="AC1144" i="1"/>
  <c r="X1144" i="1"/>
  <c r="S1144" i="1"/>
  <c r="R1144" i="1"/>
  <c r="P1144" i="1"/>
  <c r="AP1143" i="1"/>
  <c r="AG1143" i="1" a="1"/>
  <c r="AG1143" i="1" s="1"/>
  <c r="AF1143" i="1"/>
  <c r="AD1143" i="1" a="1"/>
  <c r="AD1143" i="1" s="1"/>
  <c r="AC1143" i="1"/>
  <c r="AI1143" i="1" s="1"/>
  <c r="X1143" i="1"/>
  <c r="S1143" i="1"/>
  <c r="R1143" i="1"/>
  <c r="P1143" i="1"/>
  <c r="AP1140" i="1"/>
  <c r="AG1140" i="1" a="1"/>
  <c r="AG1140" i="1" s="1"/>
  <c r="AF1140" i="1"/>
  <c r="AH1140" i="1" s="1"/>
  <c r="AD1140" i="1" a="1"/>
  <c r="AD1140" i="1" s="1"/>
  <c r="AC1140" i="1"/>
  <c r="AI1140" i="1" s="1"/>
  <c r="X1140" i="1"/>
  <c r="S1140" i="1"/>
  <c r="R1140" i="1"/>
  <c r="P1140" i="1"/>
  <c r="AP1139" i="1"/>
  <c r="AG1139" i="1" a="1"/>
  <c r="AG1139" i="1" s="1"/>
  <c r="AF1139" i="1"/>
  <c r="AD1139" i="1" a="1"/>
  <c r="AD1139" i="1" s="1"/>
  <c r="AC1139" i="1"/>
  <c r="AI1139" i="1" s="1"/>
  <c r="X1139" i="1"/>
  <c r="S1139" i="1"/>
  <c r="R1139" i="1"/>
  <c r="P1139" i="1"/>
  <c r="AP1142" i="1"/>
  <c r="AG1142" i="1" a="1"/>
  <c r="AG1142" i="1" s="1"/>
  <c r="AF1142" i="1"/>
  <c r="AD1142" i="1" a="1"/>
  <c r="AD1142" i="1" s="1"/>
  <c r="AC1142" i="1"/>
  <c r="X1142" i="1"/>
  <c r="S1142" i="1"/>
  <c r="R1142" i="1"/>
  <c r="P1142" i="1"/>
  <c r="AP1141" i="1"/>
  <c r="AG1141" i="1" a="1"/>
  <c r="AG1141" i="1" s="1"/>
  <c r="AF1141" i="1"/>
  <c r="AD1141" i="1" a="1"/>
  <c r="AD1141" i="1" s="1"/>
  <c r="AC1141" i="1"/>
  <c r="AI1141" i="1" s="1"/>
  <c r="X1141" i="1"/>
  <c r="S1141" i="1"/>
  <c r="R1141" i="1"/>
  <c r="P1141" i="1"/>
  <c r="AP1138" i="1"/>
  <c r="AG1138" i="1" a="1"/>
  <c r="AG1138" i="1" s="1"/>
  <c r="AF1138" i="1"/>
  <c r="AD1138" i="1" a="1"/>
  <c r="AD1138" i="1" s="1"/>
  <c r="AC1138" i="1"/>
  <c r="X1138" i="1"/>
  <c r="S1138" i="1"/>
  <c r="R1138" i="1"/>
  <c r="P1138" i="1"/>
  <c r="AP1137" i="1"/>
  <c r="AG1137" i="1" a="1"/>
  <c r="AG1137" i="1" s="1"/>
  <c r="AF1137" i="1"/>
  <c r="AD1137" i="1" a="1"/>
  <c r="AD1137" i="1" s="1"/>
  <c r="AC1137" i="1"/>
  <c r="AI1137" i="1" s="1"/>
  <c r="X1137" i="1"/>
  <c r="S1137" i="1"/>
  <c r="R1137" i="1"/>
  <c r="P1137" i="1"/>
  <c r="AC1133" i="1"/>
  <c r="AI1133" i="1" s="1"/>
  <c r="AP1136" i="1"/>
  <c r="AP1135" i="1"/>
  <c r="AP1134" i="1"/>
  <c r="AP1133" i="1"/>
  <c r="AP1132" i="1"/>
  <c r="AP1131" i="1"/>
  <c r="AF1132" i="1"/>
  <c r="AF1133" i="1"/>
  <c r="AF1134" i="1"/>
  <c r="AF1135" i="1"/>
  <c r="AF1136" i="1"/>
  <c r="AF1131" i="1"/>
  <c r="AC1132" i="1"/>
  <c r="AI1132" i="1" s="1"/>
  <c r="AC1134" i="1"/>
  <c r="AI1134" i="1" s="1"/>
  <c r="AC1135" i="1"/>
  <c r="AI1135" i="1" s="1"/>
  <c r="AC1136" i="1"/>
  <c r="AI1136" i="1" s="1"/>
  <c r="AC1131" i="1"/>
  <c r="AI1131" i="1" s="1"/>
  <c r="AG1136" i="1" a="1"/>
  <c r="AG1136" i="1" s="1"/>
  <c r="AG1135" i="1" a="1"/>
  <c r="AG1135" i="1" s="1"/>
  <c r="AG1134" i="1" a="1"/>
  <c r="AG1134" i="1" s="1"/>
  <c r="AG1133" i="1" a="1"/>
  <c r="AG1133" i="1" s="1"/>
  <c r="AG1132" i="1" a="1"/>
  <c r="AG1132" i="1" s="1"/>
  <c r="AG1131" i="1" a="1"/>
  <c r="AG1131" i="1" s="1"/>
  <c r="AD1136" i="1" a="1"/>
  <c r="AD1136" i="1" s="1"/>
  <c r="AD1135" i="1" a="1"/>
  <c r="AD1135" i="1" s="1"/>
  <c r="AD1134" i="1" a="1"/>
  <c r="AD1134" i="1" s="1"/>
  <c r="AD1133" i="1" a="1"/>
  <c r="AD1133" i="1" s="1"/>
  <c r="AD1132" i="1" a="1"/>
  <c r="AD1132" i="1" s="1"/>
  <c r="AD1131" i="1" a="1"/>
  <c r="AD1131" i="1" s="1"/>
  <c r="X1136" i="1"/>
  <c r="X1135" i="1"/>
  <c r="X1134" i="1"/>
  <c r="X1133" i="1"/>
  <c r="X1132" i="1"/>
  <c r="X1131" i="1"/>
  <c r="P1136" i="1"/>
  <c r="R1136" i="1"/>
  <c r="S1136" i="1"/>
  <c r="P1135" i="1"/>
  <c r="R1135" i="1"/>
  <c r="S1135" i="1"/>
  <c r="P1134" i="1"/>
  <c r="R1134" i="1"/>
  <c r="S1134" i="1"/>
  <c r="P1133" i="1"/>
  <c r="R1133" i="1"/>
  <c r="S1133" i="1"/>
  <c r="P1132" i="1"/>
  <c r="R1132" i="1"/>
  <c r="S1132" i="1"/>
  <c r="P1131" i="1"/>
  <c r="R1131" i="1"/>
  <c r="S1131" i="1"/>
  <c r="P1129" i="1"/>
  <c r="AP1130" i="1"/>
  <c r="AP1129" i="1"/>
  <c r="AP1128" i="1"/>
  <c r="AP1127" i="1"/>
  <c r="AP1126" i="1"/>
  <c r="AP1125" i="1"/>
  <c r="AG1130" i="1" a="1"/>
  <c r="AG1130" i="1" s="1"/>
  <c r="AF1130" i="1"/>
  <c r="AD1130" i="1" a="1"/>
  <c r="AD1130" i="1" s="1"/>
  <c r="AG1129" i="1" a="1"/>
  <c r="AG1129" i="1" s="1"/>
  <c r="AF1129" i="1"/>
  <c r="AD1129" i="1" a="1"/>
  <c r="AD1129" i="1" s="1"/>
  <c r="AG1128" i="1" a="1"/>
  <c r="AG1128" i="1" s="1"/>
  <c r="AF1128" i="1"/>
  <c r="AD1128" i="1" a="1"/>
  <c r="AD1128" i="1" s="1"/>
  <c r="AG1127" i="1" a="1"/>
  <c r="AG1127" i="1" s="1"/>
  <c r="AF1127" i="1"/>
  <c r="AD1127" i="1" a="1"/>
  <c r="AD1127" i="1" s="1"/>
  <c r="AG1126" i="1" a="1"/>
  <c r="AG1126" i="1" s="1"/>
  <c r="AF1126" i="1"/>
  <c r="AD1126" i="1" a="1"/>
  <c r="AD1126" i="1" s="1"/>
  <c r="AG1125" i="1" a="1"/>
  <c r="AG1125" i="1" s="1"/>
  <c r="AF1125" i="1"/>
  <c r="AD1125" i="1" a="1"/>
  <c r="AD1125" i="1" s="1"/>
  <c r="X1130" i="1"/>
  <c r="X1129" i="1"/>
  <c r="X1128" i="1"/>
  <c r="X1127" i="1"/>
  <c r="X1126" i="1"/>
  <c r="X1125" i="1"/>
  <c r="P1130" i="1"/>
  <c r="R1130" i="1"/>
  <c r="S1130" i="1"/>
  <c r="R1129" i="1"/>
  <c r="S1129" i="1"/>
  <c r="P1128" i="1"/>
  <c r="R1128" i="1"/>
  <c r="S1128" i="1"/>
  <c r="P1127" i="1"/>
  <c r="R1127" i="1"/>
  <c r="S1127" i="1"/>
  <c r="P1126" i="1"/>
  <c r="R1126" i="1"/>
  <c r="S1126" i="1"/>
  <c r="P1125" i="1"/>
  <c r="R1125" i="1"/>
  <c r="S1125" i="1"/>
  <c r="AC1130" i="1"/>
  <c r="AI1130" i="1" s="1"/>
  <c r="AC1129" i="1"/>
  <c r="AC1128" i="1"/>
  <c r="AI1128" i="1" s="1"/>
  <c r="AC1127" i="1"/>
  <c r="AI1127" i="1" s="1"/>
  <c r="AC1126" i="1"/>
  <c r="AI1126" i="1" s="1"/>
  <c r="AC1125" i="1"/>
  <c r="AI1125" i="1" s="1"/>
  <c r="AP1124" i="1"/>
  <c r="AG1124" i="1" a="1"/>
  <c r="AG1124" i="1" s="1"/>
  <c r="AF1124" i="1"/>
  <c r="AD1124" i="1" a="1"/>
  <c r="AD1124" i="1" s="1"/>
  <c r="AC1124" i="1"/>
  <c r="AI1124" i="1" s="1"/>
  <c r="X1124" i="1"/>
  <c r="S1124" i="1"/>
  <c r="R1124" i="1"/>
  <c r="P1124" i="1"/>
  <c r="AP1123" i="1"/>
  <c r="AG1123" i="1" a="1"/>
  <c r="AG1123" i="1" s="1"/>
  <c r="AF1123" i="1"/>
  <c r="AD1123" i="1" a="1"/>
  <c r="AD1123" i="1" s="1"/>
  <c r="AC1123" i="1"/>
  <c r="AI1123" i="1" s="1"/>
  <c r="X1123" i="1"/>
  <c r="S1123" i="1"/>
  <c r="R1123" i="1"/>
  <c r="P1123" i="1"/>
  <c r="AP1122" i="1"/>
  <c r="AG1122" i="1" a="1"/>
  <c r="AG1122" i="1" s="1"/>
  <c r="AF1122" i="1"/>
  <c r="AD1122" i="1" a="1"/>
  <c r="AD1122" i="1" s="1"/>
  <c r="AC1122" i="1"/>
  <c r="AI1122" i="1" s="1"/>
  <c r="X1122" i="1"/>
  <c r="S1122" i="1"/>
  <c r="R1122" i="1"/>
  <c r="P1122" i="1"/>
  <c r="AP1121" i="1"/>
  <c r="AG1121" i="1" a="1"/>
  <c r="AG1121" i="1" s="1"/>
  <c r="AF1121" i="1"/>
  <c r="AD1121" i="1" a="1"/>
  <c r="AD1121" i="1" s="1"/>
  <c r="AC1121" i="1"/>
  <c r="AI1121" i="1" s="1"/>
  <c r="X1121" i="1"/>
  <c r="S1121" i="1"/>
  <c r="R1121" i="1"/>
  <c r="P1121" i="1"/>
  <c r="AP1120" i="1"/>
  <c r="AG1120" i="1" a="1"/>
  <c r="AG1120" i="1" s="1"/>
  <c r="AF1120" i="1"/>
  <c r="AD1120" i="1" a="1"/>
  <c r="AD1120" i="1" s="1"/>
  <c r="AC1120" i="1"/>
  <c r="X1120" i="1"/>
  <c r="S1120" i="1"/>
  <c r="R1120" i="1"/>
  <c r="P1120" i="1"/>
  <c r="AP1119" i="1"/>
  <c r="AG1119" i="1" a="1"/>
  <c r="AG1119" i="1" s="1"/>
  <c r="AF1119" i="1"/>
  <c r="AD1119" i="1" a="1"/>
  <c r="AD1119" i="1" s="1"/>
  <c r="AC1119" i="1"/>
  <c r="AI1119" i="1" s="1"/>
  <c r="X1119" i="1"/>
  <c r="S1119" i="1"/>
  <c r="R1119" i="1"/>
  <c r="P1119" i="1"/>
  <c r="AP1118" i="1"/>
  <c r="AG1118" i="1" a="1"/>
  <c r="AG1118" i="1" s="1"/>
  <c r="AF1118" i="1"/>
  <c r="AD1118" i="1" a="1"/>
  <c r="AD1118" i="1" s="1"/>
  <c r="AC1118" i="1"/>
  <c r="X1118" i="1"/>
  <c r="S1118" i="1"/>
  <c r="R1118" i="1"/>
  <c r="P1118" i="1"/>
  <c r="AP1117" i="1"/>
  <c r="AG1117" i="1" a="1"/>
  <c r="AG1117" i="1" s="1"/>
  <c r="AF1117" i="1"/>
  <c r="AD1117" i="1" a="1"/>
  <c r="AD1117" i="1" s="1"/>
  <c r="AC1117" i="1"/>
  <c r="AI1117" i="1" s="1"/>
  <c r="X1117" i="1"/>
  <c r="S1117" i="1"/>
  <c r="R1117" i="1"/>
  <c r="P1117" i="1"/>
  <c r="AP1116" i="1"/>
  <c r="AG1116" i="1" a="1"/>
  <c r="AG1116" i="1" s="1"/>
  <c r="AF1116" i="1"/>
  <c r="AD1116" i="1" a="1"/>
  <c r="AD1116" i="1" s="1"/>
  <c r="AC1116" i="1"/>
  <c r="X1116" i="1"/>
  <c r="S1116" i="1"/>
  <c r="R1116" i="1"/>
  <c r="P1116" i="1"/>
  <c r="AP1115" i="1"/>
  <c r="AG1115" i="1" a="1"/>
  <c r="AG1115" i="1" s="1"/>
  <c r="AF1115" i="1"/>
  <c r="AD1115" i="1" a="1"/>
  <c r="AD1115" i="1" s="1"/>
  <c r="AC1115" i="1"/>
  <c r="AI1115" i="1" s="1"/>
  <c r="X1115" i="1"/>
  <c r="S1115" i="1"/>
  <c r="R1115" i="1"/>
  <c r="P1115" i="1"/>
  <c r="AP1114" i="1"/>
  <c r="AG1114" i="1" a="1"/>
  <c r="AG1114" i="1" s="1"/>
  <c r="AF1114" i="1"/>
  <c r="AD1114" i="1" a="1"/>
  <c r="AD1114" i="1" s="1"/>
  <c r="AC1114" i="1"/>
  <c r="AI1114" i="1" s="1"/>
  <c r="X1114" i="1"/>
  <c r="S1114" i="1"/>
  <c r="R1114" i="1"/>
  <c r="P1114" i="1"/>
  <c r="AP1113" i="1"/>
  <c r="AP1112" i="1"/>
  <c r="AP1111" i="1"/>
  <c r="AD1112" i="1" a="1"/>
  <c r="AD1112" i="1" s="1"/>
  <c r="AG1113" i="1" a="1"/>
  <c r="AG1113" i="1" s="1"/>
  <c r="AF1113" i="1"/>
  <c r="AD1113" i="1" a="1"/>
  <c r="AD1113" i="1" s="1"/>
  <c r="AC1113" i="1"/>
  <c r="X1113" i="1"/>
  <c r="S1113" i="1"/>
  <c r="R1113" i="1"/>
  <c r="P1113" i="1"/>
  <c r="AG1112" i="1" a="1"/>
  <c r="AG1112" i="1" s="1"/>
  <c r="AF1112" i="1"/>
  <c r="AC1112" i="1"/>
  <c r="X1112" i="1"/>
  <c r="S1112" i="1"/>
  <c r="R1112" i="1"/>
  <c r="P1112" i="1"/>
  <c r="AG1111" i="1" a="1"/>
  <c r="AG1111" i="1" s="1"/>
  <c r="AF1111" i="1"/>
  <c r="AD1111" i="1" a="1"/>
  <c r="AD1111" i="1" s="1"/>
  <c r="AC1111" i="1"/>
  <c r="AI1111" i="1" s="1"/>
  <c r="X1111" i="1"/>
  <c r="S1111" i="1"/>
  <c r="R1111" i="1"/>
  <c r="P1111" i="1"/>
  <c r="AP1110" i="1"/>
  <c r="AD1110" i="1" a="1"/>
  <c r="AD1110" i="1" s="1"/>
  <c r="AC1110" i="1"/>
  <c r="X1110" i="1"/>
  <c r="Y1110" i="1" s="1"/>
  <c r="AA1110" i="1" s="1"/>
  <c r="O1110" i="1"/>
  <c r="S1110" i="1" s="1"/>
  <c r="AP1109" i="1"/>
  <c r="AD1109" i="1" a="1"/>
  <c r="AD1109" i="1" s="1"/>
  <c r="AC1109" i="1"/>
  <c r="AI1109" i="1" s="1"/>
  <c r="X1109" i="1"/>
  <c r="Y1109" i="1" s="1"/>
  <c r="AA1109" i="1" s="1"/>
  <c r="O1109" i="1"/>
  <c r="R1109" i="1" s="1"/>
  <c r="AP1108" i="1"/>
  <c r="AD1108" i="1" a="1"/>
  <c r="AD1108" i="1" s="1"/>
  <c r="AC1108" i="1"/>
  <c r="X1108" i="1"/>
  <c r="Y1108" i="1" s="1"/>
  <c r="AA1108" i="1" s="1"/>
  <c r="O1108" i="1"/>
  <c r="R1108" i="1" s="1"/>
  <c r="AP1107" i="1"/>
  <c r="AD1107" i="1" a="1"/>
  <c r="AD1107" i="1" s="1"/>
  <c r="AC1107" i="1"/>
  <c r="AI1107" i="1" s="1"/>
  <c r="X1107" i="1"/>
  <c r="Y1107" i="1" s="1"/>
  <c r="Z1107" i="1" s="1"/>
  <c r="O1107" i="1"/>
  <c r="S1107" i="1" s="1"/>
  <c r="AP1106" i="1"/>
  <c r="AD1106" i="1" a="1"/>
  <c r="AD1106" i="1" s="1"/>
  <c r="AC1106" i="1"/>
  <c r="X1106" i="1"/>
  <c r="Y1106" i="1" s="1"/>
  <c r="O1106" i="1"/>
  <c r="AF1106" i="1" s="1"/>
  <c r="AP1105" i="1"/>
  <c r="AD1105" i="1" a="1"/>
  <c r="AD1105" i="1" s="1"/>
  <c r="AC1105" i="1"/>
  <c r="AI1105" i="1" s="1"/>
  <c r="X1105" i="1"/>
  <c r="Y1105" i="1" s="1"/>
  <c r="O1105" i="1"/>
  <c r="R1105" i="1" s="1"/>
  <c r="O1101" i="1"/>
  <c r="S1101" i="1" s="1"/>
  <c r="AP1104" i="1"/>
  <c r="AD1104" i="1" a="1"/>
  <c r="AD1104" i="1" s="1"/>
  <c r="AC1104" i="1"/>
  <c r="AI1104" i="1" s="1"/>
  <c r="X1104" i="1"/>
  <c r="Y1104" i="1" s="1"/>
  <c r="AA1104" i="1" s="1"/>
  <c r="O1104" i="1"/>
  <c r="R1104" i="1" s="1"/>
  <c r="AP1103" i="1"/>
  <c r="AD1103" i="1" a="1"/>
  <c r="AD1103" i="1" s="1"/>
  <c r="AC1103" i="1"/>
  <c r="AI1103" i="1" s="1"/>
  <c r="X1103" i="1"/>
  <c r="Y1103" i="1" s="1"/>
  <c r="Z1103" i="1" s="1"/>
  <c r="O1103" i="1"/>
  <c r="S1103" i="1" s="1"/>
  <c r="AP1102" i="1"/>
  <c r="AD1102" i="1" a="1"/>
  <c r="AD1102" i="1" s="1"/>
  <c r="AC1102" i="1"/>
  <c r="AI1102" i="1" s="1"/>
  <c r="X1102" i="1"/>
  <c r="Y1102" i="1" s="1"/>
  <c r="O1102" i="1"/>
  <c r="AF1102" i="1" s="1"/>
  <c r="AP1101" i="1"/>
  <c r="AD1101" i="1" a="1"/>
  <c r="AD1101" i="1" s="1"/>
  <c r="AC1101" i="1"/>
  <c r="AI1101" i="1" s="1"/>
  <c r="X1101" i="1"/>
  <c r="Y1101" i="1" s="1"/>
  <c r="AP1100" i="1"/>
  <c r="AP1099" i="1"/>
  <c r="AP1098" i="1"/>
  <c r="AP1097" i="1"/>
  <c r="AC1097" i="1"/>
  <c r="AI1097" i="1" s="1"/>
  <c r="AC1098" i="1"/>
  <c r="AI1098" i="1" s="1"/>
  <c r="AC1099" i="1"/>
  <c r="AI1099" i="1" s="1"/>
  <c r="AC1100" i="1"/>
  <c r="AD1100" i="1" a="1"/>
  <c r="AD1100" i="1" s="1"/>
  <c r="X1100" i="1"/>
  <c r="Y1100" i="1" s="1"/>
  <c r="AD1099" i="1" a="1"/>
  <c r="AD1099" i="1" s="1"/>
  <c r="X1099" i="1"/>
  <c r="Y1099" i="1" s="1"/>
  <c r="AD1098" i="1" a="1"/>
  <c r="AD1098" i="1" s="1"/>
  <c r="X1098" i="1"/>
  <c r="Y1098" i="1" s="1"/>
  <c r="AA1098" i="1" s="1"/>
  <c r="AD1097" i="1" a="1"/>
  <c r="AD1097" i="1" s="1"/>
  <c r="X1097" i="1"/>
  <c r="Y1097" i="1" s="1"/>
  <c r="O1098" i="1"/>
  <c r="AG1098" i="1" s="1" a="1"/>
  <c r="AG1098" i="1" s="1"/>
  <c r="O1099" i="1"/>
  <c r="AF1099" i="1" s="1"/>
  <c r="O1100" i="1"/>
  <c r="S1100" i="1" s="1"/>
  <c r="O1097" i="1"/>
  <c r="AF1097" i="1" s="1"/>
  <c r="AF1096" i="1"/>
  <c r="AF1095" i="1"/>
  <c r="AC1096" i="1"/>
  <c r="AC1095" i="1"/>
  <c r="AI1095" i="1" s="1"/>
  <c r="AP1096" i="1"/>
  <c r="AG1096" i="1" a="1"/>
  <c r="AG1096" i="1" s="1"/>
  <c r="AD1096" i="1" a="1"/>
  <c r="AD1096" i="1" s="1"/>
  <c r="X1096" i="1"/>
  <c r="S1096" i="1"/>
  <c r="R1096" i="1"/>
  <c r="P1096" i="1"/>
  <c r="AP1095" i="1"/>
  <c r="AG1095" i="1" a="1"/>
  <c r="AG1095" i="1" s="1"/>
  <c r="AD1095" i="1" a="1"/>
  <c r="AD1095" i="1" s="1"/>
  <c r="X1095" i="1"/>
  <c r="S1095" i="1"/>
  <c r="R1095" i="1"/>
  <c r="P1095" i="1"/>
  <c r="AP1094" i="1"/>
  <c r="AP1093" i="1"/>
  <c r="AP1092" i="1"/>
  <c r="AP1091" i="1"/>
  <c r="AP1090" i="1"/>
  <c r="AP1089" i="1"/>
  <c r="AP1088" i="1"/>
  <c r="AP1087" i="1"/>
  <c r="AG1094" i="1" a="1"/>
  <c r="AG1094" i="1" s="1"/>
  <c r="AF1094" i="1"/>
  <c r="AD1094" i="1" a="1"/>
  <c r="AD1094" i="1" s="1"/>
  <c r="AC1094" i="1"/>
  <c r="X1094" i="1"/>
  <c r="S1094" i="1"/>
  <c r="R1094" i="1"/>
  <c r="P1094" i="1"/>
  <c r="AG1093" i="1" a="1"/>
  <c r="AG1093" i="1" s="1"/>
  <c r="AF1093" i="1"/>
  <c r="AD1093" i="1" a="1"/>
  <c r="AD1093" i="1" s="1"/>
  <c r="AC1093" i="1"/>
  <c r="AI1093" i="1" s="1"/>
  <c r="X1093" i="1"/>
  <c r="S1093" i="1"/>
  <c r="R1093" i="1"/>
  <c r="P1093" i="1"/>
  <c r="AG1092" i="1" a="1"/>
  <c r="AG1092" i="1" s="1"/>
  <c r="AF1092" i="1"/>
  <c r="AD1092" i="1" a="1"/>
  <c r="AD1092" i="1" s="1"/>
  <c r="AC1092" i="1"/>
  <c r="AI1092" i="1" s="1"/>
  <c r="X1092" i="1"/>
  <c r="S1092" i="1"/>
  <c r="R1092" i="1"/>
  <c r="P1092" i="1"/>
  <c r="AG1091" i="1" a="1"/>
  <c r="AG1091" i="1" s="1"/>
  <c r="AF1091" i="1"/>
  <c r="AD1091" i="1" a="1"/>
  <c r="AD1091" i="1" s="1"/>
  <c r="AC1091" i="1"/>
  <c r="X1091" i="1"/>
  <c r="S1091" i="1"/>
  <c r="R1091" i="1"/>
  <c r="P1091" i="1"/>
  <c r="AG1090" i="1" a="1"/>
  <c r="AG1090" i="1" s="1"/>
  <c r="AF1090" i="1"/>
  <c r="AD1090" i="1" a="1"/>
  <c r="AD1090" i="1" s="1"/>
  <c r="AC1090" i="1"/>
  <c r="X1090" i="1"/>
  <c r="S1090" i="1"/>
  <c r="R1090" i="1"/>
  <c r="P1090" i="1"/>
  <c r="AG1089" i="1" a="1"/>
  <c r="AG1089" i="1" s="1"/>
  <c r="AF1089" i="1"/>
  <c r="AD1089" i="1" a="1"/>
  <c r="AD1089" i="1" s="1"/>
  <c r="AC1089" i="1"/>
  <c r="X1089" i="1"/>
  <c r="S1089" i="1"/>
  <c r="R1089" i="1"/>
  <c r="P1089" i="1"/>
  <c r="AG1088" i="1" a="1"/>
  <c r="AG1088" i="1" s="1"/>
  <c r="AF1088" i="1"/>
  <c r="AD1088" i="1" a="1"/>
  <c r="AD1088" i="1" s="1"/>
  <c r="AC1088" i="1"/>
  <c r="AI1088" i="1" s="1"/>
  <c r="X1088" i="1"/>
  <c r="S1088" i="1"/>
  <c r="R1088" i="1"/>
  <c r="P1088" i="1"/>
  <c r="AG1087" i="1" a="1"/>
  <c r="AG1087" i="1" s="1"/>
  <c r="AF1087" i="1"/>
  <c r="AD1087" i="1" a="1"/>
  <c r="AD1087" i="1" s="1"/>
  <c r="AC1087" i="1"/>
  <c r="X1087" i="1"/>
  <c r="S1087" i="1"/>
  <c r="R1087" i="1"/>
  <c r="P1087" i="1"/>
  <c r="AP1086" i="1"/>
  <c r="AP1085" i="1"/>
  <c r="AP1084" i="1"/>
  <c r="AP1083" i="1"/>
  <c r="AP1082" i="1"/>
  <c r="AP1081" i="1"/>
  <c r="AP1080" i="1"/>
  <c r="AP1079" i="1"/>
  <c r="AP1078" i="1"/>
  <c r="AP1077" i="1"/>
  <c r="AP1076" i="1"/>
  <c r="AP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75" i="1"/>
  <c r="AC1076" i="1"/>
  <c r="AI1076" i="1" s="1"/>
  <c r="AC1077" i="1"/>
  <c r="AI1077" i="1" s="1"/>
  <c r="AC1078" i="1"/>
  <c r="AI1078" i="1" s="1"/>
  <c r="AC1079" i="1"/>
  <c r="AI1079" i="1" s="1"/>
  <c r="AC1080" i="1"/>
  <c r="AI1080" i="1" s="1"/>
  <c r="AC1081" i="1"/>
  <c r="AI1081" i="1" s="1"/>
  <c r="AC1082" i="1"/>
  <c r="AI1082" i="1" s="1"/>
  <c r="AC1083" i="1"/>
  <c r="AC1084" i="1"/>
  <c r="AC1085" i="1"/>
  <c r="AI1085" i="1" s="1"/>
  <c r="AC1086" i="1"/>
  <c r="AI1086" i="1" s="1"/>
  <c r="AC1075" i="1"/>
  <c r="AG1086" i="1" a="1"/>
  <c r="AG1086" i="1" s="1"/>
  <c r="AD1086" i="1" a="1"/>
  <c r="AD1086" i="1" s="1"/>
  <c r="AG1085" i="1" a="1"/>
  <c r="AG1085" i="1" s="1"/>
  <c r="AD1085" i="1" a="1"/>
  <c r="AD1085" i="1" s="1"/>
  <c r="AG1084" i="1" a="1"/>
  <c r="AG1084" i="1" s="1"/>
  <c r="AD1084" i="1" a="1"/>
  <c r="AD1084" i="1" s="1"/>
  <c r="AG1083" i="1" a="1"/>
  <c r="AG1083" i="1" s="1"/>
  <c r="AD1083" i="1" a="1"/>
  <c r="AD1083" i="1" s="1"/>
  <c r="AG1082" i="1" a="1"/>
  <c r="AG1082" i="1" s="1"/>
  <c r="AD1082" i="1" a="1"/>
  <c r="AD1082" i="1" s="1"/>
  <c r="AG1081" i="1" a="1"/>
  <c r="AG1081" i="1" s="1"/>
  <c r="AD1081" i="1" a="1"/>
  <c r="AD1081" i="1" s="1"/>
  <c r="AG1080" i="1" a="1"/>
  <c r="AG1080" i="1" s="1"/>
  <c r="AD1080" i="1" a="1"/>
  <c r="AD1080" i="1" s="1"/>
  <c r="AG1079" i="1" a="1"/>
  <c r="AG1079" i="1" s="1"/>
  <c r="AD1079" i="1" a="1"/>
  <c r="AD1079" i="1" s="1"/>
  <c r="AG1078" i="1" a="1"/>
  <c r="AG1078" i="1" s="1"/>
  <c r="AD1078" i="1" a="1"/>
  <c r="AD1078" i="1" s="1"/>
  <c r="AG1077" i="1" a="1"/>
  <c r="AG1077" i="1" s="1"/>
  <c r="AD1077" i="1" a="1"/>
  <c r="AD1077" i="1" s="1"/>
  <c r="AG1076" i="1" a="1"/>
  <c r="AG1076" i="1" s="1"/>
  <c r="AD1076" i="1" a="1"/>
  <c r="AD1076" i="1" s="1"/>
  <c r="AG1075" i="1" a="1"/>
  <c r="AG1075" i="1" s="1"/>
  <c r="AD1075" i="1" a="1"/>
  <c r="AD1075" i="1" s="1"/>
  <c r="X1076" i="1"/>
  <c r="X1077" i="1"/>
  <c r="X1078" i="1"/>
  <c r="X1079" i="1"/>
  <c r="X1080" i="1"/>
  <c r="X1081" i="1"/>
  <c r="X1082" i="1"/>
  <c r="X1083" i="1"/>
  <c r="X1084" i="1"/>
  <c r="X1085" i="1"/>
  <c r="X1086" i="1"/>
  <c r="X1075" i="1"/>
  <c r="R1076" i="1"/>
  <c r="S1076" i="1"/>
  <c r="R1077" i="1"/>
  <c r="S1077" i="1"/>
  <c r="R1078" i="1"/>
  <c r="S1078" i="1"/>
  <c r="R1079" i="1"/>
  <c r="S1079" i="1"/>
  <c r="R1080" i="1"/>
  <c r="S1080" i="1"/>
  <c r="R1081" i="1"/>
  <c r="S1081" i="1"/>
  <c r="R1082" i="1"/>
  <c r="S1082" i="1"/>
  <c r="R1083" i="1"/>
  <c r="S1083" i="1"/>
  <c r="R1084" i="1"/>
  <c r="S1084" i="1"/>
  <c r="R1085" i="1"/>
  <c r="S1085" i="1"/>
  <c r="R1086" i="1"/>
  <c r="S1086" i="1"/>
  <c r="S1075" i="1"/>
  <c r="R1075" i="1"/>
  <c r="P1076" i="1"/>
  <c r="P1077" i="1"/>
  <c r="P1078" i="1"/>
  <c r="P1079" i="1"/>
  <c r="P1080" i="1"/>
  <c r="P1081" i="1"/>
  <c r="P1082" i="1"/>
  <c r="P1083" i="1"/>
  <c r="P1084" i="1"/>
  <c r="P1085" i="1"/>
  <c r="P1086" i="1"/>
  <c r="P1075" i="1"/>
  <c r="AP231" i="1"/>
  <c r="AG231" i="1" a="1"/>
  <c r="AG231" i="1" s="1"/>
  <c r="AF231" i="1"/>
  <c r="AD231" i="1" a="1"/>
  <c r="AD231" i="1" s="1"/>
  <c r="AC231" i="1"/>
  <c r="AI231" i="1" s="1"/>
  <c r="X231" i="1"/>
  <c r="S231" i="1"/>
  <c r="R231" i="1"/>
  <c r="P231" i="1"/>
  <c r="AP130" i="1"/>
  <c r="AF130" i="1" s="1"/>
  <c r="AG130" i="1" a="1"/>
  <c r="AG130" i="1" s="1"/>
  <c r="AD130" i="1" a="1"/>
  <c r="AD130" i="1" s="1"/>
  <c r="X130" i="1"/>
  <c r="S130" i="1"/>
  <c r="R130" i="1"/>
  <c r="P130" i="1"/>
  <c r="AP129" i="1"/>
  <c r="AF129" i="1" s="1"/>
  <c r="AG129" i="1" a="1"/>
  <c r="AG129" i="1" s="1"/>
  <c r="AD129" i="1" a="1"/>
  <c r="AD129" i="1" s="1"/>
  <c r="X129" i="1"/>
  <c r="S129" i="1"/>
  <c r="R129" i="1"/>
  <c r="P129" i="1"/>
  <c r="AP128" i="1"/>
  <c r="AC128" i="1" s="1"/>
  <c r="AI128" i="1" s="1"/>
  <c r="AG128" i="1" a="1"/>
  <c r="AG128" i="1" s="1"/>
  <c r="AD128" i="1" a="1"/>
  <c r="AD128" i="1" s="1"/>
  <c r="X128" i="1"/>
  <c r="S128" i="1"/>
  <c r="R128" i="1"/>
  <c r="P128" i="1"/>
  <c r="AP127" i="1"/>
  <c r="AC127" i="1" s="1"/>
  <c r="AI127" i="1" s="1"/>
  <c r="AG127" i="1" a="1"/>
  <c r="AG127" i="1" s="1"/>
  <c r="AD127" i="1" a="1"/>
  <c r="AD127" i="1" s="1"/>
  <c r="X127" i="1"/>
  <c r="S127" i="1"/>
  <c r="R127" i="1"/>
  <c r="P127" i="1"/>
  <c r="AP126" i="1"/>
  <c r="AF126" i="1" s="1"/>
  <c r="AG126" i="1" a="1"/>
  <c r="AG126" i="1" s="1"/>
  <c r="AD126" i="1" a="1"/>
  <c r="AD126" i="1" s="1"/>
  <c r="X126" i="1"/>
  <c r="S126" i="1"/>
  <c r="R126" i="1"/>
  <c r="P126" i="1"/>
  <c r="AP125" i="1"/>
  <c r="AC125" i="1" s="1"/>
  <c r="AI125" i="1" s="1"/>
  <c r="AG125" i="1" a="1"/>
  <c r="AG125" i="1" s="1"/>
  <c r="AD125" i="1" a="1"/>
  <c r="AD125" i="1" s="1"/>
  <c r="X125" i="1"/>
  <c r="S125" i="1"/>
  <c r="R125" i="1"/>
  <c r="P125" i="1"/>
  <c r="AP124" i="1"/>
  <c r="AF124" i="1" s="1"/>
  <c r="AG124" i="1" a="1"/>
  <c r="AG124" i="1" s="1"/>
  <c r="AD124" i="1" a="1"/>
  <c r="AD124" i="1" s="1"/>
  <c r="X124" i="1"/>
  <c r="S124" i="1"/>
  <c r="R124" i="1"/>
  <c r="P124" i="1"/>
  <c r="AP123" i="1"/>
  <c r="AC123" i="1" s="1"/>
  <c r="AG123" i="1" a="1"/>
  <c r="AG123" i="1" s="1"/>
  <c r="AD123" i="1" a="1"/>
  <c r="AD123" i="1" s="1"/>
  <c r="X123" i="1"/>
  <c r="S123" i="1"/>
  <c r="R123" i="1"/>
  <c r="P123" i="1"/>
  <c r="AP122" i="1"/>
  <c r="AF122" i="1" s="1"/>
  <c r="AG122" i="1" a="1"/>
  <c r="AG122" i="1" s="1"/>
  <c r="AD122" i="1" a="1"/>
  <c r="AD122" i="1" s="1"/>
  <c r="X122" i="1"/>
  <c r="S122" i="1"/>
  <c r="R122" i="1"/>
  <c r="P122" i="1"/>
  <c r="AP121" i="1"/>
  <c r="AF121" i="1" s="1"/>
  <c r="AG121" i="1" a="1"/>
  <c r="AG121" i="1" s="1"/>
  <c r="AD121" i="1" a="1"/>
  <c r="AD121" i="1" s="1"/>
  <c r="X121" i="1"/>
  <c r="S121" i="1"/>
  <c r="R121" i="1"/>
  <c r="P121" i="1"/>
  <c r="AP120" i="1"/>
  <c r="AC120" i="1" s="1"/>
  <c r="AI120" i="1" s="1"/>
  <c r="AG120" i="1" a="1"/>
  <c r="AG120" i="1" s="1"/>
  <c r="AD120" i="1" a="1"/>
  <c r="AD120" i="1" s="1"/>
  <c r="X120" i="1"/>
  <c r="S120" i="1"/>
  <c r="R120" i="1"/>
  <c r="P120" i="1"/>
  <c r="AP119" i="1"/>
  <c r="AF119" i="1" s="1"/>
  <c r="AG119" i="1" a="1"/>
  <c r="AG119" i="1" s="1"/>
  <c r="AD119" i="1" a="1"/>
  <c r="AD119" i="1" s="1"/>
  <c r="X119" i="1"/>
  <c r="S119" i="1"/>
  <c r="R119" i="1"/>
  <c r="P119" i="1"/>
  <c r="AC46" i="1"/>
  <c r="P1067" i="1"/>
  <c r="AF1067" i="1"/>
  <c r="AD1067" i="1" a="1"/>
  <c r="AD1067" i="1" s="1"/>
  <c r="AG795" i="1" a="1"/>
  <c r="AG795" i="1" s="1"/>
  <c r="AF51" i="1"/>
  <c r="AP65" i="1"/>
  <c r="AP64" i="1"/>
  <c r="AP63" i="1"/>
  <c r="AP62" i="1"/>
  <c r="AP61" i="1"/>
  <c r="AP60" i="1"/>
  <c r="AP59" i="1"/>
  <c r="AP58" i="1"/>
  <c r="AP57" i="1"/>
  <c r="AP56" i="1"/>
  <c r="AP55" i="1"/>
  <c r="AP54" i="1"/>
  <c r="AP53" i="1"/>
  <c r="AP52" i="1"/>
  <c r="AP51" i="1"/>
  <c r="AP50" i="1"/>
  <c r="AP49" i="1"/>
  <c r="AP48" i="1"/>
  <c r="AP47" i="1"/>
  <c r="AP46" i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P7" i="1"/>
  <c r="AP6" i="1"/>
  <c r="AP5" i="1"/>
  <c r="AP4" i="1"/>
  <c r="AP3" i="1"/>
  <c r="AP2" i="1"/>
  <c r="AP585" i="1"/>
  <c r="AG585" i="1" a="1"/>
  <c r="AG585" i="1" s="1"/>
  <c r="AF585" i="1"/>
  <c r="AD585" i="1" a="1"/>
  <c r="AD585" i="1" s="1"/>
  <c r="AC585" i="1"/>
  <c r="AP1074" i="1"/>
  <c r="AD1074" i="1" a="1"/>
  <c r="AD1074" i="1" s="1"/>
  <c r="AC1074" i="1"/>
  <c r="O1074" i="1"/>
  <c r="S1074" i="1" s="1"/>
  <c r="AP1073" i="1"/>
  <c r="AD1073" i="1" a="1"/>
  <c r="AD1073" i="1" s="1"/>
  <c r="AC1073" i="1"/>
  <c r="AI1073" i="1" s="1"/>
  <c r="O1073" i="1"/>
  <c r="S1073" i="1" s="1"/>
  <c r="AP1072" i="1"/>
  <c r="AD1072" i="1" a="1"/>
  <c r="AD1072" i="1" s="1"/>
  <c r="AC1072" i="1"/>
  <c r="O1072" i="1"/>
  <c r="S1072" i="1" s="1"/>
  <c r="AP1071" i="1"/>
  <c r="AD1071" i="1" a="1"/>
  <c r="AD1071" i="1" s="1"/>
  <c r="AC1071" i="1"/>
  <c r="AI1071" i="1" s="1"/>
  <c r="O1071" i="1"/>
  <c r="S1071" i="1" s="1"/>
  <c r="AP1070" i="1"/>
  <c r="AD1070" i="1" a="1"/>
  <c r="AD1070" i="1" s="1"/>
  <c r="AC1070" i="1"/>
  <c r="X1070" i="1"/>
  <c r="Y1070" i="1" s="1"/>
  <c r="Z1070" i="1" s="1"/>
  <c r="O1070" i="1"/>
  <c r="S1070" i="1" s="1"/>
  <c r="AC1069" i="1"/>
  <c r="AC1068" i="1"/>
  <c r="AI1068" i="1" s="1"/>
  <c r="AP1069" i="1"/>
  <c r="AD1069" i="1" a="1"/>
  <c r="AD1069" i="1" s="1"/>
  <c r="X1069" i="1"/>
  <c r="Y1069" i="1" s="1"/>
  <c r="AA1069" i="1" s="1"/>
  <c r="O1069" i="1"/>
  <c r="AG1069" i="1" s="1" a="1"/>
  <c r="AG1069" i="1" s="1"/>
  <c r="AP1068" i="1"/>
  <c r="X1068" i="1"/>
  <c r="Y1068" i="1" s="1"/>
  <c r="O1068" i="1"/>
  <c r="AG1068" i="1" s="1" a="1"/>
  <c r="AG1068" i="1" s="1"/>
  <c r="AD1068" i="1" a="1"/>
  <c r="AD1068" i="1" s="1"/>
  <c r="AC1067" i="1"/>
  <c r="AF1066" i="1"/>
  <c r="AG1067" i="1" a="1"/>
  <c r="AG1067" i="1" s="1"/>
  <c r="X1067" i="1"/>
  <c r="AP1066" i="1"/>
  <c r="AG1066" i="1" a="1"/>
  <c r="AG1066" i="1" s="1"/>
  <c r="AD1066" i="1" a="1"/>
  <c r="AD1066" i="1" s="1"/>
  <c r="AC1066" i="1"/>
  <c r="X1066" i="1"/>
  <c r="P1066" i="1"/>
  <c r="R1066" i="1"/>
  <c r="S1066" i="1"/>
  <c r="AG1064" i="1" a="1"/>
  <c r="AG1064" i="1" s="1"/>
  <c r="AF1064" i="1"/>
  <c r="AD1064" i="1" a="1"/>
  <c r="AD1064" i="1" s="1"/>
  <c r="AC1064" i="1"/>
  <c r="AI1064" i="1" s="1"/>
  <c r="X1064" i="1"/>
  <c r="S1064" i="1"/>
  <c r="R1064" i="1"/>
  <c r="P1064" i="1"/>
  <c r="AG1065" i="1" a="1"/>
  <c r="AG1065" i="1" s="1"/>
  <c r="AF1065" i="1"/>
  <c r="AD1065" i="1" a="1"/>
  <c r="AD1065" i="1" s="1"/>
  <c r="AC1065" i="1"/>
  <c r="AI1065" i="1" s="1"/>
  <c r="X1065" i="1"/>
  <c r="S1065" i="1"/>
  <c r="R1065" i="1"/>
  <c r="P1065" i="1"/>
  <c r="AG1063" i="1" a="1"/>
  <c r="AG1063" i="1" s="1"/>
  <c r="AF1063" i="1"/>
  <c r="AD1063" i="1" a="1"/>
  <c r="AD1063" i="1" s="1"/>
  <c r="AC1063" i="1"/>
  <c r="AI1063" i="1" s="1"/>
  <c r="X1063" i="1"/>
  <c r="S1063" i="1"/>
  <c r="R1063" i="1"/>
  <c r="P1063" i="1"/>
  <c r="AG1062" i="1" a="1"/>
  <c r="AG1062" i="1" s="1"/>
  <c r="AF1062" i="1"/>
  <c r="AD1062" i="1" a="1"/>
  <c r="AD1062" i="1" s="1"/>
  <c r="AC1062" i="1"/>
  <c r="AI1062" i="1" s="1"/>
  <c r="X1062" i="1"/>
  <c r="S1062" i="1"/>
  <c r="R1062" i="1"/>
  <c r="P1062" i="1"/>
  <c r="AG1061" i="1" a="1"/>
  <c r="AG1061" i="1" s="1"/>
  <c r="AF1061" i="1"/>
  <c r="AD1061" i="1" a="1"/>
  <c r="AD1061" i="1" s="1"/>
  <c r="AC1061" i="1"/>
  <c r="AI1061" i="1" s="1"/>
  <c r="X1061" i="1"/>
  <c r="S1061" i="1"/>
  <c r="R1061" i="1"/>
  <c r="P1061" i="1"/>
  <c r="AG1060" i="1" a="1"/>
  <c r="AG1060" i="1" s="1"/>
  <c r="AF1060" i="1"/>
  <c r="AD1060" i="1" a="1"/>
  <c r="AD1060" i="1" s="1"/>
  <c r="AC1060" i="1"/>
  <c r="AI1060" i="1" s="1"/>
  <c r="X1060" i="1"/>
  <c r="S1060" i="1"/>
  <c r="R1060" i="1"/>
  <c r="P1060" i="1"/>
  <c r="AG1059" i="1" a="1"/>
  <c r="AG1059" i="1" s="1"/>
  <c r="AF1059" i="1"/>
  <c r="AD1059" i="1" a="1"/>
  <c r="AD1059" i="1" s="1"/>
  <c r="AC1059" i="1"/>
  <c r="AI1059" i="1" s="1"/>
  <c r="X1059" i="1"/>
  <c r="S1059" i="1"/>
  <c r="R1059" i="1"/>
  <c r="P1059" i="1"/>
  <c r="AF1058" i="1"/>
  <c r="AF1057" i="1"/>
  <c r="AF1056" i="1"/>
  <c r="AF1055" i="1"/>
  <c r="AF1054" i="1"/>
  <c r="AF1053" i="1"/>
  <c r="AC1058" i="1"/>
  <c r="AI1058" i="1" s="1"/>
  <c r="AC1057" i="1"/>
  <c r="AI1057" i="1" s="1"/>
  <c r="AC1056" i="1"/>
  <c r="AI1056" i="1" s="1"/>
  <c r="AC1055" i="1"/>
  <c r="AI1055" i="1" s="1"/>
  <c r="AC1054" i="1"/>
  <c r="AC1053" i="1"/>
  <c r="AI1053" i="1" s="1"/>
  <c r="AG1058" i="1" a="1"/>
  <c r="AG1058" i="1" s="1"/>
  <c r="AD1058" i="1" a="1"/>
  <c r="AD1058" i="1" s="1"/>
  <c r="X1058" i="1"/>
  <c r="S1058" i="1"/>
  <c r="R1058" i="1"/>
  <c r="P1058" i="1"/>
  <c r="AG1057" i="1" a="1"/>
  <c r="AG1057" i="1" s="1"/>
  <c r="AD1057" i="1" a="1"/>
  <c r="AD1057" i="1" s="1"/>
  <c r="X1057" i="1"/>
  <c r="S1057" i="1"/>
  <c r="R1057" i="1"/>
  <c r="P1057" i="1"/>
  <c r="AG1056" i="1" a="1"/>
  <c r="AG1056" i="1" s="1"/>
  <c r="AD1056" i="1" a="1"/>
  <c r="AD1056" i="1" s="1"/>
  <c r="X1056" i="1"/>
  <c r="S1056" i="1"/>
  <c r="R1056" i="1"/>
  <c r="P1056" i="1"/>
  <c r="AG1055" i="1" a="1"/>
  <c r="AG1055" i="1" s="1"/>
  <c r="AD1055" i="1" a="1"/>
  <c r="AD1055" i="1" s="1"/>
  <c r="X1055" i="1"/>
  <c r="S1055" i="1"/>
  <c r="R1055" i="1"/>
  <c r="P1055" i="1"/>
  <c r="AG1054" i="1" a="1"/>
  <c r="AG1054" i="1" s="1"/>
  <c r="AD1054" i="1" a="1"/>
  <c r="AD1054" i="1" s="1"/>
  <c r="X1054" i="1"/>
  <c r="S1054" i="1"/>
  <c r="R1054" i="1"/>
  <c r="P1054" i="1"/>
  <c r="AG1053" i="1" a="1"/>
  <c r="AG1053" i="1" s="1"/>
  <c r="AD1053" i="1" a="1"/>
  <c r="AD1053" i="1" s="1"/>
  <c r="X1053" i="1"/>
  <c r="S1053" i="1"/>
  <c r="R1053" i="1"/>
  <c r="P1053" i="1"/>
  <c r="N1052" i="1"/>
  <c r="AD1052" i="1" s="1" a="1"/>
  <c r="AD1052" i="1" s="1"/>
  <c r="N1051" i="1"/>
  <c r="AD1051" i="1" s="1" a="1"/>
  <c r="AD1051" i="1" s="1"/>
  <c r="N1050" i="1"/>
  <c r="AC1050" i="1" s="1"/>
  <c r="N1049" i="1"/>
  <c r="AD1049" i="1" s="1" a="1"/>
  <c r="AD1049" i="1" s="1"/>
  <c r="AP1052" i="1"/>
  <c r="X1052" i="1"/>
  <c r="AP1051" i="1"/>
  <c r="X1051" i="1"/>
  <c r="AP1050" i="1"/>
  <c r="X1050" i="1"/>
  <c r="AP1049" i="1"/>
  <c r="AH1049" i="1"/>
  <c r="X1049" i="1"/>
  <c r="AP1048" i="1"/>
  <c r="AD1048" i="1" a="1"/>
  <c r="AD1048" i="1" s="1"/>
  <c r="AC1048" i="1"/>
  <c r="AI1048" i="1" s="1"/>
  <c r="X1048" i="1"/>
  <c r="AP1047" i="1"/>
  <c r="AG1047" i="1" a="1"/>
  <c r="AG1047" i="1" s="1"/>
  <c r="AF1047" i="1"/>
  <c r="AD1047" i="1" a="1"/>
  <c r="AD1047" i="1" s="1"/>
  <c r="AC1047" i="1"/>
  <c r="X1047" i="1"/>
  <c r="S1047" i="1"/>
  <c r="R1047" i="1"/>
  <c r="P1047" i="1"/>
  <c r="AP1046" i="1"/>
  <c r="AG1046" i="1" a="1"/>
  <c r="AG1046" i="1" s="1"/>
  <c r="AF1046" i="1"/>
  <c r="AD1046" i="1" a="1"/>
  <c r="AD1046" i="1" s="1"/>
  <c r="AC1046" i="1"/>
  <c r="AI1046" i="1" s="1"/>
  <c r="X1046" i="1"/>
  <c r="S1046" i="1"/>
  <c r="R1046" i="1"/>
  <c r="P1046" i="1"/>
  <c r="AP1045" i="1"/>
  <c r="AG1045" i="1" a="1"/>
  <c r="AG1045" i="1" s="1"/>
  <c r="AF1045" i="1"/>
  <c r="AD1045" i="1" a="1"/>
  <c r="AD1045" i="1" s="1"/>
  <c r="AC1045" i="1"/>
  <c r="AI1045" i="1" s="1"/>
  <c r="X1045" i="1"/>
  <c r="S1045" i="1"/>
  <c r="R1045" i="1"/>
  <c r="P1045" i="1"/>
  <c r="AP1044" i="1"/>
  <c r="AG1044" i="1" a="1"/>
  <c r="AG1044" i="1" s="1"/>
  <c r="AF1044" i="1"/>
  <c r="AD1044" i="1" a="1"/>
  <c r="AD1044" i="1" s="1"/>
  <c r="AC1044" i="1"/>
  <c r="AI1044" i="1" s="1"/>
  <c r="X1044" i="1"/>
  <c r="S1044" i="1"/>
  <c r="R1044" i="1"/>
  <c r="P1044" i="1"/>
  <c r="AP1043" i="1"/>
  <c r="AG1043" i="1" a="1"/>
  <c r="AG1043" i="1" s="1"/>
  <c r="AF1043" i="1"/>
  <c r="AD1043" i="1" a="1"/>
  <c r="AD1043" i="1" s="1"/>
  <c r="AC1043" i="1"/>
  <c r="X1043" i="1"/>
  <c r="S1043" i="1"/>
  <c r="R1043" i="1"/>
  <c r="P1043" i="1"/>
  <c r="N1040" i="1"/>
  <c r="AD1040" i="1" s="1" a="1"/>
  <c r="AD1040" i="1" s="1"/>
  <c r="N1039" i="1"/>
  <c r="AC1039" i="1" s="1"/>
  <c r="X1038" i="1"/>
  <c r="AC1038" i="1"/>
  <c r="AI1038" i="1" s="1"/>
  <c r="AD1038" i="1" a="1"/>
  <c r="AD1038" i="1" s="1"/>
  <c r="AP1038" i="1"/>
  <c r="X1039" i="1"/>
  <c r="AP1039" i="1"/>
  <c r="X1040" i="1"/>
  <c r="AA1040" i="1"/>
  <c r="AH1040" i="1"/>
  <c r="AP1040" i="1"/>
  <c r="X1041" i="1"/>
  <c r="AC1041" i="1"/>
  <c r="AI1041" i="1" s="1"/>
  <c r="AD1041" i="1" a="1"/>
  <c r="AD1041" i="1" s="1"/>
  <c r="AH1041" i="1"/>
  <c r="AP1041" i="1"/>
  <c r="X1042" i="1"/>
  <c r="AC1042" i="1"/>
  <c r="AI1042" i="1" s="1"/>
  <c r="AD1042" i="1" a="1"/>
  <c r="AD1042" i="1" s="1"/>
  <c r="AP1042" i="1"/>
  <c r="AP1037" i="1"/>
  <c r="AG1037" i="1" a="1"/>
  <c r="AG1037" i="1" s="1"/>
  <c r="AF1037" i="1"/>
  <c r="AD1037" i="1" a="1"/>
  <c r="AD1037" i="1" s="1"/>
  <c r="AC1037" i="1"/>
  <c r="AI1037" i="1" s="1"/>
  <c r="X1037" i="1"/>
  <c r="S1037" i="1"/>
  <c r="R1037" i="1"/>
  <c r="P1037" i="1"/>
  <c r="AP1036" i="1"/>
  <c r="AG1036" i="1" a="1"/>
  <c r="AG1036" i="1" s="1"/>
  <c r="AF1036" i="1"/>
  <c r="AD1036" i="1" a="1"/>
  <c r="AD1036" i="1" s="1"/>
  <c r="AC1036" i="1"/>
  <c r="AI1036" i="1" s="1"/>
  <c r="X1036" i="1"/>
  <c r="S1036" i="1"/>
  <c r="R1036" i="1"/>
  <c r="P1036" i="1"/>
  <c r="AP1035" i="1"/>
  <c r="AG1035" i="1" a="1"/>
  <c r="AG1035" i="1" s="1"/>
  <c r="AF1035" i="1"/>
  <c r="AD1035" i="1" a="1"/>
  <c r="AD1035" i="1" s="1"/>
  <c r="AC1035" i="1"/>
  <c r="X1035" i="1"/>
  <c r="S1035" i="1"/>
  <c r="R1035" i="1"/>
  <c r="P1035" i="1"/>
  <c r="AP1034" i="1"/>
  <c r="AG1034" i="1" a="1"/>
  <c r="AG1034" i="1" s="1"/>
  <c r="AF1034" i="1"/>
  <c r="AD1034" i="1" a="1"/>
  <c r="AD1034" i="1" s="1"/>
  <c r="AC1034" i="1"/>
  <c r="AI1034" i="1" s="1"/>
  <c r="X1034" i="1"/>
  <c r="S1034" i="1"/>
  <c r="R1034" i="1"/>
  <c r="P1034" i="1"/>
  <c r="AP1033" i="1"/>
  <c r="AG1033" i="1" a="1"/>
  <c r="AG1033" i="1" s="1"/>
  <c r="AF1033" i="1"/>
  <c r="AD1033" i="1" a="1"/>
  <c r="AD1033" i="1" s="1"/>
  <c r="AC1033" i="1"/>
  <c r="AI1033" i="1" s="1"/>
  <c r="X1033" i="1"/>
  <c r="S1033" i="1"/>
  <c r="R1033" i="1"/>
  <c r="P1033" i="1"/>
  <c r="AP1032" i="1"/>
  <c r="AG1032" i="1" a="1"/>
  <c r="AG1032" i="1" s="1"/>
  <c r="AF1032" i="1"/>
  <c r="AD1032" i="1" a="1"/>
  <c r="AD1032" i="1" s="1"/>
  <c r="AC1032" i="1"/>
  <c r="AI1032" i="1" s="1"/>
  <c r="X1032" i="1"/>
  <c r="S1032" i="1"/>
  <c r="R1032" i="1"/>
  <c r="P1032" i="1"/>
  <c r="AP1031" i="1"/>
  <c r="AG1031" i="1" a="1"/>
  <c r="AG1031" i="1" s="1"/>
  <c r="AF1031" i="1"/>
  <c r="AD1031" i="1" a="1"/>
  <c r="AD1031" i="1" s="1"/>
  <c r="AC1031" i="1"/>
  <c r="AI1031" i="1" s="1"/>
  <c r="X1031" i="1"/>
  <c r="S1031" i="1"/>
  <c r="R1031" i="1"/>
  <c r="P1031" i="1"/>
  <c r="AP1030" i="1"/>
  <c r="AG1030" i="1" a="1"/>
  <c r="AG1030" i="1" s="1"/>
  <c r="AF1030" i="1"/>
  <c r="AD1030" i="1" a="1"/>
  <c r="AD1030" i="1" s="1"/>
  <c r="AC1030" i="1"/>
  <c r="X1030" i="1"/>
  <c r="S1030" i="1"/>
  <c r="R1030" i="1"/>
  <c r="P1030" i="1"/>
  <c r="AP1029" i="1"/>
  <c r="AG1029" i="1" a="1"/>
  <c r="AG1029" i="1" s="1"/>
  <c r="AF1029" i="1"/>
  <c r="AD1029" i="1" a="1"/>
  <c r="AD1029" i="1" s="1"/>
  <c r="AC1029" i="1"/>
  <c r="AI1029" i="1" s="1"/>
  <c r="X1029" i="1"/>
  <c r="S1029" i="1"/>
  <c r="R1029" i="1"/>
  <c r="P1029" i="1"/>
  <c r="AP1028" i="1"/>
  <c r="AG1028" i="1" a="1"/>
  <c r="AG1028" i="1" s="1"/>
  <c r="AF1028" i="1"/>
  <c r="AD1028" i="1" a="1"/>
  <c r="AD1028" i="1" s="1"/>
  <c r="AC1028" i="1"/>
  <c r="AI1028" i="1" s="1"/>
  <c r="X1028" i="1"/>
  <c r="S1028" i="1"/>
  <c r="R1028" i="1"/>
  <c r="P1028" i="1"/>
  <c r="N1025" i="1"/>
  <c r="AD1025" i="1" s="1" a="1"/>
  <c r="AD1025" i="1" s="1"/>
  <c r="N1023" i="1"/>
  <c r="AD1023" i="1" s="1" a="1"/>
  <c r="AD1023" i="1" s="1"/>
  <c r="AP1027" i="1"/>
  <c r="AG1027" i="1" a="1"/>
  <c r="AG1027" i="1" s="1"/>
  <c r="AF1027" i="1"/>
  <c r="AD1027" i="1" a="1"/>
  <c r="AD1027" i="1" s="1"/>
  <c r="AC1027" i="1"/>
  <c r="AI1027" i="1" s="1"/>
  <c r="X1027" i="1"/>
  <c r="S1027" i="1"/>
  <c r="R1027" i="1"/>
  <c r="P1027" i="1"/>
  <c r="AP1026" i="1"/>
  <c r="AG1026" i="1" a="1"/>
  <c r="AG1026" i="1" s="1"/>
  <c r="AF1026" i="1"/>
  <c r="AD1026" i="1" a="1"/>
  <c r="AD1026" i="1" s="1"/>
  <c r="AC1026" i="1"/>
  <c r="AI1026" i="1" s="1"/>
  <c r="X1026" i="1"/>
  <c r="S1026" i="1"/>
  <c r="R1026" i="1"/>
  <c r="P1026" i="1"/>
  <c r="AP1025" i="1"/>
  <c r="AG1025" i="1" a="1"/>
  <c r="AG1025" i="1" s="1"/>
  <c r="AF1025" i="1"/>
  <c r="X1025" i="1"/>
  <c r="AP1024" i="1"/>
  <c r="AG1024" i="1" a="1"/>
  <c r="AG1024" i="1" s="1"/>
  <c r="AF1024" i="1"/>
  <c r="AD1024" i="1" a="1"/>
  <c r="AD1024" i="1" s="1"/>
  <c r="AC1024" i="1"/>
  <c r="AI1024" i="1" s="1"/>
  <c r="X1024" i="1"/>
  <c r="S1024" i="1"/>
  <c r="R1024" i="1"/>
  <c r="P1024" i="1"/>
  <c r="AP1023" i="1"/>
  <c r="AG1023" i="1" a="1"/>
  <c r="AG1023" i="1" s="1"/>
  <c r="AF1023" i="1"/>
  <c r="X1023" i="1"/>
  <c r="AF1019" i="1"/>
  <c r="AF1020" i="1"/>
  <c r="AF1021" i="1"/>
  <c r="AF1022" i="1"/>
  <c r="AF1018" i="1"/>
  <c r="AC1019" i="1"/>
  <c r="AC1020" i="1"/>
  <c r="AI1020" i="1" s="1"/>
  <c r="AC1021" i="1"/>
  <c r="AI1021" i="1" s="1"/>
  <c r="AC1022" i="1"/>
  <c r="AC1018" i="1"/>
  <c r="AI1018" i="1" s="1"/>
  <c r="AP1022" i="1"/>
  <c r="AP1021" i="1"/>
  <c r="AP1020" i="1"/>
  <c r="AP1019" i="1"/>
  <c r="AP1018" i="1"/>
  <c r="AG1022" i="1" a="1"/>
  <c r="AG1022" i="1" s="1"/>
  <c r="AD1022" i="1" a="1"/>
  <c r="AD1022" i="1" s="1"/>
  <c r="AG1021" i="1" a="1"/>
  <c r="AG1021" i="1" s="1"/>
  <c r="AD1021" i="1" a="1"/>
  <c r="AD1021" i="1" s="1"/>
  <c r="AG1020" i="1" a="1"/>
  <c r="AG1020" i="1" s="1"/>
  <c r="AD1020" i="1" a="1"/>
  <c r="AD1020" i="1" s="1"/>
  <c r="AG1019" i="1" a="1"/>
  <c r="AG1019" i="1" s="1"/>
  <c r="AD1019" i="1" a="1"/>
  <c r="AD1019" i="1" s="1"/>
  <c r="AG1018" i="1" a="1"/>
  <c r="AG1018" i="1" s="1"/>
  <c r="AD1018" i="1" a="1"/>
  <c r="AD1018" i="1" s="1"/>
  <c r="X1022" i="1"/>
  <c r="X1021" i="1"/>
  <c r="X1020" i="1"/>
  <c r="X1019" i="1"/>
  <c r="X1018" i="1"/>
  <c r="S1022" i="1"/>
  <c r="R1022" i="1"/>
  <c r="P1022" i="1"/>
  <c r="S1021" i="1"/>
  <c r="R1021" i="1"/>
  <c r="P1021" i="1"/>
  <c r="S1020" i="1"/>
  <c r="R1020" i="1"/>
  <c r="P1020" i="1"/>
  <c r="S1019" i="1"/>
  <c r="R1019" i="1"/>
  <c r="P1019" i="1"/>
  <c r="P1018" i="1"/>
  <c r="R1018" i="1"/>
  <c r="S1018" i="1"/>
  <c r="AC374" i="1"/>
  <c r="AI374" i="1" s="1"/>
  <c r="AP1017" i="1"/>
  <c r="AP1016" i="1"/>
  <c r="AG1017" i="1" a="1"/>
  <c r="AG1017" i="1" s="1"/>
  <c r="AF1017" i="1"/>
  <c r="AD1017" i="1" a="1"/>
  <c r="AD1017" i="1" s="1"/>
  <c r="AC1017" i="1"/>
  <c r="AG1016" i="1" a="1"/>
  <c r="AG1016" i="1" s="1"/>
  <c r="AF1016" i="1"/>
  <c r="AD1016" i="1" a="1"/>
  <c r="AD1016" i="1" s="1"/>
  <c r="AC1016" i="1"/>
  <c r="AI1016" i="1" s="1"/>
  <c r="X1017" i="1"/>
  <c r="X1016" i="1"/>
  <c r="P1017" i="1"/>
  <c r="R1017" i="1"/>
  <c r="S1017" i="1"/>
  <c r="P1016" i="1"/>
  <c r="R1016" i="1"/>
  <c r="S1016" i="1"/>
  <c r="AG1012" i="1" a="1"/>
  <c r="AG1012" i="1" s="1"/>
  <c r="AF1012" i="1"/>
  <c r="AD1012" i="1" a="1"/>
  <c r="AD1012" i="1" s="1"/>
  <c r="AC1012" i="1"/>
  <c r="AI1012" i="1" s="1"/>
  <c r="X1012" i="1"/>
  <c r="S1012" i="1"/>
  <c r="R1012" i="1"/>
  <c r="P1012" i="1"/>
  <c r="AG1011" i="1" a="1"/>
  <c r="AG1011" i="1" s="1"/>
  <c r="AF1011" i="1"/>
  <c r="AD1011" i="1" a="1"/>
  <c r="AD1011" i="1" s="1"/>
  <c r="AC1011" i="1"/>
  <c r="X1011" i="1"/>
  <c r="S1011" i="1"/>
  <c r="R1011" i="1"/>
  <c r="P1011" i="1"/>
  <c r="AG1010" i="1" a="1"/>
  <c r="AG1010" i="1" s="1"/>
  <c r="AF1010" i="1"/>
  <c r="AD1010" i="1" a="1"/>
  <c r="AD1010" i="1" s="1"/>
  <c r="AC1010" i="1"/>
  <c r="AI1010" i="1" s="1"/>
  <c r="X1010" i="1"/>
  <c r="S1010" i="1"/>
  <c r="R1010" i="1"/>
  <c r="P1010" i="1"/>
  <c r="AG1009" i="1" a="1"/>
  <c r="AG1009" i="1" s="1"/>
  <c r="AF1009" i="1"/>
  <c r="AD1009" i="1" a="1"/>
  <c r="AD1009" i="1" s="1"/>
  <c r="AC1009" i="1"/>
  <c r="AI1009" i="1" s="1"/>
  <c r="X1009" i="1"/>
  <c r="S1009" i="1"/>
  <c r="R1009" i="1"/>
  <c r="P1009" i="1"/>
  <c r="AG1008" i="1" a="1"/>
  <c r="AG1008" i="1" s="1"/>
  <c r="AF1008" i="1"/>
  <c r="AD1008" i="1" a="1"/>
  <c r="AD1008" i="1" s="1"/>
  <c r="AC1008" i="1"/>
  <c r="AI1008" i="1" s="1"/>
  <c r="X1008" i="1"/>
  <c r="S1008" i="1"/>
  <c r="R1008" i="1"/>
  <c r="P1008" i="1"/>
  <c r="AG1007" i="1" a="1"/>
  <c r="AG1007" i="1" s="1"/>
  <c r="AF1007" i="1"/>
  <c r="AD1007" i="1" a="1"/>
  <c r="AD1007" i="1" s="1"/>
  <c r="AC1007" i="1"/>
  <c r="AI1007" i="1" s="1"/>
  <c r="X1007" i="1"/>
  <c r="S1007" i="1"/>
  <c r="R1007" i="1"/>
  <c r="P1007" i="1"/>
  <c r="AG1006" i="1" a="1"/>
  <c r="AG1006" i="1" s="1"/>
  <c r="AF1006" i="1"/>
  <c r="AD1006" i="1" a="1"/>
  <c r="AD1006" i="1" s="1"/>
  <c r="AC1006" i="1"/>
  <c r="AI1006" i="1" s="1"/>
  <c r="X1006" i="1"/>
  <c r="S1006" i="1"/>
  <c r="R1006" i="1"/>
  <c r="P1006" i="1"/>
  <c r="AG1005" i="1" a="1"/>
  <c r="AG1005" i="1" s="1"/>
  <c r="AF1005" i="1"/>
  <c r="AD1005" i="1" a="1"/>
  <c r="AD1005" i="1" s="1"/>
  <c r="AC1005" i="1"/>
  <c r="X1005" i="1"/>
  <c r="S1005" i="1"/>
  <c r="R1005" i="1"/>
  <c r="P1005" i="1"/>
  <c r="AG1004" i="1" a="1"/>
  <c r="AG1004" i="1" s="1"/>
  <c r="AF1004" i="1"/>
  <c r="AD1004" i="1" a="1"/>
  <c r="AD1004" i="1" s="1"/>
  <c r="AC1004" i="1"/>
  <c r="X1004" i="1"/>
  <c r="S1004" i="1"/>
  <c r="R1004" i="1"/>
  <c r="P1004" i="1"/>
  <c r="AG1003" i="1" a="1"/>
  <c r="AG1003" i="1" s="1"/>
  <c r="AF1003" i="1"/>
  <c r="AD1003" i="1" a="1"/>
  <c r="AD1003" i="1" s="1"/>
  <c r="AC1003" i="1"/>
  <c r="AI1003" i="1" s="1"/>
  <c r="X1003" i="1"/>
  <c r="S1003" i="1"/>
  <c r="R1003" i="1"/>
  <c r="P1003" i="1"/>
  <c r="AG1015" i="1" a="1"/>
  <c r="AG1015" i="1" s="1"/>
  <c r="AF1015" i="1"/>
  <c r="AD1015" i="1" a="1"/>
  <c r="AD1015" i="1" s="1"/>
  <c r="AC1015" i="1"/>
  <c r="X1015" i="1"/>
  <c r="AG1014" i="1" a="1"/>
  <c r="AG1014" i="1" s="1"/>
  <c r="AF1014" i="1"/>
  <c r="AD1014" i="1" a="1"/>
  <c r="AD1014" i="1" s="1"/>
  <c r="AC1014" i="1"/>
  <c r="X1014" i="1"/>
  <c r="AG1013" i="1" a="1"/>
  <c r="AG1013" i="1" s="1"/>
  <c r="AF1013" i="1"/>
  <c r="AD1013" i="1" a="1"/>
  <c r="AD1013" i="1" s="1"/>
  <c r="AC1013" i="1"/>
  <c r="X1013" i="1"/>
  <c r="P1015" i="1"/>
  <c r="R1015" i="1"/>
  <c r="S1015" i="1"/>
  <c r="P1014" i="1"/>
  <c r="R1014" i="1"/>
  <c r="S1014" i="1"/>
  <c r="P1013" i="1"/>
  <c r="R1013" i="1"/>
  <c r="S1013" i="1"/>
  <c r="AP1015" i="1"/>
  <c r="AP1014" i="1"/>
  <c r="AP1013" i="1"/>
  <c r="AG1002" i="1" a="1"/>
  <c r="AG1002" i="1" s="1"/>
  <c r="AF1002" i="1"/>
  <c r="AD1002" i="1" a="1"/>
  <c r="AD1002" i="1" s="1"/>
  <c r="AC1002" i="1"/>
  <c r="AI1002" i="1" s="1"/>
  <c r="X1002" i="1"/>
  <c r="S1002" i="1"/>
  <c r="R1002" i="1"/>
  <c r="P1002" i="1"/>
  <c r="AG1001" i="1" a="1"/>
  <c r="AG1001" i="1" s="1"/>
  <c r="AF1001" i="1"/>
  <c r="AD1001" i="1" a="1"/>
  <c r="AD1001" i="1" s="1"/>
  <c r="AC1001" i="1"/>
  <c r="AI1001" i="1" s="1"/>
  <c r="X1001" i="1"/>
  <c r="S1001" i="1"/>
  <c r="R1001" i="1"/>
  <c r="P1001" i="1"/>
  <c r="AF1000" i="1"/>
  <c r="AF999" i="1"/>
  <c r="AF998" i="1"/>
  <c r="AF997" i="1"/>
  <c r="AG1000" i="1" a="1"/>
  <c r="AG1000" i="1" s="1"/>
  <c r="AG999" i="1" a="1"/>
  <c r="AG999" i="1" s="1"/>
  <c r="AG998" i="1" a="1"/>
  <c r="AG998" i="1" s="1"/>
  <c r="AG997" i="1" a="1"/>
  <c r="AG997" i="1" s="1"/>
  <c r="AD1000" i="1" a="1"/>
  <c r="AD1000" i="1" s="1"/>
  <c r="AD999" i="1" a="1"/>
  <c r="AD999" i="1" s="1"/>
  <c r="AD998" i="1" a="1"/>
  <c r="AD998" i="1" s="1"/>
  <c r="AD997" i="1" a="1"/>
  <c r="AD997" i="1" s="1"/>
  <c r="AC1000" i="1"/>
  <c r="AI1000" i="1" s="1"/>
  <c r="AC999" i="1"/>
  <c r="AI999" i="1" s="1"/>
  <c r="AC998" i="1"/>
  <c r="AI998" i="1" s="1"/>
  <c r="AC997" i="1"/>
  <c r="AI997" i="1" s="1"/>
  <c r="X1000" i="1"/>
  <c r="X999" i="1"/>
  <c r="X998" i="1"/>
  <c r="X997" i="1"/>
  <c r="P1000" i="1"/>
  <c r="R1000" i="1"/>
  <c r="S1000" i="1"/>
  <c r="P999" i="1"/>
  <c r="R999" i="1"/>
  <c r="S999" i="1"/>
  <c r="P998" i="1"/>
  <c r="R998" i="1"/>
  <c r="S998" i="1"/>
  <c r="P997" i="1"/>
  <c r="R997" i="1"/>
  <c r="S997" i="1"/>
  <c r="AG996" i="1" a="1"/>
  <c r="AG996" i="1" s="1"/>
  <c r="AF996" i="1"/>
  <c r="AD996" i="1" a="1"/>
  <c r="AD996" i="1" s="1"/>
  <c r="AC996" i="1"/>
  <c r="AI996" i="1" s="1"/>
  <c r="X996" i="1"/>
  <c r="P996" i="1"/>
  <c r="R996" i="1"/>
  <c r="S996" i="1"/>
  <c r="AG995" i="1" a="1"/>
  <c r="AG995" i="1" s="1"/>
  <c r="AF995" i="1"/>
  <c r="AD995" i="1" a="1"/>
  <c r="AD995" i="1" s="1"/>
  <c r="AC995" i="1"/>
  <c r="AG994" i="1" a="1"/>
  <c r="AG994" i="1" s="1"/>
  <c r="AF994" i="1"/>
  <c r="AD994" i="1" a="1"/>
  <c r="AD994" i="1" s="1"/>
  <c r="AC994" i="1"/>
  <c r="AI994" i="1" s="1"/>
  <c r="AG993" i="1" a="1"/>
  <c r="AG993" i="1" s="1"/>
  <c r="AF993" i="1"/>
  <c r="AD993" i="1" a="1"/>
  <c r="AD993" i="1" s="1"/>
  <c r="AC993" i="1"/>
  <c r="AI993" i="1" s="1"/>
  <c r="AF992" i="1"/>
  <c r="AG992" i="1" a="1"/>
  <c r="AG992" i="1" s="1"/>
  <c r="AD992" i="1" a="1"/>
  <c r="AD992" i="1" s="1"/>
  <c r="AC992" i="1"/>
  <c r="AI992" i="1" s="1"/>
  <c r="X995" i="1"/>
  <c r="X994" i="1"/>
  <c r="X993" i="1"/>
  <c r="X992" i="1"/>
  <c r="P995" i="1"/>
  <c r="R995" i="1"/>
  <c r="S995" i="1"/>
  <c r="P994" i="1"/>
  <c r="R994" i="1"/>
  <c r="S994" i="1"/>
  <c r="P993" i="1"/>
  <c r="R993" i="1"/>
  <c r="S993" i="1"/>
  <c r="P992" i="1"/>
  <c r="R992" i="1"/>
  <c r="S992" i="1"/>
  <c r="AP991" i="1"/>
  <c r="AG991" i="1" a="1"/>
  <c r="AG991" i="1" s="1"/>
  <c r="AF991" i="1"/>
  <c r="AD991" i="1" a="1"/>
  <c r="AD991" i="1" s="1"/>
  <c r="AC991" i="1"/>
  <c r="AI991" i="1" s="1"/>
  <c r="X991" i="1"/>
  <c r="S991" i="1"/>
  <c r="R991" i="1"/>
  <c r="P991" i="1"/>
  <c r="AP990" i="1"/>
  <c r="AG990" i="1" a="1"/>
  <c r="AG990" i="1" s="1"/>
  <c r="AF990" i="1"/>
  <c r="AD990" i="1" a="1"/>
  <c r="AD990" i="1" s="1"/>
  <c r="AC990" i="1"/>
  <c r="AI990" i="1" s="1"/>
  <c r="X990" i="1"/>
  <c r="S990" i="1"/>
  <c r="R990" i="1"/>
  <c r="P990" i="1"/>
  <c r="AP989" i="1"/>
  <c r="AG989" i="1" a="1"/>
  <c r="AG989" i="1" s="1"/>
  <c r="AF989" i="1"/>
  <c r="AD989" i="1" a="1"/>
  <c r="AD989" i="1" s="1"/>
  <c r="AC989" i="1"/>
  <c r="AI989" i="1" s="1"/>
  <c r="X989" i="1"/>
  <c r="S989" i="1"/>
  <c r="R989" i="1"/>
  <c r="P989" i="1"/>
  <c r="AP988" i="1"/>
  <c r="AG988" i="1" a="1"/>
  <c r="AG988" i="1" s="1"/>
  <c r="AF988" i="1"/>
  <c r="AD988" i="1" a="1"/>
  <c r="AD988" i="1" s="1"/>
  <c r="AC988" i="1"/>
  <c r="AI988" i="1" s="1"/>
  <c r="X988" i="1"/>
  <c r="S988" i="1"/>
  <c r="R988" i="1"/>
  <c r="P988" i="1"/>
  <c r="AP987" i="1"/>
  <c r="AG987" i="1" a="1"/>
  <c r="AG987" i="1" s="1"/>
  <c r="AF987" i="1"/>
  <c r="AD987" i="1" a="1"/>
  <c r="AD987" i="1" s="1"/>
  <c r="AC987" i="1"/>
  <c r="X987" i="1"/>
  <c r="S987" i="1"/>
  <c r="R987" i="1"/>
  <c r="P987" i="1"/>
  <c r="AP986" i="1"/>
  <c r="AG986" i="1" a="1"/>
  <c r="AG986" i="1" s="1"/>
  <c r="AF986" i="1"/>
  <c r="AD986" i="1" a="1"/>
  <c r="AD986" i="1" s="1"/>
  <c r="AC986" i="1"/>
  <c r="AI986" i="1" s="1"/>
  <c r="X986" i="1"/>
  <c r="S986" i="1"/>
  <c r="R986" i="1"/>
  <c r="P986" i="1"/>
  <c r="AP985" i="1"/>
  <c r="AG985" i="1" a="1"/>
  <c r="AG985" i="1" s="1"/>
  <c r="AF985" i="1"/>
  <c r="AD985" i="1" a="1"/>
  <c r="AD985" i="1" s="1"/>
  <c r="AC985" i="1"/>
  <c r="AI985" i="1" s="1"/>
  <c r="X985" i="1"/>
  <c r="S985" i="1"/>
  <c r="R985" i="1"/>
  <c r="P985" i="1"/>
  <c r="AP984" i="1"/>
  <c r="AG984" i="1" a="1"/>
  <c r="AG984" i="1" s="1"/>
  <c r="AF984" i="1"/>
  <c r="AD984" i="1" a="1"/>
  <c r="AD984" i="1" s="1"/>
  <c r="AC984" i="1"/>
  <c r="AI984" i="1" s="1"/>
  <c r="X984" i="1"/>
  <c r="S984" i="1"/>
  <c r="R984" i="1"/>
  <c r="P984" i="1"/>
  <c r="AP983" i="1"/>
  <c r="AG983" i="1" a="1"/>
  <c r="AG983" i="1" s="1"/>
  <c r="AF983" i="1"/>
  <c r="AD983" i="1" a="1"/>
  <c r="AD983" i="1" s="1"/>
  <c r="AC983" i="1"/>
  <c r="X983" i="1"/>
  <c r="S983" i="1"/>
  <c r="R983" i="1"/>
  <c r="P983" i="1"/>
  <c r="AF982" i="1"/>
  <c r="AC982" i="1"/>
  <c r="AI982" i="1" s="1"/>
  <c r="AP982" i="1"/>
  <c r="AG982" i="1" a="1"/>
  <c r="AG982" i="1" s="1"/>
  <c r="AD982" i="1" a="1"/>
  <c r="AD982" i="1" s="1"/>
  <c r="X982" i="1"/>
  <c r="S982" i="1"/>
  <c r="R982" i="1"/>
  <c r="P982" i="1"/>
  <c r="AP981" i="1"/>
  <c r="AG981" i="1" a="1"/>
  <c r="AG981" i="1" s="1"/>
  <c r="AF981" i="1"/>
  <c r="AD981" i="1" a="1"/>
  <c r="AD981" i="1" s="1"/>
  <c r="AC981" i="1"/>
  <c r="AI981" i="1" s="1"/>
  <c r="X981" i="1"/>
  <c r="S981" i="1"/>
  <c r="R981" i="1"/>
  <c r="P981" i="1"/>
  <c r="AP980" i="1"/>
  <c r="AG980" i="1" a="1"/>
  <c r="AG980" i="1" s="1"/>
  <c r="AF980" i="1"/>
  <c r="AD980" i="1" a="1"/>
  <c r="AD980" i="1" s="1"/>
  <c r="AC980" i="1"/>
  <c r="X980" i="1"/>
  <c r="S980" i="1"/>
  <c r="R980" i="1"/>
  <c r="P980" i="1"/>
  <c r="AP979" i="1"/>
  <c r="AG979" i="1" a="1"/>
  <c r="AG979" i="1" s="1"/>
  <c r="AF979" i="1"/>
  <c r="AD979" i="1" a="1"/>
  <c r="AD979" i="1" s="1"/>
  <c r="AC979" i="1"/>
  <c r="AI979" i="1" s="1"/>
  <c r="X979" i="1"/>
  <c r="S979" i="1"/>
  <c r="R979" i="1"/>
  <c r="P979" i="1"/>
  <c r="AP978" i="1"/>
  <c r="AG978" i="1" a="1"/>
  <c r="AG978" i="1" s="1"/>
  <c r="AF978" i="1"/>
  <c r="AD978" i="1" a="1"/>
  <c r="AD978" i="1" s="1"/>
  <c r="AC978" i="1"/>
  <c r="AI978" i="1" s="1"/>
  <c r="X978" i="1"/>
  <c r="S978" i="1"/>
  <c r="R978" i="1"/>
  <c r="P978" i="1"/>
  <c r="AP977" i="1"/>
  <c r="AG977" i="1" a="1"/>
  <c r="AG977" i="1" s="1"/>
  <c r="AF977" i="1"/>
  <c r="AD977" i="1" a="1"/>
  <c r="AD977" i="1" s="1"/>
  <c r="AC977" i="1"/>
  <c r="AI977" i="1" s="1"/>
  <c r="X977" i="1"/>
  <c r="S977" i="1"/>
  <c r="R977" i="1"/>
  <c r="P977" i="1"/>
  <c r="AP976" i="1"/>
  <c r="AG976" i="1" a="1"/>
  <c r="AG976" i="1" s="1"/>
  <c r="AF976" i="1"/>
  <c r="AD976" i="1" a="1"/>
  <c r="AD976" i="1" s="1"/>
  <c r="AC976" i="1"/>
  <c r="AI976" i="1" s="1"/>
  <c r="X976" i="1"/>
  <c r="S976" i="1"/>
  <c r="R976" i="1"/>
  <c r="P976" i="1"/>
  <c r="AP975" i="1"/>
  <c r="AG975" i="1" a="1"/>
  <c r="AG975" i="1" s="1"/>
  <c r="AF975" i="1"/>
  <c r="AD975" i="1" a="1"/>
  <c r="AD975" i="1" s="1"/>
  <c r="AC975" i="1"/>
  <c r="X975" i="1"/>
  <c r="S975" i="1"/>
  <c r="R975" i="1"/>
  <c r="P975" i="1"/>
  <c r="AP974" i="1"/>
  <c r="AG974" i="1" a="1"/>
  <c r="AG974" i="1" s="1"/>
  <c r="AF974" i="1"/>
  <c r="AD974" i="1" a="1"/>
  <c r="AD974" i="1" s="1"/>
  <c r="AC974" i="1"/>
  <c r="AI974" i="1" s="1"/>
  <c r="X974" i="1"/>
  <c r="S974" i="1"/>
  <c r="R974" i="1"/>
  <c r="P974" i="1"/>
  <c r="AP973" i="1"/>
  <c r="AG973" i="1" a="1"/>
  <c r="AG973" i="1" s="1"/>
  <c r="AF973" i="1"/>
  <c r="AD973" i="1" a="1"/>
  <c r="AD973" i="1" s="1"/>
  <c r="AC973" i="1"/>
  <c r="AI973" i="1" s="1"/>
  <c r="X973" i="1"/>
  <c r="S973" i="1"/>
  <c r="R973" i="1"/>
  <c r="P973" i="1"/>
  <c r="AP972" i="1"/>
  <c r="AG972" i="1" a="1"/>
  <c r="AG972" i="1" s="1"/>
  <c r="AF972" i="1"/>
  <c r="AD972" i="1" a="1"/>
  <c r="AD972" i="1" s="1"/>
  <c r="AC972" i="1"/>
  <c r="AI972" i="1" s="1"/>
  <c r="X972" i="1"/>
  <c r="S972" i="1"/>
  <c r="R972" i="1"/>
  <c r="P972" i="1"/>
  <c r="AP971" i="1"/>
  <c r="AG971" i="1" a="1"/>
  <c r="AG971" i="1" s="1"/>
  <c r="AF971" i="1"/>
  <c r="AD971" i="1" a="1"/>
  <c r="AD971" i="1" s="1"/>
  <c r="AC971" i="1"/>
  <c r="X971" i="1"/>
  <c r="S971" i="1"/>
  <c r="R971" i="1"/>
  <c r="P971" i="1"/>
  <c r="AD965" i="1" a="1"/>
  <c r="AD965" i="1" s="1"/>
  <c r="AP970" i="1"/>
  <c r="AG970" i="1" a="1"/>
  <c r="AG970" i="1" s="1"/>
  <c r="AF970" i="1"/>
  <c r="AD970" i="1" a="1"/>
  <c r="AD970" i="1" s="1"/>
  <c r="AC970" i="1"/>
  <c r="AI970" i="1" s="1"/>
  <c r="X970" i="1"/>
  <c r="S970" i="1"/>
  <c r="R970" i="1"/>
  <c r="P970" i="1"/>
  <c r="AP969" i="1"/>
  <c r="AG969" i="1" a="1"/>
  <c r="AG969" i="1" s="1"/>
  <c r="AF969" i="1"/>
  <c r="AD969" i="1" a="1"/>
  <c r="AD969" i="1" s="1"/>
  <c r="AC969" i="1"/>
  <c r="AI969" i="1" s="1"/>
  <c r="X969" i="1"/>
  <c r="S969" i="1"/>
  <c r="R969" i="1"/>
  <c r="P969" i="1"/>
  <c r="AP968" i="1"/>
  <c r="AP967" i="1"/>
  <c r="AP966" i="1"/>
  <c r="AP965" i="1"/>
  <c r="AG968" i="1" a="1"/>
  <c r="AG968" i="1" s="1"/>
  <c r="AF968" i="1"/>
  <c r="AD968" i="1" a="1"/>
  <c r="AD968" i="1" s="1"/>
  <c r="AG967" i="1" a="1"/>
  <c r="AG967" i="1" s="1"/>
  <c r="AF967" i="1"/>
  <c r="AD967" i="1" a="1"/>
  <c r="AD967" i="1" s="1"/>
  <c r="AG966" i="1" a="1"/>
  <c r="AG966" i="1" s="1"/>
  <c r="AF966" i="1"/>
  <c r="AD966" i="1" a="1"/>
  <c r="AD966" i="1" s="1"/>
  <c r="AG965" i="1" a="1"/>
  <c r="AG965" i="1" s="1"/>
  <c r="AF965" i="1"/>
  <c r="AC968" i="1"/>
  <c r="AI968" i="1" s="1"/>
  <c r="AC967" i="1"/>
  <c r="AI967" i="1" s="1"/>
  <c r="AC966" i="1"/>
  <c r="AI966" i="1" s="1"/>
  <c r="AC965" i="1"/>
  <c r="X968" i="1"/>
  <c r="X967" i="1"/>
  <c r="X966" i="1"/>
  <c r="X965" i="1"/>
  <c r="P968" i="1"/>
  <c r="R968" i="1"/>
  <c r="S968" i="1"/>
  <c r="P967" i="1"/>
  <c r="R967" i="1"/>
  <c r="S967" i="1"/>
  <c r="P966" i="1"/>
  <c r="R966" i="1"/>
  <c r="S966" i="1"/>
  <c r="P965" i="1"/>
  <c r="R965" i="1"/>
  <c r="S965" i="1"/>
  <c r="AG964" i="1" a="1"/>
  <c r="AG964" i="1" s="1"/>
  <c r="AF964" i="1"/>
  <c r="AD964" i="1" a="1"/>
  <c r="AD964" i="1" s="1"/>
  <c r="AC964" i="1"/>
  <c r="AI964" i="1" s="1"/>
  <c r="X964" i="1"/>
  <c r="S964" i="1"/>
  <c r="R964" i="1"/>
  <c r="P964" i="1"/>
  <c r="AG963" i="1" a="1"/>
  <c r="AG963" i="1" s="1"/>
  <c r="AF963" i="1"/>
  <c r="AD963" i="1" a="1"/>
  <c r="AD963" i="1" s="1"/>
  <c r="AC963" i="1"/>
  <c r="X963" i="1"/>
  <c r="S963" i="1"/>
  <c r="R963" i="1"/>
  <c r="P963" i="1"/>
  <c r="AG962" i="1" a="1"/>
  <c r="AG962" i="1" s="1"/>
  <c r="AF962" i="1"/>
  <c r="AD962" i="1" a="1"/>
  <c r="AD962" i="1" s="1"/>
  <c r="AC962" i="1"/>
  <c r="AI962" i="1" s="1"/>
  <c r="X962" i="1"/>
  <c r="S962" i="1"/>
  <c r="R962" i="1"/>
  <c r="P962" i="1"/>
  <c r="AP964" i="1"/>
  <c r="AP963" i="1"/>
  <c r="AP962" i="1"/>
  <c r="AP961" i="1"/>
  <c r="AG961" i="1" a="1"/>
  <c r="AG961" i="1" s="1"/>
  <c r="AF961" i="1"/>
  <c r="AD961" i="1" a="1"/>
  <c r="AD961" i="1" s="1"/>
  <c r="AC961" i="1"/>
  <c r="AI961" i="1" s="1"/>
  <c r="X961" i="1"/>
  <c r="P961" i="1"/>
  <c r="R961" i="1"/>
  <c r="S961" i="1"/>
  <c r="X589" i="1"/>
  <c r="X586" i="1"/>
  <c r="X587" i="1"/>
  <c r="X588" i="1"/>
  <c r="X524" i="1"/>
  <c r="X525" i="1"/>
  <c r="X526" i="1"/>
  <c r="X527" i="1"/>
  <c r="X528" i="1"/>
  <c r="X529" i="1"/>
  <c r="X530" i="1"/>
  <c r="X531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AF795" i="1"/>
  <c r="P795" i="1"/>
  <c r="AF651" i="1"/>
  <c r="AF650" i="1"/>
  <c r="AF649" i="1"/>
  <c r="AF648" i="1"/>
  <c r="AF715" i="1"/>
  <c r="AF714" i="1"/>
  <c r="AF713" i="1"/>
  <c r="AF712" i="1"/>
  <c r="AF711" i="1"/>
  <c r="AC711" i="1"/>
  <c r="AI711" i="1" s="1"/>
  <c r="AF720" i="1"/>
  <c r="AF719" i="1"/>
  <c r="AF718" i="1"/>
  <c r="AF717" i="1"/>
  <c r="AF716" i="1"/>
  <c r="AF710" i="1"/>
  <c r="AF709" i="1"/>
  <c r="AF708" i="1"/>
  <c r="AF707" i="1"/>
  <c r="AF706" i="1"/>
  <c r="AF705" i="1"/>
  <c r="AF704" i="1"/>
  <c r="AF703" i="1"/>
  <c r="AF702" i="1"/>
  <c r="AF701" i="1"/>
  <c r="AF700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C796" i="1"/>
  <c r="AI796" i="1" s="1"/>
  <c r="P796" i="1"/>
  <c r="AP815" i="1"/>
  <c r="AG815" i="1" a="1"/>
  <c r="AG815" i="1" s="1"/>
  <c r="AD815" i="1" a="1"/>
  <c r="AD815" i="1" s="1"/>
  <c r="AC815" i="1"/>
  <c r="AI815" i="1" s="1"/>
  <c r="X815" i="1"/>
  <c r="S815" i="1"/>
  <c r="R815" i="1"/>
  <c r="P815" i="1"/>
  <c r="AP814" i="1"/>
  <c r="AG814" i="1" a="1"/>
  <c r="AG814" i="1" s="1"/>
  <c r="AD814" i="1" a="1"/>
  <c r="AD814" i="1" s="1"/>
  <c r="AC814" i="1"/>
  <c r="AI814" i="1" s="1"/>
  <c r="X814" i="1"/>
  <c r="S814" i="1"/>
  <c r="R814" i="1"/>
  <c r="P814" i="1"/>
  <c r="AP813" i="1"/>
  <c r="AG813" i="1" a="1"/>
  <c r="AG813" i="1" s="1"/>
  <c r="AD813" i="1" a="1"/>
  <c r="AD813" i="1" s="1"/>
  <c r="AC813" i="1"/>
  <c r="X813" i="1"/>
  <c r="S813" i="1"/>
  <c r="R813" i="1"/>
  <c r="P813" i="1"/>
  <c r="AP812" i="1"/>
  <c r="AG812" i="1" a="1"/>
  <c r="AG812" i="1" s="1"/>
  <c r="AD812" i="1" a="1"/>
  <c r="AD812" i="1" s="1"/>
  <c r="AC812" i="1"/>
  <c r="AI812" i="1" s="1"/>
  <c r="X812" i="1"/>
  <c r="S812" i="1"/>
  <c r="R812" i="1"/>
  <c r="P812" i="1"/>
  <c r="AP811" i="1"/>
  <c r="AG811" i="1" a="1"/>
  <c r="AG811" i="1" s="1"/>
  <c r="AD811" i="1" a="1"/>
  <c r="AD811" i="1" s="1"/>
  <c r="AC811" i="1"/>
  <c r="AI811" i="1" s="1"/>
  <c r="X811" i="1"/>
  <c r="S811" i="1"/>
  <c r="R811" i="1"/>
  <c r="P811" i="1"/>
  <c r="AP810" i="1"/>
  <c r="AG810" i="1" a="1"/>
  <c r="AG810" i="1" s="1"/>
  <c r="AD810" i="1" a="1"/>
  <c r="AD810" i="1" s="1"/>
  <c r="AC810" i="1"/>
  <c r="AI810" i="1" s="1"/>
  <c r="X810" i="1"/>
  <c r="S810" i="1"/>
  <c r="R810" i="1"/>
  <c r="P810" i="1"/>
  <c r="AP809" i="1"/>
  <c r="AG809" i="1" a="1"/>
  <c r="AG809" i="1" s="1"/>
  <c r="AD809" i="1" a="1"/>
  <c r="AD809" i="1" s="1"/>
  <c r="AC809" i="1"/>
  <c r="X809" i="1"/>
  <c r="S809" i="1"/>
  <c r="R809" i="1"/>
  <c r="P809" i="1"/>
  <c r="AP808" i="1"/>
  <c r="AG808" i="1" a="1"/>
  <c r="AG808" i="1" s="1"/>
  <c r="AD808" i="1" a="1"/>
  <c r="AD808" i="1" s="1"/>
  <c r="AC808" i="1"/>
  <c r="AI808" i="1" s="1"/>
  <c r="X808" i="1"/>
  <c r="S808" i="1"/>
  <c r="R808" i="1"/>
  <c r="P808" i="1"/>
  <c r="AP807" i="1"/>
  <c r="AG807" i="1" a="1"/>
  <c r="AG807" i="1" s="1"/>
  <c r="AD807" i="1" a="1"/>
  <c r="AD807" i="1" s="1"/>
  <c r="AC807" i="1"/>
  <c r="AI807" i="1" s="1"/>
  <c r="X807" i="1"/>
  <c r="S807" i="1"/>
  <c r="R807" i="1"/>
  <c r="P807" i="1"/>
  <c r="AP806" i="1"/>
  <c r="AG806" i="1" a="1"/>
  <c r="AG806" i="1" s="1"/>
  <c r="AD806" i="1" a="1"/>
  <c r="AD806" i="1" s="1"/>
  <c r="AC806" i="1"/>
  <c r="AI806" i="1" s="1"/>
  <c r="X806" i="1"/>
  <c r="S806" i="1"/>
  <c r="R806" i="1"/>
  <c r="P806" i="1"/>
  <c r="AP805" i="1"/>
  <c r="AG805" i="1" a="1"/>
  <c r="AG805" i="1" s="1"/>
  <c r="AD805" i="1" a="1"/>
  <c r="AD805" i="1" s="1"/>
  <c r="AC805" i="1"/>
  <c r="AI805" i="1" s="1"/>
  <c r="X805" i="1"/>
  <c r="S805" i="1"/>
  <c r="R805" i="1"/>
  <c r="P805" i="1"/>
  <c r="AP804" i="1"/>
  <c r="AG804" i="1" a="1"/>
  <c r="AG804" i="1" s="1"/>
  <c r="AD804" i="1" a="1"/>
  <c r="AD804" i="1" s="1"/>
  <c r="AC804" i="1"/>
  <c r="AI804" i="1" s="1"/>
  <c r="X804" i="1"/>
  <c r="S804" i="1"/>
  <c r="R804" i="1"/>
  <c r="P804" i="1"/>
  <c r="AP803" i="1"/>
  <c r="AG803" i="1" a="1"/>
  <c r="AG803" i="1" s="1"/>
  <c r="AD803" i="1" a="1"/>
  <c r="AD803" i="1" s="1"/>
  <c r="AC803" i="1"/>
  <c r="AI803" i="1" s="1"/>
  <c r="X803" i="1"/>
  <c r="S803" i="1"/>
  <c r="R803" i="1"/>
  <c r="P803" i="1"/>
  <c r="AP802" i="1"/>
  <c r="AG802" i="1" a="1"/>
  <c r="AG802" i="1" s="1"/>
  <c r="AD802" i="1" a="1"/>
  <c r="AD802" i="1" s="1"/>
  <c r="AC802" i="1"/>
  <c r="X802" i="1"/>
  <c r="S802" i="1"/>
  <c r="R802" i="1"/>
  <c r="P802" i="1"/>
  <c r="AP801" i="1"/>
  <c r="AG801" i="1" a="1"/>
  <c r="AG801" i="1" s="1"/>
  <c r="AD801" i="1" a="1"/>
  <c r="AD801" i="1" s="1"/>
  <c r="AC801" i="1"/>
  <c r="AI801" i="1" s="1"/>
  <c r="X801" i="1"/>
  <c r="S801" i="1"/>
  <c r="R801" i="1"/>
  <c r="P801" i="1"/>
  <c r="AP800" i="1"/>
  <c r="AG800" i="1" a="1"/>
  <c r="AG800" i="1" s="1"/>
  <c r="AD800" i="1" a="1"/>
  <c r="AD800" i="1" s="1"/>
  <c r="AC800" i="1"/>
  <c r="AI800" i="1" s="1"/>
  <c r="X800" i="1"/>
  <c r="S800" i="1"/>
  <c r="R800" i="1"/>
  <c r="P800" i="1"/>
  <c r="AP799" i="1"/>
  <c r="AG799" i="1" a="1"/>
  <c r="AG799" i="1" s="1"/>
  <c r="AD799" i="1" a="1"/>
  <c r="AD799" i="1" s="1"/>
  <c r="AC799" i="1"/>
  <c r="AI799" i="1" s="1"/>
  <c r="X799" i="1"/>
  <c r="S799" i="1"/>
  <c r="R799" i="1"/>
  <c r="P799" i="1"/>
  <c r="AP798" i="1"/>
  <c r="AG798" i="1" a="1"/>
  <c r="AG798" i="1" s="1"/>
  <c r="AD798" i="1" a="1"/>
  <c r="AD798" i="1" s="1"/>
  <c r="AC798" i="1"/>
  <c r="AI798" i="1" s="1"/>
  <c r="X798" i="1"/>
  <c r="S798" i="1"/>
  <c r="R798" i="1"/>
  <c r="P798" i="1"/>
  <c r="AP797" i="1"/>
  <c r="AG797" i="1" a="1"/>
  <c r="AG797" i="1" s="1"/>
  <c r="AD797" i="1" a="1"/>
  <c r="AD797" i="1" s="1"/>
  <c r="AC797" i="1"/>
  <c r="AI797" i="1" s="1"/>
  <c r="X797" i="1"/>
  <c r="S797" i="1"/>
  <c r="R797" i="1"/>
  <c r="P797" i="1"/>
  <c r="AP796" i="1"/>
  <c r="AG796" i="1" a="1"/>
  <c r="AG796" i="1" s="1"/>
  <c r="AD796" i="1" a="1"/>
  <c r="AD796" i="1" s="1"/>
  <c r="X796" i="1"/>
  <c r="S796" i="1"/>
  <c r="R796" i="1"/>
  <c r="AP795" i="1"/>
  <c r="AD795" i="1" a="1"/>
  <c r="AD795" i="1" s="1"/>
  <c r="AC795" i="1"/>
  <c r="X795" i="1"/>
  <c r="S795" i="1"/>
  <c r="R795" i="1"/>
  <c r="AP794" i="1"/>
  <c r="AG794" i="1" a="1"/>
  <c r="AG794" i="1" s="1"/>
  <c r="AD794" i="1" a="1"/>
  <c r="AD794" i="1" s="1"/>
  <c r="AC794" i="1"/>
  <c r="AI794" i="1" s="1"/>
  <c r="X794" i="1"/>
  <c r="S794" i="1"/>
  <c r="R794" i="1"/>
  <c r="P794" i="1"/>
  <c r="AP793" i="1"/>
  <c r="AG793" i="1" a="1"/>
  <c r="AG793" i="1" s="1"/>
  <c r="AD793" i="1" a="1"/>
  <c r="AD793" i="1" s="1"/>
  <c r="AC793" i="1"/>
  <c r="AI793" i="1" s="1"/>
  <c r="X793" i="1"/>
  <c r="S793" i="1"/>
  <c r="R793" i="1"/>
  <c r="P793" i="1"/>
  <c r="AP792" i="1"/>
  <c r="AG792" i="1" a="1"/>
  <c r="AG792" i="1" s="1"/>
  <c r="AD792" i="1" a="1"/>
  <c r="AD792" i="1" s="1"/>
  <c r="AC792" i="1"/>
  <c r="AI792" i="1" s="1"/>
  <c r="X792" i="1"/>
  <c r="S792" i="1"/>
  <c r="R792" i="1"/>
  <c r="P792" i="1"/>
  <c r="AP791" i="1"/>
  <c r="AG791" i="1" a="1"/>
  <c r="AG791" i="1" s="1"/>
  <c r="AD791" i="1" a="1"/>
  <c r="AD791" i="1" s="1"/>
  <c r="AC791" i="1"/>
  <c r="X791" i="1"/>
  <c r="S791" i="1"/>
  <c r="R791" i="1"/>
  <c r="P791" i="1"/>
  <c r="AP790" i="1"/>
  <c r="AG790" i="1" a="1"/>
  <c r="AG790" i="1" s="1"/>
  <c r="AD790" i="1" a="1"/>
  <c r="AD790" i="1" s="1"/>
  <c r="AC790" i="1"/>
  <c r="AI790" i="1" s="1"/>
  <c r="X790" i="1"/>
  <c r="S790" i="1"/>
  <c r="R790" i="1"/>
  <c r="P790" i="1"/>
  <c r="AP789" i="1"/>
  <c r="AG789" i="1" a="1"/>
  <c r="AG789" i="1" s="1"/>
  <c r="AD789" i="1" a="1"/>
  <c r="AD789" i="1" s="1"/>
  <c r="AC789" i="1"/>
  <c r="AI789" i="1" s="1"/>
  <c r="X789" i="1"/>
  <c r="S789" i="1"/>
  <c r="R789" i="1"/>
  <c r="P789" i="1"/>
  <c r="AP788" i="1"/>
  <c r="AG788" i="1" a="1"/>
  <c r="AG788" i="1" s="1"/>
  <c r="AD788" i="1" a="1"/>
  <c r="AD788" i="1" s="1"/>
  <c r="AC788" i="1"/>
  <c r="X788" i="1"/>
  <c r="S788" i="1"/>
  <c r="R788" i="1"/>
  <c r="P788" i="1"/>
  <c r="AP787" i="1"/>
  <c r="AG787" i="1" a="1"/>
  <c r="AG787" i="1" s="1"/>
  <c r="AD787" i="1" a="1"/>
  <c r="AD787" i="1" s="1"/>
  <c r="AC787" i="1"/>
  <c r="AI787" i="1" s="1"/>
  <c r="X787" i="1"/>
  <c r="S787" i="1"/>
  <c r="R787" i="1"/>
  <c r="P787" i="1"/>
  <c r="AP786" i="1"/>
  <c r="AG786" i="1" a="1"/>
  <c r="AG786" i="1" s="1"/>
  <c r="AD786" i="1" a="1"/>
  <c r="AD786" i="1" s="1"/>
  <c r="AC786" i="1"/>
  <c r="X786" i="1"/>
  <c r="S786" i="1"/>
  <c r="R786" i="1"/>
  <c r="P786" i="1"/>
  <c r="AP785" i="1"/>
  <c r="AG785" i="1" a="1"/>
  <c r="AG785" i="1" s="1"/>
  <c r="AD785" i="1" a="1"/>
  <c r="AD785" i="1" s="1"/>
  <c r="AC785" i="1"/>
  <c r="AI785" i="1" s="1"/>
  <c r="X785" i="1"/>
  <c r="S785" i="1"/>
  <c r="R785" i="1"/>
  <c r="P785" i="1"/>
  <c r="AP784" i="1"/>
  <c r="AG784" i="1" a="1"/>
  <c r="AG784" i="1" s="1"/>
  <c r="AD784" i="1" a="1"/>
  <c r="AD784" i="1" s="1"/>
  <c r="AC784" i="1"/>
  <c r="X784" i="1"/>
  <c r="S784" i="1"/>
  <c r="R784" i="1"/>
  <c r="P784" i="1"/>
  <c r="AP783" i="1"/>
  <c r="AG783" i="1" a="1"/>
  <c r="AG783" i="1" s="1"/>
  <c r="AD783" i="1" a="1"/>
  <c r="AD783" i="1" s="1"/>
  <c r="AC783" i="1"/>
  <c r="AI783" i="1" s="1"/>
  <c r="X783" i="1"/>
  <c r="S783" i="1"/>
  <c r="R783" i="1"/>
  <c r="P783" i="1"/>
  <c r="AP782" i="1"/>
  <c r="AG782" i="1" a="1"/>
  <c r="AG782" i="1" s="1"/>
  <c r="AD782" i="1" a="1"/>
  <c r="AD782" i="1" s="1"/>
  <c r="AC782" i="1"/>
  <c r="AI782" i="1" s="1"/>
  <c r="X782" i="1"/>
  <c r="S782" i="1"/>
  <c r="R782" i="1"/>
  <c r="P782" i="1"/>
  <c r="AP781" i="1"/>
  <c r="AG781" i="1" a="1"/>
  <c r="AG781" i="1" s="1"/>
  <c r="AD781" i="1" a="1"/>
  <c r="AD781" i="1" s="1"/>
  <c r="AC781" i="1"/>
  <c r="AI781" i="1" s="1"/>
  <c r="X781" i="1"/>
  <c r="S781" i="1"/>
  <c r="R781" i="1"/>
  <c r="P781" i="1"/>
  <c r="AP780" i="1"/>
  <c r="AG780" i="1" a="1"/>
  <c r="AG780" i="1" s="1"/>
  <c r="AD780" i="1" a="1"/>
  <c r="AD780" i="1" s="1"/>
  <c r="AC780" i="1"/>
  <c r="AI780" i="1" s="1"/>
  <c r="X780" i="1"/>
  <c r="S780" i="1"/>
  <c r="R780" i="1"/>
  <c r="P780" i="1"/>
  <c r="AP779" i="1"/>
  <c r="AG779" i="1" a="1"/>
  <c r="AG779" i="1" s="1"/>
  <c r="AD779" i="1" a="1"/>
  <c r="AD779" i="1" s="1"/>
  <c r="AC779" i="1"/>
  <c r="X779" i="1"/>
  <c r="S779" i="1"/>
  <c r="R779" i="1"/>
  <c r="P779" i="1"/>
  <c r="AP778" i="1"/>
  <c r="AG778" i="1" a="1"/>
  <c r="AG778" i="1" s="1"/>
  <c r="AD778" i="1" a="1"/>
  <c r="AD778" i="1" s="1"/>
  <c r="AC778" i="1"/>
  <c r="AI778" i="1" s="1"/>
  <c r="X778" i="1"/>
  <c r="S778" i="1"/>
  <c r="R778" i="1"/>
  <c r="P778" i="1"/>
  <c r="AP777" i="1"/>
  <c r="AG777" i="1" a="1"/>
  <c r="AG777" i="1" s="1"/>
  <c r="AD777" i="1" a="1"/>
  <c r="AD777" i="1" s="1"/>
  <c r="AC777" i="1"/>
  <c r="AI777" i="1" s="1"/>
  <c r="X777" i="1"/>
  <c r="S777" i="1"/>
  <c r="R777" i="1"/>
  <c r="P777" i="1"/>
  <c r="AP776" i="1"/>
  <c r="AG776" i="1" a="1"/>
  <c r="AG776" i="1" s="1"/>
  <c r="AD776" i="1" a="1"/>
  <c r="AD776" i="1" s="1"/>
  <c r="AC776" i="1"/>
  <c r="AI776" i="1" s="1"/>
  <c r="X776" i="1"/>
  <c r="S776" i="1"/>
  <c r="R776" i="1"/>
  <c r="P776" i="1"/>
  <c r="AP775" i="1"/>
  <c r="AG775" i="1" a="1"/>
  <c r="AG775" i="1" s="1"/>
  <c r="AD775" i="1" a="1"/>
  <c r="AD775" i="1" s="1"/>
  <c r="AC775" i="1"/>
  <c r="AI775" i="1" s="1"/>
  <c r="X775" i="1"/>
  <c r="S775" i="1"/>
  <c r="R775" i="1"/>
  <c r="P775" i="1"/>
  <c r="AP774" i="1"/>
  <c r="AG774" i="1" a="1"/>
  <c r="AG774" i="1" s="1"/>
  <c r="AD774" i="1" a="1"/>
  <c r="AD774" i="1" s="1"/>
  <c r="AC774" i="1"/>
  <c r="X774" i="1"/>
  <c r="S774" i="1"/>
  <c r="R774" i="1"/>
  <c r="P774" i="1"/>
  <c r="AP773" i="1"/>
  <c r="AG773" i="1" a="1"/>
  <c r="AG773" i="1" s="1"/>
  <c r="AD773" i="1" a="1"/>
  <c r="AD773" i="1" s="1"/>
  <c r="AC773" i="1"/>
  <c r="AI773" i="1" s="1"/>
  <c r="X773" i="1"/>
  <c r="S773" i="1"/>
  <c r="R773" i="1"/>
  <c r="P773" i="1"/>
  <c r="AP772" i="1"/>
  <c r="AG772" i="1" a="1"/>
  <c r="AG772" i="1" s="1"/>
  <c r="AD772" i="1" a="1"/>
  <c r="AD772" i="1" s="1"/>
  <c r="AC772" i="1"/>
  <c r="X772" i="1"/>
  <c r="S772" i="1"/>
  <c r="R772" i="1"/>
  <c r="P772" i="1"/>
  <c r="AP771" i="1"/>
  <c r="AG771" i="1" a="1"/>
  <c r="AG771" i="1" s="1"/>
  <c r="AD771" i="1" a="1"/>
  <c r="AD771" i="1" s="1"/>
  <c r="AC771" i="1"/>
  <c r="AI771" i="1" s="1"/>
  <c r="X771" i="1"/>
  <c r="S771" i="1"/>
  <c r="R771" i="1"/>
  <c r="P771" i="1"/>
  <c r="AP770" i="1"/>
  <c r="AG770" i="1" a="1"/>
  <c r="AG770" i="1" s="1"/>
  <c r="AD770" i="1" a="1"/>
  <c r="AD770" i="1" s="1"/>
  <c r="AC770" i="1"/>
  <c r="X770" i="1"/>
  <c r="S770" i="1"/>
  <c r="R770" i="1"/>
  <c r="P770" i="1"/>
  <c r="AP769" i="1"/>
  <c r="AG769" i="1" a="1"/>
  <c r="AG769" i="1" s="1"/>
  <c r="AD769" i="1" a="1"/>
  <c r="AD769" i="1" s="1"/>
  <c r="AC769" i="1"/>
  <c r="AI769" i="1" s="1"/>
  <c r="X769" i="1"/>
  <c r="S769" i="1"/>
  <c r="R769" i="1"/>
  <c r="P769" i="1"/>
  <c r="AP768" i="1"/>
  <c r="AG768" i="1" a="1"/>
  <c r="AG768" i="1" s="1"/>
  <c r="AD768" i="1" a="1"/>
  <c r="AD768" i="1" s="1"/>
  <c r="AC768" i="1"/>
  <c r="AI768" i="1" s="1"/>
  <c r="X768" i="1"/>
  <c r="S768" i="1"/>
  <c r="R768" i="1"/>
  <c r="P768" i="1"/>
  <c r="AC751" i="1"/>
  <c r="AI751" i="1" s="1"/>
  <c r="AF766" i="1"/>
  <c r="AF764" i="1"/>
  <c r="AF762" i="1"/>
  <c r="AC762" i="1"/>
  <c r="AG758" i="1" a="1"/>
  <c r="AG758" i="1" s="1"/>
  <c r="AG759" i="1" a="1"/>
  <c r="AG759" i="1" s="1"/>
  <c r="AG760" i="1" a="1"/>
  <c r="AG760" i="1" s="1"/>
  <c r="AG761" i="1" a="1"/>
  <c r="AG761" i="1" s="1"/>
  <c r="AG762" i="1" a="1"/>
  <c r="AG762" i="1" s="1"/>
  <c r="AG763" i="1" a="1"/>
  <c r="AG763" i="1" s="1"/>
  <c r="AG764" i="1" a="1"/>
  <c r="AG764" i="1" s="1"/>
  <c r="AG765" i="1" a="1"/>
  <c r="AG765" i="1" s="1"/>
  <c r="AG766" i="1" a="1"/>
  <c r="AG766" i="1" s="1"/>
  <c r="AG767" i="1" a="1"/>
  <c r="AG767" i="1" s="1"/>
  <c r="AF758" i="1"/>
  <c r="AF759" i="1"/>
  <c r="AF760" i="1"/>
  <c r="AF761" i="1"/>
  <c r="AF763" i="1"/>
  <c r="AF765" i="1"/>
  <c r="AF767" i="1"/>
  <c r="AC764" i="1"/>
  <c r="AC766" i="1"/>
  <c r="X761" i="1"/>
  <c r="X762" i="1"/>
  <c r="X763" i="1"/>
  <c r="X764" i="1"/>
  <c r="X765" i="1"/>
  <c r="X766" i="1"/>
  <c r="X767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R756" i="1"/>
  <c r="S756" i="1"/>
  <c r="R757" i="1"/>
  <c r="S757" i="1"/>
  <c r="R758" i="1"/>
  <c r="S758" i="1"/>
  <c r="R759" i="1"/>
  <c r="S759" i="1"/>
  <c r="R760" i="1"/>
  <c r="S760" i="1"/>
  <c r="R761" i="1"/>
  <c r="S761" i="1"/>
  <c r="R762" i="1"/>
  <c r="S762" i="1"/>
  <c r="R763" i="1"/>
  <c r="S763" i="1"/>
  <c r="R764" i="1"/>
  <c r="S764" i="1"/>
  <c r="R765" i="1"/>
  <c r="S765" i="1"/>
  <c r="R766" i="1"/>
  <c r="S766" i="1"/>
  <c r="R767" i="1"/>
  <c r="S767" i="1"/>
  <c r="AC756" i="1"/>
  <c r="AI756" i="1" s="1"/>
  <c r="AC757" i="1"/>
  <c r="AI757" i="1" s="1"/>
  <c r="AC758" i="1"/>
  <c r="AC759" i="1"/>
  <c r="AI759" i="1" s="1"/>
  <c r="AC760" i="1"/>
  <c r="AC761" i="1"/>
  <c r="AI761" i="1" s="1"/>
  <c r="AC763" i="1"/>
  <c r="AC765" i="1"/>
  <c r="AC767" i="1"/>
  <c r="AP761" i="1"/>
  <c r="AD761" i="1" a="1"/>
  <c r="AD761" i="1" s="1"/>
  <c r="AP760" i="1"/>
  <c r="AD760" i="1" a="1"/>
  <c r="AD760" i="1" s="1"/>
  <c r="X760" i="1"/>
  <c r="AP759" i="1"/>
  <c r="AD759" i="1" a="1"/>
  <c r="AD759" i="1" s="1"/>
  <c r="X759" i="1"/>
  <c r="AP758" i="1"/>
  <c r="AD758" i="1" a="1"/>
  <c r="AD758" i="1" s="1"/>
  <c r="X758" i="1"/>
  <c r="AP754" i="1"/>
  <c r="AP745" i="1"/>
  <c r="AP757" i="1"/>
  <c r="AG757" i="1" a="1"/>
  <c r="AG757" i="1" s="1"/>
  <c r="AF757" i="1"/>
  <c r="AD757" i="1" a="1"/>
  <c r="AD757" i="1" s="1"/>
  <c r="X757" i="1"/>
  <c r="AP756" i="1"/>
  <c r="AG756" i="1" a="1"/>
  <c r="AG756" i="1" s="1"/>
  <c r="AF756" i="1"/>
  <c r="AD756" i="1" a="1"/>
  <c r="AD756" i="1" s="1"/>
  <c r="X756" i="1"/>
  <c r="AP755" i="1"/>
  <c r="AG755" i="1" a="1"/>
  <c r="AG755" i="1" s="1"/>
  <c r="AF755" i="1"/>
  <c r="AD755" i="1" a="1"/>
  <c r="AD755" i="1" s="1"/>
  <c r="AC755" i="1"/>
  <c r="AI755" i="1" s="1"/>
  <c r="X755" i="1"/>
  <c r="S755" i="1"/>
  <c r="R755" i="1"/>
  <c r="AG754" i="1" a="1"/>
  <c r="AG754" i="1" s="1"/>
  <c r="AF754" i="1"/>
  <c r="AD754" i="1" a="1"/>
  <c r="AD754" i="1" s="1"/>
  <c r="AC754" i="1"/>
  <c r="AI754" i="1" s="1"/>
  <c r="X754" i="1"/>
  <c r="S754" i="1"/>
  <c r="R754" i="1"/>
  <c r="P754" i="1"/>
  <c r="AP753" i="1"/>
  <c r="AG753" i="1" a="1"/>
  <c r="AG753" i="1" s="1"/>
  <c r="AF753" i="1"/>
  <c r="AD753" i="1" a="1"/>
  <c r="AD753" i="1" s="1"/>
  <c r="AC753" i="1"/>
  <c r="AI753" i="1" s="1"/>
  <c r="X753" i="1"/>
  <c r="S753" i="1"/>
  <c r="R753" i="1"/>
  <c r="P753" i="1"/>
  <c r="AP752" i="1"/>
  <c r="AG752" i="1" a="1"/>
  <c r="AG752" i="1" s="1"/>
  <c r="AF752" i="1"/>
  <c r="AD752" i="1" a="1"/>
  <c r="AD752" i="1" s="1"/>
  <c r="AC752" i="1"/>
  <c r="AI752" i="1" s="1"/>
  <c r="X752" i="1"/>
  <c r="S752" i="1"/>
  <c r="R752" i="1"/>
  <c r="P752" i="1"/>
  <c r="AP751" i="1"/>
  <c r="AG751" i="1" a="1"/>
  <c r="AG751" i="1" s="1"/>
  <c r="AF751" i="1"/>
  <c r="AD751" i="1" a="1"/>
  <c r="AD751" i="1" s="1"/>
  <c r="X751" i="1"/>
  <c r="S751" i="1"/>
  <c r="R751" i="1"/>
  <c r="P751" i="1"/>
  <c r="AP750" i="1"/>
  <c r="AG750" i="1" a="1"/>
  <c r="AG750" i="1" s="1"/>
  <c r="AF750" i="1"/>
  <c r="AD750" i="1" a="1"/>
  <c r="AD750" i="1" s="1"/>
  <c r="AC750" i="1"/>
  <c r="AI750" i="1" s="1"/>
  <c r="X750" i="1"/>
  <c r="S750" i="1"/>
  <c r="R750" i="1"/>
  <c r="P750" i="1"/>
  <c r="AP749" i="1"/>
  <c r="AG749" i="1" a="1"/>
  <c r="AG749" i="1" s="1"/>
  <c r="AF749" i="1"/>
  <c r="AD749" i="1" a="1"/>
  <c r="AD749" i="1" s="1"/>
  <c r="AC749" i="1"/>
  <c r="AI749" i="1" s="1"/>
  <c r="X749" i="1"/>
  <c r="S749" i="1"/>
  <c r="R749" i="1"/>
  <c r="P749" i="1"/>
  <c r="AP748" i="1"/>
  <c r="AG748" i="1" a="1"/>
  <c r="AG748" i="1" s="1"/>
  <c r="AF748" i="1"/>
  <c r="AD748" i="1" a="1"/>
  <c r="AD748" i="1" s="1"/>
  <c r="AC748" i="1"/>
  <c r="AI748" i="1" s="1"/>
  <c r="X748" i="1"/>
  <c r="S748" i="1"/>
  <c r="R748" i="1"/>
  <c r="P748" i="1"/>
  <c r="AG745" i="1" a="1"/>
  <c r="AG745" i="1" s="1"/>
  <c r="AF745" i="1"/>
  <c r="AD745" i="1" a="1"/>
  <c r="AD745" i="1" s="1"/>
  <c r="AC745" i="1"/>
  <c r="AI745" i="1" s="1"/>
  <c r="X745" i="1"/>
  <c r="S745" i="1"/>
  <c r="R745" i="1"/>
  <c r="P745" i="1"/>
  <c r="AP743" i="1"/>
  <c r="AG743" i="1" a="1"/>
  <c r="AG743" i="1" s="1"/>
  <c r="AF743" i="1"/>
  <c r="AD743" i="1" a="1"/>
  <c r="AD743" i="1" s="1"/>
  <c r="AC743" i="1"/>
  <c r="AI743" i="1" s="1"/>
  <c r="X743" i="1"/>
  <c r="S743" i="1"/>
  <c r="R743" i="1"/>
  <c r="P743" i="1"/>
  <c r="AP741" i="1"/>
  <c r="AG741" i="1" a="1"/>
  <c r="AG741" i="1" s="1"/>
  <c r="AF741" i="1"/>
  <c r="AD741" i="1" a="1"/>
  <c r="AD741" i="1" s="1"/>
  <c r="AC741" i="1"/>
  <c r="AI741" i="1" s="1"/>
  <c r="X741" i="1"/>
  <c r="S741" i="1"/>
  <c r="R741" i="1"/>
  <c r="P741" i="1"/>
  <c r="AP746" i="1"/>
  <c r="AG746" i="1" a="1"/>
  <c r="AG746" i="1" s="1"/>
  <c r="AF746" i="1"/>
  <c r="AD746" i="1" a="1"/>
  <c r="AD746" i="1" s="1"/>
  <c r="AC746" i="1"/>
  <c r="X746" i="1"/>
  <c r="S746" i="1"/>
  <c r="R746" i="1"/>
  <c r="P746" i="1"/>
  <c r="AP744" i="1"/>
  <c r="AG744" i="1" a="1"/>
  <c r="AG744" i="1" s="1"/>
  <c r="AF744" i="1"/>
  <c r="AD744" i="1" a="1"/>
  <c r="AD744" i="1" s="1"/>
  <c r="AC744" i="1"/>
  <c r="X744" i="1"/>
  <c r="S744" i="1"/>
  <c r="R744" i="1"/>
  <c r="P744" i="1"/>
  <c r="AP742" i="1"/>
  <c r="AG742" i="1" a="1"/>
  <c r="AG742" i="1" s="1"/>
  <c r="AF742" i="1"/>
  <c r="AD742" i="1" a="1"/>
  <c r="AD742" i="1" s="1"/>
  <c r="AC742" i="1"/>
  <c r="X742" i="1"/>
  <c r="S742" i="1"/>
  <c r="R742" i="1"/>
  <c r="P742" i="1"/>
  <c r="AP740" i="1"/>
  <c r="AG740" i="1" a="1"/>
  <c r="AG740" i="1" s="1"/>
  <c r="AF740" i="1"/>
  <c r="AD740" i="1" a="1"/>
  <c r="AD740" i="1" s="1"/>
  <c r="AC740" i="1"/>
  <c r="X740" i="1"/>
  <c r="S740" i="1"/>
  <c r="R740" i="1"/>
  <c r="P740" i="1"/>
  <c r="AP747" i="1"/>
  <c r="AG747" i="1" a="1"/>
  <c r="AG747" i="1" s="1"/>
  <c r="AF747" i="1"/>
  <c r="AD747" i="1" a="1"/>
  <c r="AD747" i="1" s="1"/>
  <c r="AC747" i="1"/>
  <c r="AI747" i="1" s="1"/>
  <c r="X747" i="1"/>
  <c r="S747" i="1"/>
  <c r="R747" i="1"/>
  <c r="P747" i="1"/>
  <c r="AG739" i="1" a="1"/>
  <c r="AG739" i="1" s="1"/>
  <c r="AF739" i="1"/>
  <c r="AD739" i="1" a="1"/>
  <c r="AD739" i="1" s="1"/>
  <c r="AC739" i="1"/>
  <c r="AI739" i="1" s="1"/>
  <c r="S739" i="1"/>
  <c r="R739" i="1"/>
  <c r="P739" i="1"/>
  <c r="Y739" i="1" s="1"/>
  <c r="AA739" i="1" s="1"/>
  <c r="AG738" i="1" a="1"/>
  <c r="AG738" i="1" s="1"/>
  <c r="AF738" i="1"/>
  <c r="AD738" i="1" a="1"/>
  <c r="AD738" i="1" s="1"/>
  <c r="AC738" i="1"/>
  <c r="AI738" i="1" s="1"/>
  <c r="S738" i="1"/>
  <c r="R738" i="1"/>
  <c r="P738" i="1"/>
  <c r="Y738" i="1" s="1"/>
  <c r="AA738" i="1" s="1"/>
  <c r="AG737" i="1" a="1"/>
  <c r="AG737" i="1" s="1"/>
  <c r="AF737" i="1"/>
  <c r="AD737" i="1" a="1"/>
  <c r="AD737" i="1" s="1"/>
  <c r="AC737" i="1"/>
  <c r="AI737" i="1" s="1"/>
  <c r="S737" i="1"/>
  <c r="R737" i="1"/>
  <c r="P737" i="1"/>
  <c r="AG736" i="1" a="1"/>
  <c r="AG736" i="1" s="1"/>
  <c r="AF736" i="1"/>
  <c r="AD736" i="1" a="1"/>
  <c r="AD736" i="1" s="1"/>
  <c r="AC736" i="1"/>
  <c r="AI736" i="1" s="1"/>
  <c r="S736" i="1"/>
  <c r="R736" i="1"/>
  <c r="P736" i="1"/>
  <c r="AG735" i="1" a="1"/>
  <c r="AG735" i="1" s="1"/>
  <c r="AF735" i="1"/>
  <c r="AD735" i="1" a="1"/>
  <c r="AD735" i="1" s="1"/>
  <c r="AC735" i="1"/>
  <c r="AI735" i="1" s="1"/>
  <c r="S735" i="1"/>
  <c r="R735" i="1"/>
  <c r="P735" i="1"/>
  <c r="Y735" i="1" s="1"/>
  <c r="AA735" i="1" s="1"/>
  <c r="AG734" i="1" a="1"/>
  <c r="AG734" i="1" s="1"/>
  <c r="AF734" i="1"/>
  <c r="AD734" i="1" a="1"/>
  <c r="AD734" i="1" s="1"/>
  <c r="AC734" i="1"/>
  <c r="AI734" i="1" s="1"/>
  <c r="S734" i="1"/>
  <c r="R734" i="1"/>
  <c r="P734" i="1"/>
  <c r="AG733" i="1" a="1"/>
  <c r="AG733" i="1" s="1"/>
  <c r="AF733" i="1"/>
  <c r="AD733" i="1" a="1"/>
  <c r="AD733" i="1" s="1"/>
  <c r="AC733" i="1"/>
  <c r="AI733" i="1" s="1"/>
  <c r="S733" i="1"/>
  <c r="R733" i="1"/>
  <c r="P733" i="1"/>
  <c r="Y733" i="1" s="1"/>
  <c r="AG732" i="1" a="1"/>
  <c r="AG732" i="1" s="1"/>
  <c r="AF732" i="1"/>
  <c r="AD732" i="1" a="1"/>
  <c r="AD732" i="1" s="1"/>
  <c r="AC732" i="1"/>
  <c r="AI732" i="1" s="1"/>
  <c r="S732" i="1"/>
  <c r="R732" i="1"/>
  <c r="P732" i="1"/>
  <c r="Y732" i="1" s="1"/>
  <c r="AG731" i="1" a="1"/>
  <c r="AG731" i="1" s="1"/>
  <c r="AF731" i="1"/>
  <c r="AD731" i="1" a="1"/>
  <c r="AD731" i="1" s="1"/>
  <c r="AC731" i="1"/>
  <c r="AI731" i="1" s="1"/>
  <c r="S731" i="1"/>
  <c r="R731" i="1"/>
  <c r="P731" i="1"/>
  <c r="AG730" i="1" a="1"/>
  <c r="AG730" i="1" s="1"/>
  <c r="AG729" i="1" a="1"/>
  <c r="AG729" i="1" s="1"/>
  <c r="AG728" i="1" a="1"/>
  <c r="AG728" i="1" s="1"/>
  <c r="AG727" i="1" a="1"/>
  <c r="AG727" i="1" s="1"/>
  <c r="AG726" i="1" a="1"/>
  <c r="AG726" i="1" s="1"/>
  <c r="AG725" i="1" a="1"/>
  <c r="AG725" i="1" s="1"/>
  <c r="AG724" i="1" a="1"/>
  <c r="AG724" i="1" s="1"/>
  <c r="AG723" i="1" a="1"/>
  <c r="AG723" i="1" s="1"/>
  <c r="AG722" i="1" a="1"/>
  <c r="AG722" i="1" s="1"/>
  <c r="AG721" i="1" a="1"/>
  <c r="AG721" i="1" s="1"/>
  <c r="AF730" i="1"/>
  <c r="AF729" i="1"/>
  <c r="AF728" i="1"/>
  <c r="AF727" i="1"/>
  <c r="AF726" i="1"/>
  <c r="AF725" i="1"/>
  <c r="AF724" i="1"/>
  <c r="AF723" i="1"/>
  <c r="AF722" i="1"/>
  <c r="AF721" i="1"/>
  <c r="AD730" i="1" a="1"/>
  <c r="AD730" i="1" s="1"/>
  <c r="AD729" i="1" a="1"/>
  <c r="AD729" i="1" s="1"/>
  <c r="AD728" i="1" a="1"/>
  <c r="AD728" i="1" s="1"/>
  <c r="AD727" i="1" a="1"/>
  <c r="AD727" i="1" s="1"/>
  <c r="AD726" i="1" a="1"/>
  <c r="AD726" i="1" s="1"/>
  <c r="AD725" i="1" a="1"/>
  <c r="AD725" i="1" s="1"/>
  <c r="AD724" i="1" a="1"/>
  <c r="AD724" i="1" s="1"/>
  <c r="AD723" i="1" a="1"/>
  <c r="AD723" i="1" s="1"/>
  <c r="AD722" i="1" a="1"/>
  <c r="AD722" i="1" s="1"/>
  <c r="AD721" i="1" a="1"/>
  <c r="AD721" i="1" s="1"/>
  <c r="AC730" i="1"/>
  <c r="AI730" i="1" s="1"/>
  <c r="AC729" i="1"/>
  <c r="AI729" i="1" s="1"/>
  <c r="AC728" i="1"/>
  <c r="AI728" i="1" s="1"/>
  <c r="AC727" i="1"/>
  <c r="AI727" i="1" s="1"/>
  <c r="AC726" i="1"/>
  <c r="AI726" i="1" s="1"/>
  <c r="AC725" i="1"/>
  <c r="AC724" i="1"/>
  <c r="AC723" i="1"/>
  <c r="AI723" i="1" s="1"/>
  <c r="AC722" i="1"/>
  <c r="AI722" i="1" s="1"/>
  <c r="AC721" i="1"/>
  <c r="AI721" i="1" s="1"/>
  <c r="S730" i="1"/>
  <c r="R730" i="1"/>
  <c r="S729" i="1"/>
  <c r="R729" i="1"/>
  <c r="S728" i="1"/>
  <c r="R728" i="1"/>
  <c r="S727" i="1"/>
  <c r="R727" i="1"/>
  <c r="S726" i="1"/>
  <c r="R726" i="1"/>
  <c r="S725" i="1"/>
  <c r="R725" i="1"/>
  <c r="S724" i="1"/>
  <c r="R724" i="1"/>
  <c r="S723" i="1"/>
  <c r="R723" i="1"/>
  <c r="S722" i="1"/>
  <c r="R722" i="1"/>
  <c r="S721" i="1"/>
  <c r="R721" i="1"/>
  <c r="P730" i="1"/>
  <c r="Y730" i="1" s="1"/>
  <c r="AA730" i="1" s="1"/>
  <c r="P729" i="1"/>
  <c r="Y729" i="1" s="1"/>
  <c r="AA729" i="1" s="1"/>
  <c r="P728" i="1"/>
  <c r="Y728" i="1" s="1"/>
  <c r="P727" i="1"/>
  <c r="Y727" i="1" s="1"/>
  <c r="AA727" i="1" s="1"/>
  <c r="P726" i="1"/>
  <c r="P725" i="1"/>
  <c r="Y725" i="1" s="1"/>
  <c r="P724" i="1"/>
  <c r="Y724" i="1" s="1"/>
  <c r="AA724" i="1" s="1"/>
  <c r="P723" i="1"/>
  <c r="Y723" i="1" s="1"/>
  <c r="P722" i="1"/>
  <c r="Y722" i="1" s="1"/>
  <c r="P721" i="1"/>
  <c r="P959" i="1"/>
  <c r="R959" i="1"/>
  <c r="S959" i="1"/>
  <c r="P960" i="1"/>
  <c r="R960" i="1"/>
  <c r="S960" i="1"/>
  <c r="AF959" i="1"/>
  <c r="AG959" i="1" a="1"/>
  <c r="AG959" i="1" s="1"/>
  <c r="AF960" i="1"/>
  <c r="AG960" i="1" a="1"/>
  <c r="AG960" i="1" s="1"/>
  <c r="BT960" i="1"/>
  <c r="AP960" i="1"/>
  <c r="AD960" i="1" a="1"/>
  <c r="AD960" i="1" s="1"/>
  <c r="AC960" i="1"/>
  <c r="AI960" i="1" s="1"/>
  <c r="X960" i="1"/>
  <c r="BT959" i="1"/>
  <c r="AP959" i="1"/>
  <c r="X959" i="1"/>
  <c r="AD959" i="1" a="1"/>
  <c r="AD959" i="1" s="1"/>
  <c r="BT958" i="1"/>
  <c r="AP958" i="1"/>
  <c r="AG958" i="1" a="1"/>
  <c r="AG958" i="1" s="1"/>
  <c r="AF958" i="1"/>
  <c r="AD958" i="1" a="1"/>
  <c r="AD958" i="1" s="1"/>
  <c r="AC958" i="1"/>
  <c r="AI958" i="1" s="1"/>
  <c r="X958" i="1"/>
  <c r="S958" i="1"/>
  <c r="R958" i="1"/>
  <c r="P958" i="1"/>
  <c r="N957" i="1"/>
  <c r="AD957" i="1" s="1" a="1"/>
  <c r="AD957" i="1" s="1"/>
  <c r="BT957" i="1"/>
  <c r="AP957" i="1"/>
  <c r="X957" i="1"/>
  <c r="BT956" i="1"/>
  <c r="AP956" i="1"/>
  <c r="AG956" i="1" a="1"/>
  <c r="AG956" i="1" s="1"/>
  <c r="AF956" i="1"/>
  <c r="AD956" i="1" a="1"/>
  <c r="AD956" i="1" s="1"/>
  <c r="AC956" i="1"/>
  <c r="AI956" i="1" s="1"/>
  <c r="X956" i="1"/>
  <c r="S956" i="1"/>
  <c r="R956" i="1"/>
  <c r="P956" i="1"/>
  <c r="BT955" i="1"/>
  <c r="AP955" i="1"/>
  <c r="AG955" i="1" a="1"/>
  <c r="AG955" i="1" s="1"/>
  <c r="AF955" i="1"/>
  <c r="AD955" i="1" a="1"/>
  <c r="AD955" i="1" s="1"/>
  <c r="AC955" i="1"/>
  <c r="AI955" i="1" s="1"/>
  <c r="X955" i="1"/>
  <c r="S955" i="1"/>
  <c r="R955" i="1"/>
  <c r="P955" i="1"/>
  <c r="BT954" i="1"/>
  <c r="AP954" i="1"/>
  <c r="AG954" i="1" a="1"/>
  <c r="AG954" i="1" s="1"/>
  <c r="AF954" i="1"/>
  <c r="AD954" i="1" a="1"/>
  <c r="AD954" i="1" s="1"/>
  <c r="AC954" i="1"/>
  <c r="AI954" i="1" s="1"/>
  <c r="X954" i="1"/>
  <c r="S954" i="1"/>
  <c r="R954" i="1"/>
  <c r="P954" i="1"/>
  <c r="BT953" i="1"/>
  <c r="AP953" i="1"/>
  <c r="AG953" i="1" a="1"/>
  <c r="AG953" i="1" s="1"/>
  <c r="AF953" i="1"/>
  <c r="AD953" i="1" a="1"/>
  <c r="AD953" i="1" s="1"/>
  <c r="AC953" i="1"/>
  <c r="AI953" i="1" s="1"/>
  <c r="X953" i="1"/>
  <c r="S953" i="1"/>
  <c r="R953" i="1"/>
  <c r="P953" i="1"/>
  <c r="BT952" i="1"/>
  <c r="AP952" i="1"/>
  <c r="AG952" i="1" a="1"/>
  <c r="AG952" i="1" s="1"/>
  <c r="AF952" i="1"/>
  <c r="AD952" i="1" a="1"/>
  <c r="AD952" i="1" s="1"/>
  <c r="AC952" i="1"/>
  <c r="AI952" i="1" s="1"/>
  <c r="X952" i="1"/>
  <c r="S952" i="1"/>
  <c r="R952" i="1"/>
  <c r="P952" i="1"/>
  <c r="BT951" i="1"/>
  <c r="AP951" i="1"/>
  <c r="AG951" i="1" a="1"/>
  <c r="AG951" i="1" s="1"/>
  <c r="AF951" i="1"/>
  <c r="AD951" i="1" a="1"/>
  <c r="AD951" i="1" s="1"/>
  <c r="AC951" i="1"/>
  <c r="AI951" i="1" s="1"/>
  <c r="X951" i="1"/>
  <c r="S951" i="1"/>
  <c r="R951" i="1"/>
  <c r="P951" i="1"/>
  <c r="BT950" i="1"/>
  <c r="AP950" i="1"/>
  <c r="AG950" i="1" a="1"/>
  <c r="AG950" i="1" s="1"/>
  <c r="AF950" i="1"/>
  <c r="AD950" i="1" a="1"/>
  <c r="AD950" i="1" s="1"/>
  <c r="AC950" i="1"/>
  <c r="AI950" i="1" s="1"/>
  <c r="X950" i="1"/>
  <c r="S950" i="1"/>
  <c r="R950" i="1"/>
  <c r="P950" i="1"/>
  <c r="BT949" i="1"/>
  <c r="AP949" i="1"/>
  <c r="AG949" i="1" a="1"/>
  <c r="AG949" i="1" s="1"/>
  <c r="AF949" i="1"/>
  <c r="AD949" i="1" a="1"/>
  <c r="AD949" i="1" s="1"/>
  <c r="AC949" i="1"/>
  <c r="AI949" i="1" s="1"/>
  <c r="X949" i="1"/>
  <c r="S949" i="1"/>
  <c r="R949" i="1"/>
  <c r="P949" i="1"/>
  <c r="BT948" i="1"/>
  <c r="AP948" i="1"/>
  <c r="AG948" i="1" a="1"/>
  <c r="AG948" i="1" s="1"/>
  <c r="AF948" i="1"/>
  <c r="AD948" i="1" a="1"/>
  <c r="AD948" i="1" s="1"/>
  <c r="AC948" i="1"/>
  <c r="AI948" i="1" s="1"/>
  <c r="X948" i="1"/>
  <c r="S948" i="1"/>
  <c r="R948" i="1"/>
  <c r="P948" i="1"/>
  <c r="BT947" i="1"/>
  <c r="AP947" i="1"/>
  <c r="AG947" i="1" a="1"/>
  <c r="AG947" i="1" s="1"/>
  <c r="AF947" i="1"/>
  <c r="AD947" i="1" a="1"/>
  <c r="AD947" i="1" s="1"/>
  <c r="AC947" i="1"/>
  <c r="X947" i="1"/>
  <c r="S947" i="1"/>
  <c r="R947" i="1"/>
  <c r="P947" i="1"/>
  <c r="BT946" i="1"/>
  <c r="AP946" i="1"/>
  <c r="AG946" i="1" a="1"/>
  <c r="AG946" i="1" s="1"/>
  <c r="AF946" i="1"/>
  <c r="AD946" i="1" a="1"/>
  <c r="AD946" i="1" s="1"/>
  <c r="AC946" i="1"/>
  <c r="AI946" i="1" s="1"/>
  <c r="X946" i="1"/>
  <c r="S946" i="1"/>
  <c r="R946" i="1"/>
  <c r="P946" i="1"/>
  <c r="BT945" i="1"/>
  <c r="AP945" i="1"/>
  <c r="AG945" i="1" a="1"/>
  <c r="AG945" i="1" s="1"/>
  <c r="AF945" i="1"/>
  <c r="AD945" i="1" a="1"/>
  <c r="AD945" i="1" s="1"/>
  <c r="AC945" i="1"/>
  <c r="AI945" i="1" s="1"/>
  <c r="X945" i="1"/>
  <c r="S945" i="1"/>
  <c r="R945" i="1"/>
  <c r="P945" i="1"/>
  <c r="BT944" i="1"/>
  <c r="AP944" i="1"/>
  <c r="AG944" i="1" a="1"/>
  <c r="AG944" i="1" s="1"/>
  <c r="AF944" i="1"/>
  <c r="AD944" i="1" a="1"/>
  <c r="AD944" i="1" s="1"/>
  <c r="AC944" i="1"/>
  <c r="AI944" i="1" s="1"/>
  <c r="X944" i="1"/>
  <c r="S944" i="1"/>
  <c r="R944" i="1"/>
  <c r="P944" i="1"/>
  <c r="BT943" i="1"/>
  <c r="AP943" i="1"/>
  <c r="AG943" i="1" a="1"/>
  <c r="AG943" i="1" s="1"/>
  <c r="AF943" i="1"/>
  <c r="AD943" i="1" a="1"/>
  <c r="AD943" i="1" s="1"/>
  <c r="AC943" i="1"/>
  <c r="AI943" i="1" s="1"/>
  <c r="X943" i="1"/>
  <c r="S943" i="1"/>
  <c r="R943" i="1"/>
  <c r="P943" i="1"/>
  <c r="BT942" i="1"/>
  <c r="AP942" i="1"/>
  <c r="AG942" i="1" a="1"/>
  <c r="AG942" i="1" s="1"/>
  <c r="AF942" i="1"/>
  <c r="AD942" i="1" a="1"/>
  <c r="AD942" i="1" s="1"/>
  <c r="AC942" i="1"/>
  <c r="AI942" i="1" s="1"/>
  <c r="X942" i="1"/>
  <c r="S942" i="1"/>
  <c r="R942" i="1"/>
  <c r="P942" i="1"/>
  <c r="BT941" i="1"/>
  <c r="AP941" i="1"/>
  <c r="AG941" i="1" a="1"/>
  <c r="AG941" i="1" s="1"/>
  <c r="AF941" i="1"/>
  <c r="AD941" i="1" a="1"/>
  <c r="AD941" i="1" s="1"/>
  <c r="AC941" i="1"/>
  <c r="AI941" i="1" s="1"/>
  <c r="X941" i="1"/>
  <c r="S941" i="1"/>
  <c r="R941" i="1"/>
  <c r="P941" i="1"/>
  <c r="N938" i="1"/>
  <c r="AC938" i="1" s="1"/>
  <c r="AI938" i="1" s="1"/>
  <c r="BT938" i="1"/>
  <c r="AP938" i="1"/>
  <c r="X938" i="1"/>
  <c r="BT940" i="1"/>
  <c r="AP940" i="1"/>
  <c r="AG940" i="1" a="1"/>
  <c r="AG940" i="1" s="1"/>
  <c r="AF940" i="1"/>
  <c r="AD940" i="1" a="1"/>
  <c r="AD940" i="1" s="1"/>
  <c r="AC940" i="1"/>
  <c r="X940" i="1"/>
  <c r="S940" i="1"/>
  <c r="R940" i="1"/>
  <c r="P940" i="1"/>
  <c r="BT939" i="1"/>
  <c r="AP939" i="1"/>
  <c r="AG939" i="1" a="1"/>
  <c r="AG939" i="1" s="1"/>
  <c r="AF939" i="1"/>
  <c r="AD939" i="1" a="1"/>
  <c r="AD939" i="1" s="1"/>
  <c r="AC939" i="1"/>
  <c r="AI939" i="1" s="1"/>
  <c r="X939" i="1"/>
  <c r="S939" i="1"/>
  <c r="R939" i="1"/>
  <c r="P939" i="1"/>
  <c r="BT937" i="1"/>
  <c r="AP937" i="1"/>
  <c r="AG937" i="1" a="1"/>
  <c r="AG937" i="1" s="1"/>
  <c r="AF937" i="1"/>
  <c r="AD937" i="1" a="1"/>
  <c r="AD937" i="1" s="1"/>
  <c r="AC937" i="1"/>
  <c r="X937" i="1"/>
  <c r="S937" i="1"/>
  <c r="R937" i="1"/>
  <c r="P937" i="1"/>
  <c r="BT936" i="1"/>
  <c r="AP936" i="1"/>
  <c r="AG936" i="1" a="1"/>
  <c r="AG936" i="1" s="1"/>
  <c r="AF936" i="1"/>
  <c r="AD936" i="1" a="1"/>
  <c r="AD936" i="1" s="1"/>
  <c r="AC936" i="1"/>
  <c r="AI936" i="1" s="1"/>
  <c r="X936" i="1"/>
  <c r="S936" i="1"/>
  <c r="R936" i="1"/>
  <c r="P936" i="1"/>
  <c r="BT935" i="1"/>
  <c r="AP935" i="1"/>
  <c r="AG935" i="1" a="1"/>
  <c r="AG935" i="1" s="1"/>
  <c r="AF935" i="1"/>
  <c r="AD935" i="1" a="1"/>
  <c r="AD935" i="1" s="1"/>
  <c r="AC935" i="1"/>
  <c r="AI935" i="1" s="1"/>
  <c r="X935" i="1"/>
  <c r="S935" i="1"/>
  <c r="R935" i="1"/>
  <c r="P935" i="1"/>
  <c r="BT934" i="1"/>
  <c r="AP934" i="1"/>
  <c r="AG934" i="1" a="1"/>
  <c r="AG934" i="1" s="1"/>
  <c r="AF934" i="1"/>
  <c r="AD934" i="1" a="1"/>
  <c r="AD934" i="1" s="1"/>
  <c r="AC934" i="1"/>
  <c r="X934" i="1"/>
  <c r="S934" i="1"/>
  <c r="R934" i="1"/>
  <c r="P934" i="1"/>
  <c r="BT933" i="1"/>
  <c r="AP933" i="1"/>
  <c r="AG933" i="1" a="1"/>
  <c r="AG933" i="1" s="1"/>
  <c r="AF933" i="1"/>
  <c r="AD933" i="1" a="1"/>
  <c r="AD933" i="1" s="1"/>
  <c r="AC933" i="1"/>
  <c r="AI933" i="1" s="1"/>
  <c r="X933" i="1"/>
  <c r="S933" i="1"/>
  <c r="R933" i="1"/>
  <c r="P933" i="1"/>
  <c r="BT932" i="1"/>
  <c r="AP932" i="1"/>
  <c r="AG932" i="1" a="1"/>
  <c r="AG932" i="1" s="1"/>
  <c r="AF932" i="1"/>
  <c r="AD932" i="1" a="1"/>
  <c r="AD932" i="1" s="1"/>
  <c r="AC932" i="1"/>
  <c r="AI932" i="1" s="1"/>
  <c r="X932" i="1"/>
  <c r="S932" i="1"/>
  <c r="R932" i="1"/>
  <c r="P932" i="1"/>
  <c r="BT931" i="1"/>
  <c r="AP931" i="1"/>
  <c r="AG931" i="1" a="1"/>
  <c r="AG931" i="1" s="1"/>
  <c r="AF931" i="1"/>
  <c r="AD931" i="1" a="1"/>
  <c r="AD931" i="1" s="1"/>
  <c r="AC931" i="1"/>
  <c r="AI931" i="1" s="1"/>
  <c r="X931" i="1"/>
  <c r="S931" i="1"/>
  <c r="R931" i="1"/>
  <c r="P931" i="1"/>
  <c r="BT930" i="1"/>
  <c r="AP930" i="1"/>
  <c r="AG930" i="1" a="1"/>
  <c r="AG930" i="1" s="1"/>
  <c r="AF930" i="1"/>
  <c r="AD930" i="1" a="1"/>
  <c r="AD930" i="1" s="1"/>
  <c r="AC930" i="1"/>
  <c r="AI930" i="1" s="1"/>
  <c r="X930" i="1"/>
  <c r="S930" i="1"/>
  <c r="R930" i="1"/>
  <c r="P930" i="1"/>
  <c r="BT929" i="1"/>
  <c r="AP929" i="1"/>
  <c r="AG929" i="1" a="1"/>
  <c r="AG929" i="1" s="1"/>
  <c r="AF929" i="1"/>
  <c r="AD929" i="1" a="1"/>
  <c r="AD929" i="1" s="1"/>
  <c r="AC929" i="1"/>
  <c r="AI929" i="1" s="1"/>
  <c r="X929" i="1"/>
  <c r="S929" i="1"/>
  <c r="R929" i="1"/>
  <c r="P929" i="1"/>
  <c r="BT928" i="1"/>
  <c r="AP928" i="1"/>
  <c r="AG928" i="1" a="1"/>
  <c r="AG928" i="1" s="1"/>
  <c r="AF928" i="1"/>
  <c r="AD928" i="1" a="1"/>
  <c r="AD928" i="1" s="1"/>
  <c r="AC928" i="1"/>
  <c r="AI928" i="1" s="1"/>
  <c r="X928" i="1"/>
  <c r="S928" i="1"/>
  <c r="R928" i="1"/>
  <c r="P928" i="1"/>
  <c r="BT927" i="1"/>
  <c r="AP927" i="1"/>
  <c r="AG927" i="1" a="1"/>
  <c r="AG927" i="1" s="1"/>
  <c r="AF927" i="1"/>
  <c r="AD927" i="1" a="1"/>
  <c r="AD927" i="1" s="1"/>
  <c r="AC927" i="1"/>
  <c r="X927" i="1"/>
  <c r="S927" i="1"/>
  <c r="R927" i="1"/>
  <c r="P927" i="1"/>
  <c r="BT926" i="1"/>
  <c r="AP926" i="1"/>
  <c r="AG926" i="1" a="1"/>
  <c r="AG926" i="1" s="1"/>
  <c r="AF926" i="1"/>
  <c r="AD926" i="1" a="1"/>
  <c r="AD926" i="1" s="1"/>
  <c r="AC926" i="1"/>
  <c r="AI926" i="1" s="1"/>
  <c r="X926" i="1"/>
  <c r="S926" i="1"/>
  <c r="R926" i="1"/>
  <c r="P926" i="1"/>
  <c r="BT925" i="1"/>
  <c r="AP925" i="1"/>
  <c r="AG925" i="1" a="1"/>
  <c r="AG925" i="1" s="1"/>
  <c r="AF925" i="1"/>
  <c r="AD925" i="1" a="1"/>
  <c r="AD925" i="1" s="1"/>
  <c r="AC925" i="1"/>
  <c r="AI925" i="1" s="1"/>
  <c r="X925" i="1"/>
  <c r="S925" i="1"/>
  <c r="R925" i="1"/>
  <c r="P925" i="1"/>
  <c r="BT924" i="1"/>
  <c r="AP924" i="1"/>
  <c r="AG924" i="1" a="1"/>
  <c r="AG924" i="1" s="1"/>
  <c r="AF924" i="1"/>
  <c r="AD924" i="1" a="1"/>
  <c r="AD924" i="1" s="1"/>
  <c r="AC924" i="1"/>
  <c r="AI924" i="1" s="1"/>
  <c r="X924" i="1"/>
  <c r="S924" i="1"/>
  <c r="R924" i="1"/>
  <c r="P924" i="1"/>
  <c r="BT923" i="1"/>
  <c r="AP923" i="1"/>
  <c r="AG923" i="1" a="1"/>
  <c r="AG923" i="1" s="1"/>
  <c r="AF923" i="1"/>
  <c r="AD923" i="1" a="1"/>
  <c r="AD923" i="1" s="1"/>
  <c r="AC923" i="1"/>
  <c r="AI923" i="1" s="1"/>
  <c r="X923" i="1"/>
  <c r="S923" i="1"/>
  <c r="R923" i="1"/>
  <c r="P923" i="1"/>
  <c r="BT922" i="1"/>
  <c r="AP922" i="1"/>
  <c r="AG922" i="1" a="1"/>
  <c r="AG922" i="1" s="1"/>
  <c r="AF922" i="1"/>
  <c r="AD922" i="1" a="1"/>
  <c r="AD922" i="1" s="1"/>
  <c r="AC922" i="1"/>
  <c r="AI922" i="1" s="1"/>
  <c r="X922" i="1"/>
  <c r="S922" i="1"/>
  <c r="R922" i="1"/>
  <c r="P922" i="1"/>
  <c r="BT921" i="1"/>
  <c r="AP921" i="1"/>
  <c r="AG921" i="1" a="1"/>
  <c r="AG921" i="1" s="1"/>
  <c r="AF921" i="1"/>
  <c r="AD921" i="1" a="1"/>
  <c r="AD921" i="1" s="1"/>
  <c r="AC921" i="1"/>
  <c r="X921" i="1"/>
  <c r="S921" i="1"/>
  <c r="R921" i="1"/>
  <c r="P921" i="1"/>
  <c r="BT920" i="1"/>
  <c r="AP920" i="1"/>
  <c r="AG920" i="1" a="1"/>
  <c r="AG920" i="1" s="1"/>
  <c r="AF920" i="1"/>
  <c r="AD920" i="1" a="1"/>
  <c r="AD920" i="1" s="1"/>
  <c r="AC920" i="1"/>
  <c r="AI920" i="1" s="1"/>
  <c r="X920" i="1"/>
  <c r="S920" i="1"/>
  <c r="R920" i="1"/>
  <c r="P920" i="1"/>
  <c r="BT919" i="1"/>
  <c r="AP919" i="1"/>
  <c r="AG919" i="1" a="1"/>
  <c r="AG919" i="1" s="1"/>
  <c r="AF919" i="1"/>
  <c r="AD919" i="1" a="1"/>
  <c r="AD919" i="1" s="1"/>
  <c r="AC919" i="1"/>
  <c r="X919" i="1"/>
  <c r="S919" i="1"/>
  <c r="R919" i="1"/>
  <c r="P919" i="1"/>
  <c r="AF917" i="1"/>
  <c r="AG917" i="1" a="1"/>
  <c r="AG917" i="1" s="1"/>
  <c r="AF918" i="1"/>
  <c r="AG918" i="1" a="1"/>
  <c r="AG918" i="1" s="1"/>
  <c r="AC917" i="1"/>
  <c r="AI917" i="1" s="1"/>
  <c r="AD917" i="1" a="1"/>
  <c r="AD917" i="1" s="1"/>
  <c r="AC918" i="1"/>
  <c r="AI918" i="1" s="1"/>
  <c r="AD918" i="1" a="1"/>
  <c r="AD918" i="1" s="1"/>
  <c r="R917" i="1"/>
  <c r="S917" i="1"/>
  <c r="R918" i="1"/>
  <c r="S918" i="1"/>
  <c r="P917" i="1"/>
  <c r="P918" i="1"/>
  <c r="BT918" i="1"/>
  <c r="AP918" i="1"/>
  <c r="X918" i="1"/>
  <c r="BT917" i="1"/>
  <c r="AP917" i="1"/>
  <c r="X917" i="1"/>
  <c r="BT916" i="1"/>
  <c r="AP916" i="1"/>
  <c r="AG916" i="1" a="1"/>
  <c r="AG916" i="1" s="1"/>
  <c r="AF916" i="1"/>
  <c r="AD916" i="1" a="1"/>
  <c r="AD916" i="1" s="1"/>
  <c r="AC916" i="1"/>
  <c r="AI916" i="1" s="1"/>
  <c r="X916" i="1"/>
  <c r="S916" i="1"/>
  <c r="R916" i="1"/>
  <c r="P916" i="1"/>
  <c r="BT915" i="1"/>
  <c r="AP915" i="1"/>
  <c r="AG915" i="1" a="1"/>
  <c r="AG915" i="1" s="1"/>
  <c r="AF915" i="1"/>
  <c r="AD915" i="1" a="1"/>
  <c r="AD915" i="1" s="1"/>
  <c r="AC915" i="1"/>
  <c r="AI915" i="1" s="1"/>
  <c r="X915" i="1"/>
  <c r="S915" i="1"/>
  <c r="R915" i="1"/>
  <c r="P915" i="1"/>
  <c r="BT914" i="1"/>
  <c r="AP914" i="1"/>
  <c r="AG914" i="1" a="1"/>
  <c r="AG914" i="1" s="1"/>
  <c r="AF914" i="1"/>
  <c r="AD914" i="1" a="1"/>
  <c r="AD914" i="1" s="1"/>
  <c r="AC914" i="1"/>
  <c r="AI914" i="1" s="1"/>
  <c r="X914" i="1"/>
  <c r="S914" i="1"/>
  <c r="R914" i="1"/>
  <c r="P914" i="1"/>
  <c r="BT913" i="1"/>
  <c r="AP913" i="1"/>
  <c r="AG913" i="1" a="1"/>
  <c r="AG913" i="1" s="1"/>
  <c r="AF913" i="1"/>
  <c r="AD913" i="1" a="1"/>
  <c r="AD913" i="1" s="1"/>
  <c r="AC913" i="1"/>
  <c r="AI913" i="1" s="1"/>
  <c r="X913" i="1"/>
  <c r="S913" i="1"/>
  <c r="R913" i="1"/>
  <c r="P913" i="1"/>
  <c r="BT912" i="1"/>
  <c r="AP912" i="1"/>
  <c r="AG912" i="1" a="1"/>
  <c r="AG912" i="1" s="1"/>
  <c r="AF912" i="1"/>
  <c r="AD912" i="1" a="1"/>
  <c r="AD912" i="1" s="1"/>
  <c r="AC912" i="1"/>
  <c r="AI912" i="1" s="1"/>
  <c r="X912" i="1"/>
  <c r="S912" i="1"/>
  <c r="R912" i="1"/>
  <c r="P912" i="1"/>
  <c r="BT911" i="1"/>
  <c r="AP911" i="1"/>
  <c r="AG911" i="1" a="1"/>
  <c r="AG911" i="1" s="1"/>
  <c r="AF911" i="1"/>
  <c r="AD911" i="1" a="1"/>
  <c r="AD911" i="1" s="1"/>
  <c r="AC911" i="1"/>
  <c r="AI911" i="1" s="1"/>
  <c r="X911" i="1"/>
  <c r="S911" i="1"/>
  <c r="R911" i="1"/>
  <c r="P911" i="1"/>
  <c r="BT910" i="1"/>
  <c r="AP910" i="1"/>
  <c r="AG910" i="1" a="1"/>
  <c r="AG910" i="1" s="1"/>
  <c r="AF910" i="1"/>
  <c r="AD910" i="1" a="1"/>
  <c r="AD910" i="1" s="1"/>
  <c r="AC910" i="1"/>
  <c r="AI910" i="1" s="1"/>
  <c r="X910" i="1"/>
  <c r="S910" i="1"/>
  <c r="R910" i="1"/>
  <c r="P910" i="1"/>
  <c r="BT909" i="1"/>
  <c r="AP909" i="1"/>
  <c r="AG909" i="1" a="1"/>
  <c r="AG909" i="1" s="1"/>
  <c r="AF909" i="1"/>
  <c r="AD909" i="1" a="1"/>
  <c r="AD909" i="1" s="1"/>
  <c r="AC909" i="1"/>
  <c r="X909" i="1"/>
  <c r="S909" i="1"/>
  <c r="R909" i="1"/>
  <c r="P909" i="1"/>
  <c r="BT908" i="1"/>
  <c r="AP908" i="1"/>
  <c r="AG908" i="1" a="1"/>
  <c r="AG908" i="1" s="1"/>
  <c r="AF908" i="1"/>
  <c r="AD908" i="1" a="1"/>
  <c r="AD908" i="1" s="1"/>
  <c r="AC908" i="1"/>
  <c r="AI908" i="1" s="1"/>
  <c r="X908" i="1"/>
  <c r="S908" i="1"/>
  <c r="R908" i="1"/>
  <c r="P908" i="1"/>
  <c r="BT907" i="1"/>
  <c r="AP907" i="1"/>
  <c r="AG907" i="1" a="1"/>
  <c r="AG907" i="1" s="1"/>
  <c r="AF907" i="1"/>
  <c r="AD907" i="1" a="1"/>
  <c r="AD907" i="1" s="1"/>
  <c r="AC907" i="1"/>
  <c r="AI907" i="1" s="1"/>
  <c r="X907" i="1"/>
  <c r="S907" i="1"/>
  <c r="R907" i="1"/>
  <c r="P907" i="1"/>
  <c r="BT906" i="1"/>
  <c r="AP906" i="1"/>
  <c r="AG906" i="1" a="1"/>
  <c r="AG906" i="1" s="1"/>
  <c r="AF906" i="1"/>
  <c r="AD906" i="1" a="1"/>
  <c r="AD906" i="1" s="1"/>
  <c r="AC906" i="1"/>
  <c r="X906" i="1"/>
  <c r="S906" i="1"/>
  <c r="R906" i="1"/>
  <c r="P906" i="1"/>
  <c r="BT905" i="1"/>
  <c r="AP905" i="1"/>
  <c r="AG905" i="1" a="1"/>
  <c r="AG905" i="1" s="1"/>
  <c r="AF905" i="1"/>
  <c r="AD905" i="1" a="1"/>
  <c r="AD905" i="1" s="1"/>
  <c r="AC905" i="1"/>
  <c r="X905" i="1"/>
  <c r="S905" i="1"/>
  <c r="R905" i="1"/>
  <c r="P905" i="1"/>
  <c r="BT904" i="1"/>
  <c r="AP904" i="1"/>
  <c r="AG904" i="1" a="1"/>
  <c r="AG904" i="1" s="1"/>
  <c r="AF904" i="1"/>
  <c r="AD904" i="1" a="1"/>
  <c r="AD904" i="1" s="1"/>
  <c r="AC904" i="1"/>
  <c r="AI904" i="1" s="1"/>
  <c r="X904" i="1"/>
  <c r="S904" i="1"/>
  <c r="R904" i="1"/>
  <c r="P904" i="1"/>
  <c r="BT903" i="1"/>
  <c r="AP903" i="1"/>
  <c r="AG903" i="1" a="1"/>
  <c r="AG903" i="1" s="1"/>
  <c r="AF903" i="1"/>
  <c r="AD903" i="1" a="1"/>
  <c r="AD903" i="1" s="1"/>
  <c r="AC903" i="1"/>
  <c r="X903" i="1"/>
  <c r="S903" i="1"/>
  <c r="R903" i="1"/>
  <c r="P903" i="1"/>
  <c r="BT902" i="1"/>
  <c r="AP902" i="1"/>
  <c r="AG902" i="1" a="1"/>
  <c r="AG902" i="1" s="1"/>
  <c r="AF902" i="1"/>
  <c r="AD902" i="1" a="1"/>
  <c r="AD902" i="1" s="1"/>
  <c r="AC902" i="1"/>
  <c r="AI902" i="1" s="1"/>
  <c r="X902" i="1"/>
  <c r="S902" i="1"/>
  <c r="R902" i="1"/>
  <c r="P902" i="1"/>
  <c r="BT901" i="1"/>
  <c r="AP901" i="1"/>
  <c r="AG901" i="1" a="1"/>
  <c r="AG901" i="1" s="1"/>
  <c r="AF901" i="1"/>
  <c r="AD901" i="1" a="1"/>
  <c r="AD901" i="1" s="1"/>
  <c r="AC901" i="1"/>
  <c r="AI901" i="1" s="1"/>
  <c r="X901" i="1"/>
  <c r="S901" i="1"/>
  <c r="R901" i="1"/>
  <c r="P901" i="1"/>
  <c r="BT900" i="1"/>
  <c r="AP900" i="1"/>
  <c r="AG900" i="1" a="1"/>
  <c r="AG900" i="1" s="1"/>
  <c r="AF900" i="1"/>
  <c r="AD900" i="1" a="1"/>
  <c r="AD900" i="1" s="1"/>
  <c r="AC900" i="1"/>
  <c r="AI900" i="1" s="1"/>
  <c r="X900" i="1"/>
  <c r="S900" i="1"/>
  <c r="R900" i="1"/>
  <c r="P900" i="1"/>
  <c r="BT899" i="1"/>
  <c r="AP899" i="1"/>
  <c r="AG899" i="1" a="1"/>
  <c r="AG899" i="1" s="1"/>
  <c r="AF899" i="1"/>
  <c r="AD899" i="1" a="1"/>
  <c r="AD899" i="1" s="1"/>
  <c r="AC899" i="1"/>
  <c r="AI899" i="1" s="1"/>
  <c r="X899" i="1"/>
  <c r="S899" i="1"/>
  <c r="R899" i="1"/>
  <c r="P899" i="1"/>
  <c r="BT898" i="1"/>
  <c r="AP898" i="1"/>
  <c r="AG898" i="1" a="1"/>
  <c r="AG898" i="1" s="1"/>
  <c r="AF898" i="1"/>
  <c r="AD898" i="1" a="1"/>
  <c r="AD898" i="1" s="1"/>
  <c r="AC898" i="1"/>
  <c r="X898" i="1"/>
  <c r="S898" i="1"/>
  <c r="R898" i="1"/>
  <c r="P898" i="1"/>
  <c r="AF894" i="1"/>
  <c r="AF893" i="1"/>
  <c r="AF892" i="1"/>
  <c r="AF891" i="1"/>
  <c r="AF890" i="1"/>
  <c r="AF889" i="1"/>
  <c r="AF888" i="1"/>
  <c r="AF887" i="1"/>
  <c r="AF886" i="1"/>
  <c r="AF885" i="1"/>
  <c r="AF884" i="1"/>
  <c r="AF883" i="1"/>
  <c r="AF882" i="1"/>
  <c r="BT894" i="1"/>
  <c r="AP894" i="1"/>
  <c r="AG894" i="1" a="1"/>
  <c r="AG894" i="1" s="1"/>
  <c r="AD894" i="1" a="1"/>
  <c r="AD894" i="1" s="1"/>
  <c r="AC894" i="1"/>
  <c r="AI894" i="1" s="1"/>
  <c r="X894" i="1"/>
  <c r="S894" i="1"/>
  <c r="R894" i="1"/>
  <c r="P894" i="1"/>
  <c r="BT893" i="1"/>
  <c r="AP893" i="1"/>
  <c r="AG893" i="1" a="1"/>
  <c r="AG893" i="1" s="1"/>
  <c r="AD893" i="1" a="1"/>
  <c r="AD893" i="1" s="1"/>
  <c r="AC893" i="1"/>
  <c r="AI893" i="1" s="1"/>
  <c r="X893" i="1"/>
  <c r="S893" i="1"/>
  <c r="R893" i="1"/>
  <c r="P893" i="1"/>
  <c r="BT892" i="1"/>
  <c r="AP892" i="1"/>
  <c r="AG892" i="1" a="1"/>
  <c r="AG892" i="1" s="1"/>
  <c r="AD892" i="1" a="1"/>
  <c r="AD892" i="1" s="1"/>
  <c r="AC892" i="1"/>
  <c r="AI892" i="1" s="1"/>
  <c r="X892" i="1"/>
  <c r="S892" i="1"/>
  <c r="R892" i="1"/>
  <c r="P892" i="1"/>
  <c r="BT891" i="1"/>
  <c r="AP891" i="1"/>
  <c r="AG891" i="1" a="1"/>
  <c r="AG891" i="1" s="1"/>
  <c r="AD891" i="1" a="1"/>
  <c r="AD891" i="1" s="1"/>
  <c r="AC891" i="1"/>
  <c r="AI891" i="1" s="1"/>
  <c r="X891" i="1"/>
  <c r="S891" i="1"/>
  <c r="R891" i="1"/>
  <c r="P891" i="1"/>
  <c r="BT890" i="1"/>
  <c r="AP890" i="1"/>
  <c r="AG890" i="1" a="1"/>
  <c r="AG890" i="1" s="1"/>
  <c r="AD890" i="1" a="1"/>
  <c r="AD890" i="1" s="1"/>
  <c r="AC890" i="1"/>
  <c r="AI890" i="1" s="1"/>
  <c r="X890" i="1"/>
  <c r="S890" i="1"/>
  <c r="R890" i="1"/>
  <c r="P890" i="1"/>
  <c r="BT889" i="1"/>
  <c r="AP889" i="1"/>
  <c r="AG889" i="1" a="1"/>
  <c r="AG889" i="1" s="1"/>
  <c r="AD889" i="1" a="1"/>
  <c r="AD889" i="1" s="1"/>
  <c r="AC889" i="1"/>
  <c r="AI889" i="1" s="1"/>
  <c r="X889" i="1"/>
  <c r="S889" i="1"/>
  <c r="R889" i="1"/>
  <c r="P889" i="1"/>
  <c r="BT888" i="1"/>
  <c r="AP888" i="1"/>
  <c r="AG888" i="1" a="1"/>
  <c r="AG888" i="1" s="1"/>
  <c r="AD888" i="1" a="1"/>
  <c r="AD888" i="1" s="1"/>
  <c r="AC888" i="1"/>
  <c r="AI888" i="1" s="1"/>
  <c r="X888" i="1"/>
  <c r="S888" i="1"/>
  <c r="R888" i="1"/>
  <c r="P888" i="1"/>
  <c r="BT887" i="1"/>
  <c r="AP887" i="1"/>
  <c r="AG887" i="1" a="1"/>
  <c r="AG887" i="1" s="1"/>
  <c r="AD887" i="1" a="1"/>
  <c r="AD887" i="1" s="1"/>
  <c r="AC887" i="1"/>
  <c r="X887" i="1"/>
  <c r="S887" i="1"/>
  <c r="R887" i="1"/>
  <c r="P887" i="1"/>
  <c r="BT886" i="1"/>
  <c r="AP886" i="1"/>
  <c r="AG886" i="1" a="1"/>
  <c r="AG886" i="1" s="1"/>
  <c r="AD886" i="1" a="1"/>
  <c r="AD886" i="1" s="1"/>
  <c r="AC886" i="1"/>
  <c r="AI886" i="1" s="1"/>
  <c r="X886" i="1"/>
  <c r="S886" i="1"/>
  <c r="R886" i="1"/>
  <c r="P886" i="1"/>
  <c r="BT885" i="1"/>
  <c r="AP885" i="1"/>
  <c r="AG885" i="1" a="1"/>
  <c r="AG885" i="1" s="1"/>
  <c r="AD885" i="1" a="1"/>
  <c r="AD885" i="1" s="1"/>
  <c r="AC885" i="1"/>
  <c r="X885" i="1"/>
  <c r="S885" i="1"/>
  <c r="R885" i="1"/>
  <c r="P885" i="1"/>
  <c r="BT884" i="1"/>
  <c r="AP884" i="1"/>
  <c r="AG884" i="1" a="1"/>
  <c r="AG884" i="1" s="1"/>
  <c r="AD884" i="1" a="1"/>
  <c r="AD884" i="1" s="1"/>
  <c r="AC884" i="1"/>
  <c r="AI884" i="1" s="1"/>
  <c r="X884" i="1"/>
  <c r="S884" i="1"/>
  <c r="R884" i="1"/>
  <c r="P884" i="1"/>
  <c r="AC883" i="1"/>
  <c r="AI883" i="1" s="1"/>
  <c r="AC882" i="1"/>
  <c r="AI882" i="1" s="1"/>
  <c r="AG883" i="1" a="1"/>
  <c r="AG883" i="1" s="1"/>
  <c r="AD883" i="1" a="1"/>
  <c r="AD883" i="1" s="1"/>
  <c r="X883" i="1"/>
  <c r="S883" i="1"/>
  <c r="R883" i="1"/>
  <c r="P883" i="1"/>
  <c r="AG882" i="1" a="1"/>
  <c r="AG882" i="1" s="1"/>
  <c r="AD882" i="1" a="1"/>
  <c r="AD882" i="1" s="1"/>
  <c r="X882" i="1"/>
  <c r="S882" i="1"/>
  <c r="R882" i="1"/>
  <c r="P882" i="1"/>
  <c r="BT883" i="1"/>
  <c r="AP883" i="1"/>
  <c r="AP882" i="1"/>
  <c r="N818" i="1"/>
  <c r="AD818" i="1" s="1" a="1"/>
  <c r="AD818" i="1" s="1"/>
  <c r="N874" i="1"/>
  <c r="AD874" i="1" s="1" a="1"/>
  <c r="AD874" i="1" s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18" i="1"/>
  <c r="AC18" i="1"/>
  <c r="AC22" i="1"/>
  <c r="BT882" i="1"/>
  <c r="N880" i="1"/>
  <c r="AC880" i="1" s="1"/>
  <c r="N879" i="1"/>
  <c r="AC879" i="1" s="1"/>
  <c r="AI879" i="1" s="1"/>
  <c r="N881" i="1"/>
  <c r="AD881" i="1" s="1" a="1"/>
  <c r="AD881" i="1" s="1"/>
  <c r="N878" i="1"/>
  <c r="AC878" i="1" s="1"/>
  <c r="AI878" i="1" s="1"/>
  <c r="N877" i="1"/>
  <c r="AD877" i="1" s="1" a="1"/>
  <c r="AD877" i="1" s="1"/>
  <c r="N876" i="1"/>
  <c r="AD876" i="1" s="1" a="1"/>
  <c r="AD876" i="1" s="1"/>
  <c r="N875" i="1"/>
  <c r="AC875" i="1" s="1"/>
  <c r="AI875" i="1" s="1"/>
  <c r="N873" i="1"/>
  <c r="AC873" i="1" s="1"/>
  <c r="N872" i="1"/>
  <c r="AC872" i="1" s="1"/>
  <c r="N871" i="1"/>
  <c r="AD871" i="1" s="1" a="1"/>
  <c r="AD871" i="1" s="1"/>
  <c r="N870" i="1"/>
  <c r="AD870" i="1" s="1" a="1"/>
  <c r="AD870" i="1" s="1"/>
  <c r="N869" i="1"/>
  <c r="S869" i="1" s="1"/>
  <c r="N868" i="1"/>
  <c r="AD868" i="1" s="1" a="1"/>
  <c r="AD868" i="1" s="1"/>
  <c r="N867" i="1"/>
  <c r="AD867" i="1" s="1" a="1"/>
  <c r="AD867" i="1" s="1"/>
  <c r="N866" i="1"/>
  <c r="AC866" i="1" s="1"/>
  <c r="AI866" i="1" s="1"/>
  <c r="N865" i="1"/>
  <c r="AD865" i="1" s="1" a="1"/>
  <c r="AD865" i="1" s="1"/>
  <c r="N864" i="1"/>
  <c r="AD864" i="1" s="1" a="1"/>
  <c r="AD864" i="1" s="1"/>
  <c r="N862" i="1"/>
  <c r="AD862" i="1" s="1" a="1"/>
  <c r="AD862" i="1" s="1"/>
  <c r="N863" i="1"/>
  <c r="AC863" i="1" s="1"/>
  <c r="AI863" i="1" s="1"/>
  <c r="N861" i="1"/>
  <c r="AC861" i="1" s="1"/>
  <c r="N860" i="1"/>
  <c r="AC860" i="1" s="1"/>
  <c r="N859" i="1"/>
  <c r="AD859" i="1" s="1" a="1"/>
  <c r="AD859" i="1" s="1"/>
  <c r="N858" i="1"/>
  <c r="AD858" i="1" s="1" a="1"/>
  <c r="AD858" i="1" s="1"/>
  <c r="N856" i="1"/>
  <c r="AD856" i="1" s="1" a="1"/>
  <c r="AD856" i="1" s="1"/>
  <c r="N855" i="1"/>
  <c r="AD855" i="1" s="1" a="1"/>
  <c r="AD855" i="1" s="1"/>
  <c r="N854" i="1"/>
  <c r="AC854" i="1" s="1"/>
  <c r="AI854" i="1" s="1"/>
  <c r="N852" i="1"/>
  <c r="AC852" i="1" s="1"/>
  <c r="N851" i="1"/>
  <c r="AC851" i="1" s="1"/>
  <c r="AI851" i="1" s="1"/>
  <c r="N850" i="1"/>
  <c r="AC850" i="1" s="1"/>
  <c r="AI850" i="1" s="1"/>
  <c r="AP881" i="1"/>
  <c r="AG881" i="1" a="1"/>
  <c r="AG881" i="1" s="1"/>
  <c r="AF881" i="1"/>
  <c r="X881" i="1"/>
  <c r="AP880" i="1"/>
  <c r="X880" i="1"/>
  <c r="AP879" i="1"/>
  <c r="X879" i="1"/>
  <c r="AP878" i="1"/>
  <c r="X878" i="1"/>
  <c r="AP877" i="1"/>
  <c r="AG877" i="1" a="1"/>
  <c r="AG877" i="1" s="1"/>
  <c r="AF877" i="1"/>
  <c r="X877" i="1"/>
  <c r="AP876" i="1"/>
  <c r="X876" i="1"/>
  <c r="AP875" i="1"/>
  <c r="X875" i="1"/>
  <c r="AP874" i="1"/>
  <c r="X874" i="1"/>
  <c r="AP873" i="1"/>
  <c r="AG873" i="1" a="1"/>
  <c r="AG873" i="1" s="1"/>
  <c r="AF873" i="1"/>
  <c r="X873" i="1"/>
  <c r="AP872" i="1"/>
  <c r="X872" i="1"/>
  <c r="AP871" i="1"/>
  <c r="X871" i="1"/>
  <c r="AP870" i="1"/>
  <c r="X870" i="1"/>
  <c r="AP869" i="1"/>
  <c r="AG869" i="1" a="1"/>
  <c r="AG869" i="1" s="1"/>
  <c r="AF869" i="1"/>
  <c r="X869" i="1"/>
  <c r="AP868" i="1"/>
  <c r="X868" i="1"/>
  <c r="AP867" i="1"/>
  <c r="X867" i="1"/>
  <c r="AP866" i="1"/>
  <c r="X866" i="1"/>
  <c r="AP865" i="1"/>
  <c r="AG865" i="1" a="1"/>
  <c r="AG865" i="1" s="1"/>
  <c r="AF865" i="1"/>
  <c r="X865" i="1"/>
  <c r="AP864" i="1"/>
  <c r="X864" i="1"/>
  <c r="AP863" i="1"/>
  <c r="X863" i="1"/>
  <c r="AP862" i="1"/>
  <c r="X862" i="1"/>
  <c r="AP861" i="1"/>
  <c r="AG861" i="1" a="1"/>
  <c r="AG861" i="1" s="1"/>
  <c r="AF861" i="1"/>
  <c r="X861" i="1"/>
  <c r="AP860" i="1"/>
  <c r="X860" i="1"/>
  <c r="AP859" i="1"/>
  <c r="X859" i="1"/>
  <c r="AP858" i="1"/>
  <c r="X858" i="1"/>
  <c r="AP857" i="1"/>
  <c r="AG857" i="1" a="1"/>
  <c r="AG857" i="1" s="1"/>
  <c r="AF857" i="1"/>
  <c r="AD857" i="1" a="1"/>
  <c r="AD857" i="1" s="1"/>
  <c r="AC857" i="1"/>
  <c r="X857" i="1"/>
  <c r="S857" i="1"/>
  <c r="R857" i="1"/>
  <c r="P857" i="1"/>
  <c r="AP856" i="1"/>
  <c r="X856" i="1"/>
  <c r="AP855" i="1"/>
  <c r="X855" i="1"/>
  <c r="AP854" i="1"/>
  <c r="X854" i="1"/>
  <c r="AP853" i="1"/>
  <c r="AG853" i="1" a="1"/>
  <c r="AG853" i="1" s="1"/>
  <c r="AF853" i="1"/>
  <c r="AD853" i="1" a="1"/>
  <c r="AD853" i="1" s="1"/>
  <c r="AC853" i="1"/>
  <c r="X853" i="1"/>
  <c r="S853" i="1"/>
  <c r="R853" i="1"/>
  <c r="P853" i="1"/>
  <c r="AP852" i="1"/>
  <c r="X852" i="1"/>
  <c r="AP851" i="1"/>
  <c r="X851" i="1"/>
  <c r="AP850" i="1"/>
  <c r="X850" i="1"/>
  <c r="N824" i="1"/>
  <c r="AC824" i="1" s="1"/>
  <c r="AI824" i="1" s="1"/>
  <c r="N823" i="1"/>
  <c r="AD823" i="1" s="1" a="1"/>
  <c r="AD823" i="1" s="1"/>
  <c r="N822" i="1"/>
  <c r="AC822" i="1" s="1"/>
  <c r="N820" i="1"/>
  <c r="AD820" i="1" s="1" a="1"/>
  <c r="AD820" i="1" s="1"/>
  <c r="N819" i="1"/>
  <c r="AD819" i="1" s="1" a="1"/>
  <c r="AD819" i="1" s="1"/>
  <c r="AP825" i="1"/>
  <c r="AG825" i="1" a="1"/>
  <c r="AG825" i="1" s="1"/>
  <c r="AF825" i="1"/>
  <c r="AD825" i="1" a="1"/>
  <c r="AD825" i="1" s="1"/>
  <c r="AC825" i="1"/>
  <c r="AI825" i="1" s="1"/>
  <c r="X825" i="1"/>
  <c r="S825" i="1"/>
  <c r="R825" i="1"/>
  <c r="P825" i="1"/>
  <c r="AP824" i="1"/>
  <c r="X824" i="1"/>
  <c r="AP823" i="1"/>
  <c r="X823" i="1"/>
  <c r="AP822" i="1"/>
  <c r="X822" i="1"/>
  <c r="AP821" i="1"/>
  <c r="AG821" i="1" a="1"/>
  <c r="AG821" i="1" s="1"/>
  <c r="AF821" i="1"/>
  <c r="AD821" i="1" a="1"/>
  <c r="AD821" i="1" s="1"/>
  <c r="AC821" i="1"/>
  <c r="X821" i="1"/>
  <c r="S821" i="1"/>
  <c r="R821" i="1"/>
  <c r="P821" i="1"/>
  <c r="AP820" i="1"/>
  <c r="X820" i="1"/>
  <c r="AP819" i="1"/>
  <c r="X819" i="1"/>
  <c r="AP818" i="1"/>
  <c r="X818" i="1"/>
  <c r="AC849" i="1"/>
  <c r="AI849" i="1" s="1"/>
  <c r="AC845" i="1"/>
  <c r="AI845" i="1" s="1"/>
  <c r="AC841" i="1"/>
  <c r="AI841" i="1" s="1"/>
  <c r="AC837" i="1"/>
  <c r="AI837" i="1" s="1"/>
  <c r="AC833" i="1"/>
  <c r="AI833" i="1" s="1"/>
  <c r="AC829" i="1"/>
  <c r="AI829" i="1" s="1"/>
  <c r="AC817" i="1"/>
  <c r="AI817" i="1" s="1"/>
  <c r="N847" i="1"/>
  <c r="AC847" i="1" s="1"/>
  <c r="AI847" i="1" s="1"/>
  <c r="N846" i="1"/>
  <c r="AC846" i="1" s="1"/>
  <c r="N843" i="1"/>
  <c r="AD843" i="1" s="1" a="1"/>
  <c r="AD843" i="1" s="1"/>
  <c r="N842" i="1"/>
  <c r="AD842" i="1" s="1" a="1"/>
  <c r="AD842" i="1" s="1"/>
  <c r="N839" i="1"/>
  <c r="AD839" i="1" s="1" a="1"/>
  <c r="AD839" i="1" s="1"/>
  <c r="N838" i="1"/>
  <c r="AD838" i="1" s="1" a="1"/>
  <c r="AD838" i="1" s="1"/>
  <c r="N835" i="1"/>
  <c r="AC835" i="1" s="1"/>
  <c r="AI835" i="1" s="1"/>
  <c r="N834" i="1"/>
  <c r="AC834" i="1" s="1"/>
  <c r="N831" i="1"/>
  <c r="AC831" i="1" s="1"/>
  <c r="AI831" i="1" s="1"/>
  <c r="N830" i="1"/>
  <c r="AC830" i="1" s="1"/>
  <c r="AI830" i="1" s="1"/>
  <c r="N827" i="1"/>
  <c r="AC827" i="1" s="1"/>
  <c r="AI827" i="1" s="1"/>
  <c r="N826" i="1"/>
  <c r="AC826" i="1" s="1"/>
  <c r="N828" i="1"/>
  <c r="AC828" i="1" s="1"/>
  <c r="X847" i="1"/>
  <c r="X843" i="1"/>
  <c r="X839" i="1"/>
  <c r="X840" i="1"/>
  <c r="X835" i="1"/>
  <c r="X831" i="1"/>
  <c r="X827" i="1"/>
  <c r="AP847" i="1"/>
  <c r="AP846" i="1"/>
  <c r="X846" i="1"/>
  <c r="AP843" i="1"/>
  <c r="AP842" i="1"/>
  <c r="X842" i="1"/>
  <c r="AP839" i="1"/>
  <c r="AP838" i="1"/>
  <c r="X838" i="1"/>
  <c r="AP835" i="1"/>
  <c r="AP834" i="1"/>
  <c r="X834" i="1"/>
  <c r="AP831" i="1"/>
  <c r="AP830" i="1"/>
  <c r="X830" i="1"/>
  <c r="AP827" i="1"/>
  <c r="AP826" i="1"/>
  <c r="X826" i="1"/>
  <c r="X848" i="1"/>
  <c r="X844" i="1"/>
  <c r="X836" i="1"/>
  <c r="X832" i="1"/>
  <c r="X828" i="1"/>
  <c r="N848" i="1"/>
  <c r="AD848" i="1" s="1" a="1"/>
  <c r="AD848" i="1" s="1"/>
  <c r="N844" i="1"/>
  <c r="AD844" i="1" s="1" a="1"/>
  <c r="AD844" i="1" s="1"/>
  <c r="N840" i="1"/>
  <c r="AD840" i="1" s="1" a="1"/>
  <c r="AD840" i="1" s="1"/>
  <c r="N836" i="1"/>
  <c r="AD836" i="1" s="1" a="1"/>
  <c r="AD836" i="1" s="1"/>
  <c r="N832" i="1"/>
  <c r="AP848" i="1"/>
  <c r="AP844" i="1"/>
  <c r="AP840" i="1"/>
  <c r="AP836" i="1"/>
  <c r="AP832" i="1"/>
  <c r="AP828" i="1"/>
  <c r="P833" i="1"/>
  <c r="AP849" i="1"/>
  <c r="AG849" i="1" a="1"/>
  <c r="AG849" i="1" s="1"/>
  <c r="AF849" i="1"/>
  <c r="AD849" i="1" a="1"/>
  <c r="AD849" i="1" s="1"/>
  <c r="X849" i="1"/>
  <c r="S849" i="1"/>
  <c r="R849" i="1"/>
  <c r="P849" i="1"/>
  <c r="AP845" i="1"/>
  <c r="AG845" i="1" a="1"/>
  <c r="AG845" i="1" s="1"/>
  <c r="AF845" i="1"/>
  <c r="AD845" i="1" a="1"/>
  <c r="AD845" i="1" s="1"/>
  <c r="X845" i="1"/>
  <c r="S845" i="1"/>
  <c r="R845" i="1"/>
  <c r="P845" i="1"/>
  <c r="AP841" i="1"/>
  <c r="AG841" i="1" a="1"/>
  <c r="AG841" i="1" s="1"/>
  <c r="AF841" i="1"/>
  <c r="AD841" i="1" a="1"/>
  <c r="AD841" i="1" s="1"/>
  <c r="X841" i="1"/>
  <c r="S841" i="1"/>
  <c r="R841" i="1"/>
  <c r="P841" i="1"/>
  <c r="AP837" i="1"/>
  <c r="AG837" i="1" a="1"/>
  <c r="AG837" i="1" s="1"/>
  <c r="AF837" i="1"/>
  <c r="AD837" i="1" a="1"/>
  <c r="AD837" i="1" s="1"/>
  <c r="X837" i="1"/>
  <c r="S837" i="1"/>
  <c r="R837" i="1"/>
  <c r="P837" i="1"/>
  <c r="AP833" i="1"/>
  <c r="AG833" i="1" a="1"/>
  <c r="AG833" i="1" s="1"/>
  <c r="AF833" i="1"/>
  <c r="AD833" i="1" a="1"/>
  <c r="AD833" i="1" s="1"/>
  <c r="X833" i="1"/>
  <c r="S833" i="1"/>
  <c r="R833" i="1"/>
  <c r="AP829" i="1"/>
  <c r="AG829" i="1" a="1"/>
  <c r="AG829" i="1" s="1"/>
  <c r="AF829" i="1"/>
  <c r="AD829" i="1" a="1"/>
  <c r="AD829" i="1" s="1"/>
  <c r="X829" i="1"/>
  <c r="S829" i="1"/>
  <c r="R829" i="1"/>
  <c r="P829" i="1"/>
  <c r="AG817" i="1" a="1"/>
  <c r="AG817" i="1" s="1"/>
  <c r="AG816" i="1" a="1"/>
  <c r="AG816" i="1" s="1"/>
  <c r="AG720" i="1" a="1"/>
  <c r="AG720" i="1" s="1"/>
  <c r="AG719" i="1" a="1"/>
  <c r="AG719" i="1" s="1"/>
  <c r="AG718" i="1" a="1"/>
  <c r="AG718" i="1" s="1"/>
  <c r="AG717" i="1" a="1"/>
  <c r="AG717" i="1" s="1"/>
  <c r="AG716" i="1" a="1"/>
  <c r="AG716" i="1" s="1"/>
  <c r="AG715" i="1" a="1"/>
  <c r="AG715" i="1" s="1"/>
  <c r="AG714" i="1" a="1"/>
  <c r="AG714" i="1" s="1"/>
  <c r="AG713" i="1" a="1"/>
  <c r="AG713" i="1" s="1"/>
  <c r="AG712" i="1" a="1"/>
  <c r="AG712" i="1" s="1"/>
  <c r="AG711" i="1" a="1"/>
  <c r="AG711" i="1" s="1"/>
  <c r="AG710" i="1" a="1"/>
  <c r="AG710" i="1" s="1"/>
  <c r="AG709" i="1" a="1"/>
  <c r="AG709" i="1" s="1"/>
  <c r="AG708" i="1" a="1"/>
  <c r="AG708" i="1" s="1"/>
  <c r="AG707" i="1" a="1"/>
  <c r="AG707" i="1" s="1"/>
  <c r="AG706" i="1" a="1"/>
  <c r="AG706" i="1" s="1"/>
  <c r="AG705" i="1" a="1"/>
  <c r="AG705" i="1" s="1"/>
  <c r="AG704" i="1" a="1"/>
  <c r="AG704" i="1" s="1"/>
  <c r="AG703" i="1" a="1"/>
  <c r="AG703" i="1" s="1"/>
  <c r="AG702" i="1" a="1"/>
  <c r="AG702" i="1" s="1"/>
  <c r="AG701" i="1" a="1"/>
  <c r="AG701" i="1" s="1"/>
  <c r="AG700" i="1" a="1"/>
  <c r="AG700" i="1" s="1"/>
  <c r="AF816" i="1"/>
  <c r="AF817" i="1"/>
  <c r="AD817" i="1" a="1"/>
  <c r="AD817" i="1" s="1"/>
  <c r="X817" i="1"/>
  <c r="S817" i="1"/>
  <c r="R817" i="1"/>
  <c r="P817" i="1"/>
  <c r="S816" i="1"/>
  <c r="R816" i="1"/>
  <c r="AC816" i="1"/>
  <c r="R672" i="1"/>
  <c r="S672" i="1"/>
  <c r="R673" i="1"/>
  <c r="S673" i="1"/>
  <c r="R674" i="1"/>
  <c r="S674" i="1"/>
  <c r="R675" i="1"/>
  <c r="S675" i="1"/>
  <c r="R676" i="1"/>
  <c r="S676" i="1"/>
  <c r="R677" i="1"/>
  <c r="S677" i="1"/>
  <c r="R678" i="1"/>
  <c r="S678" i="1"/>
  <c r="R679" i="1"/>
  <c r="S679" i="1"/>
  <c r="R680" i="1"/>
  <c r="S680" i="1"/>
  <c r="R681" i="1"/>
  <c r="S681" i="1"/>
  <c r="R682" i="1"/>
  <c r="S682" i="1"/>
  <c r="R683" i="1"/>
  <c r="S683" i="1"/>
  <c r="R684" i="1"/>
  <c r="S684" i="1"/>
  <c r="R685" i="1"/>
  <c r="S685" i="1"/>
  <c r="R686" i="1"/>
  <c r="S686" i="1"/>
  <c r="R687" i="1"/>
  <c r="S687" i="1"/>
  <c r="R688" i="1"/>
  <c r="S688" i="1"/>
  <c r="R689" i="1"/>
  <c r="S689" i="1"/>
  <c r="R690" i="1"/>
  <c r="S690" i="1"/>
  <c r="R691" i="1"/>
  <c r="S691" i="1"/>
  <c r="R692" i="1"/>
  <c r="S692" i="1"/>
  <c r="R693" i="1"/>
  <c r="S693" i="1"/>
  <c r="R694" i="1"/>
  <c r="S694" i="1"/>
  <c r="R695" i="1"/>
  <c r="S695" i="1"/>
  <c r="R696" i="1"/>
  <c r="S696" i="1"/>
  <c r="R697" i="1"/>
  <c r="S697" i="1"/>
  <c r="R698" i="1"/>
  <c r="S698" i="1"/>
  <c r="R699" i="1"/>
  <c r="S699" i="1"/>
  <c r="R700" i="1"/>
  <c r="S700" i="1"/>
  <c r="R701" i="1"/>
  <c r="S701" i="1"/>
  <c r="R702" i="1"/>
  <c r="S702" i="1"/>
  <c r="R703" i="1"/>
  <c r="S703" i="1"/>
  <c r="R704" i="1"/>
  <c r="S704" i="1"/>
  <c r="R705" i="1"/>
  <c r="S705" i="1"/>
  <c r="R706" i="1"/>
  <c r="S706" i="1"/>
  <c r="R707" i="1"/>
  <c r="S707" i="1"/>
  <c r="R708" i="1"/>
  <c r="S708" i="1"/>
  <c r="R709" i="1"/>
  <c r="S709" i="1"/>
  <c r="R710" i="1"/>
  <c r="S710" i="1"/>
  <c r="R711" i="1"/>
  <c r="S711" i="1"/>
  <c r="R712" i="1"/>
  <c r="S712" i="1"/>
  <c r="R713" i="1"/>
  <c r="S713" i="1"/>
  <c r="R714" i="1"/>
  <c r="S714" i="1"/>
  <c r="R715" i="1"/>
  <c r="S715" i="1"/>
  <c r="R716" i="1"/>
  <c r="S716" i="1"/>
  <c r="R717" i="1"/>
  <c r="S717" i="1"/>
  <c r="R718" i="1"/>
  <c r="S718" i="1"/>
  <c r="R719" i="1"/>
  <c r="S719" i="1"/>
  <c r="R720" i="1"/>
  <c r="S720" i="1"/>
  <c r="S671" i="1"/>
  <c r="R671" i="1"/>
  <c r="S669" i="1"/>
  <c r="R669" i="1"/>
  <c r="S667" i="1"/>
  <c r="R667" i="1"/>
  <c r="S665" i="1"/>
  <c r="R665" i="1"/>
  <c r="S663" i="1"/>
  <c r="R663" i="1"/>
  <c r="R638" i="1"/>
  <c r="S638" i="1"/>
  <c r="R639" i="1"/>
  <c r="S639" i="1"/>
  <c r="R640" i="1"/>
  <c r="S640" i="1"/>
  <c r="R641" i="1"/>
  <c r="S641" i="1"/>
  <c r="R642" i="1"/>
  <c r="S642" i="1"/>
  <c r="R643" i="1"/>
  <c r="S643" i="1"/>
  <c r="R644" i="1"/>
  <c r="S644" i="1"/>
  <c r="R645" i="1"/>
  <c r="S645" i="1"/>
  <c r="R646" i="1"/>
  <c r="S646" i="1"/>
  <c r="R647" i="1"/>
  <c r="S647" i="1"/>
  <c r="R648" i="1"/>
  <c r="S648" i="1"/>
  <c r="R649" i="1"/>
  <c r="S649" i="1"/>
  <c r="R650" i="1"/>
  <c r="S650" i="1"/>
  <c r="R651" i="1"/>
  <c r="S651" i="1"/>
  <c r="R652" i="1"/>
  <c r="S652" i="1"/>
  <c r="R653" i="1"/>
  <c r="S653" i="1"/>
  <c r="R654" i="1"/>
  <c r="S654" i="1"/>
  <c r="R655" i="1"/>
  <c r="S655" i="1"/>
  <c r="R656" i="1"/>
  <c r="S656" i="1"/>
  <c r="R657" i="1"/>
  <c r="S657" i="1"/>
  <c r="R658" i="1"/>
  <c r="S658" i="1"/>
  <c r="R659" i="1"/>
  <c r="S659" i="1"/>
  <c r="R660" i="1"/>
  <c r="S660" i="1"/>
  <c r="R661" i="1"/>
  <c r="S661" i="1"/>
  <c r="P816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3" i="1"/>
  <c r="P665" i="1"/>
  <c r="P667" i="1"/>
  <c r="P669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648" i="1"/>
  <c r="AD816" i="1" a="1"/>
  <c r="AD816" i="1" s="1"/>
  <c r="X816" i="1"/>
  <c r="AP817" i="1"/>
  <c r="AP816" i="1"/>
  <c r="AP720" i="1"/>
  <c r="AP719" i="1"/>
  <c r="AP718" i="1"/>
  <c r="AP717" i="1"/>
  <c r="AP716" i="1"/>
  <c r="AP715" i="1"/>
  <c r="AP714" i="1"/>
  <c r="AP713" i="1"/>
  <c r="AP712" i="1"/>
  <c r="AP711" i="1"/>
  <c r="AP710" i="1"/>
  <c r="AP709" i="1"/>
  <c r="AP708" i="1"/>
  <c r="AP707" i="1"/>
  <c r="AD720" i="1" a="1"/>
  <c r="AD720" i="1" s="1"/>
  <c r="AC720" i="1"/>
  <c r="X720" i="1"/>
  <c r="AD719" i="1" a="1"/>
  <c r="AD719" i="1" s="1"/>
  <c r="AC719" i="1"/>
  <c r="AI719" i="1" s="1"/>
  <c r="X719" i="1"/>
  <c r="AD718" i="1" a="1"/>
  <c r="AD718" i="1" s="1"/>
  <c r="AC718" i="1"/>
  <c r="X718" i="1"/>
  <c r="AD717" i="1" a="1"/>
  <c r="AD717" i="1" s="1"/>
  <c r="AC717" i="1"/>
  <c r="AI717" i="1" s="1"/>
  <c r="X717" i="1"/>
  <c r="AD716" i="1" a="1"/>
  <c r="AD716" i="1" s="1"/>
  <c r="AC716" i="1"/>
  <c r="X716" i="1"/>
  <c r="AD715" i="1" a="1"/>
  <c r="AD715" i="1" s="1"/>
  <c r="AC715" i="1"/>
  <c r="AI715" i="1" s="1"/>
  <c r="X715" i="1"/>
  <c r="AD714" i="1" a="1"/>
  <c r="AD714" i="1" s="1"/>
  <c r="AC714" i="1"/>
  <c r="AI714" i="1" s="1"/>
  <c r="X714" i="1"/>
  <c r="AD713" i="1" a="1"/>
  <c r="AD713" i="1" s="1"/>
  <c r="AC713" i="1"/>
  <c r="X713" i="1"/>
  <c r="AD712" i="1" a="1"/>
  <c r="AD712" i="1" s="1"/>
  <c r="AC712" i="1"/>
  <c r="AI712" i="1" s="1"/>
  <c r="X712" i="1"/>
  <c r="AD711" i="1" a="1"/>
  <c r="AD711" i="1" s="1"/>
  <c r="X711" i="1"/>
  <c r="AD710" i="1" a="1"/>
  <c r="AD710" i="1" s="1"/>
  <c r="AC710" i="1"/>
  <c r="AI710" i="1" s="1"/>
  <c r="X710" i="1"/>
  <c r="AD709" i="1" a="1"/>
  <c r="AD709" i="1" s="1"/>
  <c r="AC709" i="1"/>
  <c r="AI709" i="1" s="1"/>
  <c r="X709" i="1"/>
  <c r="AD708" i="1" a="1"/>
  <c r="AD708" i="1" s="1"/>
  <c r="AC708" i="1"/>
  <c r="AI708" i="1" s="1"/>
  <c r="X708" i="1"/>
  <c r="AD707" i="1" a="1"/>
  <c r="AD707" i="1" s="1"/>
  <c r="AC707" i="1"/>
  <c r="X707" i="1"/>
  <c r="AP706" i="1"/>
  <c r="AD706" i="1" a="1"/>
  <c r="AD706" i="1" s="1"/>
  <c r="AC706" i="1"/>
  <c r="X706" i="1"/>
  <c r="AP705" i="1"/>
  <c r="AD705" i="1" a="1"/>
  <c r="AD705" i="1" s="1"/>
  <c r="AC705" i="1"/>
  <c r="AI705" i="1" s="1"/>
  <c r="X705" i="1"/>
  <c r="AP704" i="1"/>
  <c r="AD704" i="1" a="1"/>
  <c r="AD704" i="1" s="1"/>
  <c r="AC704" i="1"/>
  <c r="AI704" i="1" s="1"/>
  <c r="X704" i="1"/>
  <c r="AP703" i="1"/>
  <c r="AD703" i="1" a="1"/>
  <c r="AD703" i="1" s="1"/>
  <c r="AC703" i="1"/>
  <c r="X703" i="1"/>
  <c r="AP702" i="1"/>
  <c r="AD702" i="1" a="1"/>
  <c r="AD702" i="1" s="1"/>
  <c r="AC702" i="1"/>
  <c r="AI702" i="1" s="1"/>
  <c r="X702" i="1"/>
  <c r="AP701" i="1"/>
  <c r="AD701" i="1" a="1"/>
  <c r="AD701" i="1" s="1"/>
  <c r="AC701" i="1"/>
  <c r="AI701" i="1" s="1"/>
  <c r="X701" i="1"/>
  <c r="AP700" i="1"/>
  <c r="AD700" i="1" a="1"/>
  <c r="AD700" i="1" s="1"/>
  <c r="AC700" i="1"/>
  <c r="X700" i="1"/>
  <c r="AG699" i="1" a="1"/>
  <c r="AG699" i="1" s="1"/>
  <c r="AF699" i="1"/>
  <c r="AP699" i="1"/>
  <c r="AD699" i="1" a="1"/>
  <c r="AD699" i="1" s="1"/>
  <c r="AC699" i="1"/>
  <c r="AI699" i="1" s="1"/>
  <c r="X699" i="1"/>
  <c r="AP698" i="1"/>
  <c r="AG698" i="1" a="1"/>
  <c r="AG698" i="1" s="1"/>
  <c r="AF698" i="1"/>
  <c r="AD698" i="1" a="1"/>
  <c r="AD698" i="1" s="1"/>
  <c r="AC698" i="1"/>
  <c r="X698" i="1"/>
  <c r="AP697" i="1"/>
  <c r="AG697" i="1" a="1"/>
  <c r="AG697" i="1" s="1"/>
  <c r="AF697" i="1"/>
  <c r="AD697" i="1" a="1"/>
  <c r="AD697" i="1" s="1"/>
  <c r="AC697" i="1"/>
  <c r="AI697" i="1" s="1"/>
  <c r="X697" i="1"/>
  <c r="AP696" i="1"/>
  <c r="AG696" i="1" a="1"/>
  <c r="AG696" i="1" s="1"/>
  <c r="AF696" i="1"/>
  <c r="AD696" i="1" a="1"/>
  <c r="AD696" i="1" s="1"/>
  <c r="AC696" i="1"/>
  <c r="AI696" i="1" s="1"/>
  <c r="X696" i="1"/>
  <c r="AP695" i="1"/>
  <c r="AG695" i="1" a="1"/>
  <c r="AG695" i="1" s="1"/>
  <c r="AF695" i="1"/>
  <c r="AD695" i="1" a="1"/>
  <c r="AD695" i="1" s="1"/>
  <c r="AC695" i="1"/>
  <c r="X695" i="1"/>
  <c r="AP694" i="1"/>
  <c r="AG694" i="1" a="1"/>
  <c r="AG694" i="1" s="1"/>
  <c r="AF694" i="1"/>
  <c r="AD694" i="1" a="1"/>
  <c r="AD694" i="1" s="1"/>
  <c r="AC694" i="1"/>
  <c r="X694" i="1"/>
  <c r="AP693" i="1"/>
  <c r="AG693" i="1" a="1"/>
  <c r="AG693" i="1" s="1"/>
  <c r="AF693" i="1"/>
  <c r="AD693" i="1" a="1"/>
  <c r="AD693" i="1" s="1"/>
  <c r="AC693" i="1"/>
  <c r="X693" i="1"/>
  <c r="AP692" i="1"/>
  <c r="AG692" i="1" a="1"/>
  <c r="AG692" i="1" s="1"/>
  <c r="AF692" i="1"/>
  <c r="AD692" i="1" a="1"/>
  <c r="AD692" i="1" s="1"/>
  <c r="AC692" i="1"/>
  <c r="X692" i="1"/>
  <c r="AP691" i="1"/>
  <c r="AG691" i="1" a="1"/>
  <c r="AG691" i="1" s="1"/>
  <c r="AF691" i="1"/>
  <c r="AD691" i="1" a="1"/>
  <c r="AD691" i="1" s="1"/>
  <c r="AC691" i="1"/>
  <c r="AI691" i="1" s="1"/>
  <c r="X691" i="1"/>
  <c r="AP690" i="1"/>
  <c r="AG690" i="1" a="1"/>
  <c r="AG690" i="1" s="1"/>
  <c r="AF690" i="1"/>
  <c r="AD690" i="1" a="1"/>
  <c r="AD690" i="1" s="1"/>
  <c r="AC690" i="1"/>
  <c r="AI690" i="1" s="1"/>
  <c r="X690" i="1"/>
  <c r="AP689" i="1"/>
  <c r="AG689" i="1" a="1"/>
  <c r="AG689" i="1" s="1"/>
  <c r="AF689" i="1"/>
  <c r="AD689" i="1" a="1"/>
  <c r="AD689" i="1" s="1"/>
  <c r="AC689" i="1"/>
  <c r="AI689" i="1" s="1"/>
  <c r="X689" i="1"/>
  <c r="AP688" i="1"/>
  <c r="AG688" i="1" a="1"/>
  <c r="AG688" i="1" s="1"/>
  <c r="AF688" i="1"/>
  <c r="AD688" i="1" a="1"/>
  <c r="AD688" i="1" s="1"/>
  <c r="AC688" i="1"/>
  <c r="AI688" i="1" s="1"/>
  <c r="X688" i="1"/>
  <c r="AP687" i="1"/>
  <c r="AG687" i="1" a="1"/>
  <c r="AG687" i="1" s="1"/>
  <c r="AF687" i="1"/>
  <c r="AD687" i="1" a="1"/>
  <c r="AD687" i="1" s="1"/>
  <c r="AC687" i="1"/>
  <c r="AI687" i="1" s="1"/>
  <c r="X687" i="1"/>
  <c r="AP686" i="1"/>
  <c r="AG686" i="1" a="1"/>
  <c r="AG686" i="1" s="1"/>
  <c r="AF686" i="1"/>
  <c r="AD686" i="1" a="1"/>
  <c r="AD686" i="1" s="1"/>
  <c r="AC686" i="1"/>
  <c r="X686" i="1"/>
  <c r="AP685" i="1"/>
  <c r="AG685" i="1" a="1"/>
  <c r="AG685" i="1" s="1"/>
  <c r="AF685" i="1"/>
  <c r="AD685" i="1" a="1"/>
  <c r="AD685" i="1" s="1"/>
  <c r="AC685" i="1"/>
  <c r="AI685" i="1" s="1"/>
  <c r="X685" i="1"/>
  <c r="AP684" i="1"/>
  <c r="AG684" i="1" a="1"/>
  <c r="AG684" i="1" s="1"/>
  <c r="AF684" i="1"/>
  <c r="AD684" i="1" a="1"/>
  <c r="AD684" i="1" s="1"/>
  <c r="AC684" i="1"/>
  <c r="AI684" i="1" s="1"/>
  <c r="X684" i="1"/>
  <c r="AP683" i="1"/>
  <c r="AG683" i="1" a="1"/>
  <c r="AG683" i="1" s="1"/>
  <c r="AF683" i="1"/>
  <c r="AD683" i="1" a="1"/>
  <c r="AD683" i="1" s="1"/>
  <c r="AC683" i="1"/>
  <c r="AI683" i="1" s="1"/>
  <c r="X683" i="1"/>
  <c r="AP682" i="1"/>
  <c r="AG682" i="1" a="1"/>
  <c r="AG682" i="1" s="1"/>
  <c r="AF682" i="1"/>
  <c r="AD682" i="1" a="1"/>
  <c r="AD682" i="1" s="1"/>
  <c r="AC682" i="1"/>
  <c r="AI682" i="1" s="1"/>
  <c r="X682" i="1"/>
  <c r="AP681" i="1"/>
  <c r="AG681" i="1" a="1"/>
  <c r="AG681" i="1" s="1"/>
  <c r="AF681" i="1"/>
  <c r="AD681" i="1" a="1"/>
  <c r="AD681" i="1" s="1"/>
  <c r="AC681" i="1"/>
  <c r="X681" i="1"/>
  <c r="AP680" i="1"/>
  <c r="AG680" i="1" a="1"/>
  <c r="AG680" i="1" s="1"/>
  <c r="AF680" i="1"/>
  <c r="AD680" i="1" a="1"/>
  <c r="AD680" i="1" s="1"/>
  <c r="AC680" i="1"/>
  <c r="AI680" i="1" s="1"/>
  <c r="X680" i="1"/>
  <c r="AP679" i="1"/>
  <c r="AG679" i="1" a="1"/>
  <c r="AG679" i="1" s="1"/>
  <c r="AF679" i="1"/>
  <c r="AD679" i="1" a="1"/>
  <c r="AD679" i="1" s="1"/>
  <c r="AC679" i="1"/>
  <c r="AI679" i="1" s="1"/>
  <c r="X679" i="1"/>
  <c r="AP678" i="1"/>
  <c r="AG678" i="1" a="1"/>
  <c r="AG678" i="1" s="1"/>
  <c r="AF678" i="1"/>
  <c r="AD678" i="1" a="1"/>
  <c r="AD678" i="1" s="1"/>
  <c r="AC678" i="1"/>
  <c r="AI678" i="1" s="1"/>
  <c r="X678" i="1"/>
  <c r="AP677" i="1"/>
  <c r="AG677" i="1" a="1"/>
  <c r="AG677" i="1" s="1"/>
  <c r="AF677" i="1"/>
  <c r="AD677" i="1" a="1"/>
  <c r="AD677" i="1" s="1"/>
  <c r="AC677" i="1"/>
  <c r="X677" i="1"/>
  <c r="AP676" i="1"/>
  <c r="AG676" i="1" a="1"/>
  <c r="AG676" i="1" s="1"/>
  <c r="AF676" i="1"/>
  <c r="AD676" i="1" a="1"/>
  <c r="AD676" i="1" s="1"/>
  <c r="AC676" i="1"/>
  <c r="AI676" i="1" s="1"/>
  <c r="X676" i="1"/>
  <c r="AP675" i="1"/>
  <c r="AG675" i="1" a="1"/>
  <c r="AG675" i="1" s="1"/>
  <c r="AF675" i="1"/>
  <c r="AD675" i="1" a="1"/>
  <c r="AD675" i="1" s="1"/>
  <c r="AC675" i="1"/>
  <c r="AI675" i="1" s="1"/>
  <c r="X675" i="1"/>
  <c r="AP674" i="1"/>
  <c r="AG674" i="1" a="1"/>
  <c r="AG674" i="1" s="1"/>
  <c r="AF674" i="1"/>
  <c r="AD674" i="1" a="1"/>
  <c r="AD674" i="1" s="1"/>
  <c r="AC674" i="1"/>
  <c r="AI674" i="1" s="1"/>
  <c r="X674" i="1"/>
  <c r="AP673" i="1"/>
  <c r="AG673" i="1" a="1"/>
  <c r="AG673" i="1" s="1"/>
  <c r="AF673" i="1"/>
  <c r="AD673" i="1" a="1"/>
  <c r="AD673" i="1" s="1"/>
  <c r="AC673" i="1"/>
  <c r="AI673" i="1" s="1"/>
  <c r="X673" i="1"/>
  <c r="AP672" i="1"/>
  <c r="AG672" i="1" a="1"/>
  <c r="AG672" i="1" s="1"/>
  <c r="AF672" i="1"/>
  <c r="AD672" i="1" a="1"/>
  <c r="AD672" i="1" s="1"/>
  <c r="AC672" i="1"/>
  <c r="AI672" i="1" s="1"/>
  <c r="X672" i="1"/>
  <c r="X664" i="1"/>
  <c r="X662" i="1"/>
  <c r="X666" i="1"/>
  <c r="X668" i="1"/>
  <c r="N670" i="1"/>
  <c r="N668" i="1"/>
  <c r="AD668" i="1" s="1" a="1"/>
  <c r="AD668" i="1" s="1"/>
  <c r="N666" i="1"/>
  <c r="AD666" i="1" s="1" a="1"/>
  <c r="AD666" i="1" s="1"/>
  <c r="N664" i="1"/>
  <c r="AD664" i="1" s="1" a="1"/>
  <c r="AD664" i="1" s="1"/>
  <c r="N662" i="1"/>
  <c r="AD662" i="1" s="1" a="1"/>
  <c r="AD662" i="1" s="1"/>
  <c r="AP671" i="1"/>
  <c r="AG671" i="1" a="1"/>
  <c r="AG671" i="1" s="1"/>
  <c r="AF671" i="1"/>
  <c r="AD671" i="1" a="1"/>
  <c r="AD671" i="1" s="1"/>
  <c r="AC671" i="1"/>
  <c r="AI671" i="1" s="1"/>
  <c r="X671" i="1"/>
  <c r="AP670" i="1"/>
  <c r="X670" i="1"/>
  <c r="AP669" i="1"/>
  <c r="AG669" i="1" a="1"/>
  <c r="AG669" i="1" s="1"/>
  <c r="AF669" i="1"/>
  <c r="AD669" i="1" a="1"/>
  <c r="AD669" i="1" s="1"/>
  <c r="AC669" i="1"/>
  <c r="AI669" i="1" s="1"/>
  <c r="X669" i="1"/>
  <c r="AP668" i="1"/>
  <c r="AP667" i="1"/>
  <c r="AG667" i="1" a="1"/>
  <c r="AG667" i="1" s="1"/>
  <c r="AF667" i="1"/>
  <c r="AD667" i="1" a="1"/>
  <c r="AD667" i="1" s="1"/>
  <c r="AC667" i="1"/>
  <c r="X667" i="1"/>
  <c r="AP666" i="1"/>
  <c r="AP665" i="1"/>
  <c r="AG665" i="1" a="1"/>
  <c r="AG665" i="1" s="1"/>
  <c r="AF665" i="1"/>
  <c r="AD665" i="1" a="1"/>
  <c r="AD665" i="1" s="1"/>
  <c r="AC665" i="1"/>
  <c r="X665" i="1"/>
  <c r="AP664" i="1"/>
  <c r="AP663" i="1"/>
  <c r="AG663" i="1" a="1"/>
  <c r="AG663" i="1" s="1"/>
  <c r="AF663" i="1"/>
  <c r="AD663" i="1" a="1"/>
  <c r="AD663" i="1" s="1"/>
  <c r="AC663" i="1"/>
  <c r="AI663" i="1" s="1"/>
  <c r="X663" i="1"/>
  <c r="AP662" i="1"/>
  <c r="AP661" i="1"/>
  <c r="AG661" i="1" a="1"/>
  <c r="AG661" i="1" s="1"/>
  <c r="AF661" i="1"/>
  <c r="AD661" i="1" a="1"/>
  <c r="AD661" i="1" s="1"/>
  <c r="AC661" i="1"/>
  <c r="AI661" i="1" s="1"/>
  <c r="X661" i="1"/>
  <c r="AP660" i="1"/>
  <c r="AG660" i="1" a="1"/>
  <c r="AG660" i="1" s="1"/>
  <c r="AF660" i="1"/>
  <c r="AD660" i="1" a="1"/>
  <c r="AD660" i="1" s="1"/>
  <c r="AC660" i="1"/>
  <c r="AI660" i="1" s="1"/>
  <c r="X660" i="1"/>
  <c r="AP659" i="1"/>
  <c r="AG659" i="1" a="1"/>
  <c r="AG659" i="1" s="1"/>
  <c r="AF659" i="1"/>
  <c r="AD659" i="1" a="1"/>
  <c r="AD659" i="1" s="1"/>
  <c r="AC659" i="1"/>
  <c r="X659" i="1"/>
  <c r="AP658" i="1"/>
  <c r="AG658" i="1" a="1"/>
  <c r="AG658" i="1" s="1"/>
  <c r="AF658" i="1"/>
  <c r="AD658" i="1" a="1"/>
  <c r="AD658" i="1" s="1"/>
  <c r="AC658" i="1"/>
  <c r="AI658" i="1" s="1"/>
  <c r="X658" i="1"/>
  <c r="AP657" i="1"/>
  <c r="AG657" i="1" a="1"/>
  <c r="AG657" i="1" s="1"/>
  <c r="AF657" i="1"/>
  <c r="AD657" i="1" a="1"/>
  <c r="AD657" i="1" s="1"/>
  <c r="AC657" i="1"/>
  <c r="AI657" i="1" s="1"/>
  <c r="X657" i="1"/>
  <c r="AP656" i="1"/>
  <c r="AG656" i="1" a="1"/>
  <c r="AG656" i="1" s="1"/>
  <c r="AF656" i="1"/>
  <c r="AD656" i="1" a="1"/>
  <c r="AD656" i="1" s="1"/>
  <c r="AC656" i="1"/>
  <c r="AI656" i="1" s="1"/>
  <c r="X656" i="1"/>
  <c r="AP655" i="1"/>
  <c r="AG655" i="1" a="1"/>
  <c r="AG655" i="1" s="1"/>
  <c r="AF655" i="1"/>
  <c r="AD655" i="1" a="1"/>
  <c r="AD655" i="1" s="1"/>
  <c r="AC655" i="1"/>
  <c r="AI655" i="1" s="1"/>
  <c r="X655" i="1"/>
  <c r="AP654" i="1"/>
  <c r="AG654" i="1" a="1"/>
  <c r="AG654" i="1" s="1"/>
  <c r="AF654" i="1"/>
  <c r="AD654" i="1" a="1"/>
  <c r="AD654" i="1" s="1"/>
  <c r="AC654" i="1"/>
  <c r="AI654" i="1" s="1"/>
  <c r="X654" i="1"/>
  <c r="AP653" i="1"/>
  <c r="AG653" i="1" a="1"/>
  <c r="AG653" i="1" s="1"/>
  <c r="AF653" i="1"/>
  <c r="AD653" i="1" a="1"/>
  <c r="AD653" i="1" s="1"/>
  <c r="AC653" i="1"/>
  <c r="AI653" i="1" s="1"/>
  <c r="X653" i="1"/>
  <c r="AP652" i="1"/>
  <c r="AG652" i="1" a="1"/>
  <c r="AG652" i="1" s="1"/>
  <c r="AF652" i="1"/>
  <c r="AD652" i="1" a="1"/>
  <c r="AD652" i="1" s="1"/>
  <c r="AC652" i="1"/>
  <c r="AI652" i="1" s="1"/>
  <c r="X652" i="1"/>
  <c r="AP647" i="1"/>
  <c r="AG647" i="1" a="1"/>
  <c r="AG647" i="1" s="1"/>
  <c r="AF647" i="1"/>
  <c r="AD647" i="1" a="1"/>
  <c r="AD647" i="1" s="1"/>
  <c r="AC647" i="1"/>
  <c r="AI647" i="1" s="1"/>
  <c r="X647" i="1"/>
  <c r="P647" i="1"/>
  <c r="AP651" i="1"/>
  <c r="AG651" i="1" a="1"/>
  <c r="AG651" i="1" s="1"/>
  <c r="AD651" i="1" a="1"/>
  <c r="AD651" i="1" s="1"/>
  <c r="AC651" i="1"/>
  <c r="AI651" i="1" s="1"/>
  <c r="X651" i="1"/>
  <c r="AP650" i="1"/>
  <c r="AG650" i="1" a="1"/>
  <c r="AG650" i="1" s="1"/>
  <c r="AD650" i="1" a="1"/>
  <c r="AD650" i="1" s="1"/>
  <c r="AC650" i="1"/>
  <c r="AI650" i="1" s="1"/>
  <c r="X650" i="1"/>
  <c r="AP649" i="1"/>
  <c r="AG649" i="1" a="1"/>
  <c r="AG649" i="1" s="1"/>
  <c r="AD649" i="1" a="1"/>
  <c r="AD649" i="1" s="1"/>
  <c r="AC649" i="1"/>
  <c r="AI649" i="1" s="1"/>
  <c r="X649" i="1"/>
  <c r="AP648" i="1"/>
  <c r="AG648" i="1" a="1"/>
  <c r="AG648" i="1" s="1"/>
  <c r="AD648" i="1" a="1"/>
  <c r="AD648" i="1" s="1"/>
  <c r="AC648" i="1"/>
  <c r="AI648" i="1" s="1"/>
  <c r="X648" i="1"/>
  <c r="AF643" i="1"/>
  <c r="AF644" i="1"/>
  <c r="AF645" i="1"/>
  <c r="AF646" i="1"/>
  <c r="AF642" i="1"/>
  <c r="AC643" i="1"/>
  <c r="AI643" i="1" s="1"/>
  <c r="AC644" i="1"/>
  <c r="AC645" i="1"/>
  <c r="AI645" i="1" s="1"/>
  <c r="AC646" i="1"/>
  <c r="AI646" i="1" s="1"/>
  <c r="AC642" i="1"/>
  <c r="AI642" i="1" s="1"/>
  <c r="AP646" i="1"/>
  <c r="AG646" i="1" a="1"/>
  <c r="AG646" i="1" s="1"/>
  <c r="AD646" i="1" a="1"/>
  <c r="AD646" i="1" s="1"/>
  <c r="X646" i="1"/>
  <c r="P646" i="1"/>
  <c r="AP645" i="1"/>
  <c r="AG645" i="1" a="1"/>
  <c r="AG645" i="1" s="1"/>
  <c r="AD645" i="1" a="1"/>
  <c r="AD645" i="1" s="1"/>
  <c r="X645" i="1"/>
  <c r="P645" i="1"/>
  <c r="AP644" i="1"/>
  <c r="AG644" i="1" a="1"/>
  <c r="AG644" i="1" s="1"/>
  <c r="AD644" i="1" a="1"/>
  <c r="AD644" i="1" s="1"/>
  <c r="X644" i="1"/>
  <c r="P644" i="1"/>
  <c r="AP643" i="1"/>
  <c r="AG643" i="1" a="1"/>
  <c r="AG643" i="1" s="1"/>
  <c r="AD643" i="1" a="1"/>
  <c r="AD643" i="1" s="1"/>
  <c r="X643" i="1"/>
  <c r="P643" i="1"/>
  <c r="AP642" i="1"/>
  <c r="AG642" i="1" a="1"/>
  <c r="AG642" i="1" s="1"/>
  <c r="AD642" i="1" a="1"/>
  <c r="AD642" i="1" s="1"/>
  <c r="X642" i="1"/>
  <c r="P642" i="1"/>
  <c r="AP641" i="1"/>
  <c r="AG641" i="1" a="1"/>
  <c r="AG641" i="1" s="1"/>
  <c r="AF641" i="1"/>
  <c r="AD641" i="1" a="1"/>
  <c r="AD641" i="1" s="1"/>
  <c r="AC641" i="1"/>
  <c r="X641" i="1"/>
  <c r="P641" i="1"/>
  <c r="AP640" i="1"/>
  <c r="AG640" i="1" a="1"/>
  <c r="AG640" i="1" s="1"/>
  <c r="AF640" i="1"/>
  <c r="AD640" i="1" a="1"/>
  <c r="AD640" i="1" s="1"/>
  <c r="AC640" i="1"/>
  <c r="AI640" i="1" s="1"/>
  <c r="X640" i="1"/>
  <c r="P640" i="1"/>
  <c r="AP639" i="1"/>
  <c r="AG639" i="1" a="1"/>
  <c r="AG639" i="1" s="1"/>
  <c r="AF639" i="1"/>
  <c r="AD639" i="1" a="1"/>
  <c r="AD639" i="1" s="1"/>
  <c r="AC639" i="1"/>
  <c r="X639" i="1"/>
  <c r="P639" i="1"/>
  <c r="AP638" i="1"/>
  <c r="AG638" i="1" a="1"/>
  <c r="AG638" i="1" s="1"/>
  <c r="AF638" i="1"/>
  <c r="AD638" i="1" a="1"/>
  <c r="AD638" i="1" s="1"/>
  <c r="AC638" i="1"/>
  <c r="AI638" i="1" s="1"/>
  <c r="X638" i="1"/>
  <c r="P638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23" i="1"/>
  <c r="AG637" i="1" a="1"/>
  <c r="AG637" i="1" s="1"/>
  <c r="AF637" i="1"/>
  <c r="AD637" i="1" a="1"/>
  <c r="AD637" i="1" s="1"/>
  <c r="AC637" i="1"/>
  <c r="AI637" i="1" s="1"/>
  <c r="X637" i="1"/>
  <c r="P637" i="1"/>
  <c r="R637" i="1"/>
  <c r="S637" i="1"/>
  <c r="AP637" i="1"/>
  <c r="AP636" i="1"/>
  <c r="AG636" i="1" a="1"/>
  <c r="AG636" i="1" s="1"/>
  <c r="AD636" i="1" a="1"/>
  <c r="AD636" i="1" s="1"/>
  <c r="AC636" i="1"/>
  <c r="X636" i="1"/>
  <c r="S636" i="1"/>
  <c r="R636" i="1"/>
  <c r="P636" i="1"/>
  <c r="AP635" i="1"/>
  <c r="AG635" i="1" a="1"/>
  <c r="AG635" i="1" s="1"/>
  <c r="AD635" i="1" a="1"/>
  <c r="AD635" i="1" s="1"/>
  <c r="AC635" i="1"/>
  <c r="AI635" i="1" s="1"/>
  <c r="X635" i="1"/>
  <c r="S635" i="1"/>
  <c r="R635" i="1"/>
  <c r="P635" i="1"/>
  <c r="AP634" i="1"/>
  <c r="AG634" i="1" a="1"/>
  <c r="AG634" i="1" s="1"/>
  <c r="AD634" i="1" a="1"/>
  <c r="AD634" i="1" s="1"/>
  <c r="AC634" i="1"/>
  <c r="AI634" i="1" s="1"/>
  <c r="X634" i="1"/>
  <c r="S634" i="1"/>
  <c r="R634" i="1"/>
  <c r="P634" i="1"/>
  <c r="AP633" i="1"/>
  <c r="AG633" i="1" a="1"/>
  <c r="AG633" i="1" s="1"/>
  <c r="AD633" i="1" a="1"/>
  <c r="AD633" i="1" s="1"/>
  <c r="AC633" i="1"/>
  <c r="AI633" i="1" s="1"/>
  <c r="X633" i="1"/>
  <c r="S633" i="1"/>
  <c r="R633" i="1"/>
  <c r="P633" i="1"/>
  <c r="AP632" i="1"/>
  <c r="AG632" i="1" a="1"/>
  <c r="AG632" i="1" s="1"/>
  <c r="AD632" i="1" a="1"/>
  <c r="AD632" i="1" s="1"/>
  <c r="AC632" i="1"/>
  <c r="AI632" i="1" s="1"/>
  <c r="X632" i="1"/>
  <c r="S632" i="1"/>
  <c r="R632" i="1"/>
  <c r="P632" i="1"/>
  <c r="AP631" i="1"/>
  <c r="AG631" i="1" a="1"/>
  <c r="AG631" i="1" s="1"/>
  <c r="AD631" i="1" a="1"/>
  <c r="AD631" i="1" s="1"/>
  <c r="AC631" i="1"/>
  <c r="AI631" i="1" s="1"/>
  <c r="X631" i="1"/>
  <c r="S631" i="1"/>
  <c r="R631" i="1"/>
  <c r="P631" i="1"/>
  <c r="AP630" i="1"/>
  <c r="AG630" i="1" a="1"/>
  <c r="AG630" i="1" s="1"/>
  <c r="AD630" i="1" a="1"/>
  <c r="AD630" i="1" s="1"/>
  <c r="AC630" i="1"/>
  <c r="AI630" i="1" s="1"/>
  <c r="X630" i="1"/>
  <c r="S630" i="1"/>
  <c r="R630" i="1"/>
  <c r="P630" i="1"/>
  <c r="AP629" i="1"/>
  <c r="AG629" i="1" a="1"/>
  <c r="AG629" i="1" s="1"/>
  <c r="AD629" i="1" a="1"/>
  <c r="AD629" i="1" s="1"/>
  <c r="AC629" i="1"/>
  <c r="AI629" i="1" s="1"/>
  <c r="X629" i="1"/>
  <c r="S629" i="1"/>
  <c r="R629" i="1"/>
  <c r="P629" i="1"/>
  <c r="AP628" i="1"/>
  <c r="AG628" i="1" a="1"/>
  <c r="AG628" i="1" s="1"/>
  <c r="AD628" i="1" a="1"/>
  <c r="AD628" i="1" s="1"/>
  <c r="AC628" i="1"/>
  <c r="AI628" i="1" s="1"/>
  <c r="X628" i="1"/>
  <c r="S628" i="1"/>
  <c r="R628" i="1"/>
  <c r="P628" i="1"/>
  <c r="AP627" i="1"/>
  <c r="AG627" i="1" a="1"/>
  <c r="AG627" i="1" s="1"/>
  <c r="AD627" i="1" a="1"/>
  <c r="AD627" i="1" s="1"/>
  <c r="AC627" i="1"/>
  <c r="AI627" i="1" s="1"/>
  <c r="X627" i="1"/>
  <c r="S627" i="1"/>
  <c r="R627" i="1"/>
  <c r="P627" i="1"/>
  <c r="AP626" i="1"/>
  <c r="AG626" i="1" a="1"/>
  <c r="AG626" i="1" s="1"/>
  <c r="AD626" i="1" a="1"/>
  <c r="AD626" i="1" s="1"/>
  <c r="AC626" i="1"/>
  <c r="AI626" i="1" s="1"/>
  <c r="X626" i="1"/>
  <c r="S626" i="1"/>
  <c r="R626" i="1"/>
  <c r="P626" i="1"/>
  <c r="AP625" i="1"/>
  <c r="AG625" i="1" a="1"/>
  <c r="AG625" i="1" s="1"/>
  <c r="AD625" i="1" a="1"/>
  <c r="AD625" i="1" s="1"/>
  <c r="AC625" i="1"/>
  <c r="AI625" i="1" s="1"/>
  <c r="X625" i="1"/>
  <c r="S625" i="1"/>
  <c r="R625" i="1"/>
  <c r="P625" i="1"/>
  <c r="AP624" i="1"/>
  <c r="AG624" i="1" a="1"/>
  <c r="AG624" i="1" s="1"/>
  <c r="AD624" i="1" a="1"/>
  <c r="AD624" i="1" s="1"/>
  <c r="AC624" i="1"/>
  <c r="AI624" i="1" s="1"/>
  <c r="X624" i="1"/>
  <c r="S624" i="1"/>
  <c r="R624" i="1"/>
  <c r="P624" i="1"/>
  <c r="AP623" i="1"/>
  <c r="AC623" i="1"/>
  <c r="AI623" i="1" s="1"/>
  <c r="AG623" i="1" a="1"/>
  <c r="AG623" i="1" s="1"/>
  <c r="AD623" i="1" a="1"/>
  <c r="AD623" i="1" s="1"/>
  <c r="X623" i="1"/>
  <c r="S623" i="1"/>
  <c r="R623" i="1"/>
  <c r="P623" i="1"/>
  <c r="N621" i="1"/>
  <c r="AD621" i="1" s="1" a="1"/>
  <c r="AD621" i="1" s="1"/>
  <c r="N619" i="1"/>
  <c r="AD619" i="1" s="1" a="1"/>
  <c r="AD619" i="1" s="1"/>
  <c r="N617" i="1"/>
  <c r="AD617" i="1" s="1" a="1"/>
  <c r="AD617" i="1" s="1"/>
  <c r="N615" i="1"/>
  <c r="AD615" i="1" s="1" a="1"/>
  <c r="AD615" i="1" s="1"/>
  <c r="N613" i="1"/>
  <c r="AC613" i="1" s="1"/>
  <c r="N611" i="1"/>
  <c r="AD611" i="1" s="1" a="1"/>
  <c r="AD611" i="1" s="1"/>
  <c r="AP622" i="1"/>
  <c r="AG622" i="1" a="1"/>
  <c r="AG622" i="1" s="1"/>
  <c r="AF622" i="1"/>
  <c r="AD622" i="1" a="1"/>
  <c r="AD622" i="1" s="1"/>
  <c r="AC622" i="1"/>
  <c r="AI622" i="1" s="1"/>
  <c r="X622" i="1"/>
  <c r="S622" i="1"/>
  <c r="R622" i="1"/>
  <c r="P622" i="1"/>
  <c r="AP621" i="1"/>
  <c r="AG621" i="1" a="1"/>
  <c r="AG621" i="1" s="1"/>
  <c r="AF621" i="1"/>
  <c r="Z621" i="1"/>
  <c r="Y621" i="1"/>
  <c r="AB621" i="1" s="1"/>
  <c r="X621" i="1"/>
  <c r="AA621" i="1" s="1"/>
  <c r="AP620" i="1"/>
  <c r="AG620" i="1" a="1"/>
  <c r="AG620" i="1" s="1"/>
  <c r="AF620" i="1"/>
  <c r="AD620" i="1" a="1"/>
  <c r="AD620" i="1" s="1"/>
  <c r="AC620" i="1"/>
  <c r="Z620" i="1"/>
  <c r="Y620" i="1"/>
  <c r="AB620" i="1" s="1"/>
  <c r="X620" i="1"/>
  <c r="AA620" i="1" s="1"/>
  <c r="S620" i="1"/>
  <c r="R620" i="1"/>
  <c r="P620" i="1"/>
  <c r="AP619" i="1"/>
  <c r="AG619" i="1" a="1"/>
  <c r="AG619" i="1" s="1"/>
  <c r="AF619" i="1"/>
  <c r="Z619" i="1"/>
  <c r="Y619" i="1"/>
  <c r="AB619" i="1" s="1"/>
  <c r="X619" i="1"/>
  <c r="AA619" i="1" s="1"/>
  <c r="AP618" i="1"/>
  <c r="AG618" i="1" a="1"/>
  <c r="AG618" i="1" s="1"/>
  <c r="AF618" i="1"/>
  <c r="AD618" i="1" a="1"/>
  <c r="AD618" i="1" s="1"/>
  <c r="AC618" i="1"/>
  <c r="AI618" i="1" s="1"/>
  <c r="Z618" i="1"/>
  <c r="Y618" i="1"/>
  <c r="AB618" i="1" s="1"/>
  <c r="X618" i="1"/>
  <c r="AA618" i="1" s="1"/>
  <c r="S618" i="1"/>
  <c r="R618" i="1"/>
  <c r="P618" i="1"/>
  <c r="AP617" i="1"/>
  <c r="AG617" i="1" a="1"/>
  <c r="AG617" i="1" s="1"/>
  <c r="AF617" i="1"/>
  <c r="Z617" i="1"/>
  <c r="Y617" i="1"/>
  <c r="AB617" i="1" s="1"/>
  <c r="X617" i="1"/>
  <c r="AA617" i="1" s="1"/>
  <c r="AP616" i="1"/>
  <c r="AG616" i="1" a="1"/>
  <c r="AG616" i="1" s="1"/>
  <c r="AF616" i="1"/>
  <c r="AD616" i="1" a="1"/>
  <c r="AD616" i="1" s="1"/>
  <c r="AC616" i="1"/>
  <c r="AI616" i="1" s="1"/>
  <c r="X616" i="1"/>
  <c r="S616" i="1"/>
  <c r="R616" i="1"/>
  <c r="P616" i="1"/>
  <c r="AP615" i="1"/>
  <c r="AG615" i="1" a="1"/>
  <c r="AG615" i="1" s="1"/>
  <c r="AF615" i="1"/>
  <c r="Z615" i="1"/>
  <c r="Y615" i="1"/>
  <c r="AB615" i="1" s="1"/>
  <c r="X615" i="1"/>
  <c r="AA615" i="1" s="1"/>
  <c r="AP614" i="1"/>
  <c r="AG614" i="1" a="1"/>
  <c r="AG614" i="1" s="1"/>
  <c r="AF614" i="1"/>
  <c r="AD614" i="1" a="1"/>
  <c r="AD614" i="1" s="1"/>
  <c r="AC614" i="1"/>
  <c r="Z614" i="1"/>
  <c r="Y614" i="1"/>
  <c r="AB614" i="1" s="1"/>
  <c r="X614" i="1"/>
  <c r="AA614" i="1" s="1"/>
  <c r="S614" i="1"/>
  <c r="R614" i="1"/>
  <c r="P614" i="1"/>
  <c r="AP613" i="1"/>
  <c r="AG613" i="1" a="1"/>
  <c r="AG613" i="1" s="1"/>
  <c r="AF613" i="1"/>
  <c r="Z613" i="1"/>
  <c r="Y613" i="1"/>
  <c r="AB613" i="1" s="1"/>
  <c r="X613" i="1"/>
  <c r="AA613" i="1" s="1"/>
  <c r="AP612" i="1"/>
  <c r="AG612" i="1" a="1"/>
  <c r="AG612" i="1" s="1"/>
  <c r="AF612" i="1"/>
  <c r="AD612" i="1" a="1"/>
  <c r="AD612" i="1" s="1"/>
  <c r="AC612" i="1"/>
  <c r="AI612" i="1" s="1"/>
  <c r="Z612" i="1"/>
  <c r="Y612" i="1"/>
  <c r="AB612" i="1" s="1"/>
  <c r="X612" i="1"/>
  <c r="AA612" i="1" s="1"/>
  <c r="S612" i="1"/>
  <c r="R612" i="1"/>
  <c r="P612" i="1"/>
  <c r="AP611" i="1"/>
  <c r="AG611" i="1" a="1"/>
  <c r="AG611" i="1" s="1"/>
  <c r="AF611" i="1"/>
  <c r="Z611" i="1"/>
  <c r="Y611" i="1"/>
  <c r="AB611" i="1" s="1"/>
  <c r="X611" i="1"/>
  <c r="AA611" i="1" s="1"/>
  <c r="N609" i="1"/>
  <c r="AC609" i="1" s="1"/>
  <c r="N607" i="1"/>
  <c r="AD607" i="1" s="1" a="1"/>
  <c r="AD607" i="1" s="1"/>
  <c r="N605" i="1"/>
  <c r="AD605" i="1" s="1" a="1"/>
  <c r="AD605" i="1" s="1"/>
  <c r="AP610" i="1"/>
  <c r="AG610" i="1" a="1"/>
  <c r="AG610" i="1" s="1"/>
  <c r="AF610" i="1"/>
  <c r="AD610" i="1" a="1"/>
  <c r="AD610" i="1" s="1"/>
  <c r="AC610" i="1"/>
  <c r="AI610" i="1" s="1"/>
  <c r="X610" i="1"/>
  <c r="S610" i="1"/>
  <c r="R610" i="1"/>
  <c r="P610" i="1"/>
  <c r="AP609" i="1"/>
  <c r="AG609" i="1" a="1"/>
  <c r="AG609" i="1" s="1"/>
  <c r="AF609" i="1"/>
  <c r="Z609" i="1"/>
  <c r="Y609" i="1"/>
  <c r="AB609" i="1" s="1"/>
  <c r="X609" i="1"/>
  <c r="AA609" i="1" s="1"/>
  <c r="AP608" i="1"/>
  <c r="AG608" i="1" a="1"/>
  <c r="AG608" i="1" s="1"/>
  <c r="AF608" i="1"/>
  <c r="AD608" i="1" a="1"/>
  <c r="AD608" i="1" s="1"/>
  <c r="AC608" i="1"/>
  <c r="AI608" i="1" s="1"/>
  <c r="Z608" i="1"/>
  <c r="Y608" i="1"/>
  <c r="AB608" i="1" s="1"/>
  <c r="X608" i="1"/>
  <c r="AA608" i="1" s="1"/>
  <c r="S608" i="1"/>
  <c r="R608" i="1"/>
  <c r="P608" i="1"/>
  <c r="AP607" i="1"/>
  <c r="AG607" i="1" a="1"/>
  <c r="AG607" i="1" s="1"/>
  <c r="AF607" i="1"/>
  <c r="Z607" i="1"/>
  <c r="Y607" i="1"/>
  <c r="AB607" i="1" s="1"/>
  <c r="X607" i="1"/>
  <c r="AA607" i="1" s="1"/>
  <c r="AP606" i="1"/>
  <c r="AG606" i="1" a="1"/>
  <c r="AG606" i="1" s="1"/>
  <c r="AF606" i="1"/>
  <c r="AD606" i="1" a="1"/>
  <c r="AD606" i="1" s="1"/>
  <c r="AC606" i="1"/>
  <c r="AI606" i="1" s="1"/>
  <c r="Z606" i="1"/>
  <c r="Y606" i="1"/>
  <c r="AB606" i="1" s="1"/>
  <c r="X606" i="1"/>
  <c r="AA606" i="1" s="1"/>
  <c r="S606" i="1"/>
  <c r="R606" i="1"/>
  <c r="P606" i="1"/>
  <c r="AP605" i="1"/>
  <c r="AG605" i="1" a="1"/>
  <c r="AG605" i="1" s="1"/>
  <c r="AF605" i="1"/>
  <c r="Z605" i="1"/>
  <c r="Y605" i="1"/>
  <c r="AB605" i="1" s="1"/>
  <c r="X605" i="1"/>
  <c r="AA605" i="1" s="1"/>
  <c r="Z600" i="1"/>
  <c r="Z601" i="1"/>
  <c r="Z602" i="1"/>
  <c r="Z603" i="1"/>
  <c r="Y600" i="1"/>
  <c r="AB600" i="1" s="1"/>
  <c r="Y601" i="1"/>
  <c r="AB601" i="1" s="1"/>
  <c r="Y602" i="1"/>
  <c r="AB602" i="1" s="1"/>
  <c r="Y603" i="1"/>
  <c r="AB603" i="1" s="1"/>
  <c r="Z599" i="1"/>
  <c r="Y599" i="1"/>
  <c r="AB599" i="1" s="1"/>
  <c r="N603" i="1"/>
  <c r="AD603" i="1" s="1" a="1"/>
  <c r="AD603" i="1" s="1"/>
  <c r="N601" i="1"/>
  <c r="AC601" i="1" s="1"/>
  <c r="AI601" i="1" s="1"/>
  <c r="N599" i="1"/>
  <c r="AD599" i="1" s="1" a="1"/>
  <c r="AD599" i="1" s="1"/>
  <c r="AP603" i="1"/>
  <c r="AG603" i="1" a="1"/>
  <c r="AG603" i="1" s="1"/>
  <c r="AF603" i="1"/>
  <c r="X603" i="1"/>
  <c r="AA603" i="1" s="1"/>
  <c r="AP601" i="1"/>
  <c r="AG601" i="1" a="1"/>
  <c r="AG601" i="1" s="1"/>
  <c r="AF601" i="1"/>
  <c r="X601" i="1"/>
  <c r="AA601" i="1" s="1"/>
  <c r="AP600" i="1"/>
  <c r="AG600" i="1" a="1"/>
  <c r="AG600" i="1" s="1"/>
  <c r="AF600" i="1"/>
  <c r="AD600" i="1" a="1"/>
  <c r="AD600" i="1" s="1"/>
  <c r="AC600" i="1"/>
  <c r="X600" i="1"/>
  <c r="AA600" i="1" s="1"/>
  <c r="S600" i="1"/>
  <c r="R600" i="1"/>
  <c r="P600" i="1"/>
  <c r="AP604" i="1"/>
  <c r="AG604" i="1" a="1"/>
  <c r="AG604" i="1" s="1"/>
  <c r="AF604" i="1"/>
  <c r="AD604" i="1" a="1"/>
  <c r="AD604" i="1" s="1"/>
  <c r="AC604" i="1"/>
  <c r="AI604" i="1" s="1"/>
  <c r="X604" i="1"/>
  <c r="S604" i="1"/>
  <c r="R604" i="1"/>
  <c r="P604" i="1"/>
  <c r="AP602" i="1"/>
  <c r="AG602" i="1" a="1"/>
  <c r="AG602" i="1" s="1"/>
  <c r="AF602" i="1"/>
  <c r="AD602" i="1" a="1"/>
  <c r="AD602" i="1" s="1"/>
  <c r="AC602" i="1"/>
  <c r="AI602" i="1" s="1"/>
  <c r="X602" i="1"/>
  <c r="AA602" i="1" s="1"/>
  <c r="S602" i="1"/>
  <c r="R602" i="1"/>
  <c r="P602" i="1"/>
  <c r="AP599" i="1"/>
  <c r="AG599" i="1" a="1"/>
  <c r="AG599" i="1" s="1"/>
  <c r="AF599" i="1"/>
  <c r="X599" i="1"/>
  <c r="AA599" i="1" s="1"/>
  <c r="AP598" i="1"/>
  <c r="AG598" i="1" a="1"/>
  <c r="AG598" i="1" s="1"/>
  <c r="AF598" i="1"/>
  <c r="AD598" i="1" a="1"/>
  <c r="AD598" i="1" s="1"/>
  <c r="AC598" i="1"/>
  <c r="X598" i="1"/>
  <c r="S598" i="1"/>
  <c r="R598" i="1"/>
  <c r="P598" i="1"/>
  <c r="AP597" i="1"/>
  <c r="AG597" i="1" a="1"/>
  <c r="AG597" i="1" s="1"/>
  <c r="AF597" i="1"/>
  <c r="AD597" i="1" a="1"/>
  <c r="AD597" i="1" s="1"/>
  <c r="AC597" i="1"/>
  <c r="AI597" i="1" s="1"/>
  <c r="X597" i="1"/>
  <c r="S597" i="1"/>
  <c r="R597" i="1"/>
  <c r="P597" i="1"/>
  <c r="AP596" i="1"/>
  <c r="AG596" i="1" a="1"/>
  <c r="AG596" i="1" s="1"/>
  <c r="AF596" i="1"/>
  <c r="AD596" i="1" a="1"/>
  <c r="AD596" i="1" s="1"/>
  <c r="AC596" i="1"/>
  <c r="AI596" i="1" s="1"/>
  <c r="X596" i="1"/>
  <c r="S596" i="1"/>
  <c r="R596" i="1"/>
  <c r="P596" i="1"/>
  <c r="AP595" i="1"/>
  <c r="AG595" i="1" a="1"/>
  <c r="AG595" i="1" s="1"/>
  <c r="AF595" i="1"/>
  <c r="AD595" i="1" a="1"/>
  <c r="AD595" i="1" s="1"/>
  <c r="AC595" i="1"/>
  <c r="AI595" i="1" s="1"/>
  <c r="X595" i="1"/>
  <c r="S595" i="1"/>
  <c r="R595" i="1"/>
  <c r="P595" i="1"/>
  <c r="AP594" i="1"/>
  <c r="AG594" i="1" a="1"/>
  <c r="AG594" i="1" s="1"/>
  <c r="AF594" i="1"/>
  <c r="AD594" i="1" a="1"/>
  <c r="AD594" i="1" s="1"/>
  <c r="AC594" i="1"/>
  <c r="AI594" i="1" s="1"/>
  <c r="X594" i="1"/>
  <c r="S594" i="1"/>
  <c r="R594" i="1"/>
  <c r="P594" i="1"/>
  <c r="AP593" i="1"/>
  <c r="AG593" i="1" a="1"/>
  <c r="AG593" i="1" s="1"/>
  <c r="AF593" i="1"/>
  <c r="AD593" i="1" a="1"/>
  <c r="AD593" i="1" s="1"/>
  <c r="AC593" i="1"/>
  <c r="AI593" i="1" s="1"/>
  <c r="X593" i="1"/>
  <c r="S593" i="1"/>
  <c r="R593" i="1"/>
  <c r="P593" i="1"/>
  <c r="AF592" i="1"/>
  <c r="AF591" i="1"/>
  <c r="AC592" i="1"/>
  <c r="AI592" i="1" s="1"/>
  <c r="AC591" i="1"/>
  <c r="AI591" i="1" s="1"/>
  <c r="AP592" i="1"/>
  <c r="AG592" i="1" a="1"/>
  <c r="AG592" i="1" s="1"/>
  <c r="AD592" i="1" a="1"/>
  <c r="AD592" i="1" s="1"/>
  <c r="X592" i="1"/>
  <c r="S592" i="1"/>
  <c r="R592" i="1"/>
  <c r="P592" i="1"/>
  <c r="AG591" i="1" a="1"/>
  <c r="AG591" i="1" s="1"/>
  <c r="AD591" i="1" a="1"/>
  <c r="AD591" i="1" s="1"/>
  <c r="X591" i="1"/>
  <c r="S591" i="1"/>
  <c r="R591" i="1"/>
  <c r="P591" i="1"/>
  <c r="AP591" i="1"/>
  <c r="AG590" i="1" a="1"/>
  <c r="AG590" i="1" s="1"/>
  <c r="AP590" i="1"/>
  <c r="AF590" i="1"/>
  <c r="AD590" i="1" a="1"/>
  <c r="AD590" i="1" s="1"/>
  <c r="AC590" i="1"/>
  <c r="AI590" i="1" s="1"/>
  <c r="X590" i="1"/>
  <c r="S590" i="1"/>
  <c r="R590" i="1"/>
  <c r="P590" i="1"/>
  <c r="AG589" i="1" a="1"/>
  <c r="AG589" i="1" s="1"/>
  <c r="AG588" i="1" a="1"/>
  <c r="AG588" i="1" s="1"/>
  <c r="AG587" i="1" a="1"/>
  <c r="AG587" i="1" s="1"/>
  <c r="AG586" i="1" a="1"/>
  <c r="AG586" i="1" s="1"/>
  <c r="AG584" i="1" a="1"/>
  <c r="AG584" i="1" s="1"/>
  <c r="AG583" i="1" a="1"/>
  <c r="AG583" i="1" s="1"/>
  <c r="AF589" i="1"/>
  <c r="AF588" i="1"/>
  <c r="AF587" i="1"/>
  <c r="AF586" i="1"/>
  <c r="AF583" i="1"/>
  <c r="AD588" i="1" a="1"/>
  <c r="AD588" i="1" s="1"/>
  <c r="AD586" i="1" a="1"/>
  <c r="AD586" i="1" s="1"/>
  <c r="AD584" i="1" a="1"/>
  <c r="AD584" i="1" s="1"/>
  <c r="AD583" i="1" a="1"/>
  <c r="AD583" i="1" s="1"/>
  <c r="AC583" i="1"/>
  <c r="AI583" i="1" s="1"/>
  <c r="AC588" i="1"/>
  <c r="AI588" i="1" s="1"/>
  <c r="AC586" i="1"/>
  <c r="AC584" i="1"/>
  <c r="AI584" i="1" s="1"/>
  <c r="X585" i="1"/>
  <c r="X584" i="1"/>
  <c r="AP584" i="1"/>
  <c r="AP583" i="1"/>
  <c r="AP586" i="1"/>
  <c r="AP587" i="1"/>
  <c r="AP588" i="1"/>
  <c r="AP589" i="1"/>
  <c r="S588" i="1"/>
  <c r="R588" i="1"/>
  <c r="S586" i="1"/>
  <c r="R586" i="1"/>
  <c r="S585" i="1"/>
  <c r="R585" i="1"/>
  <c r="P588" i="1"/>
  <c r="P586" i="1"/>
  <c r="P585" i="1"/>
  <c r="P584" i="1"/>
  <c r="R584" i="1"/>
  <c r="S584" i="1"/>
  <c r="AF584" i="1"/>
  <c r="N589" i="1"/>
  <c r="AC589" i="1" s="1"/>
  <c r="N587" i="1"/>
  <c r="AC587" i="1" s="1"/>
  <c r="X583" i="1"/>
  <c r="P583" i="1"/>
  <c r="R583" i="1"/>
  <c r="S583" i="1"/>
  <c r="X580" i="1"/>
  <c r="X579" i="1"/>
  <c r="X581" i="1"/>
  <c r="AG582" i="1" a="1"/>
  <c r="AG582" i="1" s="1"/>
  <c r="AF582" i="1"/>
  <c r="AD582" i="1" a="1"/>
  <c r="AD582" i="1" s="1"/>
  <c r="AC582" i="1"/>
  <c r="AI582" i="1" s="1"/>
  <c r="X582" i="1"/>
  <c r="P582" i="1"/>
  <c r="R582" i="1"/>
  <c r="S582" i="1"/>
  <c r="AG581" i="1" a="1"/>
  <c r="AG581" i="1" s="1"/>
  <c r="AF581" i="1"/>
  <c r="AG580" i="1" a="1"/>
  <c r="AG580" i="1" s="1"/>
  <c r="AF580" i="1"/>
  <c r="AG579" i="1" a="1"/>
  <c r="AG579" i="1" s="1"/>
  <c r="AF579" i="1"/>
  <c r="AD581" i="1" a="1"/>
  <c r="AD581" i="1" s="1"/>
  <c r="AD580" i="1" a="1"/>
  <c r="AD580" i="1" s="1"/>
  <c r="AD579" i="1" a="1"/>
  <c r="AD579" i="1" s="1"/>
  <c r="P581" i="1"/>
  <c r="R581" i="1"/>
  <c r="S581" i="1"/>
  <c r="P580" i="1"/>
  <c r="R580" i="1"/>
  <c r="S580" i="1"/>
  <c r="P579" i="1"/>
  <c r="R579" i="1"/>
  <c r="S579" i="1"/>
  <c r="AC581" i="1"/>
  <c r="AI581" i="1" s="1"/>
  <c r="AC580" i="1"/>
  <c r="AI580" i="1" s="1"/>
  <c r="AC579" i="1"/>
  <c r="AI579" i="1" s="1"/>
  <c r="X393" i="1"/>
  <c r="AP397" i="1"/>
  <c r="AG397" i="1" a="1"/>
  <c r="AG397" i="1" s="1"/>
  <c r="AF397" i="1"/>
  <c r="AD397" i="1" a="1"/>
  <c r="AD397" i="1" s="1"/>
  <c r="AC397" i="1"/>
  <c r="AI397" i="1" s="1"/>
  <c r="X397" i="1"/>
  <c r="S397" i="1"/>
  <c r="R397" i="1"/>
  <c r="P397" i="1"/>
  <c r="AP396" i="1"/>
  <c r="AG396" i="1" a="1"/>
  <c r="AG396" i="1" s="1"/>
  <c r="AF396" i="1"/>
  <c r="AD396" i="1" a="1"/>
  <c r="AD396" i="1" s="1"/>
  <c r="AC396" i="1"/>
  <c r="AI396" i="1" s="1"/>
  <c r="X396" i="1"/>
  <c r="S396" i="1"/>
  <c r="R396" i="1"/>
  <c r="P396" i="1"/>
  <c r="AP395" i="1"/>
  <c r="AG395" i="1" a="1"/>
  <c r="AG395" i="1" s="1"/>
  <c r="AF395" i="1"/>
  <c r="AD395" i="1" a="1"/>
  <c r="AD395" i="1" s="1"/>
  <c r="AC395" i="1"/>
  <c r="AI395" i="1" s="1"/>
  <c r="X395" i="1"/>
  <c r="S395" i="1"/>
  <c r="R395" i="1"/>
  <c r="P395" i="1"/>
  <c r="AP394" i="1"/>
  <c r="AP393" i="1"/>
  <c r="AP392" i="1"/>
  <c r="AG394" i="1" a="1"/>
  <c r="AG394" i="1" s="1"/>
  <c r="AF394" i="1"/>
  <c r="AD394" i="1" a="1"/>
  <c r="AD394" i="1" s="1"/>
  <c r="AC394" i="1"/>
  <c r="X394" i="1"/>
  <c r="S394" i="1"/>
  <c r="R394" i="1"/>
  <c r="P394" i="1"/>
  <c r="AG393" i="1" a="1"/>
  <c r="AG393" i="1" s="1"/>
  <c r="AF393" i="1"/>
  <c r="AD393" i="1" a="1"/>
  <c r="AD393" i="1" s="1"/>
  <c r="AC393" i="1"/>
  <c r="AI393" i="1" s="1"/>
  <c r="S393" i="1"/>
  <c r="R393" i="1"/>
  <c r="P393" i="1"/>
  <c r="AG392" i="1" a="1"/>
  <c r="AG392" i="1" s="1"/>
  <c r="AF392" i="1"/>
  <c r="AD392" i="1" a="1"/>
  <c r="AD392" i="1" s="1"/>
  <c r="AC392" i="1"/>
  <c r="X392" i="1"/>
  <c r="S392" i="1"/>
  <c r="R392" i="1"/>
  <c r="P392" i="1"/>
  <c r="AC118" i="1"/>
  <c r="AC117" i="1"/>
  <c r="AI117" i="1" s="1"/>
  <c r="AC116" i="1"/>
  <c r="AI116" i="1" s="1"/>
  <c r="AC115" i="1"/>
  <c r="AI115" i="1" s="1"/>
  <c r="AC114" i="1"/>
  <c r="AI114" i="1" s="1"/>
  <c r="AC113" i="1"/>
  <c r="AC112" i="1"/>
  <c r="AC111" i="1"/>
  <c r="AI111" i="1" s="1"/>
  <c r="AC110" i="1"/>
  <c r="AI110" i="1" s="1"/>
  <c r="AC109" i="1"/>
  <c r="AI109" i="1" s="1"/>
  <c r="AC108" i="1"/>
  <c r="AI108" i="1" s="1"/>
  <c r="AC107" i="1"/>
  <c r="AC106" i="1"/>
  <c r="AC105" i="1"/>
  <c r="AC104" i="1"/>
  <c r="AC103" i="1"/>
  <c r="AC102" i="1"/>
  <c r="AP116" i="1"/>
  <c r="AG116" i="1" a="1"/>
  <c r="AG116" i="1" s="1"/>
  <c r="AF116" i="1"/>
  <c r="AD116" i="1" a="1"/>
  <c r="AD116" i="1" s="1"/>
  <c r="X116" i="1"/>
  <c r="S116" i="1"/>
  <c r="R116" i="1"/>
  <c r="P116" i="1"/>
  <c r="AP115" i="1"/>
  <c r="AG115" i="1" a="1"/>
  <c r="AG115" i="1" s="1"/>
  <c r="AF115" i="1"/>
  <c r="AD115" i="1" a="1"/>
  <c r="AD115" i="1" s="1"/>
  <c r="X115" i="1"/>
  <c r="S115" i="1"/>
  <c r="R115" i="1"/>
  <c r="P115" i="1"/>
  <c r="AP117" i="1"/>
  <c r="AG117" i="1" a="1"/>
  <c r="AG117" i="1" s="1"/>
  <c r="AF117" i="1"/>
  <c r="AD117" i="1" a="1"/>
  <c r="AD117" i="1" s="1"/>
  <c r="X117" i="1"/>
  <c r="S117" i="1"/>
  <c r="R117" i="1"/>
  <c r="P117" i="1"/>
  <c r="AP112" i="1"/>
  <c r="AG112" i="1" a="1"/>
  <c r="AG112" i="1" s="1"/>
  <c r="AF112" i="1"/>
  <c r="AD112" i="1" a="1"/>
  <c r="AD112" i="1" s="1"/>
  <c r="X112" i="1"/>
  <c r="S112" i="1"/>
  <c r="R112" i="1"/>
  <c r="P112" i="1"/>
  <c r="AP113" i="1"/>
  <c r="AG113" i="1" a="1"/>
  <c r="AG113" i="1" s="1"/>
  <c r="AF113" i="1"/>
  <c r="AD113" i="1" a="1"/>
  <c r="AD113" i="1" s="1"/>
  <c r="X113" i="1"/>
  <c r="S113" i="1"/>
  <c r="R113" i="1"/>
  <c r="P113" i="1"/>
  <c r="AD2" i="1" a="1"/>
  <c r="AD2" i="1" s="1"/>
  <c r="AF534" i="1"/>
  <c r="AF533" i="1"/>
  <c r="AF532" i="1"/>
  <c r="AF118" i="1"/>
  <c r="AF114" i="1"/>
  <c r="AF111" i="1"/>
  <c r="AF110" i="1"/>
  <c r="AF109" i="1"/>
  <c r="AF108" i="1"/>
  <c r="AF107" i="1"/>
  <c r="AF106" i="1"/>
  <c r="AF105" i="1"/>
  <c r="AF104" i="1"/>
  <c r="AF103" i="1"/>
  <c r="AF102" i="1"/>
  <c r="AF101" i="1"/>
  <c r="AF100" i="1"/>
  <c r="AF99" i="1"/>
  <c r="AF98" i="1"/>
  <c r="AF97" i="1"/>
  <c r="AF96" i="1"/>
  <c r="AF95" i="1"/>
  <c r="AF94" i="1"/>
  <c r="AF93" i="1"/>
  <c r="AF92" i="1"/>
  <c r="AF91" i="1"/>
  <c r="AF90" i="1"/>
  <c r="AF89" i="1"/>
  <c r="AF88" i="1"/>
  <c r="AF87" i="1"/>
  <c r="AF86" i="1"/>
  <c r="AF85" i="1"/>
  <c r="AF84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2" i="1"/>
  <c r="AF221" i="1"/>
  <c r="AF219" i="1"/>
  <c r="AF217" i="1"/>
  <c r="AF215" i="1"/>
  <c r="AF213" i="1"/>
  <c r="AF212" i="1"/>
  <c r="AF210" i="1"/>
  <c r="AF209" i="1"/>
  <c r="AF207" i="1"/>
  <c r="AF206" i="1"/>
  <c r="AF204" i="1"/>
  <c r="AF203" i="1"/>
  <c r="AF201" i="1"/>
  <c r="AF200" i="1"/>
  <c r="AF198" i="1"/>
  <c r="AF197" i="1"/>
  <c r="AF195" i="1"/>
  <c r="AF194" i="1"/>
  <c r="AF192" i="1"/>
  <c r="AF191" i="1"/>
  <c r="AF189" i="1"/>
  <c r="AF188" i="1"/>
  <c r="AF186" i="1"/>
  <c r="AF185" i="1"/>
  <c r="AF183" i="1"/>
  <c r="AF182" i="1"/>
  <c r="AF180" i="1"/>
  <c r="AF179" i="1"/>
  <c r="AF177" i="1"/>
  <c r="AF176" i="1"/>
  <c r="AF174" i="1"/>
  <c r="AF173" i="1"/>
  <c r="AF171" i="1"/>
  <c r="AF170" i="1"/>
  <c r="AF168" i="1"/>
  <c r="AF167" i="1"/>
  <c r="AF165" i="1"/>
  <c r="AF164" i="1"/>
  <c r="AF162" i="1"/>
  <c r="AF161" i="1"/>
  <c r="AC161" i="1"/>
  <c r="AI161" i="1" s="1"/>
  <c r="AC162" i="1"/>
  <c r="AI162" i="1" s="1"/>
  <c r="AC164" i="1"/>
  <c r="AC165" i="1"/>
  <c r="AI165" i="1" s="1"/>
  <c r="AC167" i="1"/>
  <c r="AI167" i="1" s="1"/>
  <c r="AC168" i="1"/>
  <c r="AC170" i="1"/>
  <c r="AC171" i="1"/>
  <c r="AI171" i="1" s="1"/>
  <c r="AC173" i="1"/>
  <c r="AC174" i="1"/>
  <c r="AC176" i="1"/>
  <c r="AC177" i="1"/>
  <c r="AI177" i="1" s="1"/>
  <c r="AC179" i="1"/>
  <c r="AI179" i="1" s="1"/>
  <c r="AC180" i="1"/>
  <c r="AC182" i="1"/>
  <c r="AC183" i="1"/>
  <c r="AI183" i="1" s="1"/>
  <c r="AC185" i="1"/>
  <c r="AC186" i="1"/>
  <c r="AI186" i="1" s="1"/>
  <c r="AC188" i="1"/>
  <c r="AI188" i="1" s="1"/>
  <c r="AC189" i="1"/>
  <c r="AI189" i="1" s="1"/>
  <c r="AC191" i="1"/>
  <c r="AC192" i="1"/>
  <c r="AC194" i="1"/>
  <c r="AC195" i="1"/>
  <c r="AC197" i="1"/>
  <c r="AC198" i="1"/>
  <c r="AC200" i="1"/>
  <c r="AC201" i="1"/>
  <c r="AI201" i="1" s="1"/>
  <c r="AC203" i="1"/>
  <c r="AC204" i="1"/>
  <c r="AI204" i="1" s="1"/>
  <c r="AC206" i="1"/>
  <c r="AC207" i="1"/>
  <c r="AI207" i="1" s="1"/>
  <c r="AC209" i="1"/>
  <c r="AI209" i="1" s="1"/>
  <c r="AC210" i="1"/>
  <c r="AI210" i="1" s="1"/>
  <c r="AC212" i="1"/>
  <c r="AI212" i="1" s="1"/>
  <c r="AC213" i="1"/>
  <c r="AI213" i="1" s="1"/>
  <c r="AC215" i="1"/>
  <c r="AC217" i="1"/>
  <c r="AC219" i="1"/>
  <c r="AC221" i="1"/>
  <c r="AD65" i="1" a="1"/>
  <c r="AD65" i="1" s="1"/>
  <c r="AD64" i="1" a="1"/>
  <c r="AD64" i="1" s="1"/>
  <c r="AD63" i="1" a="1"/>
  <c r="AD63" i="1" s="1"/>
  <c r="AD62" i="1" a="1"/>
  <c r="AD62" i="1" s="1"/>
  <c r="AD61" i="1" a="1"/>
  <c r="AD61" i="1" s="1"/>
  <c r="AD60" i="1" a="1"/>
  <c r="AD60" i="1" s="1"/>
  <c r="AD59" i="1" a="1"/>
  <c r="AD59" i="1" s="1"/>
  <c r="AD58" i="1" a="1"/>
  <c r="AD58" i="1" s="1"/>
  <c r="AD57" i="1" a="1"/>
  <c r="AD57" i="1" s="1"/>
  <c r="AD56" i="1" a="1"/>
  <c r="AD56" i="1" s="1"/>
  <c r="AD55" i="1" a="1"/>
  <c r="AD55" i="1" s="1"/>
  <c r="AD54" i="1" a="1"/>
  <c r="AD54" i="1" s="1"/>
  <c r="AD53" i="1" a="1"/>
  <c r="AD53" i="1" s="1"/>
  <c r="AD52" i="1" a="1"/>
  <c r="AD52" i="1" s="1"/>
  <c r="AD51" i="1" a="1"/>
  <c r="AD51" i="1" s="1"/>
  <c r="AD50" i="1" a="1"/>
  <c r="AD50" i="1" s="1"/>
  <c r="AD49" i="1" a="1"/>
  <c r="AD49" i="1" s="1"/>
  <c r="AD48" i="1" a="1"/>
  <c r="AD48" i="1" s="1"/>
  <c r="AD47" i="1" a="1"/>
  <c r="AD47" i="1" s="1"/>
  <c r="AD46" i="1" a="1"/>
  <c r="AD46" i="1" s="1"/>
  <c r="AD45" i="1" a="1"/>
  <c r="AD45" i="1" s="1"/>
  <c r="AD44" i="1" a="1"/>
  <c r="AD44" i="1" s="1"/>
  <c r="AD43" i="1" a="1"/>
  <c r="AD43" i="1" s="1"/>
  <c r="AD42" i="1" a="1"/>
  <c r="AD42" i="1" s="1"/>
  <c r="AD41" i="1" a="1"/>
  <c r="AD41" i="1" s="1"/>
  <c r="AD40" i="1" a="1"/>
  <c r="AD40" i="1" s="1"/>
  <c r="AD39" i="1" a="1"/>
  <c r="AD39" i="1" s="1"/>
  <c r="AD38" i="1" a="1"/>
  <c r="AD38" i="1" s="1"/>
  <c r="AD37" i="1" a="1"/>
  <c r="AD37" i="1" s="1"/>
  <c r="AD36" i="1" a="1"/>
  <c r="AD36" i="1" s="1"/>
  <c r="AD35" i="1" a="1"/>
  <c r="AD35" i="1" s="1"/>
  <c r="AD34" i="1" a="1"/>
  <c r="AD34" i="1" s="1"/>
  <c r="AD33" i="1" a="1"/>
  <c r="AD33" i="1" s="1"/>
  <c r="AD32" i="1" a="1"/>
  <c r="AD32" i="1" s="1"/>
  <c r="AD31" i="1" a="1"/>
  <c r="AD31" i="1" s="1"/>
  <c r="AD30" i="1" a="1"/>
  <c r="AD30" i="1" s="1"/>
  <c r="AD29" i="1" a="1"/>
  <c r="AD29" i="1" s="1"/>
  <c r="AD28" i="1" a="1"/>
  <c r="AD28" i="1" s="1"/>
  <c r="AD27" i="1" a="1"/>
  <c r="AD27" i="1" s="1"/>
  <c r="AD26" i="1" a="1"/>
  <c r="AD26" i="1" s="1"/>
  <c r="AD25" i="1" a="1"/>
  <c r="AD25" i="1" s="1"/>
  <c r="AD24" i="1" a="1"/>
  <c r="AD24" i="1" s="1"/>
  <c r="AD23" i="1" a="1"/>
  <c r="AD23" i="1" s="1"/>
  <c r="AD22" i="1" a="1"/>
  <c r="AD22" i="1" s="1"/>
  <c r="AD21" i="1" a="1"/>
  <c r="AD21" i="1" s="1"/>
  <c r="AD20" i="1" a="1"/>
  <c r="AD20" i="1" s="1"/>
  <c r="AD19" i="1" a="1"/>
  <c r="AD19" i="1" s="1"/>
  <c r="AD18" i="1" a="1"/>
  <c r="AD18" i="1" s="1"/>
  <c r="AC19" i="1"/>
  <c r="AC20" i="1"/>
  <c r="AC21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17" i="1"/>
  <c r="AC16" i="1"/>
  <c r="AC15" i="1"/>
  <c r="AC14" i="1"/>
  <c r="AC4" i="1"/>
  <c r="AC5" i="1"/>
  <c r="AC6" i="1"/>
  <c r="AC7" i="1"/>
  <c r="AC8" i="1"/>
  <c r="AC9" i="1"/>
  <c r="AC10" i="1"/>
  <c r="AC11" i="1"/>
  <c r="AC12" i="1"/>
  <c r="AC13" i="1"/>
  <c r="AC2" i="1"/>
  <c r="AC3" i="1"/>
  <c r="AG578" i="1" a="1"/>
  <c r="AG578" i="1" s="1"/>
  <c r="AG577" i="1" a="1"/>
  <c r="AG577" i="1" s="1"/>
  <c r="AG576" i="1" a="1"/>
  <c r="AG576" i="1" s="1"/>
  <c r="AG575" i="1" a="1"/>
  <c r="AG575" i="1" s="1"/>
  <c r="AG574" i="1" a="1"/>
  <c r="AG574" i="1" s="1"/>
  <c r="AG573" i="1" a="1"/>
  <c r="AG573" i="1" s="1"/>
  <c r="AG572" i="1" a="1"/>
  <c r="AG572" i="1" s="1"/>
  <c r="AG571" i="1" a="1"/>
  <c r="AG571" i="1" s="1"/>
  <c r="AG570" i="1" a="1"/>
  <c r="AG570" i="1" s="1"/>
  <c r="AG569" i="1" a="1"/>
  <c r="AG569" i="1" s="1"/>
  <c r="AG568" i="1" a="1"/>
  <c r="AG568" i="1" s="1"/>
  <c r="AG567" i="1" a="1"/>
  <c r="AG567" i="1" s="1"/>
  <c r="AG566" i="1" a="1"/>
  <c r="AG566" i="1" s="1"/>
  <c r="AG565" i="1" a="1"/>
  <c r="AG565" i="1" s="1"/>
  <c r="AG564" i="1" a="1"/>
  <c r="AG564" i="1" s="1"/>
  <c r="AG563" i="1" a="1"/>
  <c r="AG563" i="1" s="1"/>
  <c r="AG562" i="1" a="1"/>
  <c r="AG562" i="1" s="1"/>
  <c r="AG561" i="1" a="1"/>
  <c r="AG561" i="1" s="1"/>
  <c r="AG560" i="1" a="1"/>
  <c r="AG560" i="1" s="1"/>
  <c r="AG559" i="1" a="1"/>
  <c r="AG559" i="1" s="1"/>
  <c r="AG558" i="1" a="1"/>
  <c r="AG558" i="1" s="1"/>
  <c r="AG557" i="1" a="1"/>
  <c r="AG557" i="1" s="1"/>
  <c r="AG556" i="1" a="1"/>
  <c r="AG556" i="1" s="1"/>
  <c r="AG555" i="1" a="1"/>
  <c r="AG555" i="1" s="1"/>
  <c r="AG554" i="1" a="1"/>
  <c r="AG554" i="1" s="1"/>
  <c r="AG553" i="1" a="1"/>
  <c r="AG553" i="1" s="1"/>
  <c r="AG552" i="1" a="1"/>
  <c r="AG552" i="1" s="1"/>
  <c r="AG551" i="1" a="1"/>
  <c r="AG551" i="1" s="1"/>
  <c r="AG550" i="1" a="1"/>
  <c r="AG550" i="1" s="1"/>
  <c r="AG549" i="1" a="1"/>
  <c r="AG549" i="1" s="1"/>
  <c r="AG548" i="1" a="1"/>
  <c r="AG548" i="1" s="1"/>
  <c r="AG547" i="1" a="1"/>
  <c r="AG547" i="1" s="1"/>
  <c r="AG546" i="1" a="1"/>
  <c r="AG546" i="1" s="1"/>
  <c r="AG545" i="1" a="1"/>
  <c r="AG545" i="1" s="1"/>
  <c r="AG544" i="1" a="1"/>
  <c r="AG544" i="1" s="1"/>
  <c r="AG543" i="1" a="1"/>
  <c r="AG543" i="1" s="1"/>
  <c r="AG542" i="1" a="1"/>
  <c r="AG542" i="1" s="1"/>
  <c r="AG541" i="1" a="1"/>
  <c r="AG541" i="1" s="1"/>
  <c r="AG540" i="1" a="1"/>
  <c r="AG540" i="1" s="1"/>
  <c r="AG539" i="1" a="1"/>
  <c r="AG539" i="1" s="1"/>
  <c r="AG538" i="1" a="1"/>
  <c r="AG538" i="1" s="1"/>
  <c r="AG537" i="1" a="1"/>
  <c r="AG537" i="1" s="1"/>
  <c r="AG536" i="1" a="1"/>
  <c r="AG536" i="1" s="1"/>
  <c r="AG535" i="1" a="1"/>
  <c r="AG535" i="1" s="1"/>
  <c r="AG534" i="1" a="1"/>
  <c r="AG534" i="1" s="1"/>
  <c r="AG533" i="1" a="1"/>
  <c r="AG533" i="1" s="1"/>
  <c r="AG532" i="1" a="1"/>
  <c r="AG532" i="1" s="1"/>
  <c r="AG531" i="1" a="1"/>
  <c r="AG531" i="1" s="1"/>
  <c r="AG530" i="1" a="1"/>
  <c r="AG530" i="1" s="1"/>
  <c r="AH530" i="1" s="1"/>
  <c r="AG529" i="1" a="1"/>
  <c r="AG529" i="1" s="1"/>
  <c r="AG528" i="1" a="1"/>
  <c r="AG528" i="1" s="1"/>
  <c r="AH528" i="1" s="1"/>
  <c r="AG527" i="1" a="1"/>
  <c r="AG527" i="1" s="1"/>
  <c r="AG526" i="1" a="1"/>
  <c r="AG526" i="1" s="1"/>
  <c r="AH526" i="1" s="1"/>
  <c r="AG525" i="1" a="1"/>
  <c r="AG525" i="1" s="1"/>
  <c r="AG524" i="1" a="1"/>
  <c r="AG524" i="1" s="1"/>
  <c r="AH524" i="1" s="1"/>
  <c r="AG523" i="1" a="1"/>
  <c r="AG523" i="1" s="1"/>
  <c r="AG522" i="1" a="1"/>
  <c r="AG522" i="1" s="1"/>
  <c r="AG521" i="1" a="1"/>
  <c r="AG521" i="1" s="1"/>
  <c r="AG520" i="1" a="1"/>
  <c r="AG520" i="1" s="1"/>
  <c r="AG519" i="1" a="1"/>
  <c r="AG519" i="1" s="1"/>
  <c r="AG518" i="1" a="1"/>
  <c r="AG518" i="1" s="1"/>
  <c r="AG517" i="1" a="1"/>
  <c r="AG517" i="1" s="1"/>
  <c r="AG516" i="1" a="1"/>
  <c r="AG516" i="1" s="1"/>
  <c r="AG515" i="1" a="1"/>
  <c r="AG515" i="1" s="1"/>
  <c r="AG514" i="1" a="1"/>
  <c r="AG514" i="1" s="1"/>
  <c r="AG513" i="1" a="1"/>
  <c r="AG513" i="1" s="1"/>
  <c r="AG512" i="1" a="1"/>
  <c r="AG512" i="1" s="1"/>
  <c r="AH512" i="1" s="1"/>
  <c r="AG511" i="1" a="1"/>
  <c r="AG511" i="1" s="1"/>
  <c r="AG510" i="1" a="1"/>
  <c r="AG510" i="1" s="1"/>
  <c r="AH510" i="1" s="1"/>
  <c r="AG509" i="1" a="1"/>
  <c r="AG509" i="1" s="1"/>
  <c r="AG508" i="1" a="1"/>
  <c r="AG508" i="1" s="1"/>
  <c r="AH508" i="1" s="1"/>
  <c r="AG507" i="1" a="1"/>
  <c r="AG507" i="1" s="1"/>
  <c r="AG506" i="1" a="1"/>
  <c r="AG506" i="1" s="1"/>
  <c r="AH506" i="1" s="1"/>
  <c r="AG505" i="1" a="1"/>
  <c r="AG505" i="1" s="1"/>
  <c r="AG504" i="1" a="1"/>
  <c r="AG504" i="1" s="1"/>
  <c r="AH504" i="1" s="1"/>
  <c r="AG503" i="1" a="1"/>
  <c r="AG503" i="1" s="1"/>
  <c r="AG502" i="1" a="1"/>
  <c r="AG502" i="1" s="1"/>
  <c r="AH502" i="1" s="1"/>
  <c r="AG501" i="1" a="1"/>
  <c r="AG501" i="1" s="1"/>
  <c r="AG500" i="1" a="1"/>
  <c r="AG500" i="1" s="1"/>
  <c r="AH500" i="1" s="1"/>
  <c r="AG499" i="1" a="1"/>
  <c r="AG499" i="1" s="1"/>
  <c r="AG498" i="1" a="1"/>
  <c r="AG498" i="1" s="1"/>
  <c r="AH498" i="1" s="1"/>
  <c r="AG497" i="1" a="1"/>
  <c r="AG497" i="1" s="1"/>
  <c r="AG496" i="1" a="1"/>
  <c r="AG496" i="1" s="1"/>
  <c r="AG495" i="1" a="1"/>
  <c r="AG495" i="1" s="1"/>
  <c r="AG494" i="1" a="1"/>
  <c r="AG494" i="1" s="1"/>
  <c r="AG493" i="1" a="1"/>
  <c r="AG493" i="1" s="1"/>
  <c r="AG492" i="1" a="1"/>
  <c r="AG492" i="1" s="1"/>
  <c r="AG491" i="1" a="1"/>
  <c r="AG491" i="1" s="1"/>
  <c r="AG490" i="1" a="1"/>
  <c r="AG490" i="1" s="1"/>
  <c r="AG489" i="1" a="1"/>
  <c r="AG489" i="1" s="1"/>
  <c r="AG488" i="1" a="1"/>
  <c r="AG488" i="1" s="1"/>
  <c r="AG487" i="1" a="1"/>
  <c r="AG487" i="1" s="1"/>
  <c r="AG486" i="1" a="1"/>
  <c r="AG486" i="1" s="1"/>
  <c r="AG485" i="1" a="1"/>
  <c r="AG485" i="1" s="1"/>
  <c r="AG484" i="1" a="1"/>
  <c r="AG484" i="1" s="1"/>
  <c r="AG483" i="1" a="1"/>
  <c r="AG483" i="1" s="1"/>
  <c r="AG482" i="1" a="1"/>
  <c r="AG482" i="1" s="1"/>
  <c r="AG481" i="1" a="1"/>
  <c r="AG481" i="1" s="1"/>
  <c r="AG480" i="1" a="1"/>
  <c r="AG480" i="1" s="1"/>
  <c r="AG479" i="1" a="1"/>
  <c r="AG479" i="1" s="1"/>
  <c r="AG478" i="1" a="1"/>
  <c r="AG478" i="1" s="1"/>
  <c r="AG477" i="1" a="1"/>
  <c r="AG477" i="1" s="1"/>
  <c r="AG476" i="1" a="1"/>
  <c r="AG476" i="1" s="1"/>
  <c r="AG475" i="1" a="1"/>
  <c r="AG475" i="1" s="1"/>
  <c r="AG474" i="1" a="1"/>
  <c r="AG474" i="1" s="1"/>
  <c r="AG473" i="1" a="1"/>
  <c r="AG473" i="1" s="1"/>
  <c r="AG472" i="1" a="1"/>
  <c r="AG472" i="1" s="1"/>
  <c r="AG471" i="1" a="1"/>
  <c r="AG471" i="1" s="1"/>
  <c r="AG470" i="1" a="1"/>
  <c r="AG470" i="1" s="1"/>
  <c r="AG469" i="1" a="1"/>
  <c r="AG469" i="1" s="1"/>
  <c r="AG468" i="1" a="1"/>
  <c r="AG468" i="1" s="1"/>
  <c r="AG467" i="1" a="1"/>
  <c r="AG467" i="1" s="1"/>
  <c r="AG466" i="1" a="1"/>
  <c r="AG466" i="1" s="1"/>
  <c r="AG465" i="1" a="1"/>
  <c r="AG465" i="1" s="1"/>
  <c r="AG464" i="1" a="1"/>
  <c r="AG464" i="1" s="1"/>
  <c r="AG463" i="1" a="1"/>
  <c r="AG463" i="1" s="1"/>
  <c r="AG462" i="1" a="1"/>
  <c r="AG462" i="1" s="1"/>
  <c r="AG461" i="1" a="1"/>
  <c r="AG461" i="1" s="1"/>
  <c r="AG460" i="1" a="1"/>
  <c r="AG460" i="1" s="1"/>
  <c r="AG459" i="1" a="1"/>
  <c r="AG459" i="1" s="1"/>
  <c r="AG458" i="1" a="1"/>
  <c r="AG458" i="1" s="1"/>
  <c r="AG457" i="1" a="1"/>
  <c r="AG457" i="1" s="1"/>
  <c r="AG456" i="1" a="1"/>
  <c r="AG456" i="1" s="1"/>
  <c r="AG455" i="1" a="1"/>
  <c r="AG455" i="1" s="1"/>
  <c r="AG454" i="1" a="1"/>
  <c r="AG454" i="1" s="1"/>
  <c r="AG453" i="1" a="1"/>
  <c r="AG453" i="1" s="1"/>
  <c r="AG452" i="1" a="1"/>
  <c r="AG452" i="1" s="1"/>
  <c r="AG451" i="1" a="1"/>
  <c r="AG451" i="1" s="1"/>
  <c r="AG450" i="1" a="1"/>
  <c r="AG450" i="1" s="1"/>
  <c r="AG449" i="1" a="1"/>
  <c r="AG449" i="1" s="1"/>
  <c r="AG448" i="1" a="1"/>
  <c r="AG448" i="1" s="1"/>
  <c r="AG447" i="1" a="1"/>
  <c r="AG447" i="1" s="1"/>
  <c r="AG446" i="1" a="1"/>
  <c r="AG446" i="1" s="1"/>
  <c r="AG445" i="1" a="1"/>
  <c r="AG445" i="1" s="1"/>
  <c r="AG444" i="1" a="1"/>
  <c r="AG444" i="1" s="1"/>
  <c r="AG443" i="1" a="1"/>
  <c r="AG443" i="1" s="1"/>
  <c r="AG442" i="1" a="1"/>
  <c r="AG442" i="1" s="1"/>
  <c r="AG441" i="1" a="1"/>
  <c r="AG441" i="1" s="1"/>
  <c r="AG440" i="1" a="1"/>
  <c r="AG440" i="1" s="1"/>
  <c r="AG439" i="1" a="1"/>
  <c r="AG439" i="1" s="1"/>
  <c r="AG438" i="1" a="1"/>
  <c r="AG438" i="1" s="1"/>
  <c r="AG437" i="1" a="1"/>
  <c r="AG437" i="1" s="1"/>
  <c r="AG436" i="1" a="1"/>
  <c r="AG436" i="1" s="1"/>
  <c r="AG435" i="1" a="1"/>
  <c r="AG435" i="1" s="1"/>
  <c r="AG434" i="1" a="1"/>
  <c r="AG434" i="1" s="1"/>
  <c r="AG433" i="1" a="1"/>
  <c r="AG433" i="1" s="1"/>
  <c r="AG432" i="1" a="1"/>
  <c r="AG432" i="1" s="1"/>
  <c r="AG431" i="1" a="1"/>
  <c r="AG431" i="1" s="1"/>
  <c r="AG430" i="1" a="1"/>
  <c r="AG430" i="1" s="1"/>
  <c r="AG429" i="1" a="1"/>
  <c r="AG429" i="1" s="1"/>
  <c r="AG428" i="1" a="1"/>
  <c r="AG428" i="1" s="1"/>
  <c r="AG427" i="1" a="1"/>
  <c r="AG427" i="1" s="1"/>
  <c r="AG426" i="1" a="1"/>
  <c r="AG426" i="1" s="1"/>
  <c r="AG425" i="1" a="1"/>
  <c r="AG425" i="1" s="1"/>
  <c r="AG424" i="1" a="1"/>
  <c r="AG424" i="1" s="1"/>
  <c r="AG423" i="1" a="1"/>
  <c r="AG423" i="1" s="1"/>
  <c r="AG422" i="1" a="1"/>
  <c r="AG422" i="1" s="1"/>
  <c r="AG421" i="1" a="1"/>
  <c r="AG421" i="1" s="1"/>
  <c r="AG420" i="1" a="1"/>
  <c r="AG420" i="1" s="1"/>
  <c r="AG419" i="1" a="1"/>
  <c r="AG419" i="1" s="1"/>
  <c r="AG418" i="1" a="1"/>
  <c r="AG418" i="1" s="1"/>
  <c r="AG417" i="1" a="1"/>
  <c r="AG417" i="1" s="1"/>
  <c r="AG416" i="1" a="1"/>
  <c r="AG416" i="1" s="1"/>
  <c r="AG415" i="1" a="1"/>
  <c r="AG415" i="1" s="1"/>
  <c r="AG414" i="1" a="1"/>
  <c r="AG414" i="1" s="1"/>
  <c r="AG413" i="1" a="1"/>
  <c r="AG413" i="1" s="1"/>
  <c r="AG412" i="1" a="1"/>
  <c r="AG412" i="1" s="1"/>
  <c r="AG411" i="1" a="1"/>
  <c r="AG411" i="1" s="1"/>
  <c r="AG410" i="1" a="1"/>
  <c r="AG410" i="1" s="1"/>
  <c r="AG409" i="1" a="1"/>
  <c r="AG409" i="1" s="1"/>
  <c r="AG408" i="1" a="1"/>
  <c r="AG408" i="1" s="1"/>
  <c r="AG407" i="1" a="1"/>
  <c r="AG407" i="1" s="1"/>
  <c r="AG406" i="1" a="1"/>
  <c r="AG406" i="1" s="1"/>
  <c r="AG405" i="1" a="1"/>
  <c r="AG405" i="1" s="1"/>
  <c r="AG404" i="1" a="1"/>
  <c r="AG404" i="1" s="1"/>
  <c r="AG403" i="1" a="1"/>
  <c r="AG403" i="1" s="1"/>
  <c r="AG402" i="1" a="1"/>
  <c r="AG402" i="1" s="1"/>
  <c r="AG401" i="1" a="1"/>
  <c r="AG401" i="1" s="1"/>
  <c r="AG400" i="1" a="1"/>
  <c r="AG400" i="1" s="1"/>
  <c r="AG399" i="1" a="1"/>
  <c r="AG399" i="1" s="1"/>
  <c r="AG398" i="1" a="1"/>
  <c r="AG398" i="1" s="1"/>
  <c r="AG391" i="1" a="1"/>
  <c r="AG391" i="1" s="1"/>
  <c r="AG390" i="1" a="1"/>
  <c r="AG390" i="1" s="1"/>
  <c r="AG389" i="1" a="1"/>
  <c r="AG389" i="1" s="1"/>
  <c r="AG388" i="1" a="1"/>
  <c r="AG388" i="1" s="1"/>
  <c r="AG387" i="1" a="1"/>
  <c r="AG387" i="1" s="1"/>
  <c r="AG386" i="1" a="1"/>
  <c r="AG386" i="1" s="1"/>
  <c r="AG385" i="1" a="1"/>
  <c r="AG385" i="1" s="1"/>
  <c r="AG384" i="1" a="1"/>
  <c r="AG384" i="1" s="1"/>
  <c r="AG383" i="1" a="1"/>
  <c r="AG383" i="1" s="1"/>
  <c r="AG382" i="1" a="1"/>
  <c r="AG382" i="1" s="1"/>
  <c r="AG381" i="1" a="1"/>
  <c r="AG381" i="1" s="1"/>
  <c r="AG380" i="1" a="1"/>
  <c r="AG380" i="1" s="1"/>
  <c r="AG379" i="1" a="1"/>
  <c r="AG379" i="1" s="1"/>
  <c r="AG378" i="1" a="1"/>
  <c r="AG378" i="1" s="1"/>
  <c r="AG377" i="1" a="1"/>
  <c r="AG377" i="1" s="1"/>
  <c r="AG376" i="1" a="1"/>
  <c r="AG376" i="1" s="1"/>
  <c r="AG375" i="1" a="1"/>
  <c r="AG375" i="1" s="1"/>
  <c r="AG374" i="1" a="1"/>
  <c r="AG374" i="1" s="1"/>
  <c r="AG373" i="1" a="1"/>
  <c r="AG373" i="1" s="1"/>
  <c r="AG372" i="1" a="1"/>
  <c r="AG372" i="1" s="1"/>
  <c r="AG371" i="1" a="1"/>
  <c r="AG371" i="1" s="1"/>
  <c r="AG370" i="1" a="1"/>
  <c r="AG370" i="1" s="1"/>
  <c r="AG369" i="1" a="1"/>
  <c r="AG369" i="1" s="1"/>
  <c r="AG368" i="1" a="1"/>
  <c r="AG368" i="1" s="1"/>
  <c r="AG367" i="1" a="1"/>
  <c r="AG367" i="1" s="1"/>
  <c r="AG366" i="1" a="1"/>
  <c r="AG366" i="1" s="1"/>
  <c r="AG365" i="1" a="1"/>
  <c r="AG365" i="1" s="1"/>
  <c r="AG364" i="1" a="1"/>
  <c r="AG364" i="1" s="1"/>
  <c r="AG363" i="1" a="1"/>
  <c r="AG363" i="1" s="1"/>
  <c r="AG362" i="1" a="1"/>
  <c r="AG362" i="1" s="1"/>
  <c r="AG361" i="1" a="1"/>
  <c r="AG361" i="1" s="1"/>
  <c r="AG360" i="1" a="1"/>
  <c r="AG360" i="1" s="1"/>
  <c r="AG359" i="1" a="1"/>
  <c r="AG359" i="1" s="1"/>
  <c r="AG358" i="1" a="1"/>
  <c r="AG358" i="1" s="1"/>
  <c r="AG357" i="1" a="1"/>
  <c r="AG357" i="1" s="1"/>
  <c r="AG356" i="1" a="1"/>
  <c r="AG356" i="1" s="1"/>
  <c r="AG355" i="1" a="1"/>
  <c r="AG355" i="1" s="1"/>
  <c r="AG354" i="1" a="1"/>
  <c r="AG354" i="1" s="1"/>
  <c r="AG353" i="1" a="1"/>
  <c r="AG353" i="1" s="1"/>
  <c r="AG352" i="1" a="1"/>
  <c r="AG352" i="1" s="1"/>
  <c r="AG351" i="1" a="1"/>
  <c r="AG351" i="1" s="1"/>
  <c r="AG350" i="1" a="1"/>
  <c r="AG350" i="1" s="1"/>
  <c r="AG349" i="1" a="1"/>
  <c r="AG349" i="1" s="1"/>
  <c r="AG348" i="1" a="1"/>
  <c r="AG348" i="1" s="1"/>
  <c r="AG347" i="1" a="1"/>
  <c r="AG347" i="1" s="1"/>
  <c r="AG346" i="1" a="1"/>
  <c r="AG346" i="1" s="1"/>
  <c r="AG345" i="1" a="1"/>
  <c r="AG345" i="1" s="1"/>
  <c r="AG344" i="1" a="1"/>
  <c r="AG344" i="1" s="1"/>
  <c r="AG343" i="1" a="1"/>
  <c r="AG343" i="1" s="1"/>
  <c r="AG342" i="1" a="1"/>
  <c r="AG342" i="1" s="1"/>
  <c r="AG341" i="1" a="1"/>
  <c r="AG341" i="1" s="1"/>
  <c r="AG340" i="1" a="1"/>
  <c r="AG340" i="1" s="1"/>
  <c r="AG339" i="1" a="1"/>
  <c r="AG339" i="1" s="1"/>
  <c r="AG338" i="1" a="1"/>
  <c r="AG338" i="1" s="1"/>
  <c r="AG337" i="1" a="1"/>
  <c r="AG337" i="1" s="1"/>
  <c r="AG336" i="1" a="1"/>
  <c r="AG336" i="1" s="1"/>
  <c r="AG335" i="1" a="1"/>
  <c r="AG335" i="1" s="1"/>
  <c r="AG334" i="1" a="1"/>
  <c r="AG334" i="1" s="1"/>
  <c r="AG333" i="1" a="1"/>
  <c r="AG333" i="1" s="1"/>
  <c r="AG332" i="1" a="1"/>
  <c r="AG332" i="1" s="1"/>
  <c r="AG331" i="1" a="1"/>
  <c r="AG331" i="1" s="1"/>
  <c r="AG330" i="1" a="1"/>
  <c r="AG330" i="1" s="1"/>
  <c r="AG329" i="1" a="1"/>
  <c r="AG329" i="1" s="1"/>
  <c r="AG328" i="1" a="1"/>
  <c r="AG328" i="1" s="1"/>
  <c r="AG327" i="1" a="1"/>
  <c r="AG327" i="1" s="1"/>
  <c r="AG326" i="1" a="1"/>
  <c r="AG326" i="1" s="1"/>
  <c r="AG325" i="1" a="1"/>
  <c r="AG325" i="1" s="1"/>
  <c r="AG324" i="1" a="1"/>
  <c r="AG324" i="1" s="1"/>
  <c r="AG323" i="1" a="1"/>
  <c r="AG323" i="1" s="1"/>
  <c r="AG322" i="1" a="1"/>
  <c r="AG322" i="1" s="1"/>
  <c r="AG321" i="1" a="1"/>
  <c r="AG321" i="1" s="1"/>
  <c r="AG320" i="1" a="1"/>
  <c r="AG320" i="1" s="1"/>
  <c r="AG319" i="1" a="1"/>
  <c r="AG319" i="1" s="1"/>
  <c r="AG318" i="1" a="1"/>
  <c r="AG318" i="1" s="1"/>
  <c r="AG317" i="1" a="1"/>
  <c r="AG317" i="1" s="1"/>
  <c r="AG316" i="1" a="1"/>
  <c r="AG316" i="1" s="1"/>
  <c r="AG315" i="1" a="1"/>
  <c r="AG315" i="1" s="1"/>
  <c r="AG314" i="1" a="1"/>
  <c r="AG314" i="1" s="1"/>
  <c r="AG313" i="1" a="1"/>
  <c r="AG313" i="1" s="1"/>
  <c r="AG312" i="1" a="1"/>
  <c r="AG312" i="1" s="1"/>
  <c r="AG311" i="1" a="1"/>
  <c r="AG311" i="1" s="1"/>
  <c r="AG310" i="1" a="1"/>
  <c r="AG310" i="1" s="1"/>
  <c r="AG309" i="1" a="1"/>
  <c r="AG309" i="1" s="1"/>
  <c r="AG308" i="1" a="1"/>
  <c r="AG308" i="1" s="1"/>
  <c r="AG307" i="1" a="1"/>
  <c r="AG307" i="1" s="1"/>
  <c r="AG306" i="1" a="1"/>
  <c r="AG306" i="1" s="1"/>
  <c r="AG305" i="1" a="1"/>
  <c r="AG305" i="1" s="1"/>
  <c r="AG271" i="1" a="1"/>
  <c r="AG271" i="1" s="1"/>
  <c r="AG270" i="1" a="1"/>
  <c r="AG270" i="1" s="1"/>
  <c r="AG269" i="1" a="1"/>
  <c r="AG269" i="1" s="1"/>
  <c r="AG268" i="1" a="1"/>
  <c r="AG268" i="1" s="1"/>
  <c r="AG267" i="1" a="1"/>
  <c r="AG267" i="1" s="1"/>
  <c r="AG266" i="1" a="1"/>
  <c r="AG266" i="1" s="1"/>
  <c r="AG265" i="1" a="1"/>
  <c r="AG265" i="1" s="1"/>
  <c r="AG264" i="1" a="1"/>
  <c r="AG264" i="1" s="1"/>
  <c r="AG263" i="1" a="1"/>
  <c r="AG263" i="1" s="1"/>
  <c r="AG262" i="1" a="1"/>
  <c r="AG262" i="1" s="1"/>
  <c r="AG261" i="1" a="1"/>
  <c r="AG261" i="1" s="1"/>
  <c r="AG260" i="1" a="1"/>
  <c r="AG260" i="1" s="1"/>
  <c r="AG259" i="1" a="1"/>
  <c r="AG259" i="1" s="1"/>
  <c r="AG258" i="1" a="1"/>
  <c r="AG258" i="1" s="1"/>
  <c r="AG257" i="1" a="1"/>
  <c r="AG257" i="1" s="1"/>
  <c r="AG256" i="1" a="1"/>
  <c r="AG256" i="1" s="1"/>
  <c r="AG255" i="1" a="1"/>
  <c r="AG255" i="1" s="1"/>
  <c r="AG254" i="1" a="1"/>
  <c r="AG254" i="1" s="1"/>
  <c r="AG253" i="1" a="1"/>
  <c r="AG253" i="1" s="1"/>
  <c r="AG252" i="1" a="1"/>
  <c r="AG252" i="1" s="1"/>
  <c r="AG251" i="1" a="1"/>
  <c r="AG251" i="1" s="1"/>
  <c r="AG250" i="1" a="1"/>
  <c r="AG250" i="1" s="1"/>
  <c r="AG249" i="1" a="1"/>
  <c r="AG249" i="1" s="1"/>
  <c r="AG248" i="1" a="1"/>
  <c r="AG248" i="1" s="1"/>
  <c r="AG247" i="1" a="1"/>
  <c r="AG247" i="1" s="1"/>
  <c r="AG246" i="1" a="1"/>
  <c r="AG246" i="1" s="1"/>
  <c r="AG245" i="1" a="1"/>
  <c r="AG245" i="1" s="1"/>
  <c r="AG244" i="1" a="1"/>
  <c r="AG244" i="1" s="1"/>
  <c r="AG243" i="1" a="1"/>
  <c r="AG243" i="1" s="1"/>
  <c r="AG242" i="1" a="1"/>
  <c r="AG242" i="1" s="1"/>
  <c r="AG241" i="1" a="1"/>
  <c r="AG241" i="1" s="1"/>
  <c r="AG240" i="1" a="1"/>
  <c r="AG240" i="1" s="1"/>
  <c r="AG239" i="1" a="1"/>
  <c r="AG239" i="1" s="1"/>
  <c r="AG238" i="1" a="1"/>
  <c r="AG238" i="1" s="1"/>
  <c r="AG237" i="1" a="1"/>
  <c r="AG237" i="1" s="1"/>
  <c r="AG236" i="1" a="1"/>
  <c r="AG236" i="1" s="1"/>
  <c r="AG235" i="1" a="1"/>
  <c r="AG235" i="1" s="1"/>
  <c r="AG234" i="1" a="1"/>
  <c r="AG234" i="1" s="1"/>
  <c r="AG233" i="1" a="1"/>
  <c r="AG233" i="1" s="1"/>
  <c r="AG232" i="1" a="1"/>
  <c r="AG232" i="1" s="1"/>
  <c r="AG230" i="1" a="1"/>
  <c r="AG230" i="1" s="1"/>
  <c r="AG229" i="1" a="1"/>
  <c r="AG229" i="1" s="1"/>
  <c r="AG228" i="1" a="1"/>
  <c r="AG228" i="1" s="1"/>
  <c r="AG227" i="1" a="1"/>
  <c r="AG227" i="1" s="1"/>
  <c r="AG226" i="1" a="1"/>
  <c r="AG226" i="1" s="1"/>
  <c r="AG225" i="1" a="1"/>
  <c r="AG225" i="1" s="1"/>
  <c r="AG224" i="1" a="1"/>
  <c r="AG224" i="1" s="1"/>
  <c r="AG223" i="1" a="1"/>
  <c r="AG223" i="1" s="1"/>
  <c r="AG221" i="1" a="1"/>
  <c r="AG221" i="1" s="1"/>
  <c r="AG219" i="1" a="1"/>
  <c r="AG219" i="1" s="1"/>
  <c r="AG217" i="1" a="1"/>
  <c r="AG217" i="1" s="1"/>
  <c r="AG215" i="1" a="1"/>
  <c r="AG215" i="1" s="1"/>
  <c r="AG213" i="1" a="1"/>
  <c r="AG213" i="1" s="1"/>
  <c r="AG212" i="1" a="1"/>
  <c r="AG212" i="1" s="1"/>
  <c r="AG210" i="1" a="1"/>
  <c r="AG210" i="1" s="1"/>
  <c r="AG209" i="1" a="1"/>
  <c r="AG209" i="1" s="1"/>
  <c r="AG207" i="1" a="1"/>
  <c r="AG207" i="1" s="1"/>
  <c r="AG206" i="1" a="1"/>
  <c r="AG206" i="1" s="1"/>
  <c r="AG204" i="1" a="1"/>
  <c r="AG204" i="1" s="1"/>
  <c r="AG203" i="1" a="1"/>
  <c r="AG203" i="1" s="1"/>
  <c r="AG201" i="1" a="1"/>
  <c r="AG201" i="1" s="1"/>
  <c r="AG200" i="1" a="1"/>
  <c r="AG200" i="1" s="1"/>
  <c r="AG198" i="1" a="1"/>
  <c r="AG198" i="1" s="1"/>
  <c r="AG197" i="1" a="1"/>
  <c r="AG197" i="1" s="1"/>
  <c r="AG195" i="1" a="1"/>
  <c r="AG195" i="1" s="1"/>
  <c r="AG194" i="1" a="1"/>
  <c r="AG194" i="1" s="1"/>
  <c r="AG192" i="1" a="1"/>
  <c r="AG192" i="1" s="1"/>
  <c r="AG191" i="1" a="1"/>
  <c r="AG191" i="1" s="1"/>
  <c r="AG189" i="1" a="1"/>
  <c r="AG189" i="1" s="1"/>
  <c r="AG188" i="1" a="1"/>
  <c r="AG188" i="1" s="1"/>
  <c r="AG186" i="1" a="1"/>
  <c r="AG186" i="1" s="1"/>
  <c r="AG185" i="1" a="1"/>
  <c r="AG185" i="1" s="1"/>
  <c r="AG183" i="1" a="1"/>
  <c r="AG183" i="1" s="1"/>
  <c r="AG182" i="1" a="1"/>
  <c r="AG182" i="1" s="1"/>
  <c r="AG180" i="1" a="1"/>
  <c r="AG180" i="1" s="1"/>
  <c r="AG179" i="1" a="1"/>
  <c r="AG179" i="1" s="1"/>
  <c r="AG177" i="1" a="1"/>
  <c r="AG177" i="1" s="1"/>
  <c r="AG176" i="1" a="1"/>
  <c r="AG176" i="1" s="1"/>
  <c r="AG174" i="1" a="1"/>
  <c r="AG174" i="1" s="1"/>
  <c r="AG173" i="1" a="1"/>
  <c r="AG173" i="1" s="1"/>
  <c r="AG171" i="1" a="1"/>
  <c r="AG171" i="1" s="1"/>
  <c r="AG170" i="1" a="1"/>
  <c r="AG170" i="1" s="1"/>
  <c r="AG168" i="1" a="1"/>
  <c r="AG168" i="1" s="1"/>
  <c r="AG167" i="1" a="1"/>
  <c r="AG167" i="1" s="1"/>
  <c r="AG165" i="1" a="1"/>
  <c r="AG165" i="1" s="1"/>
  <c r="AG164" i="1" a="1"/>
  <c r="AG164" i="1" s="1"/>
  <c r="AG162" i="1" a="1"/>
  <c r="AG162" i="1" s="1"/>
  <c r="AG161" i="1" a="1"/>
  <c r="AG161" i="1" s="1"/>
  <c r="AG160" i="1" a="1"/>
  <c r="AG160" i="1" s="1"/>
  <c r="AG159" i="1" a="1"/>
  <c r="AG159" i="1" s="1"/>
  <c r="AG158" i="1" a="1"/>
  <c r="AG158" i="1" s="1"/>
  <c r="AG157" i="1" a="1"/>
  <c r="AG157" i="1" s="1"/>
  <c r="AG156" i="1" a="1"/>
  <c r="AG156" i="1" s="1"/>
  <c r="AG155" i="1" a="1"/>
  <c r="AG155" i="1" s="1"/>
  <c r="AG154" i="1" a="1"/>
  <c r="AG154" i="1" s="1"/>
  <c r="AG153" i="1" a="1"/>
  <c r="AG153" i="1" s="1"/>
  <c r="AG152" i="1" a="1"/>
  <c r="AG152" i="1" s="1"/>
  <c r="AG151" i="1" a="1"/>
  <c r="AG151" i="1" s="1"/>
  <c r="AG150" i="1" a="1"/>
  <c r="AG150" i="1" s="1"/>
  <c r="AG149" i="1" a="1"/>
  <c r="AG149" i="1" s="1"/>
  <c r="AG148" i="1" a="1"/>
  <c r="AG148" i="1" s="1"/>
  <c r="AG147" i="1" a="1"/>
  <c r="AG147" i="1" s="1"/>
  <c r="AG146" i="1" a="1"/>
  <c r="AG146" i="1" s="1"/>
  <c r="AG145" i="1" a="1"/>
  <c r="AG145" i="1" s="1"/>
  <c r="AG144" i="1" a="1"/>
  <c r="AG144" i="1" s="1"/>
  <c r="AG143" i="1" a="1"/>
  <c r="AG143" i="1" s="1"/>
  <c r="AG142" i="1" a="1"/>
  <c r="AG142" i="1" s="1"/>
  <c r="AG141" i="1" a="1"/>
  <c r="AG141" i="1" s="1"/>
  <c r="AG140" i="1" a="1"/>
  <c r="AG140" i="1" s="1"/>
  <c r="AG139" i="1" a="1"/>
  <c r="AG139" i="1" s="1"/>
  <c r="AG138" i="1" a="1"/>
  <c r="AG138" i="1" s="1"/>
  <c r="AG137" i="1" a="1"/>
  <c r="AG137" i="1" s="1"/>
  <c r="AG136" i="1" a="1"/>
  <c r="AG136" i="1" s="1"/>
  <c r="AG135" i="1" a="1"/>
  <c r="AG135" i="1" s="1"/>
  <c r="AG134" i="1" a="1"/>
  <c r="AG134" i="1" s="1"/>
  <c r="AG133" i="1" a="1"/>
  <c r="AG133" i="1" s="1"/>
  <c r="AG132" i="1" a="1"/>
  <c r="AG132" i="1" s="1"/>
  <c r="AG131" i="1" a="1"/>
  <c r="AG131" i="1" s="1"/>
  <c r="AG118" i="1" a="1"/>
  <c r="AG118" i="1" s="1"/>
  <c r="AG114" i="1" a="1"/>
  <c r="AG114" i="1" s="1"/>
  <c r="AG111" i="1" a="1"/>
  <c r="AG111" i="1" s="1"/>
  <c r="AG110" i="1" a="1"/>
  <c r="AG110" i="1" s="1"/>
  <c r="AG109" i="1" a="1"/>
  <c r="AG109" i="1" s="1"/>
  <c r="AG108" i="1" a="1"/>
  <c r="AG108" i="1" s="1"/>
  <c r="AG107" i="1" a="1"/>
  <c r="AG107" i="1" s="1"/>
  <c r="AG106" i="1" a="1"/>
  <c r="AG106" i="1" s="1"/>
  <c r="AG105" i="1" a="1"/>
  <c r="AG105" i="1" s="1"/>
  <c r="AG104" i="1" a="1"/>
  <c r="AG104" i="1" s="1"/>
  <c r="AG103" i="1" a="1"/>
  <c r="AG103" i="1" s="1"/>
  <c r="AG102" i="1" a="1"/>
  <c r="AG102" i="1" s="1"/>
  <c r="AG101" i="1" a="1"/>
  <c r="AG101" i="1" s="1"/>
  <c r="AG100" i="1" a="1"/>
  <c r="AG100" i="1" s="1"/>
  <c r="AG99" i="1" a="1"/>
  <c r="AG99" i="1" s="1"/>
  <c r="AG98" i="1" a="1"/>
  <c r="AG98" i="1" s="1"/>
  <c r="AG97" i="1" a="1"/>
  <c r="AG97" i="1" s="1"/>
  <c r="AG96" i="1" a="1"/>
  <c r="AG96" i="1" s="1"/>
  <c r="AG95" i="1" a="1"/>
  <c r="AG95" i="1" s="1"/>
  <c r="AG94" i="1" a="1"/>
  <c r="AG94" i="1" s="1"/>
  <c r="AG93" i="1" a="1"/>
  <c r="AG93" i="1" s="1"/>
  <c r="AG92" i="1" a="1"/>
  <c r="AG92" i="1" s="1"/>
  <c r="AG91" i="1" a="1"/>
  <c r="AG91" i="1" s="1"/>
  <c r="AG90" i="1" a="1"/>
  <c r="AG90" i="1" s="1"/>
  <c r="AG89" i="1" a="1"/>
  <c r="AG89" i="1" s="1"/>
  <c r="AG88" i="1" a="1"/>
  <c r="AG88" i="1" s="1"/>
  <c r="AG87" i="1" a="1"/>
  <c r="AG87" i="1" s="1"/>
  <c r="AG86" i="1" a="1"/>
  <c r="AG86" i="1" s="1"/>
  <c r="AG85" i="1" a="1"/>
  <c r="AG85" i="1" s="1"/>
  <c r="AG84" i="1" a="1"/>
  <c r="AG84" i="1" s="1"/>
  <c r="AG83" i="1" a="1"/>
  <c r="AG83" i="1" s="1"/>
  <c r="AG82" i="1" a="1"/>
  <c r="AG82" i="1" s="1"/>
  <c r="AG81" i="1" a="1"/>
  <c r="AG81" i="1" s="1"/>
  <c r="AG80" i="1" a="1"/>
  <c r="AG80" i="1" s="1"/>
  <c r="AG79" i="1" a="1"/>
  <c r="AG79" i="1" s="1"/>
  <c r="AG78" i="1" a="1"/>
  <c r="AG78" i="1" s="1"/>
  <c r="AG77" i="1" a="1"/>
  <c r="AG77" i="1" s="1"/>
  <c r="AG76" i="1" a="1"/>
  <c r="AG76" i="1" s="1"/>
  <c r="AG75" i="1" a="1"/>
  <c r="AG75" i="1" s="1"/>
  <c r="AG74" i="1" a="1"/>
  <c r="AG74" i="1" s="1"/>
  <c r="AG73" i="1" a="1"/>
  <c r="AG73" i="1" s="1"/>
  <c r="AG72" i="1" a="1"/>
  <c r="AG72" i="1" s="1"/>
  <c r="AG71" i="1" a="1"/>
  <c r="AG71" i="1" s="1"/>
  <c r="AG70" i="1" a="1"/>
  <c r="AG70" i="1" s="1"/>
  <c r="AG69" i="1" a="1"/>
  <c r="AG69" i="1" s="1"/>
  <c r="AG68" i="1" a="1"/>
  <c r="AG68" i="1" s="1"/>
  <c r="AG67" i="1" a="1"/>
  <c r="AG67" i="1" s="1"/>
  <c r="AG66" i="1" a="1"/>
  <c r="AG66" i="1" s="1"/>
  <c r="AG65" i="1" a="1"/>
  <c r="AG65" i="1" s="1"/>
  <c r="AG64" i="1" a="1"/>
  <c r="AG64" i="1" s="1"/>
  <c r="AG63" i="1" a="1"/>
  <c r="AG63" i="1" s="1"/>
  <c r="AG62" i="1" a="1"/>
  <c r="AG62" i="1" s="1"/>
  <c r="AG61" i="1" a="1"/>
  <c r="AG61" i="1" s="1"/>
  <c r="AG60" i="1" a="1"/>
  <c r="AG60" i="1" s="1"/>
  <c r="AG59" i="1" a="1"/>
  <c r="AG59" i="1" s="1"/>
  <c r="AG58" i="1" a="1"/>
  <c r="AG58" i="1" s="1"/>
  <c r="AG57" i="1" a="1"/>
  <c r="AG57" i="1" s="1"/>
  <c r="AG56" i="1" a="1"/>
  <c r="AG56" i="1" s="1"/>
  <c r="AG55" i="1" a="1"/>
  <c r="AG55" i="1" s="1"/>
  <c r="AG54" i="1" a="1"/>
  <c r="AG54" i="1" s="1"/>
  <c r="AG53" i="1" a="1"/>
  <c r="AG53" i="1" s="1"/>
  <c r="AG52" i="1" a="1"/>
  <c r="AG52" i="1" s="1"/>
  <c r="AG51" i="1" a="1"/>
  <c r="AG51" i="1" s="1"/>
  <c r="AG50" i="1" a="1"/>
  <c r="AG50" i="1" s="1"/>
  <c r="AG49" i="1" a="1"/>
  <c r="AG49" i="1" s="1"/>
  <c r="AG48" i="1" a="1"/>
  <c r="AG48" i="1" s="1"/>
  <c r="AG47" i="1" a="1"/>
  <c r="AG47" i="1" s="1"/>
  <c r="AG46" i="1" a="1"/>
  <c r="AG46" i="1" s="1"/>
  <c r="AG45" i="1" a="1"/>
  <c r="AG45" i="1" s="1"/>
  <c r="AG44" i="1" a="1"/>
  <c r="AG44" i="1" s="1"/>
  <c r="AG43" i="1" a="1"/>
  <c r="AG43" i="1" s="1"/>
  <c r="AG42" i="1" a="1"/>
  <c r="AG42" i="1" s="1"/>
  <c r="AG41" i="1" a="1"/>
  <c r="AG41" i="1" s="1"/>
  <c r="AG40" i="1" a="1"/>
  <c r="AG40" i="1" s="1"/>
  <c r="AG39" i="1" a="1"/>
  <c r="AG39" i="1" s="1"/>
  <c r="AG38" i="1" a="1"/>
  <c r="AG38" i="1" s="1"/>
  <c r="AG37" i="1" a="1"/>
  <c r="AG37" i="1" s="1"/>
  <c r="AG36" i="1" a="1"/>
  <c r="AG36" i="1" s="1"/>
  <c r="AG35" i="1" a="1"/>
  <c r="AG35" i="1" s="1"/>
  <c r="AG34" i="1" a="1"/>
  <c r="AG34" i="1" s="1"/>
  <c r="AG33" i="1" a="1"/>
  <c r="AG33" i="1" s="1"/>
  <c r="AG32" i="1" a="1"/>
  <c r="AG32" i="1" s="1"/>
  <c r="AG31" i="1" a="1"/>
  <c r="AG31" i="1" s="1"/>
  <c r="AG30" i="1" a="1"/>
  <c r="AG30" i="1" s="1"/>
  <c r="AG29" i="1" a="1"/>
  <c r="AG29" i="1" s="1"/>
  <c r="AG28" i="1" a="1"/>
  <c r="AG28" i="1" s="1"/>
  <c r="AG27" i="1" a="1"/>
  <c r="AG27" i="1" s="1"/>
  <c r="AG26" i="1" a="1"/>
  <c r="AG26" i="1" s="1"/>
  <c r="AG25" i="1" a="1"/>
  <c r="AG25" i="1" s="1"/>
  <c r="AG24" i="1" a="1"/>
  <c r="AG24" i="1" s="1"/>
  <c r="AG23" i="1" a="1"/>
  <c r="AG23" i="1" s="1"/>
  <c r="AG22" i="1" a="1"/>
  <c r="AG22" i="1" s="1"/>
  <c r="AG21" i="1" a="1"/>
  <c r="AG21" i="1" s="1"/>
  <c r="AG20" i="1" a="1"/>
  <c r="AG20" i="1" s="1"/>
  <c r="AG19" i="1" a="1"/>
  <c r="AG19" i="1" s="1"/>
  <c r="AG18" i="1" a="1"/>
  <c r="AG18" i="1" s="1"/>
  <c r="AG17" i="1" a="1"/>
  <c r="AG17" i="1" s="1"/>
  <c r="AG16" i="1" a="1"/>
  <c r="AG16" i="1" s="1"/>
  <c r="AG15" i="1" a="1"/>
  <c r="AG15" i="1" s="1"/>
  <c r="AG14" i="1" a="1"/>
  <c r="AG14" i="1" s="1"/>
  <c r="AG13" i="1" a="1"/>
  <c r="AG13" i="1" s="1"/>
  <c r="AG12" i="1" a="1"/>
  <c r="AG12" i="1" s="1"/>
  <c r="AG11" i="1" a="1"/>
  <c r="AG11" i="1" s="1"/>
  <c r="AG10" i="1" a="1"/>
  <c r="AG10" i="1" s="1"/>
  <c r="AG9" i="1" a="1"/>
  <c r="AG9" i="1" s="1"/>
  <c r="AG8" i="1" a="1"/>
  <c r="AG8" i="1" s="1"/>
  <c r="AG7" i="1" a="1"/>
  <c r="AG7" i="1" s="1"/>
  <c r="AG6" i="1" a="1"/>
  <c r="AG6" i="1" s="1"/>
  <c r="AG5" i="1" a="1"/>
  <c r="AG5" i="1" s="1"/>
  <c r="AG4" i="1" a="1"/>
  <c r="AG4" i="1" s="1"/>
  <c r="AG3" i="1" a="1"/>
  <c r="AG3" i="1" s="1"/>
  <c r="AG2" i="1" a="1"/>
  <c r="AG2" i="1" s="1"/>
  <c r="AP578" i="1"/>
  <c r="AP577" i="1"/>
  <c r="AP576" i="1"/>
  <c r="AP575" i="1"/>
  <c r="AP574" i="1"/>
  <c r="AP573" i="1"/>
  <c r="AP572" i="1"/>
  <c r="AP571" i="1"/>
  <c r="AP570" i="1"/>
  <c r="AP569" i="1"/>
  <c r="AP568" i="1"/>
  <c r="AP567" i="1"/>
  <c r="AP566" i="1"/>
  <c r="AP565" i="1"/>
  <c r="AP564" i="1"/>
  <c r="AP563" i="1"/>
  <c r="AP562" i="1"/>
  <c r="AP561" i="1"/>
  <c r="AP560" i="1"/>
  <c r="AP559" i="1"/>
  <c r="AP558" i="1"/>
  <c r="AP557" i="1"/>
  <c r="AP556" i="1"/>
  <c r="AP555" i="1"/>
  <c r="AP554" i="1"/>
  <c r="AP553" i="1"/>
  <c r="AP552" i="1"/>
  <c r="AP551" i="1"/>
  <c r="AP550" i="1"/>
  <c r="AP549" i="1"/>
  <c r="AP548" i="1"/>
  <c r="AP547" i="1"/>
  <c r="AP546" i="1"/>
  <c r="AP545" i="1"/>
  <c r="AP544" i="1"/>
  <c r="AP543" i="1"/>
  <c r="AP542" i="1"/>
  <c r="AP541" i="1"/>
  <c r="AP540" i="1"/>
  <c r="AP539" i="1"/>
  <c r="AP538" i="1"/>
  <c r="AP537" i="1"/>
  <c r="AP536" i="1"/>
  <c r="AP535" i="1"/>
  <c r="AP534" i="1"/>
  <c r="AP533" i="1"/>
  <c r="AP532" i="1"/>
  <c r="AP531" i="1"/>
  <c r="AP530" i="1"/>
  <c r="AP529" i="1"/>
  <c r="AP528" i="1"/>
  <c r="AP527" i="1"/>
  <c r="AP526" i="1"/>
  <c r="AP525" i="1"/>
  <c r="AP524" i="1"/>
  <c r="AP523" i="1"/>
  <c r="AP522" i="1"/>
  <c r="AP521" i="1"/>
  <c r="AP520" i="1"/>
  <c r="AP519" i="1"/>
  <c r="AP518" i="1"/>
  <c r="AP517" i="1"/>
  <c r="AP516" i="1"/>
  <c r="AP515" i="1"/>
  <c r="AP514" i="1"/>
  <c r="AP513" i="1"/>
  <c r="AP512" i="1"/>
  <c r="AP511" i="1"/>
  <c r="AP510" i="1"/>
  <c r="AP509" i="1"/>
  <c r="AP508" i="1"/>
  <c r="AP507" i="1"/>
  <c r="AP506" i="1"/>
  <c r="AP505" i="1"/>
  <c r="AP504" i="1"/>
  <c r="AP503" i="1"/>
  <c r="AP502" i="1"/>
  <c r="AP501" i="1"/>
  <c r="AP500" i="1"/>
  <c r="AP499" i="1"/>
  <c r="AP498" i="1"/>
  <c r="AP497" i="1"/>
  <c r="AP496" i="1"/>
  <c r="AP495" i="1"/>
  <c r="AP494" i="1"/>
  <c r="AP493" i="1"/>
  <c r="AP492" i="1"/>
  <c r="AP491" i="1"/>
  <c r="AP490" i="1"/>
  <c r="AP489" i="1"/>
  <c r="AP488" i="1"/>
  <c r="AP487" i="1"/>
  <c r="AP486" i="1"/>
  <c r="AP485" i="1"/>
  <c r="AP484" i="1"/>
  <c r="AP483" i="1"/>
  <c r="AP482" i="1"/>
  <c r="AP481" i="1"/>
  <c r="AP480" i="1"/>
  <c r="AP479" i="1"/>
  <c r="AP478" i="1"/>
  <c r="AP477" i="1"/>
  <c r="AP476" i="1"/>
  <c r="AP475" i="1"/>
  <c r="AP474" i="1"/>
  <c r="AP473" i="1"/>
  <c r="AP472" i="1"/>
  <c r="AP471" i="1"/>
  <c r="AP470" i="1"/>
  <c r="AP469" i="1"/>
  <c r="AP468" i="1"/>
  <c r="AP467" i="1"/>
  <c r="AP466" i="1"/>
  <c r="AP465" i="1"/>
  <c r="AP464" i="1"/>
  <c r="AP463" i="1"/>
  <c r="AP462" i="1"/>
  <c r="AP461" i="1"/>
  <c r="AP460" i="1"/>
  <c r="AP459" i="1"/>
  <c r="AP458" i="1"/>
  <c r="AP457" i="1"/>
  <c r="AP456" i="1"/>
  <c r="AP455" i="1"/>
  <c r="AP454" i="1"/>
  <c r="AP453" i="1"/>
  <c r="AP452" i="1"/>
  <c r="AP451" i="1"/>
  <c r="AP450" i="1"/>
  <c r="AP449" i="1"/>
  <c r="AP448" i="1"/>
  <c r="AP447" i="1"/>
  <c r="AP446" i="1"/>
  <c r="AP445" i="1"/>
  <c r="AP444" i="1"/>
  <c r="AP443" i="1"/>
  <c r="AP442" i="1"/>
  <c r="AP441" i="1"/>
  <c r="AP440" i="1"/>
  <c r="AP439" i="1"/>
  <c r="AP438" i="1"/>
  <c r="AP437" i="1"/>
  <c r="AP436" i="1"/>
  <c r="AP435" i="1"/>
  <c r="AP434" i="1"/>
  <c r="AP433" i="1"/>
  <c r="AP432" i="1"/>
  <c r="AP431" i="1"/>
  <c r="AP430" i="1"/>
  <c r="AP429" i="1"/>
  <c r="AP428" i="1"/>
  <c r="AP427" i="1"/>
  <c r="AP426" i="1"/>
  <c r="AP425" i="1"/>
  <c r="AP424" i="1"/>
  <c r="AP423" i="1"/>
  <c r="AP422" i="1"/>
  <c r="AP421" i="1"/>
  <c r="AP420" i="1"/>
  <c r="AP419" i="1"/>
  <c r="AP418" i="1"/>
  <c r="AP417" i="1"/>
  <c r="AP416" i="1"/>
  <c r="AP415" i="1"/>
  <c r="AP414" i="1"/>
  <c r="AP413" i="1"/>
  <c r="AP412" i="1"/>
  <c r="AP411" i="1"/>
  <c r="AP410" i="1"/>
  <c r="AP409" i="1"/>
  <c r="AP408" i="1"/>
  <c r="AP407" i="1"/>
  <c r="AP406" i="1"/>
  <c r="AP405" i="1"/>
  <c r="AP404" i="1"/>
  <c r="AP403" i="1"/>
  <c r="AP402" i="1"/>
  <c r="AP401" i="1"/>
  <c r="AP400" i="1"/>
  <c r="AP399" i="1"/>
  <c r="AP398" i="1"/>
  <c r="AP391" i="1"/>
  <c r="AP390" i="1"/>
  <c r="AP389" i="1"/>
  <c r="AP388" i="1"/>
  <c r="AP387" i="1"/>
  <c r="AP386" i="1"/>
  <c r="AP385" i="1"/>
  <c r="AP384" i="1"/>
  <c r="AP383" i="1"/>
  <c r="AP382" i="1"/>
  <c r="AP381" i="1"/>
  <c r="AP380" i="1"/>
  <c r="AP379" i="1"/>
  <c r="AP378" i="1"/>
  <c r="AP377" i="1"/>
  <c r="AP376" i="1"/>
  <c r="AP375" i="1"/>
  <c r="AP374" i="1"/>
  <c r="AP373" i="1"/>
  <c r="AP372" i="1"/>
  <c r="AP371" i="1"/>
  <c r="AP370" i="1"/>
  <c r="AP369" i="1"/>
  <c r="AP368" i="1"/>
  <c r="AP367" i="1"/>
  <c r="AP366" i="1"/>
  <c r="AP365" i="1"/>
  <c r="AP364" i="1"/>
  <c r="AP363" i="1"/>
  <c r="AP362" i="1"/>
  <c r="AP361" i="1"/>
  <c r="AP360" i="1"/>
  <c r="AP359" i="1"/>
  <c r="AP358" i="1"/>
  <c r="AP357" i="1"/>
  <c r="AP356" i="1"/>
  <c r="AP355" i="1"/>
  <c r="AP354" i="1"/>
  <c r="AP353" i="1"/>
  <c r="AP352" i="1"/>
  <c r="AP351" i="1"/>
  <c r="AP350" i="1"/>
  <c r="AP349" i="1"/>
  <c r="AP348" i="1"/>
  <c r="AP347" i="1"/>
  <c r="AP346" i="1"/>
  <c r="AP345" i="1"/>
  <c r="AP344" i="1"/>
  <c r="AP343" i="1"/>
  <c r="AP342" i="1"/>
  <c r="AP341" i="1"/>
  <c r="AP340" i="1"/>
  <c r="AP339" i="1"/>
  <c r="AP338" i="1"/>
  <c r="AP337" i="1"/>
  <c r="AP336" i="1"/>
  <c r="AP335" i="1"/>
  <c r="AP334" i="1"/>
  <c r="AP333" i="1"/>
  <c r="AP332" i="1"/>
  <c r="AP331" i="1"/>
  <c r="AP330" i="1"/>
  <c r="AP329" i="1"/>
  <c r="AP328" i="1"/>
  <c r="AP327" i="1"/>
  <c r="AP326" i="1"/>
  <c r="AP325" i="1"/>
  <c r="AP324" i="1"/>
  <c r="AP323" i="1"/>
  <c r="AP322" i="1"/>
  <c r="AP321" i="1"/>
  <c r="AP320" i="1"/>
  <c r="AP319" i="1"/>
  <c r="AP318" i="1"/>
  <c r="AP317" i="1"/>
  <c r="AP316" i="1"/>
  <c r="AP315" i="1"/>
  <c r="AP314" i="1"/>
  <c r="AP313" i="1"/>
  <c r="AP312" i="1"/>
  <c r="AP311" i="1"/>
  <c r="AP310" i="1"/>
  <c r="AP309" i="1"/>
  <c r="AP308" i="1"/>
  <c r="AP307" i="1"/>
  <c r="AP306" i="1"/>
  <c r="AP305" i="1"/>
  <c r="AP271" i="1"/>
  <c r="AP270" i="1"/>
  <c r="AP269" i="1"/>
  <c r="AP268" i="1"/>
  <c r="AP267" i="1"/>
  <c r="AP266" i="1"/>
  <c r="AP265" i="1"/>
  <c r="AP264" i="1"/>
  <c r="AP263" i="1"/>
  <c r="AP262" i="1"/>
  <c r="AP261" i="1"/>
  <c r="AP260" i="1"/>
  <c r="AP259" i="1"/>
  <c r="AP258" i="1"/>
  <c r="AP257" i="1"/>
  <c r="AP256" i="1"/>
  <c r="AP255" i="1"/>
  <c r="AP254" i="1"/>
  <c r="AP253" i="1"/>
  <c r="AP252" i="1"/>
  <c r="AP251" i="1"/>
  <c r="AP250" i="1"/>
  <c r="AP249" i="1"/>
  <c r="AP248" i="1"/>
  <c r="AP247" i="1"/>
  <c r="AP246" i="1"/>
  <c r="AP245" i="1"/>
  <c r="AP244" i="1"/>
  <c r="AP243" i="1"/>
  <c r="AP242" i="1"/>
  <c r="AP241" i="1"/>
  <c r="AP240" i="1"/>
  <c r="AP239" i="1"/>
  <c r="AP238" i="1"/>
  <c r="AP237" i="1"/>
  <c r="AP236" i="1"/>
  <c r="AP235" i="1"/>
  <c r="AP234" i="1"/>
  <c r="AP233" i="1"/>
  <c r="AP232" i="1"/>
  <c r="AP230" i="1"/>
  <c r="AP229" i="1"/>
  <c r="AP228" i="1"/>
  <c r="AP227" i="1"/>
  <c r="AP226" i="1"/>
  <c r="AP225" i="1"/>
  <c r="AP224" i="1"/>
  <c r="AP223" i="1"/>
  <c r="AP213" i="1"/>
  <c r="AP210" i="1"/>
  <c r="AP207" i="1"/>
  <c r="AP204" i="1"/>
  <c r="AP201" i="1"/>
  <c r="AP198" i="1"/>
  <c r="AP195" i="1"/>
  <c r="AP192" i="1"/>
  <c r="AP189" i="1"/>
  <c r="AP186" i="1"/>
  <c r="AP183" i="1"/>
  <c r="AP180" i="1"/>
  <c r="AP177" i="1"/>
  <c r="AP174" i="1"/>
  <c r="AP171" i="1"/>
  <c r="AP168" i="1"/>
  <c r="AP165" i="1"/>
  <c r="AP162" i="1"/>
  <c r="AP221" i="1"/>
  <c r="AP219" i="1"/>
  <c r="AP217" i="1"/>
  <c r="AP215" i="1"/>
  <c r="AP212" i="1"/>
  <c r="AP209" i="1"/>
  <c r="AP206" i="1"/>
  <c r="AP200" i="1"/>
  <c r="AP203" i="1"/>
  <c r="AP197" i="1"/>
  <c r="AP194" i="1"/>
  <c r="AP191" i="1"/>
  <c r="AP188" i="1"/>
  <c r="AP185" i="1"/>
  <c r="AP182" i="1"/>
  <c r="AP179" i="1"/>
  <c r="AP176" i="1"/>
  <c r="AP173" i="1"/>
  <c r="AP170" i="1"/>
  <c r="AP167" i="1"/>
  <c r="AP164" i="1"/>
  <c r="AP161" i="1"/>
  <c r="AP132" i="1"/>
  <c r="AP133" i="1"/>
  <c r="AP134" i="1"/>
  <c r="AP135" i="1"/>
  <c r="AP136" i="1"/>
  <c r="AP137" i="1"/>
  <c r="AP138" i="1"/>
  <c r="AP139" i="1"/>
  <c r="AP140" i="1"/>
  <c r="AP141" i="1"/>
  <c r="AP142" i="1"/>
  <c r="AP143" i="1"/>
  <c r="AP144" i="1"/>
  <c r="AP145" i="1"/>
  <c r="AP146" i="1"/>
  <c r="AP147" i="1"/>
  <c r="AP148" i="1"/>
  <c r="AP149" i="1"/>
  <c r="AP150" i="1"/>
  <c r="AP151" i="1"/>
  <c r="AP152" i="1"/>
  <c r="AP153" i="1"/>
  <c r="AP154" i="1"/>
  <c r="AP155" i="1"/>
  <c r="AP156" i="1"/>
  <c r="AP157" i="1"/>
  <c r="AP158" i="1"/>
  <c r="AP159" i="1"/>
  <c r="AP160" i="1"/>
  <c r="AP131" i="1"/>
  <c r="AP118" i="1"/>
  <c r="AP114" i="1"/>
  <c r="AP111" i="1"/>
  <c r="AP110" i="1"/>
  <c r="AP109" i="1"/>
  <c r="AP108" i="1"/>
  <c r="AP107" i="1"/>
  <c r="AP106" i="1"/>
  <c r="AP105" i="1"/>
  <c r="AP104" i="1"/>
  <c r="AP103" i="1"/>
  <c r="AP102" i="1"/>
  <c r="AP101" i="1"/>
  <c r="AP100" i="1"/>
  <c r="AP99" i="1"/>
  <c r="AP98" i="1"/>
  <c r="AP97" i="1"/>
  <c r="AP96" i="1"/>
  <c r="AP95" i="1"/>
  <c r="AP94" i="1"/>
  <c r="AP93" i="1"/>
  <c r="AP92" i="1"/>
  <c r="AP91" i="1"/>
  <c r="AP90" i="1"/>
  <c r="AP89" i="1"/>
  <c r="AP88" i="1"/>
  <c r="AP87" i="1"/>
  <c r="AP86" i="1"/>
  <c r="AP85" i="1"/>
  <c r="AP84" i="1"/>
  <c r="AC101" i="1"/>
  <c r="AC100" i="1"/>
  <c r="AC99" i="1"/>
  <c r="AC98" i="1"/>
  <c r="AC97" i="1"/>
  <c r="AC96" i="1"/>
  <c r="AC95" i="1"/>
  <c r="AC94" i="1"/>
  <c r="AC93" i="1"/>
  <c r="AC92" i="1"/>
  <c r="AC91" i="1"/>
  <c r="AC90" i="1"/>
  <c r="AC89" i="1"/>
  <c r="AC88" i="1"/>
  <c r="AC87" i="1"/>
  <c r="AC86" i="1"/>
  <c r="AC85" i="1"/>
  <c r="AD101" i="1" a="1"/>
  <c r="AD101" i="1" s="1"/>
  <c r="AD100" i="1" a="1"/>
  <c r="AD100" i="1" s="1"/>
  <c r="AD99" i="1" a="1"/>
  <c r="AD99" i="1" s="1"/>
  <c r="AD98" i="1" a="1"/>
  <c r="AD98" i="1" s="1"/>
  <c r="AD97" i="1" a="1"/>
  <c r="AD97" i="1" s="1"/>
  <c r="AD96" i="1" a="1"/>
  <c r="AD96" i="1" s="1"/>
  <c r="AD95" i="1" a="1"/>
  <c r="AD95" i="1" s="1"/>
  <c r="AD94" i="1" a="1"/>
  <c r="AD94" i="1" s="1"/>
  <c r="AD93" i="1" a="1"/>
  <c r="AD93" i="1" s="1"/>
  <c r="AD92" i="1" a="1"/>
  <c r="AD92" i="1" s="1"/>
  <c r="AD91" i="1" a="1"/>
  <c r="AD91" i="1" s="1"/>
  <c r="AD90" i="1" a="1"/>
  <c r="AD90" i="1" s="1"/>
  <c r="AD89" i="1" a="1"/>
  <c r="AD89" i="1" s="1"/>
  <c r="AD88" i="1" a="1"/>
  <c r="AD88" i="1" s="1"/>
  <c r="AD87" i="1" a="1"/>
  <c r="AD87" i="1" s="1"/>
  <c r="AD86" i="1" a="1"/>
  <c r="AD86" i="1" s="1"/>
  <c r="AD85" i="1" a="1"/>
  <c r="AD85" i="1" s="1"/>
  <c r="AC84" i="1"/>
  <c r="AD578" i="1" a="1"/>
  <c r="AD578" i="1" s="1"/>
  <c r="AD577" i="1" a="1"/>
  <c r="AD577" i="1" s="1"/>
  <c r="AD576" i="1" a="1"/>
  <c r="AD576" i="1" s="1"/>
  <c r="AD575" i="1" a="1"/>
  <c r="AD575" i="1" s="1"/>
  <c r="AD574" i="1" a="1"/>
  <c r="AD574" i="1" s="1"/>
  <c r="AD573" i="1" a="1"/>
  <c r="AD573" i="1" s="1"/>
  <c r="AD572" i="1" a="1"/>
  <c r="AD572" i="1" s="1"/>
  <c r="AD571" i="1" a="1"/>
  <c r="AD571" i="1" s="1"/>
  <c r="AD570" i="1" a="1"/>
  <c r="AD570" i="1" s="1"/>
  <c r="AD569" i="1" a="1"/>
  <c r="AD569" i="1" s="1"/>
  <c r="AD568" i="1" a="1"/>
  <c r="AD568" i="1" s="1"/>
  <c r="AD567" i="1" a="1"/>
  <c r="AD567" i="1" s="1"/>
  <c r="AD566" i="1" a="1"/>
  <c r="AD566" i="1" s="1"/>
  <c r="AD564" i="1" a="1"/>
  <c r="AD564" i="1" s="1"/>
  <c r="AD563" i="1" a="1"/>
  <c r="AD563" i="1" s="1"/>
  <c r="AD562" i="1" a="1"/>
  <c r="AD562" i="1" s="1"/>
  <c r="AD561" i="1" a="1"/>
  <c r="AD561" i="1" s="1"/>
  <c r="AD560" i="1" a="1"/>
  <c r="AD560" i="1" s="1"/>
  <c r="AD559" i="1" a="1"/>
  <c r="AD559" i="1" s="1"/>
  <c r="AD558" i="1" a="1"/>
  <c r="AD558" i="1" s="1"/>
  <c r="AD557" i="1" a="1"/>
  <c r="AD557" i="1" s="1"/>
  <c r="AD556" i="1" a="1"/>
  <c r="AD556" i="1" s="1"/>
  <c r="AD555" i="1" a="1"/>
  <c r="AD555" i="1" s="1"/>
  <c r="AD554" i="1" a="1"/>
  <c r="AD554" i="1" s="1"/>
  <c r="AD553" i="1" a="1"/>
  <c r="AD553" i="1" s="1"/>
  <c r="AD552" i="1" a="1"/>
  <c r="AD552" i="1" s="1"/>
  <c r="AD551" i="1" a="1"/>
  <c r="AD551" i="1" s="1"/>
  <c r="AD550" i="1" a="1"/>
  <c r="AD550" i="1" s="1"/>
  <c r="AD549" i="1" a="1"/>
  <c r="AD549" i="1" s="1"/>
  <c r="AD548" i="1" a="1"/>
  <c r="AD548" i="1" s="1"/>
  <c r="AD547" i="1" a="1"/>
  <c r="AD547" i="1" s="1"/>
  <c r="AD546" i="1" a="1"/>
  <c r="AD546" i="1" s="1"/>
  <c r="AD545" i="1" a="1"/>
  <c r="AD545" i="1" s="1"/>
  <c r="AD544" i="1" a="1"/>
  <c r="AD544" i="1" s="1"/>
  <c r="AD543" i="1" a="1"/>
  <c r="AD543" i="1" s="1"/>
  <c r="AD542" i="1" a="1"/>
  <c r="AD542" i="1" s="1"/>
  <c r="AD541" i="1" a="1"/>
  <c r="AD541" i="1" s="1"/>
  <c r="AD540" i="1" a="1"/>
  <c r="AD540" i="1" s="1"/>
  <c r="AD539" i="1" a="1"/>
  <c r="AD539" i="1" s="1"/>
  <c r="AD538" i="1" a="1"/>
  <c r="AD538" i="1" s="1"/>
  <c r="AD537" i="1" a="1"/>
  <c r="AD537" i="1" s="1"/>
  <c r="AD536" i="1" a="1"/>
  <c r="AD536" i="1" s="1"/>
  <c r="AD535" i="1" a="1"/>
  <c r="AD535" i="1" s="1"/>
  <c r="AD534" i="1" a="1"/>
  <c r="AD534" i="1" s="1"/>
  <c r="AD533" i="1" a="1"/>
  <c r="AD533" i="1" s="1"/>
  <c r="AD532" i="1" a="1"/>
  <c r="AD532" i="1" s="1"/>
  <c r="AD531" i="1" a="1"/>
  <c r="AD531" i="1" s="1"/>
  <c r="AD529" i="1" a="1"/>
  <c r="AD529" i="1" s="1"/>
  <c r="AD527" i="1" a="1"/>
  <c r="AD527" i="1" s="1"/>
  <c r="AD525" i="1" a="1"/>
  <c r="AD525" i="1" s="1"/>
  <c r="AD523" i="1" a="1"/>
  <c r="AD523" i="1" s="1"/>
  <c r="AD522" i="1" a="1"/>
  <c r="AD522" i="1" s="1"/>
  <c r="AD521" i="1" a="1"/>
  <c r="AD521" i="1" s="1"/>
  <c r="AD520" i="1" a="1"/>
  <c r="AD520" i="1" s="1"/>
  <c r="AD519" i="1" a="1"/>
  <c r="AD519" i="1" s="1"/>
  <c r="AD518" i="1" a="1"/>
  <c r="AD518" i="1" s="1"/>
  <c r="AD517" i="1" a="1"/>
  <c r="AD517" i="1" s="1"/>
  <c r="AD516" i="1" a="1"/>
  <c r="AD516" i="1" s="1"/>
  <c r="AD515" i="1" a="1"/>
  <c r="AD515" i="1" s="1"/>
  <c r="AD514" i="1" a="1"/>
  <c r="AD514" i="1" s="1"/>
  <c r="AD513" i="1" a="1"/>
  <c r="AD513" i="1" s="1"/>
  <c r="AD511" i="1" a="1"/>
  <c r="AD511" i="1" s="1"/>
  <c r="AD509" i="1" a="1"/>
  <c r="AD509" i="1" s="1"/>
  <c r="AD507" i="1" a="1"/>
  <c r="AD507" i="1" s="1"/>
  <c r="AD505" i="1" a="1"/>
  <c r="AD505" i="1" s="1"/>
  <c r="AD503" i="1" a="1"/>
  <c r="AD503" i="1" s="1"/>
  <c r="AD501" i="1" a="1"/>
  <c r="AD501" i="1" s="1"/>
  <c r="AD499" i="1" a="1"/>
  <c r="AD499" i="1" s="1"/>
  <c r="AD497" i="1" a="1"/>
  <c r="AD497" i="1" s="1"/>
  <c r="AD496" i="1" a="1"/>
  <c r="AD496" i="1" s="1"/>
  <c r="AD495" i="1" a="1"/>
  <c r="AD495" i="1" s="1"/>
  <c r="AD494" i="1" a="1"/>
  <c r="AD494" i="1" s="1"/>
  <c r="AD493" i="1" a="1"/>
  <c r="AD493" i="1" s="1"/>
  <c r="AD492" i="1" a="1"/>
  <c r="AD492" i="1" s="1"/>
  <c r="AD491" i="1" a="1"/>
  <c r="AD491" i="1" s="1"/>
  <c r="AD490" i="1" a="1"/>
  <c r="AD490" i="1" s="1"/>
  <c r="AD489" i="1" a="1"/>
  <c r="AD489" i="1" s="1"/>
  <c r="AD488" i="1" a="1"/>
  <c r="AD488" i="1" s="1"/>
  <c r="AD487" i="1" a="1"/>
  <c r="AD487" i="1" s="1"/>
  <c r="AD486" i="1" a="1"/>
  <c r="AD486" i="1" s="1"/>
  <c r="AD485" i="1" a="1"/>
  <c r="AD485" i="1" s="1"/>
  <c r="AD484" i="1" a="1"/>
  <c r="AD484" i="1" s="1"/>
  <c r="AD483" i="1" a="1"/>
  <c r="AD483" i="1" s="1"/>
  <c r="AD482" i="1" a="1"/>
  <c r="AD482" i="1" s="1"/>
  <c r="AD481" i="1" a="1"/>
  <c r="AD481" i="1" s="1"/>
  <c r="AD480" i="1" a="1"/>
  <c r="AD480" i="1" s="1"/>
  <c r="AD479" i="1" a="1"/>
  <c r="AD479" i="1" s="1"/>
  <c r="AD478" i="1" a="1"/>
  <c r="AD478" i="1" s="1"/>
  <c r="AD477" i="1" a="1"/>
  <c r="AD477" i="1" s="1"/>
  <c r="AD476" i="1" a="1"/>
  <c r="AD476" i="1" s="1"/>
  <c r="AD475" i="1" a="1"/>
  <c r="AD475" i="1" s="1"/>
  <c r="AD474" i="1" a="1"/>
  <c r="AD474" i="1" s="1"/>
  <c r="AD473" i="1" a="1"/>
  <c r="AD473" i="1" s="1"/>
  <c r="AD472" i="1" a="1"/>
  <c r="AD472" i="1" s="1"/>
  <c r="AD471" i="1" a="1"/>
  <c r="AD471" i="1" s="1"/>
  <c r="AD470" i="1" a="1"/>
  <c r="AD470" i="1" s="1"/>
  <c r="AD469" i="1" a="1"/>
  <c r="AD469" i="1" s="1"/>
  <c r="AD468" i="1" a="1"/>
  <c r="AD468" i="1" s="1"/>
  <c r="AD467" i="1" a="1"/>
  <c r="AD467" i="1" s="1"/>
  <c r="AD466" i="1" a="1"/>
  <c r="AD466" i="1" s="1"/>
  <c r="AD465" i="1" a="1"/>
  <c r="AD465" i="1" s="1"/>
  <c r="AD464" i="1" a="1"/>
  <c r="AD464" i="1" s="1"/>
  <c r="AD463" i="1" a="1"/>
  <c r="AD463" i="1" s="1"/>
  <c r="AD462" i="1" a="1"/>
  <c r="AD462" i="1" s="1"/>
  <c r="AD461" i="1" a="1"/>
  <c r="AD461" i="1" s="1"/>
  <c r="AD460" i="1" a="1"/>
  <c r="AD460" i="1" s="1"/>
  <c r="AD459" i="1" a="1"/>
  <c r="AD459" i="1" s="1"/>
  <c r="AD458" i="1" a="1"/>
  <c r="AD458" i="1" s="1"/>
  <c r="AD457" i="1" a="1"/>
  <c r="AD457" i="1" s="1"/>
  <c r="AD456" i="1" a="1"/>
  <c r="AD456" i="1" s="1"/>
  <c r="AD455" i="1" a="1"/>
  <c r="AD455" i="1" s="1"/>
  <c r="AD454" i="1" a="1"/>
  <c r="AD454" i="1" s="1"/>
  <c r="AD453" i="1" a="1"/>
  <c r="AD453" i="1" s="1"/>
  <c r="AD452" i="1" a="1"/>
  <c r="AD452" i="1" s="1"/>
  <c r="AD451" i="1" a="1"/>
  <c r="AD451" i="1" s="1"/>
  <c r="AD450" i="1" a="1"/>
  <c r="AD450" i="1" s="1"/>
  <c r="AD449" i="1" a="1"/>
  <c r="AD449" i="1" s="1"/>
  <c r="AD448" i="1" a="1"/>
  <c r="AD448" i="1" s="1"/>
  <c r="AD447" i="1" a="1"/>
  <c r="AD447" i="1" s="1"/>
  <c r="AD446" i="1" a="1"/>
  <c r="AD446" i="1" s="1"/>
  <c r="AD445" i="1" a="1"/>
  <c r="AD445" i="1" s="1"/>
  <c r="AD444" i="1" a="1"/>
  <c r="AD444" i="1" s="1"/>
  <c r="AD443" i="1" a="1"/>
  <c r="AD443" i="1" s="1"/>
  <c r="AD442" i="1" a="1"/>
  <c r="AD442" i="1" s="1"/>
  <c r="AD441" i="1" a="1"/>
  <c r="AD441" i="1" s="1"/>
  <c r="AD440" i="1" a="1"/>
  <c r="AD440" i="1" s="1"/>
  <c r="AD439" i="1" a="1"/>
  <c r="AD439" i="1" s="1"/>
  <c r="AD438" i="1" a="1"/>
  <c r="AD438" i="1" s="1"/>
  <c r="AD437" i="1" a="1"/>
  <c r="AD437" i="1" s="1"/>
  <c r="AD436" i="1" a="1"/>
  <c r="AD436" i="1" s="1"/>
  <c r="AD435" i="1" a="1"/>
  <c r="AD435" i="1" s="1"/>
  <c r="AD434" i="1" a="1"/>
  <c r="AD434" i="1" s="1"/>
  <c r="AD433" i="1" a="1"/>
  <c r="AD433" i="1" s="1"/>
  <c r="AD432" i="1" a="1"/>
  <c r="AD432" i="1" s="1"/>
  <c r="AD431" i="1" a="1"/>
  <c r="AD431" i="1" s="1"/>
  <c r="AD430" i="1" a="1"/>
  <c r="AD430" i="1" s="1"/>
  <c r="AD429" i="1" a="1"/>
  <c r="AD429" i="1" s="1"/>
  <c r="AD428" i="1" a="1"/>
  <c r="AD428" i="1" s="1"/>
  <c r="AD427" i="1" a="1"/>
  <c r="AD427" i="1" s="1"/>
  <c r="AD426" i="1" a="1"/>
  <c r="AD426" i="1" s="1"/>
  <c r="AD425" i="1" a="1"/>
  <c r="AD425" i="1" s="1"/>
  <c r="AD424" i="1" a="1"/>
  <c r="AD424" i="1" s="1"/>
  <c r="AD423" i="1" a="1"/>
  <c r="AD423" i="1" s="1"/>
  <c r="AD422" i="1" a="1"/>
  <c r="AD422" i="1" s="1"/>
  <c r="AD421" i="1" a="1"/>
  <c r="AD421" i="1" s="1"/>
  <c r="AD420" i="1" a="1"/>
  <c r="AD420" i="1" s="1"/>
  <c r="AD419" i="1" a="1"/>
  <c r="AD419" i="1" s="1"/>
  <c r="AD418" i="1" a="1"/>
  <c r="AD418" i="1" s="1"/>
  <c r="AD417" i="1" a="1"/>
  <c r="AD417" i="1" s="1"/>
  <c r="AD416" i="1" a="1"/>
  <c r="AD416" i="1" s="1"/>
  <c r="AD415" i="1" a="1"/>
  <c r="AD415" i="1" s="1"/>
  <c r="AD414" i="1" a="1"/>
  <c r="AD414" i="1" s="1"/>
  <c r="AD413" i="1" a="1"/>
  <c r="AD413" i="1" s="1"/>
  <c r="AD412" i="1" a="1"/>
  <c r="AD412" i="1" s="1"/>
  <c r="AD411" i="1" a="1"/>
  <c r="AD411" i="1" s="1"/>
  <c r="AD410" i="1" a="1"/>
  <c r="AD410" i="1" s="1"/>
  <c r="AD409" i="1" a="1"/>
  <c r="AD409" i="1" s="1"/>
  <c r="AD408" i="1" a="1"/>
  <c r="AD408" i="1" s="1"/>
  <c r="AD407" i="1" a="1"/>
  <c r="AD407" i="1" s="1"/>
  <c r="AD406" i="1" a="1"/>
  <c r="AD406" i="1" s="1"/>
  <c r="AD405" i="1" a="1"/>
  <c r="AD405" i="1" s="1"/>
  <c r="AD404" i="1" a="1"/>
  <c r="AD404" i="1" s="1"/>
  <c r="AD403" i="1" a="1"/>
  <c r="AD403" i="1" s="1"/>
  <c r="AD402" i="1" a="1"/>
  <c r="AD402" i="1" s="1"/>
  <c r="AD399" i="1" a="1"/>
  <c r="AD399" i="1" s="1"/>
  <c r="AD398" i="1" a="1"/>
  <c r="AD398" i="1" s="1"/>
  <c r="AD391" i="1" a="1"/>
  <c r="AD391" i="1" s="1"/>
  <c r="AD390" i="1" a="1"/>
  <c r="AD390" i="1" s="1"/>
  <c r="AD389" i="1" a="1"/>
  <c r="AD389" i="1" s="1"/>
  <c r="AD388" i="1" a="1"/>
  <c r="AD388" i="1" s="1"/>
  <c r="AD387" i="1" a="1"/>
  <c r="AD387" i="1" s="1"/>
  <c r="AD386" i="1" a="1"/>
  <c r="AD386" i="1" s="1"/>
  <c r="AD385" i="1" a="1"/>
  <c r="AD385" i="1" s="1"/>
  <c r="AD384" i="1" a="1"/>
  <c r="AD384" i="1" s="1"/>
  <c r="AD383" i="1" a="1"/>
  <c r="AD383" i="1" s="1"/>
  <c r="AD382" i="1" a="1"/>
  <c r="AD382" i="1" s="1"/>
  <c r="AD381" i="1" a="1"/>
  <c r="AD381" i="1" s="1"/>
  <c r="AD380" i="1" a="1"/>
  <c r="AD380" i="1" s="1"/>
  <c r="AD379" i="1" a="1"/>
  <c r="AD379" i="1" s="1"/>
  <c r="AD378" i="1" a="1"/>
  <c r="AD378" i="1" s="1"/>
  <c r="AD377" i="1" a="1"/>
  <c r="AD377" i="1" s="1"/>
  <c r="AD376" i="1" a="1"/>
  <c r="AD376" i="1" s="1"/>
  <c r="AD375" i="1" a="1"/>
  <c r="AD375" i="1" s="1"/>
  <c r="AD374" i="1" a="1"/>
  <c r="AD374" i="1" s="1"/>
  <c r="AD373" i="1" a="1"/>
  <c r="AD373" i="1" s="1"/>
  <c r="AD372" i="1" a="1"/>
  <c r="AD372" i="1" s="1"/>
  <c r="AD371" i="1" a="1"/>
  <c r="AD371" i="1" s="1"/>
  <c r="AD370" i="1" a="1"/>
  <c r="AD370" i="1" s="1"/>
  <c r="AD369" i="1" a="1"/>
  <c r="AD369" i="1" s="1"/>
  <c r="AD367" i="1" a="1"/>
  <c r="AD367" i="1" s="1"/>
  <c r="AD366" i="1" a="1"/>
  <c r="AD366" i="1" s="1"/>
  <c r="AD365" i="1" a="1"/>
  <c r="AD365" i="1" s="1"/>
  <c r="AD364" i="1" a="1"/>
  <c r="AD364" i="1" s="1"/>
  <c r="AD363" i="1" a="1"/>
  <c r="AD363" i="1" s="1"/>
  <c r="AD362" i="1" a="1"/>
  <c r="AD362" i="1" s="1"/>
  <c r="AD361" i="1" a="1"/>
  <c r="AD361" i="1" s="1"/>
  <c r="AD360" i="1" a="1"/>
  <c r="AD360" i="1" s="1"/>
  <c r="AD359" i="1" a="1"/>
  <c r="AD359" i="1" s="1"/>
  <c r="AD358" i="1" a="1"/>
  <c r="AD358" i="1" s="1"/>
  <c r="AD357" i="1" a="1"/>
  <c r="AD357" i="1" s="1"/>
  <c r="AD356" i="1" a="1"/>
  <c r="AD356" i="1" s="1"/>
  <c r="AD355" i="1" a="1"/>
  <c r="AD355" i="1" s="1"/>
  <c r="AD354" i="1" a="1"/>
  <c r="AD354" i="1" s="1"/>
  <c r="AD353" i="1" a="1"/>
  <c r="AD353" i="1" s="1"/>
  <c r="AD352" i="1" a="1"/>
  <c r="AD352" i="1" s="1"/>
  <c r="AD351" i="1" a="1"/>
  <c r="AD351" i="1" s="1"/>
  <c r="AD350" i="1" a="1"/>
  <c r="AD350" i="1" s="1"/>
  <c r="AD349" i="1" a="1"/>
  <c r="AD349" i="1" s="1"/>
  <c r="AD348" i="1" a="1"/>
  <c r="AD348" i="1" s="1"/>
  <c r="AD347" i="1" a="1"/>
  <c r="AD347" i="1" s="1"/>
  <c r="AD346" i="1" a="1"/>
  <c r="AD346" i="1" s="1"/>
  <c r="AD345" i="1" a="1"/>
  <c r="AD345" i="1" s="1"/>
  <c r="AD344" i="1" a="1"/>
  <c r="AD344" i="1" s="1"/>
  <c r="AD343" i="1" a="1"/>
  <c r="AD343" i="1" s="1"/>
  <c r="AD342" i="1" a="1"/>
  <c r="AD342" i="1" s="1"/>
  <c r="AD341" i="1" a="1"/>
  <c r="AD341" i="1" s="1"/>
  <c r="AD340" i="1" a="1"/>
  <c r="AD340" i="1" s="1"/>
  <c r="AD339" i="1" a="1"/>
  <c r="AD339" i="1" s="1"/>
  <c r="AD338" i="1" a="1"/>
  <c r="AD338" i="1" s="1"/>
  <c r="AD337" i="1" a="1"/>
  <c r="AD337" i="1" s="1"/>
  <c r="AD336" i="1" a="1"/>
  <c r="AD336" i="1" s="1"/>
  <c r="AD335" i="1" a="1"/>
  <c r="AD335" i="1" s="1"/>
  <c r="AD334" i="1" a="1"/>
  <c r="AD334" i="1" s="1"/>
  <c r="AD333" i="1" a="1"/>
  <c r="AD333" i="1" s="1"/>
  <c r="AD332" i="1" a="1"/>
  <c r="AD332" i="1" s="1"/>
  <c r="AD331" i="1" a="1"/>
  <c r="AD331" i="1" s="1"/>
  <c r="AD330" i="1" a="1"/>
  <c r="AD330" i="1" s="1"/>
  <c r="AD329" i="1" a="1"/>
  <c r="AD329" i="1" s="1"/>
  <c r="AD328" i="1" a="1"/>
  <c r="AD328" i="1" s="1"/>
  <c r="AD327" i="1" a="1"/>
  <c r="AD327" i="1" s="1"/>
  <c r="AD326" i="1" a="1"/>
  <c r="AD326" i="1" s="1"/>
  <c r="AD325" i="1" a="1"/>
  <c r="AD325" i="1" s="1"/>
  <c r="AD324" i="1" a="1"/>
  <c r="AD324" i="1" s="1"/>
  <c r="AD323" i="1" a="1"/>
  <c r="AD323" i="1" s="1"/>
  <c r="AD322" i="1" a="1"/>
  <c r="AD322" i="1" s="1"/>
  <c r="AD321" i="1" a="1"/>
  <c r="AD321" i="1" s="1"/>
  <c r="AD320" i="1" a="1"/>
  <c r="AD320" i="1" s="1"/>
  <c r="AD319" i="1" a="1"/>
  <c r="AD319" i="1" s="1"/>
  <c r="AD318" i="1" a="1"/>
  <c r="AD318" i="1" s="1"/>
  <c r="AD317" i="1" a="1"/>
  <c r="AD317" i="1" s="1"/>
  <c r="AD316" i="1" a="1"/>
  <c r="AD316" i="1" s="1"/>
  <c r="AD315" i="1" a="1"/>
  <c r="AD315" i="1" s="1"/>
  <c r="AD314" i="1" a="1"/>
  <c r="AD314" i="1" s="1"/>
  <c r="AD313" i="1" a="1"/>
  <c r="AD313" i="1" s="1"/>
  <c r="AD312" i="1" a="1"/>
  <c r="AD312" i="1" s="1"/>
  <c r="AD311" i="1" a="1"/>
  <c r="AD311" i="1" s="1"/>
  <c r="AD310" i="1" a="1"/>
  <c r="AD310" i="1" s="1"/>
  <c r="AD309" i="1" a="1"/>
  <c r="AD309" i="1" s="1"/>
  <c r="AD308" i="1" a="1"/>
  <c r="AD308" i="1" s="1"/>
  <c r="AD307" i="1" a="1"/>
  <c r="AD307" i="1" s="1"/>
  <c r="AD306" i="1" a="1"/>
  <c r="AD306" i="1" s="1"/>
  <c r="AD305" i="1" a="1"/>
  <c r="AD305" i="1" s="1"/>
  <c r="AD271" i="1" a="1"/>
  <c r="AD271" i="1" s="1"/>
  <c r="AD270" i="1" a="1"/>
  <c r="AD270" i="1" s="1"/>
  <c r="AD269" i="1" a="1"/>
  <c r="AD269" i="1" s="1"/>
  <c r="AD268" i="1" a="1"/>
  <c r="AD268" i="1" s="1"/>
  <c r="AD267" i="1" a="1"/>
  <c r="AD267" i="1" s="1"/>
  <c r="AD266" i="1" a="1"/>
  <c r="AD266" i="1" s="1"/>
  <c r="AD265" i="1" a="1"/>
  <c r="AD265" i="1" s="1"/>
  <c r="AD264" i="1" a="1"/>
  <c r="AD264" i="1" s="1"/>
  <c r="AD263" i="1" a="1"/>
  <c r="AD263" i="1" s="1"/>
  <c r="AD262" i="1" a="1"/>
  <c r="AD262" i="1" s="1"/>
  <c r="AD261" i="1" a="1"/>
  <c r="AD261" i="1" s="1"/>
  <c r="AD260" i="1" a="1"/>
  <c r="AD260" i="1" s="1"/>
  <c r="AD259" i="1" a="1"/>
  <c r="AD259" i="1" s="1"/>
  <c r="AD258" i="1" a="1"/>
  <c r="AD258" i="1" s="1"/>
  <c r="AD257" i="1" a="1"/>
  <c r="AD257" i="1" s="1"/>
  <c r="AD256" i="1" a="1"/>
  <c r="AD256" i="1" s="1"/>
  <c r="AD255" i="1" a="1"/>
  <c r="AD255" i="1" s="1"/>
  <c r="AD254" i="1" a="1"/>
  <c r="AD254" i="1" s="1"/>
  <c r="AD253" i="1" a="1"/>
  <c r="AD253" i="1" s="1"/>
  <c r="AD252" i="1" a="1"/>
  <c r="AD252" i="1" s="1"/>
  <c r="AD251" i="1" a="1"/>
  <c r="AD251" i="1" s="1"/>
  <c r="AD250" i="1" a="1"/>
  <c r="AD250" i="1" s="1"/>
  <c r="AD249" i="1" a="1"/>
  <c r="AD249" i="1" s="1"/>
  <c r="AD248" i="1" a="1"/>
  <c r="AD248" i="1" s="1"/>
  <c r="AD247" i="1" a="1"/>
  <c r="AD247" i="1" s="1"/>
  <c r="AD246" i="1" a="1"/>
  <c r="AD246" i="1" s="1"/>
  <c r="AD245" i="1" a="1"/>
  <c r="AD245" i="1" s="1"/>
  <c r="AD244" i="1" a="1"/>
  <c r="AD244" i="1" s="1"/>
  <c r="AD243" i="1" a="1"/>
  <c r="AD243" i="1" s="1"/>
  <c r="AD242" i="1" a="1"/>
  <c r="AD242" i="1" s="1"/>
  <c r="AD241" i="1" a="1"/>
  <c r="AD241" i="1" s="1"/>
  <c r="AD240" i="1" a="1"/>
  <c r="AD240" i="1" s="1"/>
  <c r="AD239" i="1" a="1"/>
  <c r="AD239" i="1" s="1"/>
  <c r="AD238" i="1" a="1"/>
  <c r="AD238" i="1" s="1"/>
  <c r="AD237" i="1" a="1"/>
  <c r="AD237" i="1" s="1"/>
  <c r="AD236" i="1" a="1"/>
  <c r="AD236" i="1" s="1"/>
  <c r="AD235" i="1" a="1"/>
  <c r="AD235" i="1" s="1"/>
  <c r="AD234" i="1" a="1"/>
  <c r="AD234" i="1" s="1"/>
  <c r="AD233" i="1" a="1"/>
  <c r="AD233" i="1" s="1"/>
  <c r="AD232" i="1" a="1"/>
  <c r="AD232" i="1" s="1"/>
  <c r="AD230" i="1" a="1"/>
  <c r="AD230" i="1" s="1"/>
  <c r="AD229" i="1" a="1"/>
  <c r="AD229" i="1" s="1"/>
  <c r="AD227" i="1" a="1"/>
  <c r="AD227" i="1" s="1"/>
  <c r="AD225" i="1" a="1"/>
  <c r="AD225" i="1" s="1"/>
  <c r="AD224" i="1" a="1"/>
  <c r="AD224" i="1" s="1"/>
  <c r="AD223" i="1" a="1"/>
  <c r="AD223" i="1" s="1"/>
  <c r="AD221" i="1" a="1"/>
  <c r="AD221" i="1" s="1"/>
  <c r="AD219" i="1" a="1"/>
  <c r="AD219" i="1" s="1"/>
  <c r="AD217" i="1" a="1"/>
  <c r="AD217" i="1" s="1"/>
  <c r="AD215" i="1" a="1"/>
  <c r="AD215" i="1" s="1"/>
  <c r="AD213" i="1" a="1"/>
  <c r="AD213" i="1" s="1"/>
  <c r="AD212" i="1" a="1"/>
  <c r="AD212" i="1" s="1"/>
  <c r="AD210" i="1" a="1"/>
  <c r="AD210" i="1" s="1"/>
  <c r="AD209" i="1" a="1"/>
  <c r="AD209" i="1" s="1"/>
  <c r="AD207" i="1" a="1"/>
  <c r="AD207" i="1" s="1"/>
  <c r="AD206" i="1" a="1"/>
  <c r="AD206" i="1" s="1"/>
  <c r="AD204" i="1" a="1"/>
  <c r="AD204" i="1" s="1"/>
  <c r="AD203" i="1" a="1"/>
  <c r="AD203" i="1" s="1"/>
  <c r="AD201" i="1" a="1"/>
  <c r="AD201" i="1" s="1"/>
  <c r="AD200" i="1" a="1"/>
  <c r="AD200" i="1" s="1"/>
  <c r="AD198" i="1" a="1"/>
  <c r="AD198" i="1" s="1"/>
  <c r="AD197" i="1" a="1"/>
  <c r="AD197" i="1" s="1"/>
  <c r="AD195" i="1" a="1"/>
  <c r="AD195" i="1" s="1"/>
  <c r="AD194" i="1" a="1"/>
  <c r="AD194" i="1" s="1"/>
  <c r="AD192" i="1" a="1"/>
  <c r="AD192" i="1" s="1"/>
  <c r="AD191" i="1" a="1"/>
  <c r="AD191" i="1" s="1"/>
  <c r="AD189" i="1" a="1"/>
  <c r="AD189" i="1" s="1"/>
  <c r="AD188" i="1" a="1"/>
  <c r="AD188" i="1" s="1"/>
  <c r="AD186" i="1" a="1"/>
  <c r="AD186" i="1" s="1"/>
  <c r="AD185" i="1" a="1"/>
  <c r="AD185" i="1" s="1"/>
  <c r="AD183" i="1" a="1"/>
  <c r="AD183" i="1" s="1"/>
  <c r="AD182" i="1" a="1"/>
  <c r="AD182" i="1" s="1"/>
  <c r="AD180" i="1" a="1"/>
  <c r="AD180" i="1" s="1"/>
  <c r="AD179" i="1" a="1"/>
  <c r="AD179" i="1" s="1"/>
  <c r="AD177" i="1" a="1"/>
  <c r="AD177" i="1" s="1"/>
  <c r="AD176" i="1" a="1"/>
  <c r="AD176" i="1" s="1"/>
  <c r="AD174" i="1" a="1"/>
  <c r="AD174" i="1" s="1"/>
  <c r="AD173" i="1" a="1"/>
  <c r="AD173" i="1" s="1"/>
  <c r="AD171" i="1" a="1"/>
  <c r="AD171" i="1" s="1"/>
  <c r="AD170" i="1" a="1"/>
  <c r="AD170" i="1" s="1"/>
  <c r="AD168" i="1" a="1"/>
  <c r="AD168" i="1" s="1"/>
  <c r="AD167" i="1" a="1"/>
  <c r="AD167" i="1" s="1"/>
  <c r="AD165" i="1" a="1"/>
  <c r="AD165" i="1" s="1"/>
  <c r="AD164" i="1" a="1"/>
  <c r="AD164" i="1" s="1"/>
  <c r="AD162" i="1" a="1"/>
  <c r="AD162" i="1" s="1"/>
  <c r="AD161" i="1" a="1"/>
  <c r="AD161" i="1" s="1"/>
  <c r="AD160" i="1" a="1"/>
  <c r="AD160" i="1" s="1"/>
  <c r="AD159" i="1" a="1"/>
  <c r="AD159" i="1" s="1"/>
  <c r="AD158" i="1" a="1"/>
  <c r="AD158" i="1" s="1"/>
  <c r="AD157" i="1" a="1"/>
  <c r="AD157" i="1" s="1"/>
  <c r="AD156" i="1" a="1"/>
  <c r="AD156" i="1" s="1"/>
  <c r="AD155" i="1" a="1"/>
  <c r="AD155" i="1" s="1"/>
  <c r="AD154" i="1" a="1"/>
  <c r="AD154" i="1" s="1"/>
  <c r="AD153" i="1" a="1"/>
  <c r="AD153" i="1" s="1"/>
  <c r="AD152" i="1" a="1"/>
  <c r="AD152" i="1" s="1"/>
  <c r="AD151" i="1" a="1"/>
  <c r="AD151" i="1" s="1"/>
  <c r="AD150" i="1" a="1"/>
  <c r="AD150" i="1" s="1"/>
  <c r="AD149" i="1" a="1"/>
  <c r="AD149" i="1" s="1"/>
  <c r="AD148" i="1" a="1"/>
  <c r="AD148" i="1" s="1"/>
  <c r="AD147" i="1" a="1"/>
  <c r="AD147" i="1" s="1"/>
  <c r="AD146" i="1" a="1"/>
  <c r="AD146" i="1" s="1"/>
  <c r="AD145" i="1" a="1"/>
  <c r="AD145" i="1" s="1"/>
  <c r="AD144" i="1" a="1"/>
  <c r="AD144" i="1" s="1"/>
  <c r="AD143" i="1" a="1"/>
  <c r="AD143" i="1" s="1"/>
  <c r="AD142" i="1" a="1"/>
  <c r="AD142" i="1" s="1"/>
  <c r="AD141" i="1" a="1"/>
  <c r="AD141" i="1" s="1"/>
  <c r="AD140" i="1" a="1"/>
  <c r="AD140" i="1" s="1"/>
  <c r="AD139" i="1" a="1"/>
  <c r="AD139" i="1" s="1"/>
  <c r="AD138" i="1" a="1"/>
  <c r="AD138" i="1" s="1"/>
  <c r="AD137" i="1" a="1"/>
  <c r="AD137" i="1" s="1"/>
  <c r="AD136" i="1" a="1"/>
  <c r="AD136" i="1" s="1"/>
  <c r="AD135" i="1" a="1"/>
  <c r="AD135" i="1" s="1"/>
  <c r="AD134" i="1" a="1"/>
  <c r="AD134" i="1" s="1"/>
  <c r="AD133" i="1" a="1"/>
  <c r="AD133" i="1" s="1"/>
  <c r="AD132" i="1" a="1"/>
  <c r="AD132" i="1" s="1"/>
  <c r="AD131" i="1" a="1"/>
  <c r="AD131" i="1" s="1"/>
  <c r="AD118" i="1" a="1"/>
  <c r="AD118" i="1" s="1"/>
  <c r="AD114" i="1" a="1"/>
  <c r="AD114" i="1" s="1"/>
  <c r="AD111" i="1" a="1"/>
  <c r="AD111" i="1" s="1"/>
  <c r="AD110" i="1" a="1"/>
  <c r="AD110" i="1" s="1"/>
  <c r="AD109" i="1" a="1"/>
  <c r="AD109" i="1" s="1"/>
  <c r="AD108" i="1" a="1"/>
  <c r="AD108" i="1" s="1"/>
  <c r="AD107" i="1" a="1"/>
  <c r="AD107" i="1" s="1"/>
  <c r="AD106" i="1" a="1"/>
  <c r="AD106" i="1" s="1"/>
  <c r="AD105" i="1" a="1"/>
  <c r="AD105" i="1" s="1"/>
  <c r="AD104" i="1" a="1"/>
  <c r="AD104" i="1" s="1"/>
  <c r="AD103" i="1" a="1"/>
  <c r="AD103" i="1" s="1"/>
  <c r="AD102" i="1" a="1"/>
  <c r="AD102" i="1" s="1"/>
  <c r="AD84" i="1" a="1"/>
  <c r="AD84" i="1" s="1"/>
  <c r="AD83" i="1" a="1"/>
  <c r="AD83" i="1" s="1"/>
  <c r="AD82" i="1" a="1"/>
  <c r="AD82" i="1" s="1"/>
  <c r="AD81" i="1" a="1"/>
  <c r="AD81" i="1" s="1"/>
  <c r="AD80" i="1" a="1"/>
  <c r="AD80" i="1" s="1"/>
  <c r="AD79" i="1" a="1"/>
  <c r="AD79" i="1" s="1"/>
  <c r="AD78" i="1" a="1"/>
  <c r="AD78" i="1" s="1"/>
  <c r="AD77" i="1" a="1"/>
  <c r="AD77" i="1" s="1"/>
  <c r="AD76" i="1" a="1"/>
  <c r="AD76" i="1" s="1"/>
  <c r="AD75" i="1" a="1"/>
  <c r="AD75" i="1" s="1"/>
  <c r="AD74" i="1" a="1"/>
  <c r="AD74" i="1" s="1"/>
  <c r="AD73" i="1" a="1"/>
  <c r="AD73" i="1" s="1"/>
  <c r="AD72" i="1" a="1"/>
  <c r="AD72" i="1" s="1"/>
  <c r="AD71" i="1" a="1"/>
  <c r="AD71" i="1" s="1"/>
  <c r="AD70" i="1" a="1"/>
  <c r="AD70" i="1" s="1"/>
  <c r="AD69" i="1" a="1"/>
  <c r="AD69" i="1" s="1"/>
  <c r="AD68" i="1" a="1"/>
  <c r="AD68" i="1" s="1"/>
  <c r="AD67" i="1" a="1"/>
  <c r="AD67" i="1" s="1"/>
  <c r="AD66" i="1" a="1"/>
  <c r="AD66" i="1" s="1"/>
  <c r="AD17" i="1" a="1"/>
  <c r="AD17" i="1" s="1"/>
  <c r="AD16" i="1" a="1"/>
  <c r="AD16" i="1" s="1"/>
  <c r="AD15" i="1" a="1"/>
  <c r="AD15" i="1" s="1"/>
  <c r="AD14" i="1" a="1"/>
  <c r="AD14" i="1" s="1"/>
  <c r="AD13" i="1" a="1"/>
  <c r="AD13" i="1" s="1"/>
  <c r="AD12" i="1" a="1"/>
  <c r="AD12" i="1" s="1"/>
  <c r="AD11" i="1" a="1"/>
  <c r="AD11" i="1" s="1"/>
  <c r="AD10" i="1" a="1"/>
  <c r="AD10" i="1" s="1"/>
  <c r="AD9" i="1" a="1"/>
  <c r="AD9" i="1" s="1"/>
  <c r="AD8" i="1" a="1"/>
  <c r="AD8" i="1" s="1"/>
  <c r="AD7" i="1" a="1"/>
  <c r="AD7" i="1" s="1"/>
  <c r="AD6" i="1" a="1"/>
  <c r="AD6" i="1" s="1"/>
  <c r="AD5" i="1" a="1"/>
  <c r="AD5" i="1" s="1"/>
  <c r="AD4" i="1" a="1"/>
  <c r="AD4" i="1" s="1"/>
  <c r="AD3" i="1" a="1"/>
  <c r="AD3" i="1" s="1"/>
  <c r="AC237" i="1"/>
  <c r="AI237" i="1" s="1"/>
  <c r="AC236" i="1"/>
  <c r="AI236" i="1" s="1"/>
  <c r="AC235" i="1"/>
  <c r="AC534" i="1"/>
  <c r="AC533" i="1"/>
  <c r="AC532" i="1"/>
  <c r="P535" i="1"/>
  <c r="R535" i="1"/>
  <c r="S535" i="1"/>
  <c r="X535" i="1"/>
  <c r="AC535" i="1"/>
  <c r="AI535" i="1" s="1"/>
  <c r="AF535" i="1"/>
  <c r="P536" i="1"/>
  <c r="R536" i="1"/>
  <c r="S536" i="1"/>
  <c r="X536" i="1"/>
  <c r="AC536" i="1"/>
  <c r="AI536" i="1" s="1"/>
  <c r="AF536" i="1"/>
  <c r="P537" i="1"/>
  <c r="R537" i="1"/>
  <c r="S537" i="1"/>
  <c r="X537" i="1"/>
  <c r="AC537" i="1"/>
  <c r="AF537" i="1"/>
  <c r="P538" i="1"/>
  <c r="R538" i="1"/>
  <c r="S538" i="1"/>
  <c r="X538" i="1"/>
  <c r="AC538" i="1"/>
  <c r="AF538" i="1"/>
  <c r="P539" i="1"/>
  <c r="R539" i="1"/>
  <c r="S539" i="1"/>
  <c r="X539" i="1"/>
  <c r="AC539" i="1"/>
  <c r="AI539" i="1" s="1"/>
  <c r="AF539" i="1"/>
  <c r="P540" i="1"/>
  <c r="R540" i="1"/>
  <c r="S540" i="1"/>
  <c r="X540" i="1"/>
  <c r="AC540" i="1"/>
  <c r="AI540" i="1" s="1"/>
  <c r="AF540" i="1"/>
  <c r="P541" i="1"/>
  <c r="R541" i="1"/>
  <c r="S541" i="1"/>
  <c r="X541" i="1"/>
  <c r="AC541" i="1"/>
  <c r="AI541" i="1" s="1"/>
  <c r="AF541" i="1"/>
  <c r="P542" i="1"/>
  <c r="R542" i="1"/>
  <c r="S542" i="1"/>
  <c r="X542" i="1"/>
  <c r="AC542" i="1"/>
  <c r="AI542" i="1" s="1"/>
  <c r="AF542" i="1"/>
  <c r="P543" i="1"/>
  <c r="R543" i="1"/>
  <c r="S543" i="1"/>
  <c r="X543" i="1"/>
  <c r="AC543" i="1"/>
  <c r="AF543" i="1"/>
  <c r="P544" i="1"/>
  <c r="R544" i="1"/>
  <c r="S544" i="1"/>
  <c r="X544" i="1"/>
  <c r="AC544" i="1"/>
  <c r="AI544" i="1" s="1"/>
  <c r="AF544" i="1"/>
  <c r="P545" i="1"/>
  <c r="R545" i="1"/>
  <c r="S545" i="1"/>
  <c r="X545" i="1"/>
  <c r="AC545" i="1"/>
  <c r="AI545" i="1" s="1"/>
  <c r="AF545" i="1"/>
  <c r="P546" i="1"/>
  <c r="R546" i="1"/>
  <c r="S546" i="1"/>
  <c r="X546" i="1"/>
  <c r="AC546" i="1"/>
  <c r="AI546" i="1" s="1"/>
  <c r="AF546" i="1"/>
  <c r="P547" i="1"/>
  <c r="R547" i="1"/>
  <c r="S547" i="1"/>
  <c r="X547" i="1"/>
  <c r="AC547" i="1"/>
  <c r="AI547" i="1" s="1"/>
  <c r="AF547" i="1"/>
  <c r="P548" i="1"/>
  <c r="R548" i="1"/>
  <c r="S548" i="1"/>
  <c r="X548" i="1"/>
  <c r="AC548" i="1"/>
  <c r="AI548" i="1" s="1"/>
  <c r="AF548" i="1"/>
  <c r="P549" i="1"/>
  <c r="R549" i="1"/>
  <c r="S549" i="1"/>
  <c r="X549" i="1"/>
  <c r="AC549" i="1"/>
  <c r="AI549" i="1" s="1"/>
  <c r="AF549" i="1"/>
  <c r="P550" i="1"/>
  <c r="R550" i="1"/>
  <c r="S550" i="1"/>
  <c r="X550" i="1"/>
  <c r="AC550" i="1"/>
  <c r="AI550" i="1" s="1"/>
  <c r="AF550" i="1"/>
  <c r="P551" i="1"/>
  <c r="R551" i="1"/>
  <c r="S551" i="1"/>
  <c r="X551" i="1"/>
  <c r="AC551" i="1"/>
  <c r="AF551" i="1"/>
  <c r="P552" i="1"/>
  <c r="R552" i="1"/>
  <c r="S552" i="1"/>
  <c r="X552" i="1"/>
  <c r="AC552" i="1"/>
  <c r="AI552" i="1" s="1"/>
  <c r="AF552" i="1"/>
  <c r="P553" i="1"/>
  <c r="R553" i="1"/>
  <c r="S553" i="1"/>
  <c r="X553" i="1"/>
  <c r="AC553" i="1"/>
  <c r="AI553" i="1" s="1"/>
  <c r="AF553" i="1"/>
  <c r="P554" i="1"/>
  <c r="R554" i="1"/>
  <c r="S554" i="1"/>
  <c r="X554" i="1"/>
  <c r="AC554" i="1"/>
  <c r="AI554" i="1" s="1"/>
  <c r="AF554" i="1"/>
  <c r="P555" i="1"/>
  <c r="R555" i="1"/>
  <c r="S555" i="1"/>
  <c r="X555" i="1"/>
  <c r="AC555" i="1"/>
  <c r="AI555" i="1" s="1"/>
  <c r="AF555" i="1"/>
  <c r="P556" i="1"/>
  <c r="R556" i="1"/>
  <c r="S556" i="1"/>
  <c r="X556" i="1"/>
  <c r="AC556" i="1"/>
  <c r="AI556" i="1" s="1"/>
  <c r="AF556" i="1"/>
  <c r="P557" i="1"/>
  <c r="R557" i="1"/>
  <c r="S557" i="1"/>
  <c r="X557" i="1"/>
  <c r="AC557" i="1"/>
  <c r="AF557" i="1"/>
  <c r="P558" i="1"/>
  <c r="R558" i="1"/>
  <c r="S558" i="1"/>
  <c r="X558" i="1"/>
  <c r="AC558" i="1"/>
  <c r="AI558" i="1" s="1"/>
  <c r="AF558" i="1"/>
  <c r="P559" i="1"/>
  <c r="R559" i="1"/>
  <c r="S559" i="1"/>
  <c r="X559" i="1"/>
  <c r="AC559" i="1"/>
  <c r="AI559" i="1" s="1"/>
  <c r="AF559" i="1"/>
  <c r="P560" i="1"/>
  <c r="R560" i="1"/>
  <c r="S560" i="1"/>
  <c r="X560" i="1"/>
  <c r="AC560" i="1"/>
  <c r="AF560" i="1"/>
  <c r="P561" i="1"/>
  <c r="R561" i="1"/>
  <c r="S561" i="1"/>
  <c r="X561" i="1"/>
  <c r="AC561" i="1"/>
  <c r="AI561" i="1" s="1"/>
  <c r="AF561" i="1"/>
  <c r="P562" i="1"/>
  <c r="R562" i="1"/>
  <c r="S562" i="1"/>
  <c r="X562" i="1"/>
  <c r="AC562" i="1"/>
  <c r="AI562" i="1" s="1"/>
  <c r="AF562" i="1"/>
  <c r="P563" i="1"/>
  <c r="R563" i="1"/>
  <c r="S563" i="1"/>
  <c r="X563" i="1"/>
  <c r="AC563" i="1"/>
  <c r="AI563" i="1" s="1"/>
  <c r="AF563" i="1"/>
  <c r="P564" i="1"/>
  <c r="R564" i="1"/>
  <c r="S564" i="1"/>
  <c r="X564" i="1"/>
  <c r="AC564" i="1"/>
  <c r="AI564" i="1" s="1"/>
  <c r="AF564" i="1"/>
  <c r="N565" i="1"/>
  <c r="AD565" i="1" s="1" a="1"/>
  <c r="AD565" i="1" s="1"/>
  <c r="X565" i="1"/>
  <c r="AF565" i="1"/>
  <c r="P566" i="1"/>
  <c r="R566" i="1"/>
  <c r="S566" i="1"/>
  <c r="X566" i="1"/>
  <c r="AC566" i="1"/>
  <c r="AI566" i="1" s="1"/>
  <c r="AF566" i="1"/>
  <c r="P567" i="1"/>
  <c r="R567" i="1"/>
  <c r="S567" i="1"/>
  <c r="X567" i="1"/>
  <c r="AC567" i="1"/>
  <c r="AI567" i="1" s="1"/>
  <c r="AF567" i="1"/>
  <c r="P568" i="1"/>
  <c r="R568" i="1"/>
  <c r="S568" i="1"/>
  <c r="X568" i="1"/>
  <c r="AC568" i="1"/>
  <c r="AI568" i="1" s="1"/>
  <c r="AF568" i="1"/>
  <c r="P569" i="1"/>
  <c r="R569" i="1"/>
  <c r="S569" i="1"/>
  <c r="X569" i="1"/>
  <c r="AC569" i="1"/>
  <c r="AF569" i="1"/>
  <c r="P570" i="1"/>
  <c r="R570" i="1"/>
  <c r="S570" i="1"/>
  <c r="X570" i="1"/>
  <c r="AC570" i="1"/>
  <c r="AF570" i="1"/>
  <c r="P571" i="1"/>
  <c r="R571" i="1"/>
  <c r="S571" i="1"/>
  <c r="X571" i="1"/>
  <c r="AC571" i="1"/>
  <c r="AF571" i="1"/>
  <c r="P572" i="1"/>
  <c r="R572" i="1"/>
  <c r="S572" i="1"/>
  <c r="X572" i="1"/>
  <c r="AC572" i="1"/>
  <c r="AI572" i="1" s="1"/>
  <c r="AF572" i="1"/>
  <c r="P573" i="1"/>
  <c r="R573" i="1"/>
  <c r="S573" i="1"/>
  <c r="X573" i="1"/>
  <c r="AC573" i="1"/>
  <c r="AI573" i="1" s="1"/>
  <c r="AF573" i="1"/>
  <c r="P574" i="1"/>
  <c r="R574" i="1"/>
  <c r="S574" i="1"/>
  <c r="X574" i="1"/>
  <c r="AC574" i="1"/>
  <c r="AF574" i="1"/>
  <c r="P575" i="1"/>
  <c r="R575" i="1"/>
  <c r="S575" i="1"/>
  <c r="X575" i="1"/>
  <c r="AC575" i="1"/>
  <c r="AI575" i="1" s="1"/>
  <c r="AF575" i="1"/>
  <c r="P576" i="1"/>
  <c r="R576" i="1"/>
  <c r="S576" i="1"/>
  <c r="X576" i="1"/>
  <c r="AC576" i="1"/>
  <c r="AI576" i="1" s="1"/>
  <c r="AF576" i="1"/>
  <c r="P577" i="1"/>
  <c r="R577" i="1"/>
  <c r="S577" i="1"/>
  <c r="X577" i="1"/>
  <c r="AC577" i="1"/>
  <c r="AI577" i="1" s="1"/>
  <c r="AF577" i="1"/>
  <c r="P578" i="1"/>
  <c r="R578" i="1"/>
  <c r="S578" i="1"/>
  <c r="X578" i="1"/>
  <c r="AC578" i="1"/>
  <c r="AF578" i="1"/>
  <c r="N530" i="1"/>
  <c r="AC530" i="1" s="1"/>
  <c r="AI530" i="1" s="1"/>
  <c r="N528" i="1"/>
  <c r="AC528" i="1" s="1"/>
  <c r="AI528" i="1" s="1"/>
  <c r="N526" i="1"/>
  <c r="AC526" i="1" s="1"/>
  <c r="AI526" i="1" s="1"/>
  <c r="N524" i="1"/>
  <c r="AF531" i="1"/>
  <c r="AC531" i="1"/>
  <c r="AI531" i="1" s="1"/>
  <c r="S531" i="1"/>
  <c r="R531" i="1"/>
  <c r="P531" i="1"/>
  <c r="AF529" i="1"/>
  <c r="AC529" i="1"/>
  <c r="AI529" i="1" s="1"/>
  <c r="S529" i="1"/>
  <c r="R529" i="1"/>
  <c r="P529" i="1"/>
  <c r="AF527" i="1"/>
  <c r="AC527" i="1"/>
  <c r="AI527" i="1" s="1"/>
  <c r="S527" i="1"/>
  <c r="R527" i="1"/>
  <c r="P527" i="1"/>
  <c r="AF525" i="1"/>
  <c r="AC525" i="1"/>
  <c r="S525" i="1"/>
  <c r="R525" i="1"/>
  <c r="P525" i="1"/>
  <c r="AF523" i="1"/>
  <c r="AC523" i="1"/>
  <c r="AI523" i="1" s="1"/>
  <c r="X523" i="1"/>
  <c r="S523" i="1"/>
  <c r="R523" i="1"/>
  <c r="P523" i="1"/>
  <c r="AF522" i="1"/>
  <c r="AC522" i="1"/>
  <c r="AI522" i="1" s="1"/>
  <c r="X522" i="1"/>
  <c r="S522" i="1"/>
  <c r="R522" i="1"/>
  <c r="P522" i="1"/>
  <c r="AF521" i="1"/>
  <c r="AC521" i="1"/>
  <c r="AI521" i="1" s="1"/>
  <c r="X521" i="1"/>
  <c r="S521" i="1"/>
  <c r="R521" i="1"/>
  <c r="P521" i="1"/>
  <c r="AF520" i="1"/>
  <c r="AC520" i="1"/>
  <c r="AI520" i="1" s="1"/>
  <c r="X520" i="1"/>
  <c r="S520" i="1"/>
  <c r="R520" i="1"/>
  <c r="P520" i="1"/>
  <c r="AF519" i="1"/>
  <c r="AC519" i="1"/>
  <c r="AI519" i="1" s="1"/>
  <c r="X519" i="1"/>
  <c r="S519" i="1"/>
  <c r="R519" i="1"/>
  <c r="P519" i="1"/>
  <c r="AF518" i="1"/>
  <c r="AC518" i="1"/>
  <c r="AI518" i="1" s="1"/>
  <c r="X518" i="1"/>
  <c r="S518" i="1"/>
  <c r="R518" i="1"/>
  <c r="P518" i="1"/>
  <c r="AF517" i="1"/>
  <c r="AC517" i="1"/>
  <c r="X517" i="1"/>
  <c r="S517" i="1"/>
  <c r="R517" i="1"/>
  <c r="P517" i="1"/>
  <c r="AF516" i="1"/>
  <c r="AC516" i="1"/>
  <c r="X516" i="1"/>
  <c r="S516" i="1"/>
  <c r="R516" i="1"/>
  <c r="P516" i="1"/>
  <c r="AF515" i="1"/>
  <c r="AC515" i="1"/>
  <c r="X515" i="1"/>
  <c r="S515" i="1"/>
  <c r="R515" i="1"/>
  <c r="P515" i="1"/>
  <c r="AF514" i="1"/>
  <c r="AC514" i="1"/>
  <c r="AI514" i="1" s="1"/>
  <c r="X514" i="1"/>
  <c r="S514" i="1"/>
  <c r="R514" i="1"/>
  <c r="P514" i="1"/>
  <c r="N512" i="1"/>
  <c r="N510" i="1"/>
  <c r="N508" i="1"/>
  <c r="N506" i="1"/>
  <c r="AC506" i="1" s="1"/>
  <c r="AF513" i="1"/>
  <c r="AC513" i="1"/>
  <c r="AI513" i="1" s="1"/>
  <c r="S513" i="1"/>
  <c r="R513" i="1"/>
  <c r="P513" i="1"/>
  <c r="AF511" i="1"/>
  <c r="AC511" i="1"/>
  <c r="S511" i="1"/>
  <c r="R511" i="1"/>
  <c r="P511" i="1"/>
  <c r="AF509" i="1"/>
  <c r="AC509" i="1"/>
  <c r="S509" i="1"/>
  <c r="R509" i="1"/>
  <c r="P509" i="1"/>
  <c r="AF507" i="1"/>
  <c r="AC507" i="1"/>
  <c r="AI507" i="1" s="1"/>
  <c r="S507" i="1"/>
  <c r="R507" i="1"/>
  <c r="P507" i="1"/>
  <c r="N504" i="1"/>
  <c r="AC504" i="1" s="1"/>
  <c r="AI504" i="1" s="1"/>
  <c r="N502" i="1"/>
  <c r="AC502" i="1" s="1"/>
  <c r="AI502" i="1" s="1"/>
  <c r="AF505" i="1"/>
  <c r="AC505" i="1"/>
  <c r="AI505" i="1" s="1"/>
  <c r="S505" i="1"/>
  <c r="R505" i="1"/>
  <c r="P505" i="1"/>
  <c r="AF503" i="1"/>
  <c r="AC503" i="1"/>
  <c r="S503" i="1"/>
  <c r="R503" i="1"/>
  <c r="P503" i="1"/>
  <c r="AF501" i="1"/>
  <c r="AC501" i="1"/>
  <c r="AI501" i="1" s="1"/>
  <c r="AF499" i="1"/>
  <c r="AC499" i="1"/>
  <c r="AI499" i="1" s="1"/>
  <c r="S501" i="1"/>
  <c r="S499" i="1"/>
  <c r="R501" i="1"/>
  <c r="R499" i="1"/>
  <c r="P501" i="1"/>
  <c r="P499" i="1"/>
  <c r="N500" i="1"/>
  <c r="AD500" i="1" s="1" a="1"/>
  <c r="AD500" i="1" s="1"/>
  <c r="X474" i="1"/>
  <c r="N498" i="1"/>
  <c r="AF497" i="1"/>
  <c r="AC497" i="1"/>
  <c r="AI497" i="1" s="1"/>
  <c r="S497" i="1"/>
  <c r="R497" i="1"/>
  <c r="P497" i="1"/>
  <c r="AF496" i="1"/>
  <c r="AC496" i="1"/>
  <c r="AI496" i="1" s="1"/>
  <c r="X496" i="1"/>
  <c r="S496" i="1"/>
  <c r="R496" i="1"/>
  <c r="P496" i="1"/>
  <c r="AF495" i="1"/>
  <c r="AC495" i="1"/>
  <c r="AI495" i="1" s="1"/>
  <c r="X495" i="1"/>
  <c r="S495" i="1"/>
  <c r="R495" i="1"/>
  <c r="P495" i="1"/>
  <c r="AF494" i="1"/>
  <c r="AC494" i="1"/>
  <c r="AI494" i="1" s="1"/>
  <c r="X494" i="1"/>
  <c r="S494" i="1"/>
  <c r="R494" i="1"/>
  <c r="P494" i="1"/>
  <c r="AF493" i="1"/>
  <c r="AC493" i="1"/>
  <c r="AI493" i="1" s="1"/>
  <c r="X493" i="1"/>
  <c r="S493" i="1"/>
  <c r="R493" i="1"/>
  <c r="P493" i="1"/>
  <c r="AF492" i="1"/>
  <c r="AC492" i="1"/>
  <c r="AI492" i="1" s="1"/>
  <c r="X492" i="1"/>
  <c r="S492" i="1"/>
  <c r="R492" i="1"/>
  <c r="P492" i="1"/>
  <c r="AF491" i="1"/>
  <c r="AC491" i="1"/>
  <c r="AI491" i="1" s="1"/>
  <c r="X491" i="1"/>
  <c r="S491" i="1"/>
  <c r="R491" i="1"/>
  <c r="P491" i="1"/>
  <c r="AF490" i="1"/>
  <c r="AC490" i="1"/>
  <c r="AI490" i="1" s="1"/>
  <c r="X490" i="1"/>
  <c r="S490" i="1"/>
  <c r="R490" i="1"/>
  <c r="P490" i="1"/>
  <c r="AF489" i="1"/>
  <c r="AC489" i="1"/>
  <c r="AI489" i="1" s="1"/>
  <c r="X489" i="1"/>
  <c r="S489" i="1"/>
  <c r="R489" i="1"/>
  <c r="P489" i="1"/>
  <c r="AF488" i="1"/>
  <c r="AC488" i="1"/>
  <c r="AI488" i="1" s="1"/>
  <c r="X488" i="1"/>
  <c r="S488" i="1"/>
  <c r="R488" i="1"/>
  <c r="P488" i="1"/>
  <c r="AF487" i="1"/>
  <c r="AC487" i="1"/>
  <c r="AI487" i="1" s="1"/>
  <c r="X487" i="1"/>
  <c r="S487" i="1"/>
  <c r="R487" i="1"/>
  <c r="P487" i="1"/>
  <c r="AF486" i="1"/>
  <c r="AC486" i="1"/>
  <c r="X486" i="1"/>
  <c r="S486" i="1"/>
  <c r="R486" i="1"/>
  <c r="P486" i="1"/>
  <c r="AF485" i="1"/>
  <c r="AC485" i="1"/>
  <c r="X485" i="1"/>
  <c r="S485" i="1"/>
  <c r="R485" i="1"/>
  <c r="P485" i="1"/>
  <c r="AF484" i="1"/>
  <c r="AC484" i="1"/>
  <c r="AI484" i="1" s="1"/>
  <c r="X484" i="1"/>
  <c r="S484" i="1"/>
  <c r="R484" i="1"/>
  <c r="P484" i="1"/>
  <c r="AF483" i="1"/>
  <c r="AC483" i="1"/>
  <c r="AI483" i="1" s="1"/>
  <c r="X483" i="1"/>
  <c r="S483" i="1"/>
  <c r="R483" i="1"/>
  <c r="P483" i="1"/>
  <c r="AF482" i="1"/>
  <c r="AC482" i="1"/>
  <c r="AI482" i="1" s="1"/>
  <c r="X482" i="1"/>
  <c r="S482" i="1"/>
  <c r="R482" i="1"/>
  <c r="P482" i="1"/>
  <c r="AF481" i="1"/>
  <c r="AC481" i="1"/>
  <c r="AI481" i="1" s="1"/>
  <c r="X481" i="1"/>
  <c r="S481" i="1"/>
  <c r="R481" i="1"/>
  <c r="P481" i="1"/>
  <c r="AF480" i="1"/>
  <c r="AC480" i="1"/>
  <c r="AI480" i="1" s="1"/>
  <c r="X480" i="1"/>
  <c r="S480" i="1"/>
  <c r="R480" i="1"/>
  <c r="P480" i="1"/>
  <c r="AF479" i="1"/>
  <c r="AF478" i="1"/>
  <c r="AF477" i="1"/>
  <c r="AF476" i="1"/>
  <c r="AF475" i="1"/>
  <c r="AF474" i="1"/>
  <c r="AC474" i="1"/>
  <c r="AI474" i="1" s="1"/>
  <c r="AC479" i="1"/>
  <c r="AI479" i="1" s="1"/>
  <c r="X479" i="1"/>
  <c r="S479" i="1"/>
  <c r="R479" i="1"/>
  <c r="P479" i="1"/>
  <c r="AC478" i="1"/>
  <c r="X478" i="1"/>
  <c r="S478" i="1"/>
  <c r="R478" i="1"/>
  <c r="P478" i="1"/>
  <c r="AC477" i="1"/>
  <c r="AI477" i="1" s="1"/>
  <c r="X477" i="1"/>
  <c r="S477" i="1"/>
  <c r="R477" i="1"/>
  <c r="P477" i="1"/>
  <c r="AC476" i="1"/>
  <c r="AI476" i="1" s="1"/>
  <c r="X476" i="1"/>
  <c r="S476" i="1"/>
  <c r="R476" i="1"/>
  <c r="P476" i="1"/>
  <c r="AC475" i="1"/>
  <c r="AI475" i="1" s="1"/>
  <c r="X475" i="1"/>
  <c r="S475" i="1"/>
  <c r="R475" i="1"/>
  <c r="P475" i="1"/>
  <c r="P474" i="1"/>
  <c r="R474" i="1"/>
  <c r="S474" i="1"/>
  <c r="AF473" i="1"/>
  <c r="AC473" i="1"/>
  <c r="AI473" i="1" s="1"/>
  <c r="X473" i="1"/>
  <c r="S473" i="1"/>
  <c r="R473" i="1"/>
  <c r="P473" i="1"/>
  <c r="AF472" i="1"/>
  <c r="AC472" i="1"/>
  <c r="AI472" i="1" s="1"/>
  <c r="X472" i="1"/>
  <c r="S472" i="1"/>
  <c r="R472" i="1"/>
  <c r="P472" i="1"/>
  <c r="AF471" i="1"/>
  <c r="AC471" i="1"/>
  <c r="AI471" i="1" s="1"/>
  <c r="X471" i="1"/>
  <c r="S471" i="1"/>
  <c r="R471" i="1"/>
  <c r="P471" i="1"/>
  <c r="AF470" i="1"/>
  <c r="AC470" i="1"/>
  <c r="AI470" i="1" s="1"/>
  <c r="X470" i="1"/>
  <c r="S470" i="1"/>
  <c r="R470" i="1"/>
  <c r="P470" i="1"/>
  <c r="AF469" i="1"/>
  <c r="AC469" i="1"/>
  <c r="AI469" i="1" s="1"/>
  <c r="X469" i="1"/>
  <c r="S469" i="1"/>
  <c r="R469" i="1"/>
  <c r="P469" i="1"/>
  <c r="AF468" i="1"/>
  <c r="AC468" i="1"/>
  <c r="AI468" i="1" s="1"/>
  <c r="X468" i="1"/>
  <c r="S468" i="1"/>
  <c r="R468" i="1"/>
  <c r="P468" i="1"/>
  <c r="AF467" i="1"/>
  <c r="AC467" i="1"/>
  <c r="X467" i="1"/>
  <c r="S467" i="1"/>
  <c r="R467" i="1"/>
  <c r="P467" i="1"/>
  <c r="AF466" i="1"/>
  <c r="AC466" i="1"/>
  <c r="AI466" i="1" s="1"/>
  <c r="X466" i="1"/>
  <c r="S466" i="1"/>
  <c r="R466" i="1"/>
  <c r="P466" i="1"/>
  <c r="AF465" i="1"/>
  <c r="AC465" i="1"/>
  <c r="AI465" i="1" s="1"/>
  <c r="X465" i="1"/>
  <c r="S465" i="1"/>
  <c r="R465" i="1"/>
  <c r="P465" i="1"/>
  <c r="AF464" i="1"/>
  <c r="AC464" i="1"/>
  <c r="X464" i="1"/>
  <c r="S464" i="1"/>
  <c r="R464" i="1"/>
  <c r="P464" i="1"/>
  <c r="AF463" i="1"/>
  <c r="AC463" i="1"/>
  <c r="X463" i="1"/>
  <c r="S463" i="1"/>
  <c r="R463" i="1"/>
  <c r="P463" i="1"/>
  <c r="AF462" i="1"/>
  <c r="AC462" i="1"/>
  <c r="AI462" i="1" s="1"/>
  <c r="X462" i="1"/>
  <c r="S462" i="1"/>
  <c r="R462" i="1"/>
  <c r="P462" i="1"/>
  <c r="AF461" i="1"/>
  <c r="AC461" i="1"/>
  <c r="AI461" i="1" s="1"/>
  <c r="X461" i="1"/>
  <c r="S461" i="1"/>
  <c r="R461" i="1"/>
  <c r="P461" i="1"/>
  <c r="AF460" i="1"/>
  <c r="AC460" i="1"/>
  <c r="AI460" i="1" s="1"/>
  <c r="X460" i="1"/>
  <c r="S460" i="1"/>
  <c r="R460" i="1"/>
  <c r="P460" i="1"/>
  <c r="AF459" i="1"/>
  <c r="AC459" i="1"/>
  <c r="X459" i="1"/>
  <c r="S459" i="1"/>
  <c r="R459" i="1"/>
  <c r="P459" i="1"/>
  <c r="AF458" i="1"/>
  <c r="AC458" i="1"/>
  <c r="X458" i="1"/>
  <c r="S458" i="1"/>
  <c r="R458" i="1"/>
  <c r="P458" i="1"/>
  <c r="R446" i="1"/>
  <c r="R447" i="1"/>
  <c r="AF457" i="1"/>
  <c r="AC457" i="1"/>
  <c r="AI457" i="1" s="1"/>
  <c r="X457" i="1"/>
  <c r="S457" i="1"/>
  <c r="R457" i="1"/>
  <c r="P457" i="1"/>
  <c r="AF456" i="1"/>
  <c r="AC456" i="1"/>
  <c r="AI456" i="1" s="1"/>
  <c r="X456" i="1"/>
  <c r="S456" i="1"/>
  <c r="R456" i="1"/>
  <c r="P456" i="1"/>
  <c r="AF455" i="1"/>
  <c r="AC455" i="1"/>
  <c r="X455" i="1"/>
  <c r="S455" i="1"/>
  <c r="R455" i="1"/>
  <c r="P455" i="1"/>
  <c r="AF454" i="1"/>
  <c r="AC454" i="1"/>
  <c r="AI454" i="1" s="1"/>
  <c r="X454" i="1"/>
  <c r="S454" i="1"/>
  <c r="R454" i="1"/>
  <c r="P454" i="1"/>
  <c r="AF453" i="1"/>
  <c r="AC453" i="1"/>
  <c r="AI453" i="1" s="1"/>
  <c r="X453" i="1"/>
  <c r="S453" i="1"/>
  <c r="R453" i="1"/>
  <c r="P453" i="1"/>
  <c r="AF452" i="1"/>
  <c r="AC452" i="1"/>
  <c r="X452" i="1"/>
  <c r="S452" i="1"/>
  <c r="R452" i="1"/>
  <c r="P452" i="1"/>
  <c r="AF451" i="1"/>
  <c r="AC451" i="1"/>
  <c r="AI451" i="1" s="1"/>
  <c r="X451" i="1"/>
  <c r="S451" i="1"/>
  <c r="R451" i="1"/>
  <c r="P451" i="1"/>
  <c r="AF450" i="1"/>
  <c r="AC450" i="1"/>
  <c r="AI450" i="1" s="1"/>
  <c r="X450" i="1"/>
  <c r="S450" i="1"/>
  <c r="R450" i="1"/>
  <c r="P450" i="1"/>
  <c r="AF449" i="1"/>
  <c r="AC449" i="1"/>
  <c r="X449" i="1"/>
  <c r="S449" i="1"/>
  <c r="R449" i="1"/>
  <c r="P449" i="1"/>
  <c r="AF448" i="1"/>
  <c r="AC448" i="1"/>
  <c r="AI448" i="1" s="1"/>
  <c r="X448" i="1"/>
  <c r="S448" i="1"/>
  <c r="R448" i="1"/>
  <c r="P448" i="1"/>
  <c r="AF447" i="1"/>
  <c r="AC447" i="1"/>
  <c r="AI447" i="1" s="1"/>
  <c r="X447" i="1"/>
  <c r="S447" i="1"/>
  <c r="P447" i="1"/>
  <c r="AF446" i="1"/>
  <c r="AC446" i="1"/>
  <c r="X446" i="1"/>
  <c r="S446" i="1"/>
  <c r="P446" i="1"/>
  <c r="AF445" i="1"/>
  <c r="AC445" i="1"/>
  <c r="AI445" i="1" s="1"/>
  <c r="X445" i="1"/>
  <c r="S445" i="1"/>
  <c r="R445" i="1"/>
  <c r="P445" i="1"/>
  <c r="AF444" i="1"/>
  <c r="AC444" i="1"/>
  <c r="X444" i="1"/>
  <c r="S444" i="1"/>
  <c r="R444" i="1"/>
  <c r="P444" i="1"/>
  <c r="AF443" i="1"/>
  <c r="AC443" i="1"/>
  <c r="X443" i="1"/>
  <c r="S443" i="1"/>
  <c r="R443" i="1"/>
  <c r="P443" i="1"/>
  <c r="AF442" i="1"/>
  <c r="AC442" i="1"/>
  <c r="X442" i="1"/>
  <c r="S442" i="1"/>
  <c r="R442" i="1"/>
  <c r="P442" i="1"/>
  <c r="AF441" i="1"/>
  <c r="AC441" i="1"/>
  <c r="AI441" i="1" s="1"/>
  <c r="X441" i="1"/>
  <c r="S441" i="1"/>
  <c r="R441" i="1"/>
  <c r="P441" i="1"/>
  <c r="AF440" i="1"/>
  <c r="AC440" i="1"/>
  <c r="AI440" i="1" s="1"/>
  <c r="X440" i="1"/>
  <c r="S440" i="1"/>
  <c r="R440" i="1"/>
  <c r="P440" i="1"/>
  <c r="AF439" i="1"/>
  <c r="AC439" i="1"/>
  <c r="X439" i="1"/>
  <c r="S439" i="1"/>
  <c r="R439" i="1"/>
  <c r="P439" i="1"/>
  <c r="AF438" i="1"/>
  <c r="AC438" i="1"/>
  <c r="X438" i="1"/>
  <c r="S438" i="1"/>
  <c r="R438" i="1"/>
  <c r="P438" i="1"/>
  <c r="AF437" i="1"/>
  <c r="AC437" i="1"/>
  <c r="X437" i="1"/>
  <c r="S437" i="1"/>
  <c r="R437" i="1"/>
  <c r="P437" i="1"/>
  <c r="AF436" i="1"/>
  <c r="AC436" i="1"/>
  <c r="AI436" i="1" s="1"/>
  <c r="X436" i="1"/>
  <c r="S436" i="1"/>
  <c r="R436" i="1"/>
  <c r="P436" i="1"/>
  <c r="AF435" i="1"/>
  <c r="AC435" i="1"/>
  <c r="X435" i="1"/>
  <c r="S435" i="1"/>
  <c r="R435" i="1"/>
  <c r="P435" i="1"/>
  <c r="AF434" i="1"/>
  <c r="AC434" i="1"/>
  <c r="X434" i="1"/>
  <c r="S434" i="1"/>
  <c r="R434" i="1"/>
  <c r="P434" i="1"/>
  <c r="AF433" i="1"/>
  <c r="AC433" i="1"/>
  <c r="AI433" i="1" s="1"/>
  <c r="X433" i="1"/>
  <c r="S433" i="1"/>
  <c r="R433" i="1"/>
  <c r="P433" i="1"/>
  <c r="AF432" i="1"/>
  <c r="AC432" i="1"/>
  <c r="AI432" i="1" s="1"/>
  <c r="X432" i="1"/>
  <c r="S432" i="1"/>
  <c r="R432" i="1"/>
  <c r="P432" i="1"/>
  <c r="AF431" i="1"/>
  <c r="AC431" i="1"/>
  <c r="X431" i="1"/>
  <c r="S431" i="1"/>
  <c r="R431" i="1"/>
  <c r="P431" i="1"/>
  <c r="AF430" i="1"/>
  <c r="AC430" i="1"/>
  <c r="X430" i="1"/>
  <c r="S430" i="1"/>
  <c r="R430" i="1"/>
  <c r="P430" i="1"/>
  <c r="AF429" i="1"/>
  <c r="AC429" i="1"/>
  <c r="AI429" i="1" s="1"/>
  <c r="X429" i="1"/>
  <c r="S429" i="1"/>
  <c r="R429" i="1"/>
  <c r="P429" i="1"/>
  <c r="AF428" i="1"/>
  <c r="AC428" i="1"/>
  <c r="AI428" i="1" s="1"/>
  <c r="X428" i="1"/>
  <c r="S428" i="1"/>
  <c r="R428" i="1"/>
  <c r="P428" i="1"/>
  <c r="AF427" i="1"/>
  <c r="AC427" i="1"/>
  <c r="X427" i="1"/>
  <c r="S427" i="1"/>
  <c r="R427" i="1"/>
  <c r="P427" i="1"/>
  <c r="AF426" i="1"/>
  <c r="AC426" i="1"/>
  <c r="X426" i="1"/>
  <c r="S426" i="1"/>
  <c r="R426" i="1"/>
  <c r="P426" i="1"/>
  <c r="AF425" i="1"/>
  <c r="AC425" i="1"/>
  <c r="AI425" i="1" s="1"/>
  <c r="X425" i="1"/>
  <c r="S425" i="1"/>
  <c r="R425" i="1"/>
  <c r="P425" i="1"/>
  <c r="AF424" i="1"/>
  <c r="AC424" i="1"/>
  <c r="AI424" i="1" s="1"/>
  <c r="X424" i="1"/>
  <c r="S424" i="1"/>
  <c r="R424" i="1"/>
  <c r="P424" i="1"/>
  <c r="AF423" i="1"/>
  <c r="AC423" i="1"/>
  <c r="X423" i="1"/>
  <c r="S423" i="1"/>
  <c r="R423" i="1"/>
  <c r="P423" i="1"/>
  <c r="AF422" i="1"/>
  <c r="AC422" i="1"/>
  <c r="X422" i="1"/>
  <c r="S422" i="1"/>
  <c r="R422" i="1"/>
  <c r="P422" i="1"/>
  <c r="AF421" i="1"/>
  <c r="AC421" i="1"/>
  <c r="AI421" i="1" s="1"/>
  <c r="X421" i="1"/>
  <c r="S421" i="1"/>
  <c r="R421" i="1"/>
  <c r="P421" i="1"/>
  <c r="AF420" i="1"/>
  <c r="AC420" i="1"/>
  <c r="AI420" i="1" s="1"/>
  <c r="X420" i="1"/>
  <c r="S420" i="1"/>
  <c r="R420" i="1"/>
  <c r="P420" i="1"/>
  <c r="AF419" i="1"/>
  <c r="AC419" i="1"/>
  <c r="AI419" i="1" s="1"/>
  <c r="X419" i="1"/>
  <c r="S419" i="1"/>
  <c r="R419" i="1"/>
  <c r="P419" i="1"/>
  <c r="AF418" i="1"/>
  <c r="AC418" i="1"/>
  <c r="AI418" i="1" s="1"/>
  <c r="X418" i="1"/>
  <c r="S418" i="1"/>
  <c r="R418" i="1"/>
  <c r="P418" i="1"/>
  <c r="N401" i="1"/>
  <c r="N400" i="1"/>
  <c r="S400" i="1" s="1"/>
  <c r="AF417" i="1"/>
  <c r="AC417" i="1"/>
  <c r="AI417" i="1" s="1"/>
  <c r="X417" i="1"/>
  <c r="S417" i="1"/>
  <c r="R417" i="1"/>
  <c r="P417" i="1"/>
  <c r="AF416" i="1"/>
  <c r="AC416" i="1"/>
  <c r="AI416" i="1" s="1"/>
  <c r="X416" i="1"/>
  <c r="S416" i="1"/>
  <c r="R416" i="1"/>
  <c r="P416" i="1"/>
  <c r="AF415" i="1"/>
  <c r="AC415" i="1"/>
  <c r="AI415" i="1" s="1"/>
  <c r="X415" i="1"/>
  <c r="S415" i="1"/>
  <c r="R415" i="1"/>
  <c r="P415" i="1"/>
  <c r="AF414" i="1"/>
  <c r="AC414" i="1"/>
  <c r="AI414" i="1" s="1"/>
  <c r="X414" i="1"/>
  <c r="S414" i="1"/>
  <c r="R414" i="1"/>
  <c r="P414" i="1"/>
  <c r="AF413" i="1"/>
  <c r="AC413" i="1"/>
  <c r="AI413" i="1" s="1"/>
  <c r="X413" i="1"/>
  <c r="S413" i="1"/>
  <c r="R413" i="1"/>
  <c r="P413" i="1"/>
  <c r="AF412" i="1"/>
  <c r="AC412" i="1"/>
  <c r="AI412" i="1" s="1"/>
  <c r="X412" i="1"/>
  <c r="S412" i="1"/>
  <c r="R412" i="1"/>
  <c r="P412" i="1"/>
  <c r="AF411" i="1"/>
  <c r="AC411" i="1"/>
  <c r="AI411" i="1" s="1"/>
  <c r="X411" i="1"/>
  <c r="S411" i="1"/>
  <c r="R411" i="1"/>
  <c r="P411" i="1"/>
  <c r="AF410" i="1"/>
  <c r="AC410" i="1"/>
  <c r="AI410" i="1" s="1"/>
  <c r="X410" i="1"/>
  <c r="S410" i="1"/>
  <c r="R410" i="1"/>
  <c r="P410" i="1"/>
  <c r="AF409" i="1"/>
  <c r="AC409" i="1"/>
  <c r="AI409" i="1" s="1"/>
  <c r="X409" i="1"/>
  <c r="S409" i="1"/>
  <c r="R409" i="1"/>
  <c r="P409" i="1"/>
  <c r="AF408" i="1"/>
  <c r="AC408" i="1"/>
  <c r="AI408" i="1" s="1"/>
  <c r="X408" i="1"/>
  <c r="S408" i="1"/>
  <c r="R408" i="1"/>
  <c r="P408" i="1"/>
  <c r="AF407" i="1"/>
  <c r="AC407" i="1"/>
  <c r="AI407" i="1" s="1"/>
  <c r="X407" i="1"/>
  <c r="S407" i="1"/>
  <c r="R407" i="1"/>
  <c r="P407" i="1"/>
  <c r="AF406" i="1"/>
  <c r="AC406" i="1"/>
  <c r="AI406" i="1" s="1"/>
  <c r="X406" i="1"/>
  <c r="S406" i="1"/>
  <c r="R406" i="1"/>
  <c r="P406" i="1"/>
  <c r="AF405" i="1"/>
  <c r="X405" i="1"/>
  <c r="AC405" i="1"/>
  <c r="AI405" i="1" s="1"/>
  <c r="AF404" i="1"/>
  <c r="X404" i="1"/>
  <c r="AC404" i="1"/>
  <c r="AF403" i="1"/>
  <c r="AC403" i="1"/>
  <c r="AI403" i="1" s="1"/>
  <c r="X403" i="1"/>
  <c r="S403" i="1"/>
  <c r="R403" i="1"/>
  <c r="P403" i="1"/>
  <c r="AF402" i="1"/>
  <c r="AC402" i="1"/>
  <c r="X402" i="1"/>
  <c r="S402" i="1"/>
  <c r="R402" i="1"/>
  <c r="P402" i="1"/>
  <c r="AF401" i="1"/>
  <c r="AF400" i="1"/>
  <c r="AF399" i="1"/>
  <c r="AC399" i="1"/>
  <c r="AI399" i="1" s="1"/>
  <c r="AF398" i="1"/>
  <c r="X401" i="1"/>
  <c r="X400" i="1"/>
  <c r="X399" i="1"/>
  <c r="X398" i="1"/>
  <c r="AC398" i="1"/>
  <c r="AI398" i="1" s="1"/>
  <c r="P399" i="1"/>
  <c r="R399" i="1"/>
  <c r="S399" i="1"/>
  <c r="P398" i="1"/>
  <c r="R398" i="1"/>
  <c r="S398" i="1"/>
  <c r="AF391" i="1"/>
  <c r="AC391" i="1"/>
  <c r="AI391" i="1" s="1"/>
  <c r="X391" i="1"/>
  <c r="S391" i="1"/>
  <c r="R391" i="1"/>
  <c r="P391" i="1"/>
  <c r="AF390" i="1"/>
  <c r="AC390" i="1"/>
  <c r="X390" i="1"/>
  <c r="S390" i="1"/>
  <c r="R390" i="1"/>
  <c r="P390" i="1"/>
  <c r="AF389" i="1"/>
  <c r="AC389" i="1"/>
  <c r="X389" i="1"/>
  <c r="S389" i="1"/>
  <c r="R389" i="1"/>
  <c r="P389" i="1"/>
  <c r="AF388" i="1"/>
  <c r="AC388" i="1"/>
  <c r="AI388" i="1" s="1"/>
  <c r="X388" i="1"/>
  <c r="S388" i="1"/>
  <c r="R388" i="1"/>
  <c r="P388" i="1"/>
  <c r="AF387" i="1"/>
  <c r="AC387" i="1"/>
  <c r="AI387" i="1" s="1"/>
  <c r="X387" i="1"/>
  <c r="S387" i="1"/>
  <c r="R387" i="1"/>
  <c r="P387" i="1"/>
  <c r="AF386" i="1"/>
  <c r="AC386" i="1"/>
  <c r="X386" i="1"/>
  <c r="S386" i="1"/>
  <c r="R386" i="1"/>
  <c r="P386" i="1"/>
  <c r="AF385" i="1"/>
  <c r="AC385" i="1"/>
  <c r="AI385" i="1" s="1"/>
  <c r="X385" i="1"/>
  <c r="S385" i="1"/>
  <c r="R385" i="1"/>
  <c r="P385" i="1"/>
  <c r="AF384" i="1"/>
  <c r="AC384" i="1"/>
  <c r="AI384" i="1" s="1"/>
  <c r="X384" i="1"/>
  <c r="S384" i="1"/>
  <c r="R384" i="1"/>
  <c r="P384" i="1"/>
  <c r="AF383" i="1"/>
  <c r="AC383" i="1"/>
  <c r="X383" i="1"/>
  <c r="S383" i="1"/>
  <c r="R383" i="1"/>
  <c r="P383" i="1"/>
  <c r="AF382" i="1"/>
  <c r="AC382" i="1"/>
  <c r="X382" i="1"/>
  <c r="S382" i="1"/>
  <c r="R382" i="1"/>
  <c r="P382" i="1"/>
  <c r="AF381" i="1"/>
  <c r="AC381" i="1"/>
  <c r="AI381" i="1" s="1"/>
  <c r="X381" i="1"/>
  <c r="S381" i="1"/>
  <c r="R381" i="1"/>
  <c r="P381" i="1"/>
  <c r="AF380" i="1"/>
  <c r="AC380" i="1"/>
  <c r="X380" i="1"/>
  <c r="S380" i="1"/>
  <c r="R380" i="1"/>
  <c r="P380" i="1"/>
  <c r="AF379" i="1"/>
  <c r="AC379" i="1"/>
  <c r="AI379" i="1" s="1"/>
  <c r="AF378" i="1"/>
  <c r="AC378" i="1"/>
  <c r="AI378" i="1" s="1"/>
  <c r="AF377" i="1"/>
  <c r="AC377" i="1"/>
  <c r="AI377" i="1" s="1"/>
  <c r="AF376" i="1"/>
  <c r="AC376" i="1"/>
  <c r="AF375" i="1"/>
  <c r="AC375" i="1"/>
  <c r="AI375" i="1" s="1"/>
  <c r="AF374" i="1"/>
  <c r="AF373" i="1"/>
  <c r="AC373" i="1"/>
  <c r="AI373" i="1" s="1"/>
  <c r="AF372" i="1"/>
  <c r="AC372" i="1"/>
  <c r="AF371" i="1"/>
  <c r="AC371" i="1"/>
  <c r="AI371" i="1" s="1"/>
  <c r="AF370" i="1"/>
  <c r="AC370" i="1"/>
  <c r="AI370" i="1" s="1"/>
  <c r="AF369" i="1"/>
  <c r="AC369" i="1"/>
  <c r="AI369" i="1" s="1"/>
  <c r="AF368" i="1"/>
  <c r="AF367" i="1"/>
  <c r="AC367" i="1"/>
  <c r="AI367" i="1" s="1"/>
  <c r="AF366" i="1"/>
  <c r="AC366" i="1"/>
  <c r="AI366" i="1" s="1"/>
  <c r="AF365" i="1"/>
  <c r="AC365" i="1"/>
  <c r="AI365" i="1" s="1"/>
  <c r="AF364" i="1"/>
  <c r="AC364" i="1"/>
  <c r="AF363" i="1"/>
  <c r="AC363" i="1"/>
  <c r="S379" i="1"/>
  <c r="R379" i="1"/>
  <c r="S378" i="1"/>
  <c r="R378" i="1"/>
  <c r="S377" i="1"/>
  <c r="R377" i="1"/>
  <c r="S376" i="1"/>
  <c r="R376" i="1"/>
  <c r="S375" i="1"/>
  <c r="R375" i="1"/>
  <c r="S374" i="1"/>
  <c r="R374" i="1"/>
  <c r="S373" i="1"/>
  <c r="R373" i="1"/>
  <c r="S372" i="1"/>
  <c r="R372" i="1"/>
  <c r="S371" i="1"/>
  <c r="R371" i="1"/>
  <c r="S370" i="1"/>
  <c r="R370" i="1"/>
  <c r="S369" i="1"/>
  <c r="R369" i="1"/>
  <c r="S367" i="1"/>
  <c r="R367" i="1"/>
  <c r="S366" i="1"/>
  <c r="R366" i="1"/>
  <c r="S365" i="1"/>
  <c r="R365" i="1"/>
  <c r="S364" i="1"/>
  <c r="R364" i="1"/>
  <c r="S363" i="1"/>
  <c r="R363" i="1"/>
  <c r="P379" i="1"/>
  <c r="Y379" i="1" s="1"/>
  <c r="P378" i="1"/>
  <c r="Y378" i="1" s="1"/>
  <c r="AA378" i="1" s="1"/>
  <c r="P377" i="1"/>
  <c r="P376" i="1"/>
  <c r="P375" i="1"/>
  <c r="P374" i="1"/>
  <c r="P373" i="1"/>
  <c r="P372" i="1"/>
  <c r="P371" i="1"/>
  <c r="P370" i="1"/>
  <c r="Y370" i="1" s="1"/>
  <c r="AA370" i="1" s="1"/>
  <c r="P369" i="1"/>
  <c r="Y369" i="1" s="1"/>
  <c r="AA369" i="1" s="1"/>
  <c r="P367" i="1"/>
  <c r="P366" i="1"/>
  <c r="P365" i="1"/>
  <c r="P364" i="1"/>
  <c r="P363" i="1"/>
  <c r="X376" i="1"/>
  <c r="X375" i="1"/>
  <c r="X374" i="1"/>
  <c r="N368" i="1"/>
  <c r="P368" i="1" s="1"/>
  <c r="AF362" i="1"/>
  <c r="AC362" i="1"/>
  <c r="AI362" i="1" s="1"/>
  <c r="X362" i="1"/>
  <c r="X367" i="1"/>
  <c r="X366" i="1"/>
  <c r="X365" i="1"/>
  <c r="X364" i="1"/>
  <c r="X363" i="1"/>
  <c r="P362" i="1"/>
  <c r="R362" i="1"/>
  <c r="S362" i="1"/>
  <c r="AC143" i="1"/>
  <c r="AF332" i="1"/>
  <c r="AF331" i="1"/>
  <c r="AC332" i="1"/>
  <c r="AC331" i="1"/>
  <c r="AI331" i="1" s="1"/>
  <c r="X361" i="1"/>
  <c r="AF361" i="1"/>
  <c r="AC361" i="1"/>
  <c r="AI361" i="1" s="1"/>
  <c r="S361" i="1"/>
  <c r="R361" i="1"/>
  <c r="P361" i="1"/>
  <c r="AF360" i="1"/>
  <c r="AC360" i="1"/>
  <c r="AI360" i="1" s="1"/>
  <c r="X360" i="1"/>
  <c r="S360" i="1"/>
  <c r="R360" i="1"/>
  <c r="P360" i="1"/>
  <c r="AF359" i="1"/>
  <c r="AC359" i="1"/>
  <c r="X359" i="1"/>
  <c r="S359" i="1"/>
  <c r="R359" i="1"/>
  <c r="P359" i="1"/>
  <c r="AF358" i="1"/>
  <c r="AC358" i="1"/>
  <c r="AI358" i="1" s="1"/>
  <c r="X358" i="1"/>
  <c r="S358" i="1"/>
  <c r="R358" i="1"/>
  <c r="P358" i="1"/>
  <c r="AC355" i="1"/>
  <c r="AI355" i="1" s="1"/>
  <c r="AF357" i="1"/>
  <c r="AC357" i="1"/>
  <c r="AI357" i="1" s="1"/>
  <c r="X357" i="1"/>
  <c r="S357" i="1"/>
  <c r="R357" i="1"/>
  <c r="P357" i="1"/>
  <c r="AF356" i="1"/>
  <c r="AC356" i="1"/>
  <c r="AI356" i="1" s="1"/>
  <c r="X356" i="1"/>
  <c r="S356" i="1"/>
  <c r="R356" i="1"/>
  <c r="P356" i="1"/>
  <c r="AF355" i="1"/>
  <c r="X355" i="1"/>
  <c r="S355" i="1"/>
  <c r="R355" i="1"/>
  <c r="P355" i="1"/>
  <c r="AF354" i="1"/>
  <c r="AC354" i="1"/>
  <c r="X354" i="1"/>
  <c r="S354" i="1"/>
  <c r="R354" i="1"/>
  <c r="P354" i="1"/>
  <c r="AF353" i="1"/>
  <c r="AC353" i="1"/>
  <c r="AI353" i="1" s="1"/>
  <c r="X353" i="1"/>
  <c r="S353" i="1"/>
  <c r="R353" i="1"/>
  <c r="P353" i="1"/>
  <c r="AF352" i="1"/>
  <c r="AC352" i="1"/>
  <c r="AI352" i="1" s="1"/>
  <c r="X352" i="1"/>
  <c r="S352" i="1"/>
  <c r="R352" i="1"/>
  <c r="P352" i="1"/>
  <c r="AF351" i="1"/>
  <c r="AC351" i="1"/>
  <c r="AI351" i="1" s="1"/>
  <c r="X351" i="1"/>
  <c r="S351" i="1"/>
  <c r="R351" i="1"/>
  <c r="P351" i="1"/>
  <c r="AF350" i="1"/>
  <c r="AC350" i="1"/>
  <c r="X350" i="1"/>
  <c r="S350" i="1"/>
  <c r="R350" i="1"/>
  <c r="P350" i="1"/>
  <c r="AZ331" i="1"/>
  <c r="AC321" i="1"/>
  <c r="AI321" i="1" s="1"/>
  <c r="AC333" i="1"/>
  <c r="AI333" i="1" s="1"/>
  <c r="AC316" i="1"/>
  <c r="AI316" i="1" s="1"/>
  <c r="AF349" i="1"/>
  <c r="AC349" i="1"/>
  <c r="X349" i="1"/>
  <c r="S349" i="1"/>
  <c r="R349" i="1"/>
  <c r="P349" i="1"/>
  <c r="AF348" i="1"/>
  <c r="AC348" i="1"/>
  <c r="AI348" i="1" s="1"/>
  <c r="X348" i="1"/>
  <c r="S348" i="1"/>
  <c r="R348" i="1"/>
  <c r="P348" i="1"/>
  <c r="AF347" i="1"/>
  <c r="AC347" i="1"/>
  <c r="X347" i="1"/>
  <c r="S347" i="1"/>
  <c r="R347" i="1"/>
  <c r="P347" i="1"/>
  <c r="AF346" i="1"/>
  <c r="AC346" i="1"/>
  <c r="X346" i="1"/>
  <c r="S346" i="1"/>
  <c r="R346" i="1"/>
  <c r="P346" i="1"/>
  <c r="AF345" i="1"/>
  <c r="AC345" i="1"/>
  <c r="AI345" i="1" s="1"/>
  <c r="X345" i="1"/>
  <c r="S345" i="1"/>
  <c r="R345" i="1"/>
  <c r="P345" i="1"/>
  <c r="AF344" i="1"/>
  <c r="AC344" i="1"/>
  <c r="AI344" i="1" s="1"/>
  <c r="X344" i="1"/>
  <c r="S344" i="1"/>
  <c r="R344" i="1"/>
  <c r="P344" i="1"/>
  <c r="AF337" i="1"/>
  <c r="AC337" i="1"/>
  <c r="AI337" i="1" s="1"/>
  <c r="X337" i="1"/>
  <c r="S337" i="1"/>
  <c r="R337" i="1"/>
  <c r="P337" i="1"/>
  <c r="AF336" i="1"/>
  <c r="AC336" i="1"/>
  <c r="AI336" i="1" s="1"/>
  <c r="X336" i="1"/>
  <c r="S336" i="1"/>
  <c r="R336" i="1"/>
  <c r="P336" i="1"/>
  <c r="AF343" i="1"/>
  <c r="AC343" i="1"/>
  <c r="AI343" i="1" s="1"/>
  <c r="X343" i="1"/>
  <c r="S343" i="1"/>
  <c r="R343" i="1"/>
  <c r="P343" i="1"/>
  <c r="AF342" i="1"/>
  <c r="AC342" i="1"/>
  <c r="X342" i="1"/>
  <c r="S342" i="1"/>
  <c r="R342" i="1"/>
  <c r="P342" i="1"/>
  <c r="AF341" i="1"/>
  <c r="AC341" i="1"/>
  <c r="AI341" i="1" s="1"/>
  <c r="X341" i="1"/>
  <c r="S341" i="1"/>
  <c r="R341" i="1"/>
  <c r="P341" i="1"/>
  <c r="AF340" i="1"/>
  <c r="AC340" i="1"/>
  <c r="X340" i="1"/>
  <c r="S340" i="1"/>
  <c r="R340" i="1"/>
  <c r="P340" i="1"/>
  <c r="AF339" i="1"/>
  <c r="AC339" i="1"/>
  <c r="AI339" i="1" s="1"/>
  <c r="X339" i="1"/>
  <c r="S339" i="1"/>
  <c r="R339" i="1"/>
  <c r="P339" i="1"/>
  <c r="AF338" i="1"/>
  <c r="AC338" i="1"/>
  <c r="AI338" i="1" s="1"/>
  <c r="X338" i="1"/>
  <c r="S338" i="1"/>
  <c r="R338" i="1"/>
  <c r="P338" i="1"/>
  <c r="AF335" i="1"/>
  <c r="AC335" i="1"/>
  <c r="AI335" i="1" s="1"/>
  <c r="X335" i="1"/>
  <c r="S335" i="1"/>
  <c r="R335" i="1"/>
  <c r="P335" i="1"/>
  <c r="AF334" i="1"/>
  <c r="AC334" i="1"/>
  <c r="AI334" i="1" s="1"/>
  <c r="X334" i="1"/>
  <c r="S334" i="1"/>
  <c r="R334" i="1"/>
  <c r="P334" i="1"/>
  <c r="AF333" i="1"/>
  <c r="X333" i="1"/>
  <c r="S333" i="1"/>
  <c r="R333" i="1"/>
  <c r="P333" i="1"/>
  <c r="AF330" i="1"/>
  <c r="AC330" i="1"/>
  <c r="AI330" i="1" s="1"/>
  <c r="X330" i="1"/>
  <c r="S330" i="1"/>
  <c r="R330" i="1"/>
  <c r="P330" i="1"/>
  <c r="AF329" i="1"/>
  <c r="AC329" i="1"/>
  <c r="AI329" i="1" s="1"/>
  <c r="X329" i="1"/>
  <c r="S329" i="1"/>
  <c r="R329" i="1"/>
  <c r="P329" i="1"/>
  <c r="AF328" i="1"/>
  <c r="AC328" i="1"/>
  <c r="X328" i="1"/>
  <c r="S328" i="1"/>
  <c r="R328" i="1"/>
  <c r="P328" i="1"/>
  <c r="AF327" i="1"/>
  <c r="AC327" i="1"/>
  <c r="X327" i="1"/>
  <c r="P327" i="1"/>
  <c r="R327" i="1"/>
  <c r="S327" i="1"/>
  <c r="AF326" i="1"/>
  <c r="AC326" i="1"/>
  <c r="AI326" i="1" s="1"/>
  <c r="X326" i="1"/>
  <c r="S326" i="1"/>
  <c r="R326" i="1"/>
  <c r="P326" i="1"/>
  <c r="AF325" i="1"/>
  <c r="AC325" i="1"/>
  <c r="AI325" i="1" s="1"/>
  <c r="X325" i="1"/>
  <c r="S325" i="1"/>
  <c r="R325" i="1"/>
  <c r="P325" i="1"/>
  <c r="AF324" i="1"/>
  <c r="AC324" i="1"/>
  <c r="AI324" i="1" s="1"/>
  <c r="X324" i="1"/>
  <c r="S324" i="1"/>
  <c r="R324" i="1"/>
  <c r="P324" i="1"/>
  <c r="AF323" i="1"/>
  <c r="AC323" i="1"/>
  <c r="AI323" i="1" s="1"/>
  <c r="X323" i="1"/>
  <c r="S323" i="1"/>
  <c r="R323" i="1"/>
  <c r="P323" i="1"/>
  <c r="AF322" i="1"/>
  <c r="AC322" i="1"/>
  <c r="AI322" i="1" s="1"/>
  <c r="X322" i="1"/>
  <c r="S322" i="1"/>
  <c r="R322" i="1"/>
  <c r="P322" i="1"/>
  <c r="AF321" i="1"/>
  <c r="X321" i="1"/>
  <c r="S321" i="1"/>
  <c r="R321" i="1"/>
  <c r="P321" i="1"/>
  <c r="AF320" i="1"/>
  <c r="AC320" i="1"/>
  <c r="AI320" i="1" s="1"/>
  <c r="X320" i="1"/>
  <c r="S320" i="1"/>
  <c r="R320" i="1"/>
  <c r="P320" i="1"/>
  <c r="AF319" i="1"/>
  <c r="AC319" i="1"/>
  <c r="AI319" i="1" s="1"/>
  <c r="X319" i="1"/>
  <c r="S319" i="1"/>
  <c r="R319" i="1"/>
  <c r="P319" i="1"/>
  <c r="AF318" i="1"/>
  <c r="AC318" i="1"/>
  <c r="AI318" i="1" s="1"/>
  <c r="X318" i="1"/>
  <c r="S318" i="1"/>
  <c r="R318" i="1"/>
  <c r="P318" i="1"/>
  <c r="AF317" i="1"/>
  <c r="AC317" i="1"/>
  <c r="AI317" i="1" s="1"/>
  <c r="X317" i="1"/>
  <c r="S317" i="1"/>
  <c r="R317" i="1"/>
  <c r="P317" i="1"/>
  <c r="AF316" i="1"/>
  <c r="X316" i="1"/>
  <c r="S316" i="1"/>
  <c r="R316" i="1"/>
  <c r="P316" i="1"/>
  <c r="AF315" i="1"/>
  <c r="AC315" i="1"/>
  <c r="AI315" i="1" s="1"/>
  <c r="X315" i="1"/>
  <c r="S315" i="1"/>
  <c r="R315" i="1"/>
  <c r="P315" i="1"/>
  <c r="AF314" i="1"/>
  <c r="AC314" i="1"/>
  <c r="AI314" i="1" s="1"/>
  <c r="X314" i="1"/>
  <c r="S314" i="1"/>
  <c r="R314" i="1"/>
  <c r="P314" i="1"/>
  <c r="AF313" i="1"/>
  <c r="AC313" i="1"/>
  <c r="X313" i="1"/>
  <c r="S313" i="1"/>
  <c r="R313" i="1"/>
  <c r="P313" i="1"/>
  <c r="AF312" i="1"/>
  <c r="AC312" i="1"/>
  <c r="AI312" i="1" s="1"/>
  <c r="X312" i="1"/>
  <c r="S312" i="1"/>
  <c r="R312" i="1"/>
  <c r="P312" i="1"/>
  <c r="AF311" i="1"/>
  <c r="AC311" i="1"/>
  <c r="AI311" i="1" s="1"/>
  <c r="X311" i="1"/>
  <c r="S311" i="1"/>
  <c r="R311" i="1"/>
  <c r="P311" i="1"/>
  <c r="AF310" i="1"/>
  <c r="AC310" i="1"/>
  <c r="AI310" i="1" s="1"/>
  <c r="X310" i="1"/>
  <c r="S310" i="1"/>
  <c r="R310" i="1"/>
  <c r="P310" i="1"/>
  <c r="AF309" i="1"/>
  <c r="AC309" i="1"/>
  <c r="AI309" i="1" s="1"/>
  <c r="X309" i="1"/>
  <c r="S309" i="1"/>
  <c r="R309" i="1"/>
  <c r="P309" i="1"/>
  <c r="AF308" i="1"/>
  <c r="AC308" i="1"/>
  <c r="AI308" i="1" s="1"/>
  <c r="X308" i="1"/>
  <c r="S308" i="1"/>
  <c r="R308" i="1"/>
  <c r="P308" i="1"/>
  <c r="AF307" i="1"/>
  <c r="AC307" i="1"/>
  <c r="X307" i="1"/>
  <c r="S307" i="1"/>
  <c r="R307" i="1"/>
  <c r="P307" i="1"/>
  <c r="AF306" i="1"/>
  <c r="AC306" i="1"/>
  <c r="X306" i="1"/>
  <c r="S306" i="1"/>
  <c r="R306" i="1"/>
  <c r="P306" i="1"/>
  <c r="AF305" i="1"/>
  <c r="AC305" i="1"/>
  <c r="AI305" i="1" s="1"/>
  <c r="X305" i="1"/>
  <c r="S305" i="1"/>
  <c r="R305" i="1"/>
  <c r="P305" i="1"/>
  <c r="O299" i="1"/>
  <c r="O300" i="1"/>
  <c r="O301" i="1"/>
  <c r="O302" i="1"/>
  <c r="O303" i="1"/>
  <c r="O304" i="1"/>
  <c r="N304" i="1"/>
  <c r="N303" i="1"/>
  <c r="N302" i="1"/>
  <c r="N301" i="1"/>
  <c r="N300" i="1"/>
  <c r="N299" i="1"/>
  <c r="AS304" i="1"/>
  <c r="AQ304" i="1"/>
  <c r="AN304" i="1"/>
  <c r="AP304" i="1" s="1"/>
  <c r="X304" i="1"/>
  <c r="AS302" i="1"/>
  <c r="AR302" i="1"/>
  <c r="AQ302" i="1"/>
  <c r="AN302" i="1"/>
  <c r="AP302" i="1" s="1"/>
  <c r="X302" i="1"/>
  <c r="AS300" i="1"/>
  <c r="AR300" i="1"/>
  <c r="AQ300" i="1"/>
  <c r="AN300" i="1"/>
  <c r="AP300" i="1" s="1"/>
  <c r="X300" i="1"/>
  <c r="AS303" i="1"/>
  <c r="AQ303" i="1"/>
  <c r="AN303" i="1"/>
  <c r="AP303" i="1" s="1"/>
  <c r="X303" i="1"/>
  <c r="AS301" i="1"/>
  <c r="AR301" i="1"/>
  <c r="AQ301" i="1"/>
  <c r="AN301" i="1"/>
  <c r="AP301" i="1" s="1"/>
  <c r="X301" i="1"/>
  <c r="AS299" i="1"/>
  <c r="AR299" i="1"/>
  <c r="AQ299" i="1"/>
  <c r="AN299" i="1"/>
  <c r="AP299" i="1" s="1"/>
  <c r="X299" i="1"/>
  <c r="O298" i="1"/>
  <c r="O297" i="1"/>
  <c r="O296" i="1"/>
  <c r="O295" i="1"/>
  <c r="O294" i="1"/>
  <c r="O293" i="1"/>
  <c r="N298" i="1"/>
  <c r="N297" i="1"/>
  <c r="N296" i="1"/>
  <c r="N295" i="1"/>
  <c r="N294" i="1"/>
  <c r="N293" i="1"/>
  <c r="O291" i="1"/>
  <c r="O290" i="1"/>
  <c r="O289" i="1"/>
  <c r="O288" i="1"/>
  <c r="O287" i="1"/>
  <c r="O292" i="1"/>
  <c r="N292" i="1"/>
  <c r="N291" i="1"/>
  <c r="N290" i="1"/>
  <c r="N289" i="1"/>
  <c r="N288" i="1"/>
  <c r="N287" i="1"/>
  <c r="AS297" i="1"/>
  <c r="AQ297" i="1"/>
  <c r="AN297" i="1"/>
  <c r="AP297" i="1" s="1"/>
  <c r="X297" i="1"/>
  <c r="AS295" i="1"/>
  <c r="AR295" i="1"/>
  <c r="AQ295" i="1"/>
  <c r="AN295" i="1"/>
  <c r="AP295" i="1" s="1"/>
  <c r="X295" i="1"/>
  <c r="AS294" i="1"/>
  <c r="AR294" i="1"/>
  <c r="AQ294" i="1"/>
  <c r="AN294" i="1"/>
  <c r="AP294" i="1" s="1"/>
  <c r="X294" i="1"/>
  <c r="AS298" i="1"/>
  <c r="AQ298" i="1"/>
  <c r="AN298" i="1"/>
  <c r="X298" i="1"/>
  <c r="AS296" i="1"/>
  <c r="AR296" i="1"/>
  <c r="AQ296" i="1"/>
  <c r="AN296" i="1"/>
  <c r="AP296" i="1" s="1"/>
  <c r="X296" i="1"/>
  <c r="AS293" i="1"/>
  <c r="AR293" i="1"/>
  <c r="AQ293" i="1"/>
  <c r="AN293" i="1"/>
  <c r="AP293" i="1" s="1"/>
  <c r="X293" i="1"/>
  <c r="AS291" i="1"/>
  <c r="AQ291" i="1"/>
  <c r="AN291" i="1"/>
  <c r="AP291" i="1" s="1"/>
  <c r="X291" i="1"/>
  <c r="AS289" i="1"/>
  <c r="AR289" i="1"/>
  <c r="AQ289" i="1"/>
  <c r="AN289" i="1"/>
  <c r="AP289" i="1" s="1"/>
  <c r="X289" i="1"/>
  <c r="AS288" i="1"/>
  <c r="AR288" i="1"/>
  <c r="AQ288" i="1"/>
  <c r="AN288" i="1"/>
  <c r="AP288" i="1" s="1"/>
  <c r="X288" i="1"/>
  <c r="AS292" i="1"/>
  <c r="AQ292" i="1"/>
  <c r="AN292" i="1"/>
  <c r="AP292" i="1" s="1"/>
  <c r="X292" i="1"/>
  <c r="AS290" i="1"/>
  <c r="AR290" i="1"/>
  <c r="AQ290" i="1"/>
  <c r="AN290" i="1"/>
  <c r="AP290" i="1" s="1"/>
  <c r="X290" i="1"/>
  <c r="AS287" i="1"/>
  <c r="AR287" i="1"/>
  <c r="AQ287" i="1"/>
  <c r="AN287" i="1"/>
  <c r="AP287" i="1" s="1"/>
  <c r="X287" i="1"/>
  <c r="O286" i="1"/>
  <c r="O285" i="1"/>
  <c r="O284" i="1"/>
  <c r="O283" i="1"/>
  <c r="O282" i="1"/>
  <c r="N286" i="1"/>
  <c r="N285" i="1"/>
  <c r="N284" i="1"/>
  <c r="N283" i="1"/>
  <c r="N282" i="1"/>
  <c r="AS286" i="1"/>
  <c r="AQ286" i="1"/>
  <c r="AN286" i="1"/>
  <c r="AP286" i="1" s="1"/>
  <c r="X286" i="1"/>
  <c r="AS285" i="1"/>
  <c r="AR285" i="1"/>
  <c r="AQ285" i="1"/>
  <c r="AN285" i="1"/>
  <c r="AP285" i="1" s="1"/>
  <c r="X285" i="1"/>
  <c r="AS284" i="1"/>
  <c r="AR284" i="1"/>
  <c r="AQ284" i="1"/>
  <c r="AN284" i="1"/>
  <c r="AP284" i="1" s="1"/>
  <c r="X284" i="1"/>
  <c r="AS283" i="1"/>
  <c r="AR283" i="1"/>
  <c r="AQ283" i="1"/>
  <c r="AN283" i="1"/>
  <c r="X283" i="1"/>
  <c r="AS282" i="1"/>
  <c r="AR282" i="1"/>
  <c r="AQ282" i="1"/>
  <c r="AN282" i="1"/>
  <c r="AP282" i="1" s="1"/>
  <c r="X282" i="1"/>
  <c r="O281" i="1"/>
  <c r="O280" i="1"/>
  <c r="O279" i="1"/>
  <c r="O278" i="1"/>
  <c r="N281" i="1"/>
  <c r="N280" i="1"/>
  <c r="N279" i="1"/>
  <c r="N278" i="1"/>
  <c r="O277" i="1"/>
  <c r="N277" i="1"/>
  <c r="AS281" i="1"/>
  <c r="AQ281" i="1"/>
  <c r="AN281" i="1"/>
  <c r="AP281" i="1" s="1"/>
  <c r="X281" i="1"/>
  <c r="AS280" i="1"/>
  <c r="AR280" i="1"/>
  <c r="AQ280" i="1"/>
  <c r="AN280" i="1"/>
  <c r="AP280" i="1" s="1"/>
  <c r="X280" i="1"/>
  <c r="AS279" i="1"/>
  <c r="AR279" i="1"/>
  <c r="AQ279" i="1"/>
  <c r="AN279" i="1"/>
  <c r="X279" i="1"/>
  <c r="AS278" i="1"/>
  <c r="AR278" i="1"/>
  <c r="AQ278" i="1"/>
  <c r="AN278" i="1"/>
  <c r="X278" i="1"/>
  <c r="AS277" i="1"/>
  <c r="AR277" i="1"/>
  <c r="AQ277" i="1"/>
  <c r="AN277" i="1"/>
  <c r="AP277" i="1" s="1"/>
  <c r="X277" i="1"/>
  <c r="N276" i="1"/>
  <c r="AS276" i="1"/>
  <c r="AS275" i="1"/>
  <c r="AR275" i="1"/>
  <c r="AQ276" i="1"/>
  <c r="AQ275" i="1"/>
  <c r="AN276" i="1"/>
  <c r="AP276" i="1" s="1"/>
  <c r="AN275" i="1"/>
  <c r="AP275" i="1" s="1"/>
  <c r="O276" i="1"/>
  <c r="O275" i="1"/>
  <c r="N275" i="1"/>
  <c r="X276" i="1"/>
  <c r="X275" i="1"/>
  <c r="O274" i="1"/>
  <c r="O273" i="1"/>
  <c r="N274" i="1"/>
  <c r="N273" i="1"/>
  <c r="AS274" i="1"/>
  <c r="AR274" i="1"/>
  <c r="AQ274" i="1"/>
  <c r="AN274" i="1"/>
  <c r="AP274" i="1" s="1"/>
  <c r="X274" i="1"/>
  <c r="AS273" i="1"/>
  <c r="AR273" i="1"/>
  <c r="AQ273" i="1"/>
  <c r="AN273" i="1"/>
  <c r="AP273" i="1" s="1"/>
  <c r="X273" i="1"/>
  <c r="AS272" i="1"/>
  <c r="AR272" i="1"/>
  <c r="AQ272" i="1"/>
  <c r="O272" i="1"/>
  <c r="N272" i="1"/>
  <c r="AN272" i="1"/>
  <c r="X272" i="1"/>
  <c r="AF271" i="1"/>
  <c r="AC271" i="1"/>
  <c r="AI271" i="1" s="1"/>
  <c r="X271" i="1"/>
  <c r="S271" i="1"/>
  <c r="R271" i="1"/>
  <c r="P271" i="1"/>
  <c r="AF270" i="1"/>
  <c r="AC270" i="1"/>
  <c r="AI270" i="1" s="1"/>
  <c r="X270" i="1"/>
  <c r="S270" i="1"/>
  <c r="R270" i="1"/>
  <c r="P270" i="1"/>
  <c r="AF269" i="1"/>
  <c r="AC269" i="1"/>
  <c r="X269" i="1"/>
  <c r="S269" i="1"/>
  <c r="R269" i="1"/>
  <c r="P269" i="1"/>
  <c r="AF268" i="1"/>
  <c r="AC268" i="1"/>
  <c r="AI268" i="1" s="1"/>
  <c r="X268" i="1"/>
  <c r="S268" i="1"/>
  <c r="R268" i="1"/>
  <c r="P268" i="1"/>
  <c r="AF267" i="1"/>
  <c r="AC267" i="1"/>
  <c r="X267" i="1"/>
  <c r="S267" i="1"/>
  <c r="R267" i="1"/>
  <c r="P267" i="1"/>
  <c r="AF266" i="1"/>
  <c r="AC266" i="1"/>
  <c r="X266" i="1"/>
  <c r="S266" i="1"/>
  <c r="R266" i="1"/>
  <c r="P266" i="1"/>
  <c r="AF265" i="1"/>
  <c r="AC265" i="1"/>
  <c r="AI265" i="1" s="1"/>
  <c r="X265" i="1"/>
  <c r="S265" i="1"/>
  <c r="R265" i="1"/>
  <c r="P265" i="1"/>
  <c r="AF264" i="1"/>
  <c r="AC264" i="1"/>
  <c r="X264" i="1"/>
  <c r="S264" i="1"/>
  <c r="R264" i="1"/>
  <c r="P264" i="1"/>
  <c r="AF263" i="1"/>
  <c r="AC263" i="1"/>
  <c r="X263" i="1"/>
  <c r="S263" i="1"/>
  <c r="R263" i="1"/>
  <c r="P263" i="1"/>
  <c r="AF262" i="1"/>
  <c r="AC262" i="1"/>
  <c r="AI262" i="1" s="1"/>
  <c r="X262" i="1"/>
  <c r="S262" i="1"/>
  <c r="R262" i="1"/>
  <c r="P262" i="1"/>
  <c r="AF261" i="1"/>
  <c r="AC261" i="1"/>
  <c r="AI261" i="1" s="1"/>
  <c r="X261" i="1"/>
  <c r="S261" i="1"/>
  <c r="R261" i="1"/>
  <c r="P261" i="1"/>
  <c r="AF260" i="1"/>
  <c r="AC260" i="1"/>
  <c r="AI260" i="1" s="1"/>
  <c r="X260" i="1"/>
  <c r="S260" i="1"/>
  <c r="R260" i="1"/>
  <c r="P260" i="1"/>
  <c r="AF259" i="1"/>
  <c r="AC259" i="1"/>
  <c r="AI259" i="1" s="1"/>
  <c r="X259" i="1"/>
  <c r="S259" i="1"/>
  <c r="R259" i="1"/>
  <c r="P259" i="1"/>
  <c r="AF258" i="1"/>
  <c r="AC258" i="1"/>
  <c r="AI258" i="1" s="1"/>
  <c r="X258" i="1"/>
  <c r="S258" i="1"/>
  <c r="R258" i="1"/>
  <c r="P258" i="1"/>
  <c r="AF257" i="1"/>
  <c r="AC257" i="1"/>
  <c r="X257" i="1"/>
  <c r="S257" i="1"/>
  <c r="R257" i="1"/>
  <c r="P257" i="1"/>
  <c r="AF256" i="1"/>
  <c r="AC256" i="1"/>
  <c r="X256" i="1"/>
  <c r="S256" i="1"/>
  <c r="R256" i="1"/>
  <c r="P256" i="1"/>
  <c r="AF255" i="1"/>
  <c r="AC255" i="1"/>
  <c r="X255" i="1"/>
  <c r="S255" i="1"/>
  <c r="R255" i="1"/>
  <c r="P255" i="1"/>
  <c r="AF254" i="1"/>
  <c r="AC254" i="1"/>
  <c r="AI254" i="1" s="1"/>
  <c r="X254" i="1"/>
  <c r="S254" i="1"/>
  <c r="R254" i="1"/>
  <c r="P254" i="1"/>
  <c r="AF253" i="1"/>
  <c r="AC253" i="1"/>
  <c r="AI253" i="1" s="1"/>
  <c r="X253" i="1"/>
  <c r="S253" i="1"/>
  <c r="R253" i="1"/>
  <c r="P253" i="1"/>
  <c r="AF252" i="1"/>
  <c r="AC252" i="1"/>
  <c r="AI252" i="1" s="1"/>
  <c r="X252" i="1"/>
  <c r="S252" i="1"/>
  <c r="R252" i="1"/>
  <c r="P252" i="1"/>
  <c r="AF251" i="1"/>
  <c r="AC251" i="1"/>
  <c r="AI251" i="1" s="1"/>
  <c r="X251" i="1"/>
  <c r="S251" i="1"/>
  <c r="R251" i="1"/>
  <c r="P251" i="1"/>
  <c r="AF250" i="1"/>
  <c r="AC250" i="1"/>
  <c r="X250" i="1"/>
  <c r="S250" i="1"/>
  <c r="R250" i="1"/>
  <c r="P250" i="1"/>
  <c r="AF249" i="1"/>
  <c r="AC249" i="1"/>
  <c r="AI249" i="1" s="1"/>
  <c r="X249" i="1"/>
  <c r="S249" i="1"/>
  <c r="R249" i="1"/>
  <c r="P249" i="1"/>
  <c r="AF248" i="1"/>
  <c r="AC248" i="1"/>
  <c r="AI248" i="1" s="1"/>
  <c r="X248" i="1"/>
  <c r="S248" i="1"/>
  <c r="R248" i="1"/>
  <c r="P248" i="1"/>
  <c r="AF247" i="1"/>
  <c r="AC247" i="1"/>
  <c r="X247" i="1"/>
  <c r="S247" i="1"/>
  <c r="R247" i="1"/>
  <c r="P247" i="1"/>
  <c r="AF246" i="1"/>
  <c r="AC246" i="1"/>
  <c r="X246" i="1"/>
  <c r="S246" i="1"/>
  <c r="R246" i="1"/>
  <c r="P246" i="1"/>
  <c r="AF245" i="1"/>
  <c r="AC245" i="1"/>
  <c r="AI245" i="1" s="1"/>
  <c r="X245" i="1"/>
  <c r="S245" i="1"/>
  <c r="R245" i="1"/>
  <c r="P245" i="1"/>
  <c r="AF244" i="1"/>
  <c r="AC244" i="1"/>
  <c r="X244" i="1"/>
  <c r="S244" i="1"/>
  <c r="R244" i="1"/>
  <c r="P244" i="1"/>
  <c r="AF243" i="1"/>
  <c r="AC243" i="1"/>
  <c r="X243" i="1"/>
  <c r="S243" i="1"/>
  <c r="R243" i="1"/>
  <c r="P243" i="1"/>
  <c r="AF242" i="1"/>
  <c r="AC242" i="1"/>
  <c r="AI242" i="1" s="1"/>
  <c r="X242" i="1"/>
  <c r="S242" i="1"/>
  <c r="R242" i="1"/>
  <c r="P242" i="1"/>
  <c r="AF241" i="1"/>
  <c r="AC241" i="1"/>
  <c r="AI241" i="1" s="1"/>
  <c r="X241" i="1"/>
  <c r="S241" i="1"/>
  <c r="R241" i="1"/>
  <c r="P241" i="1"/>
  <c r="AF240" i="1"/>
  <c r="AC240" i="1"/>
  <c r="AI240" i="1" s="1"/>
  <c r="X240" i="1"/>
  <c r="S240" i="1"/>
  <c r="R240" i="1"/>
  <c r="P240" i="1"/>
  <c r="AF239" i="1"/>
  <c r="AC239" i="1"/>
  <c r="AI239" i="1" s="1"/>
  <c r="X239" i="1"/>
  <c r="P239" i="1"/>
  <c r="R239" i="1"/>
  <c r="S239" i="1"/>
  <c r="AF238" i="1"/>
  <c r="AC238" i="1"/>
  <c r="AI238" i="1" s="1"/>
  <c r="X238" i="1"/>
  <c r="P238" i="1"/>
  <c r="R238" i="1"/>
  <c r="S238" i="1"/>
  <c r="AF237" i="1"/>
  <c r="AF236" i="1"/>
  <c r="AF235" i="1"/>
  <c r="X237" i="1"/>
  <c r="S237" i="1"/>
  <c r="R237" i="1"/>
  <c r="P237" i="1"/>
  <c r="X236" i="1"/>
  <c r="S236" i="1"/>
  <c r="R236" i="1"/>
  <c r="P236" i="1"/>
  <c r="X235" i="1"/>
  <c r="S235" i="1"/>
  <c r="R235" i="1"/>
  <c r="P235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4" i="1"/>
  <c r="X118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2" i="1"/>
  <c r="X233" i="1"/>
  <c r="X234" i="1"/>
  <c r="X2" i="1"/>
  <c r="AF234" i="1"/>
  <c r="AC234" i="1"/>
  <c r="AI234" i="1" s="1"/>
  <c r="S234" i="1"/>
  <c r="R234" i="1"/>
  <c r="P234" i="1"/>
  <c r="AF233" i="1"/>
  <c r="AC233" i="1"/>
  <c r="AI233" i="1" s="1"/>
  <c r="S233" i="1"/>
  <c r="R233" i="1"/>
  <c r="P233" i="1"/>
  <c r="AF232" i="1"/>
  <c r="AC232" i="1"/>
  <c r="AI232" i="1" s="1"/>
  <c r="P232" i="1"/>
  <c r="R232" i="1"/>
  <c r="S232" i="1"/>
  <c r="AF230" i="1"/>
  <c r="AC230" i="1"/>
  <c r="AI230" i="1" s="1"/>
  <c r="S230" i="1"/>
  <c r="R230" i="1"/>
  <c r="P230" i="1"/>
  <c r="AF229" i="1"/>
  <c r="AC229" i="1"/>
  <c r="S229" i="1"/>
  <c r="R229" i="1"/>
  <c r="P229" i="1"/>
  <c r="N228" i="1"/>
  <c r="AF228" i="1"/>
  <c r="AF227" i="1"/>
  <c r="AC227" i="1"/>
  <c r="S227" i="1"/>
  <c r="R227" i="1"/>
  <c r="P227" i="1"/>
  <c r="N226" i="1"/>
  <c r="AC226" i="1" s="1"/>
  <c r="AI226" i="1" s="1"/>
  <c r="AF226" i="1"/>
  <c r="AF225" i="1"/>
  <c r="AC225" i="1"/>
  <c r="AI225" i="1" s="1"/>
  <c r="S225" i="1"/>
  <c r="R225" i="1"/>
  <c r="P225" i="1"/>
  <c r="AF224" i="1"/>
  <c r="AC224" i="1"/>
  <c r="S224" i="1"/>
  <c r="R224" i="1"/>
  <c r="P224" i="1"/>
  <c r="AF223" i="1"/>
  <c r="AC223" i="1"/>
  <c r="AI223" i="1" s="1"/>
  <c r="P223" i="1"/>
  <c r="R223" i="1"/>
  <c r="S223" i="1"/>
  <c r="AC144" i="1"/>
  <c r="AI144" i="1" s="1"/>
  <c r="AN222" i="1"/>
  <c r="AG222" i="1" s="1" a="1"/>
  <c r="AG222" i="1" s="1"/>
  <c r="S222" i="1"/>
  <c r="R222" i="1"/>
  <c r="P222" i="1"/>
  <c r="S221" i="1"/>
  <c r="R221" i="1"/>
  <c r="P221" i="1"/>
  <c r="AN220" i="1"/>
  <c r="AD220" i="1" s="1" a="1"/>
  <c r="AD220" i="1" s="1"/>
  <c r="S220" i="1"/>
  <c r="R220" i="1"/>
  <c r="P220" i="1"/>
  <c r="S219" i="1"/>
  <c r="R219" i="1"/>
  <c r="P219" i="1"/>
  <c r="AN218" i="1"/>
  <c r="AP218" i="1" s="1"/>
  <c r="S218" i="1"/>
  <c r="R218" i="1"/>
  <c r="P218" i="1"/>
  <c r="S217" i="1"/>
  <c r="R217" i="1"/>
  <c r="P217" i="1"/>
  <c r="P215" i="1"/>
  <c r="R215" i="1"/>
  <c r="S215" i="1"/>
  <c r="P216" i="1"/>
  <c r="R216" i="1"/>
  <c r="S216" i="1"/>
  <c r="AN216" i="1"/>
  <c r="AC216" i="1" s="1"/>
  <c r="AN214" i="1"/>
  <c r="AP214" i="1" s="1"/>
  <c r="S214" i="1"/>
  <c r="R214" i="1"/>
  <c r="P214" i="1"/>
  <c r="S213" i="1"/>
  <c r="R213" i="1"/>
  <c r="P213" i="1"/>
  <c r="S212" i="1"/>
  <c r="R212" i="1"/>
  <c r="P212" i="1"/>
  <c r="AN211" i="1"/>
  <c r="AF211" i="1" s="1"/>
  <c r="S211" i="1"/>
  <c r="R211" i="1"/>
  <c r="P211" i="1"/>
  <c r="S210" i="1"/>
  <c r="R210" i="1"/>
  <c r="P210" i="1"/>
  <c r="S209" i="1"/>
  <c r="R209" i="1"/>
  <c r="P209" i="1"/>
  <c r="AN208" i="1"/>
  <c r="S208" i="1"/>
  <c r="R208" i="1"/>
  <c r="P208" i="1"/>
  <c r="S207" i="1"/>
  <c r="R207" i="1"/>
  <c r="P207" i="1"/>
  <c r="S206" i="1"/>
  <c r="R206" i="1"/>
  <c r="P206" i="1"/>
  <c r="AN205" i="1"/>
  <c r="AP205" i="1" s="1"/>
  <c r="S205" i="1"/>
  <c r="R205" i="1"/>
  <c r="P205" i="1"/>
  <c r="S204" i="1"/>
  <c r="R204" i="1"/>
  <c r="P204" i="1"/>
  <c r="S203" i="1"/>
  <c r="R203" i="1"/>
  <c r="P203" i="1"/>
  <c r="AN202" i="1"/>
  <c r="AP202" i="1" s="1"/>
  <c r="S202" i="1"/>
  <c r="R202" i="1"/>
  <c r="P202" i="1"/>
  <c r="S201" i="1"/>
  <c r="R201" i="1"/>
  <c r="P201" i="1"/>
  <c r="S200" i="1"/>
  <c r="R200" i="1"/>
  <c r="P200" i="1"/>
  <c r="AN199" i="1"/>
  <c r="AF199" i="1" s="1"/>
  <c r="S199" i="1"/>
  <c r="R199" i="1"/>
  <c r="P199" i="1"/>
  <c r="S198" i="1"/>
  <c r="R198" i="1"/>
  <c r="P198" i="1"/>
  <c r="S197" i="1"/>
  <c r="R197" i="1"/>
  <c r="P197" i="1"/>
  <c r="AN196" i="1"/>
  <c r="AG196" i="1" s="1" a="1"/>
  <c r="AG196" i="1" s="1"/>
  <c r="S196" i="1"/>
  <c r="R196" i="1"/>
  <c r="P196" i="1"/>
  <c r="S195" i="1"/>
  <c r="R195" i="1"/>
  <c r="P195" i="1"/>
  <c r="S194" i="1"/>
  <c r="R194" i="1"/>
  <c r="P194" i="1"/>
  <c r="AN193" i="1"/>
  <c r="AC193" i="1" s="1"/>
  <c r="S193" i="1"/>
  <c r="R193" i="1"/>
  <c r="P193" i="1"/>
  <c r="S192" i="1"/>
  <c r="R192" i="1"/>
  <c r="P192" i="1"/>
  <c r="S191" i="1"/>
  <c r="R191" i="1"/>
  <c r="P191" i="1"/>
  <c r="AN190" i="1"/>
  <c r="AP190" i="1" s="1"/>
  <c r="S190" i="1"/>
  <c r="R190" i="1"/>
  <c r="P190" i="1"/>
  <c r="S189" i="1"/>
  <c r="R189" i="1"/>
  <c r="P189" i="1"/>
  <c r="S188" i="1"/>
  <c r="R188" i="1"/>
  <c r="P188" i="1"/>
  <c r="AN187" i="1"/>
  <c r="AP187" i="1" s="1"/>
  <c r="S187" i="1"/>
  <c r="R187" i="1"/>
  <c r="P187" i="1"/>
  <c r="S186" i="1"/>
  <c r="R186" i="1"/>
  <c r="P186" i="1"/>
  <c r="S185" i="1"/>
  <c r="R185" i="1"/>
  <c r="P185" i="1"/>
  <c r="AN184" i="1"/>
  <c r="AG184" i="1" s="1" a="1"/>
  <c r="AG184" i="1" s="1"/>
  <c r="S184" i="1"/>
  <c r="R184" i="1"/>
  <c r="P184" i="1"/>
  <c r="S183" i="1"/>
  <c r="R183" i="1"/>
  <c r="P183" i="1"/>
  <c r="S182" i="1"/>
  <c r="R182" i="1"/>
  <c r="P182" i="1"/>
  <c r="AN181" i="1"/>
  <c r="AG181" i="1" s="1" a="1"/>
  <c r="AG181" i="1" s="1"/>
  <c r="S181" i="1"/>
  <c r="R181" i="1"/>
  <c r="P181" i="1"/>
  <c r="S180" i="1"/>
  <c r="R180" i="1"/>
  <c r="P180" i="1"/>
  <c r="S179" i="1"/>
  <c r="R179" i="1"/>
  <c r="P179" i="1"/>
  <c r="AN178" i="1"/>
  <c r="AP178" i="1" s="1"/>
  <c r="S178" i="1"/>
  <c r="R178" i="1"/>
  <c r="P178" i="1"/>
  <c r="S177" i="1"/>
  <c r="R177" i="1"/>
  <c r="P177" i="1"/>
  <c r="S176" i="1"/>
  <c r="R176" i="1"/>
  <c r="P176" i="1"/>
  <c r="AN175" i="1"/>
  <c r="AP175" i="1" s="1"/>
  <c r="S175" i="1"/>
  <c r="R175" i="1"/>
  <c r="P175" i="1"/>
  <c r="S174" i="1"/>
  <c r="R174" i="1"/>
  <c r="P174" i="1"/>
  <c r="S173" i="1"/>
  <c r="R173" i="1"/>
  <c r="P173" i="1"/>
  <c r="AN172" i="1"/>
  <c r="AF172" i="1" s="1"/>
  <c r="S172" i="1"/>
  <c r="R172" i="1"/>
  <c r="P172" i="1"/>
  <c r="S171" i="1"/>
  <c r="R171" i="1"/>
  <c r="P171" i="1"/>
  <c r="S170" i="1"/>
  <c r="R170" i="1"/>
  <c r="P170" i="1"/>
  <c r="AN169" i="1"/>
  <c r="AG169" i="1" s="1" a="1"/>
  <c r="AG169" i="1" s="1"/>
  <c r="S169" i="1"/>
  <c r="R169" i="1"/>
  <c r="P169" i="1"/>
  <c r="S168" i="1"/>
  <c r="R168" i="1"/>
  <c r="P168" i="1"/>
  <c r="S167" i="1"/>
  <c r="R167" i="1"/>
  <c r="P167" i="1"/>
  <c r="AN166" i="1"/>
  <c r="AG166" i="1" s="1" a="1"/>
  <c r="AG166" i="1" s="1"/>
  <c r="S166" i="1"/>
  <c r="R166" i="1"/>
  <c r="P166" i="1"/>
  <c r="S165" i="1"/>
  <c r="R165" i="1"/>
  <c r="P165" i="1"/>
  <c r="S164" i="1"/>
  <c r="R164" i="1"/>
  <c r="P164" i="1"/>
  <c r="S163" i="1"/>
  <c r="R163" i="1"/>
  <c r="P163" i="1"/>
  <c r="AN163" i="1"/>
  <c r="AG163" i="1" s="1" a="1"/>
  <c r="AG163" i="1" s="1"/>
  <c r="S162" i="1"/>
  <c r="R162" i="1"/>
  <c r="P162" i="1"/>
  <c r="AF160" i="1"/>
  <c r="P161" i="1"/>
  <c r="R161" i="1"/>
  <c r="S161" i="1"/>
  <c r="AC160" i="1"/>
  <c r="AI160" i="1" s="1"/>
  <c r="S160" i="1"/>
  <c r="R160" i="1"/>
  <c r="P160" i="1"/>
  <c r="AF159" i="1"/>
  <c r="AC159" i="1"/>
  <c r="AI159" i="1" s="1"/>
  <c r="S159" i="1"/>
  <c r="R159" i="1"/>
  <c r="P159" i="1"/>
  <c r="AF158" i="1"/>
  <c r="AC158" i="1"/>
  <c r="S158" i="1"/>
  <c r="R158" i="1"/>
  <c r="P158" i="1"/>
  <c r="AF157" i="1"/>
  <c r="AC157" i="1"/>
  <c r="AI157" i="1" s="1"/>
  <c r="S157" i="1"/>
  <c r="R157" i="1"/>
  <c r="P157" i="1"/>
  <c r="AC155" i="1"/>
  <c r="AI155" i="1" s="1"/>
  <c r="AF156" i="1"/>
  <c r="AF155" i="1"/>
  <c r="AF154" i="1"/>
  <c r="AF153" i="1"/>
  <c r="AC156" i="1"/>
  <c r="AC154" i="1"/>
  <c r="AI154" i="1" s="1"/>
  <c r="AC153" i="1"/>
  <c r="AI153" i="1" s="1"/>
  <c r="S156" i="1"/>
  <c r="R156" i="1"/>
  <c r="S155" i="1"/>
  <c r="R155" i="1"/>
  <c r="S154" i="1"/>
  <c r="R154" i="1"/>
  <c r="S153" i="1"/>
  <c r="R153" i="1"/>
  <c r="P156" i="1"/>
  <c r="P155" i="1"/>
  <c r="P154" i="1"/>
  <c r="P153" i="1"/>
  <c r="AF152" i="1"/>
  <c r="AC152" i="1"/>
  <c r="AI152" i="1" s="1"/>
  <c r="AF151" i="1"/>
  <c r="AC151" i="1"/>
  <c r="AI151" i="1" s="1"/>
  <c r="S152" i="1"/>
  <c r="S151" i="1"/>
  <c r="R152" i="1"/>
  <c r="R151" i="1"/>
  <c r="P152" i="1"/>
  <c r="P151" i="1"/>
  <c r="AF150" i="1"/>
  <c r="AF149" i="1"/>
  <c r="AC150" i="1"/>
  <c r="AC149" i="1"/>
  <c r="AI149" i="1" s="1"/>
  <c r="S150" i="1"/>
  <c r="S149" i="1"/>
  <c r="R150" i="1"/>
  <c r="R149" i="1"/>
  <c r="P150" i="1"/>
  <c r="P149" i="1"/>
  <c r="AF148" i="1"/>
  <c r="AC148" i="1"/>
  <c r="AI148" i="1" s="1"/>
  <c r="S148" i="1"/>
  <c r="R148" i="1"/>
  <c r="P148" i="1"/>
  <c r="AF147" i="1"/>
  <c r="AC147" i="1"/>
  <c r="AI147" i="1" s="1"/>
  <c r="S147" i="1"/>
  <c r="R147" i="1"/>
  <c r="P147" i="1"/>
  <c r="AF146" i="1"/>
  <c r="AC146" i="1"/>
  <c r="AI146" i="1" s="1"/>
  <c r="S146" i="1"/>
  <c r="R146" i="1"/>
  <c r="P146" i="1"/>
  <c r="AF145" i="1"/>
  <c r="AF144" i="1"/>
  <c r="AF143" i="1"/>
  <c r="AC145" i="1"/>
  <c r="AI145" i="1" s="1"/>
  <c r="S145" i="1"/>
  <c r="R145" i="1"/>
  <c r="P145" i="1"/>
  <c r="S144" i="1"/>
  <c r="R144" i="1"/>
  <c r="P144" i="1"/>
  <c r="S143" i="1"/>
  <c r="R143" i="1"/>
  <c r="P143" i="1"/>
  <c r="AF142" i="1"/>
  <c r="AC142" i="1"/>
  <c r="AI142" i="1" s="1"/>
  <c r="S142" i="1"/>
  <c r="R142" i="1"/>
  <c r="P142" i="1"/>
  <c r="AF141" i="1"/>
  <c r="AC141" i="1"/>
  <c r="AI141" i="1" s="1"/>
  <c r="S141" i="1"/>
  <c r="R141" i="1"/>
  <c r="P141" i="1"/>
  <c r="AF140" i="1"/>
  <c r="AC140" i="1"/>
  <c r="AI140" i="1" s="1"/>
  <c r="S140" i="1"/>
  <c r="R140" i="1"/>
  <c r="P140" i="1"/>
  <c r="AF139" i="1"/>
  <c r="AC139" i="1"/>
  <c r="AI139" i="1" s="1"/>
  <c r="S139" i="1"/>
  <c r="R139" i="1"/>
  <c r="P139" i="1"/>
  <c r="AF138" i="1"/>
  <c r="AC138" i="1"/>
  <c r="AI138" i="1" s="1"/>
  <c r="S138" i="1"/>
  <c r="R138" i="1"/>
  <c r="P138" i="1"/>
  <c r="AF137" i="1"/>
  <c r="AC137" i="1"/>
  <c r="AI137" i="1" s="1"/>
  <c r="S137" i="1"/>
  <c r="R137" i="1"/>
  <c r="P137" i="1"/>
  <c r="AF136" i="1"/>
  <c r="AC136" i="1"/>
  <c r="AI136" i="1" s="1"/>
  <c r="S136" i="1"/>
  <c r="R136" i="1"/>
  <c r="P136" i="1"/>
  <c r="AF135" i="1"/>
  <c r="AC135" i="1"/>
  <c r="S135" i="1"/>
  <c r="R135" i="1"/>
  <c r="P135" i="1"/>
  <c r="AF134" i="1"/>
  <c r="AC134" i="1"/>
  <c r="AI134" i="1" s="1"/>
  <c r="S134" i="1"/>
  <c r="R134" i="1"/>
  <c r="P134" i="1"/>
  <c r="AF133" i="1"/>
  <c r="AC133" i="1"/>
  <c r="S133" i="1"/>
  <c r="R133" i="1"/>
  <c r="P133" i="1"/>
  <c r="AF132" i="1"/>
  <c r="AF131" i="1"/>
  <c r="AC132" i="1"/>
  <c r="AI132" i="1" s="1"/>
  <c r="AC131" i="1"/>
  <c r="AI131" i="1" s="1"/>
  <c r="S132" i="1"/>
  <c r="R132" i="1"/>
  <c r="S131" i="1"/>
  <c r="R131" i="1"/>
  <c r="P132" i="1"/>
  <c r="P131" i="1"/>
  <c r="P95" i="1"/>
  <c r="AC79" i="1"/>
  <c r="S118" i="1"/>
  <c r="R118" i="1"/>
  <c r="P118" i="1"/>
  <c r="S114" i="1"/>
  <c r="R114" i="1"/>
  <c r="P114" i="1"/>
  <c r="S111" i="1"/>
  <c r="R111" i="1"/>
  <c r="P111" i="1"/>
  <c r="S110" i="1"/>
  <c r="R110" i="1"/>
  <c r="P110" i="1"/>
  <c r="S109" i="1"/>
  <c r="R109" i="1"/>
  <c r="P109" i="1"/>
  <c r="S108" i="1"/>
  <c r="R108" i="1"/>
  <c r="P108" i="1"/>
  <c r="Y1149" i="1" l="1"/>
  <c r="Y1131" i="1"/>
  <c r="Z1131" i="1" s="1"/>
  <c r="AE1091" i="1"/>
  <c r="AK1116" i="1"/>
  <c r="Y1157" i="1"/>
  <c r="R1098" i="1"/>
  <c r="Y1150" i="1"/>
  <c r="AA1150" i="1" s="1"/>
  <c r="Y1151" i="1"/>
  <c r="AA1151" i="1" s="1"/>
  <c r="AE1142" i="1"/>
  <c r="AH1157" i="1"/>
  <c r="R1166" i="1"/>
  <c r="Y1161" i="1"/>
  <c r="Z1161" i="1" s="1"/>
  <c r="AK1081" i="1"/>
  <c r="AH1082" i="1"/>
  <c r="AE1097" i="1"/>
  <c r="AH1161" i="1"/>
  <c r="Y1126" i="1"/>
  <c r="AH1155" i="1"/>
  <c r="Y1075" i="1"/>
  <c r="AA1075" i="1" s="1"/>
  <c r="AH1087" i="1"/>
  <c r="AH1094" i="1"/>
  <c r="AH1112" i="1"/>
  <c r="AF1171" i="1"/>
  <c r="AG1171" i="1" a="1"/>
  <c r="AG1171" i="1" s="1"/>
  <c r="AH1171" i="1" s="1"/>
  <c r="AE1171" i="1"/>
  <c r="AK1171" i="1"/>
  <c r="AE1169" i="1"/>
  <c r="Y1122" i="1"/>
  <c r="AA1122" i="1" s="1"/>
  <c r="AE1125" i="1"/>
  <c r="Y1145" i="1"/>
  <c r="AA1145" i="1" s="1"/>
  <c r="R1164" i="1"/>
  <c r="S1167" i="1"/>
  <c r="AG1166" i="1" a="1"/>
  <c r="AG1166" i="1" s="1"/>
  <c r="AH1166" i="1" s="1"/>
  <c r="S1098" i="1"/>
  <c r="AK1124" i="1"/>
  <c r="AG1164" i="1" a="1"/>
  <c r="AG1164" i="1" s="1"/>
  <c r="AE1155" i="1"/>
  <c r="Y1129" i="1"/>
  <c r="AA1129" i="1" s="1"/>
  <c r="AF1164" i="1"/>
  <c r="AK1164" i="1" s="1"/>
  <c r="R1167" i="1"/>
  <c r="AK1111" i="1"/>
  <c r="AK1121" i="1"/>
  <c r="AH1162" i="1"/>
  <c r="R1165" i="1"/>
  <c r="Y1128" i="1"/>
  <c r="AA1128" i="1" s="1"/>
  <c r="AG1167" i="1" a="1"/>
  <c r="AG1167" i="1" s="1"/>
  <c r="AH1167" i="1" s="1"/>
  <c r="Y1076" i="1"/>
  <c r="Z1076" i="1" s="1"/>
  <c r="Y1118" i="1"/>
  <c r="Z1118" i="1" s="1"/>
  <c r="Y1152" i="1"/>
  <c r="Z1152" i="1" s="1"/>
  <c r="S1165" i="1"/>
  <c r="AG1172" i="1" a="1"/>
  <c r="AG1172" i="1" s="1"/>
  <c r="AK1129" i="1"/>
  <c r="AE1078" i="1"/>
  <c r="AH1090" i="1"/>
  <c r="Y1112" i="1"/>
  <c r="Z1112" i="1" s="1"/>
  <c r="Y1115" i="1"/>
  <c r="Z1115" i="1" s="1"/>
  <c r="AH1119" i="1"/>
  <c r="AE1141" i="1"/>
  <c r="AF1165" i="1"/>
  <c r="AH1165" i="1" s="1"/>
  <c r="AH1141" i="1"/>
  <c r="AE1161" i="1"/>
  <c r="AA1172" i="1"/>
  <c r="Z1172" i="1"/>
  <c r="Z1171" i="1"/>
  <c r="AA1171" i="1"/>
  <c r="R1171" i="1"/>
  <c r="AE1172" i="1"/>
  <c r="AF1172" i="1"/>
  <c r="R1172" i="1"/>
  <c r="AI1172" i="1"/>
  <c r="AE1170" i="1"/>
  <c r="AF1170" i="1"/>
  <c r="AK1170" i="1" s="1"/>
  <c r="AG1170" i="1" a="1"/>
  <c r="AG1170" i="1" s="1"/>
  <c r="AA1170" i="1"/>
  <c r="Z1170" i="1"/>
  <c r="R1170" i="1"/>
  <c r="AA1169" i="1"/>
  <c r="AF1169" i="1"/>
  <c r="AK1169" i="1" s="1"/>
  <c r="AG1169" i="1" a="1"/>
  <c r="AG1169" i="1" s="1"/>
  <c r="AI1169" i="1"/>
  <c r="S1169" i="1"/>
  <c r="AH1129" i="1"/>
  <c r="Y1142" i="1"/>
  <c r="AA1142" i="1" s="1"/>
  <c r="AE1139" i="1"/>
  <c r="Y1146" i="1"/>
  <c r="Z1146" i="1" s="1"/>
  <c r="AE1149" i="1"/>
  <c r="AG1163" i="1" a="1"/>
  <c r="AG1163" i="1" s="1"/>
  <c r="AI1129" i="1"/>
  <c r="AE1133" i="1"/>
  <c r="AE1132" i="1"/>
  <c r="Y1148" i="1"/>
  <c r="AA1148" i="1" s="1"/>
  <c r="AH1126" i="1"/>
  <c r="AK1142" i="1"/>
  <c r="Y1084" i="1"/>
  <c r="Z1084" i="1" s="1"/>
  <c r="AG1100" i="1" a="1"/>
  <c r="AG1100" i="1" s="1"/>
  <c r="AE1112" i="1"/>
  <c r="Y1125" i="1"/>
  <c r="AA1125" i="1" s="1"/>
  <c r="AH1133" i="1"/>
  <c r="R1168" i="1"/>
  <c r="Y1086" i="1"/>
  <c r="AA1086" i="1" s="1"/>
  <c r="AE1119" i="1"/>
  <c r="AE1127" i="1"/>
  <c r="AH1131" i="1"/>
  <c r="AE1143" i="1"/>
  <c r="Y1085" i="1"/>
  <c r="Z1085" i="1" s="1"/>
  <c r="Y1083" i="1"/>
  <c r="Z1083" i="1" s="1"/>
  <c r="Y1123" i="1"/>
  <c r="Z1123" i="1" s="1"/>
  <c r="Y1140" i="1"/>
  <c r="AA1140" i="1" s="1"/>
  <c r="S1168" i="1"/>
  <c r="Y1082" i="1"/>
  <c r="Z1082" i="1" s="1"/>
  <c r="AK1126" i="1"/>
  <c r="Y1139" i="1"/>
  <c r="Z1139" i="1" s="1"/>
  <c r="AK1153" i="1"/>
  <c r="AK1156" i="1"/>
  <c r="AK1162" i="1"/>
  <c r="AF1163" i="1"/>
  <c r="AE1126" i="1"/>
  <c r="AG1168" i="1" a="1"/>
  <c r="AG1168" i="1" s="1"/>
  <c r="AH1168" i="1" s="1"/>
  <c r="AH1144" i="1"/>
  <c r="Y1134" i="1"/>
  <c r="AA1134" i="1" s="1"/>
  <c r="Y1144" i="1"/>
  <c r="Z1144" i="1" s="1"/>
  <c r="R1163" i="1"/>
  <c r="AK1138" i="1"/>
  <c r="Y1114" i="1"/>
  <c r="Z1114" i="1" s="1"/>
  <c r="AK1133" i="1"/>
  <c r="Y1135" i="1"/>
  <c r="AA1135" i="1" s="1"/>
  <c r="AH1079" i="1"/>
  <c r="AG1097" i="1" a="1"/>
  <c r="AG1097" i="1" s="1"/>
  <c r="AH1097" i="1" s="1"/>
  <c r="AF1100" i="1"/>
  <c r="AK1127" i="1"/>
  <c r="Y1130" i="1"/>
  <c r="Z1130" i="1" s="1"/>
  <c r="AE1129" i="1"/>
  <c r="Y1136" i="1"/>
  <c r="AA1136" i="1" s="1"/>
  <c r="S1166" i="1"/>
  <c r="AE1166" i="1"/>
  <c r="AK1166" i="1"/>
  <c r="AK1168" i="1"/>
  <c r="AE1163" i="1"/>
  <c r="AE1164" i="1"/>
  <c r="AK1167" i="1"/>
  <c r="AE1165" i="1"/>
  <c r="AE1167" i="1"/>
  <c r="AA1164" i="1"/>
  <c r="Z1164" i="1"/>
  <c r="AA1165" i="1"/>
  <c r="Z1165" i="1"/>
  <c r="AA1167" i="1"/>
  <c r="Z1167" i="1"/>
  <c r="AA1168" i="1"/>
  <c r="Z1168" i="1"/>
  <c r="Z1166" i="1"/>
  <c r="AA1166" i="1"/>
  <c r="AK1163" i="1"/>
  <c r="Z1163" i="1"/>
  <c r="AE1168" i="1"/>
  <c r="Y1158" i="1"/>
  <c r="Z1158" i="1" s="1"/>
  <c r="AH1160" i="1"/>
  <c r="AK1159" i="1"/>
  <c r="Y1159" i="1"/>
  <c r="Z1159" i="1" s="1"/>
  <c r="AH1159" i="1"/>
  <c r="Y1162" i="1"/>
  <c r="AA1162" i="1" s="1"/>
  <c r="AE1160" i="1"/>
  <c r="AK1160" i="1"/>
  <c r="AK1158" i="1"/>
  <c r="AE1157" i="1"/>
  <c r="AA1161" i="1"/>
  <c r="AA1157" i="1"/>
  <c r="Z1157" i="1"/>
  <c r="AH1158" i="1"/>
  <c r="AK1157" i="1"/>
  <c r="Y1160" i="1"/>
  <c r="AE1162" i="1"/>
  <c r="AE1159" i="1"/>
  <c r="AK1161" i="1"/>
  <c r="AI1158" i="1"/>
  <c r="AE1158" i="1"/>
  <c r="Y1155" i="1"/>
  <c r="AA1155" i="1" s="1"/>
  <c r="Y1154" i="1"/>
  <c r="AA1154" i="1" s="1"/>
  <c r="AH1156" i="1"/>
  <c r="AH1154" i="1"/>
  <c r="AH1151" i="1"/>
  <c r="Y1156" i="1"/>
  <c r="AA1156" i="1" s="1"/>
  <c r="Y1153" i="1"/>
  <c r="Z1153" i="1" s="1"/>
  <c r="AE1151" i="1"/>
  <c r="AE1154" i="1"/>
  <c r="AH1153" i="1"/>
  <c r="AH1152" i="1"/>
  <c r="AK1151" i="1"/>
  <c r="AE1152" i="1"/>
  <c r="AK1154" i="1"/>
  <c r="AE1156" i="1"/>
  <c r="AE1153" i="1"/>
  <c r="AK1155" i="1"/>
  <c r="AK1152" i="1"/>
  <c r="AE1148" i="1"/>
  <c r="AE1145" i="1"/>
  <c r="AH1147" i="1"/>
  <c r="AH1149" i="1"/>
  <c r="AK1147" i="1"/>
  <c r="AG1146" i="1" a="1"/>
  <c r="AG1146" i="1" s="1"/>
  <c r="AH1146" i="1" s="1"/>
  <c r="Y1143" i="1"/>
  <c r="Z1143" i="1" s="1"/>
  <c r="Y1141" i="1"/>
  <c r="AA1141" i="1" s="1"/>
  <c r="AH1150" i="1"/>
  <c r="AH1148" i="1"/>
  <c r="AH1145" i="1"/>
  <c r="AK1150" i="1"/>
  <c r="Y1147" i="1"/>
  <c r="AA1147" i="1" s="1"/>
  <c r="AA1149" i="1"/>
  <c r="Z1149" i="1"/>
  <c r="AE1146" i="1"/>
  <c r="AK1148" i="1"/>
  <c r="AK1149" i="1"/>
  <c r="AI1146" i="1"/>
  <c r="AK1145" i="1"/>
  <c r="AE1150" i="1"/>
  <c r="AE1147" i="1"/>
  <c r="AK1146" i="1"/>
  <c r="AI1150" i="1"/>
  <c r="AH1142" i="1"/>
  <c r="AH1139" i="1"/>
  <c r="AH1138" i="1"/>
  <c r="AH1137" i="1"/>
  <c r="AK1144" i="1"/>
  <c r="AK1140" i="1"/>
  <c r="AH1143" i="1"/>
  <c r="AE1144" i="1"/>
  <c r="AK1143" i="1"/>
  <c r="AI1144" i="1"/>
  <c r="AK1080" i="1"/>
  <c r="AH1092" i="1"/>
  <c r="S1099" i="1"/>
  <c r="AK1079" i="1"/>
  <c r="AE1118" i="1"/>
  <c r="Y1127" i="1"/>
  <c r="AA1127" i="1" s="1"/>
  <c r="Y1078" i="1"/>
  <c r="AA1078" i="1" s="1"/>
  <c r="AK1075" i="1"/>
  <c r="AK1093" i="1"/>
  <c r="AE1130" i="1"/>
  <c r="Y1077" i="1"/>
  <c r="Z1077" i="1" s="1"/>
  <c r="Y1081" i="1"/>
  <c r="AG1099" i="1" a="1"/>
  <c r="AG1099" i="1" s="1"/>
  <c r="AH1099" i="1" s="1"/>
  <c r="AH1127" i="1"/>
  <c r="AK1130" i="1"/>
  <c r="AK1088" i="1"/>
  <c r="AI1075" i="1"/>
  <c r="AE1075" i="1"/>
  <c r="AE1123" i="1"/>
  <c r="Y1119" i="1"/>
  <c r="Z1119" i="1" s="1"/>
  <c r="AE1140" i="1"/>
  <c r="AE1128" i="1"/>
  <c r="AE1134" i="1"/>
  <c r="AH1076" i="1"/>
  <c r="AH1117" i="1"/>
  <c r="AK1137" i="1"/>
  <c r="Y1138" i="1"/>
  <c r="AA1138" i="1" s="1"/>
  <c r="AK1139" i="1"/>
  <c r="AE1077" i="1"/>
  <c r="AK1078" i="1"/>
  <c r="AK1099" i="1"/>
  <c r="AE1136" i="1"/>
  <c r="AK1077" i="1"/>
  <c r="AK1136" i="1"/>
  <c r="AK1082" i="1"/>
  <c r="Y1132" i="1"/>
  <c r="Z1132" i="1" s="1"/>
  <c r="AH1132" i="1"/>
  <c r="AK1134" i="1"/>
  <c r="R1099" i="1"/>
  <c r="AE1102" i="1"/>
  <c r="AF1107" i="1"/>
  <c r="AK1107" i="1" s="1"/>
  <c r="Y1133" i="1"/>
  <c r="Z1133" i="1" s="1"/>
  <c r="AE1137" i="1"/>
  <c r="Z1141" i="1"/>
  <c r="AK1141" i="1"/>
  <c r="AI1142" i="1"/>
  <c r="AE1138" i="1"/>
  <c r="Y1137" i="1"/>
  <c r="AI1138" i="1"/>
  <c r="AH1136" i="1"/>
  <c r="AH1135" i="1"/>
  <c r="AK1132" i="1"/>
  <c r="AK1131" i="1"/>
  <c r="AE1135" i="1"/>
  <c r="AE1131" i="1"/>
  <c r="AK1135" i="1"/>
  <c r="AH1134" i="1"/>
  <c r="AA1131" i="1"/>
  <c r="AH1125" i="1"/>
  <c r="AH1128" i="1"/>
  <c r="AK1125" i="1"/>
  <c r="AK1128" i="1"/>
  <c r="AH1130" i="1"/>
  <c r="AA1126" i="1"/>
  <c r="Z1126" i="1"/>
  <c r="Y1120" i="1"/>
  <c r="AA1120" i="1" s="1"/>
  <c r="AE1082" i="1"/>
  <c r="AK1084" i="1"/>
  <c r="AE1092" i="1"/>
  <c r="AI1100" i="1"/>
  <c r="AH1113" i="1"/>
  <c r="AH1123" i="1"/>
  <c r="Y1080" i="1"/>
  <c r="AE1095" i="1"/>
  <c r="AG1101" i="1" a="1"/>
  <c r="AG1101" i="1" s="1"/>
  <c r="AF1103" i="1"/>
  <c r="AK1103" i="1" s="1"/>
  <c r="Y1079" i="1"/>
  <c r="AH1091" i="1"/>
  <c r="R1102" i="1"/>
  <c r="AE1106" i="1"/>
  <c r="AK1083" i="1"/>
  <c r="AE1079" i="1"/>
  <c r="AI1091" i="1"/>
  <c r="AK1096" i="1"/>
  <c r="S1102" i="1"/>
  <c r="AK1113" i="1"/>
  <c r="Y1090" i="1"/>
  <c r="AA1090" i="1" s="1"/>
  <c r="Y1092" i="1"/>
  <c r="AA1092" i="1" s="1"/>
  <c r="R1097" i="1"/>
  <c r="R1100" i="1"/>
  <c r="AI1106" i="1"/>
  <c r="Y1111" i="1"/>
  <c r="AA1111" i="1" s="1"/>
  <c r="AE1115" i="1"/>
  <c r="AG1103" i="1" a="1"/>
  <c r="AG1103" i="1" s="1"/>
  <c r="AK1112" i="1"/>
  <c r="Y1087" i="1"/>
  <c r="AA1087" i="1" s="1"/>
  <c r="AK1090" i="1"/>
  <c r="AH1093" i="1"/>
  <c r="S1097" i="1"/>
  <c r="AH1115" i="1"/>
  <c r="AH1078" i="1"/>
  <c r="AK1085" i="1"/>
  <c r="AE1111" i="1"/>
  <c r="Y1113" i="1"/>
  <c r="Z1113" i="1" s="1"/>
  <c r="AH1124" i="1"/>
  <c r="AH1118" i="1"/>
  <c r="AH1122" i="1"/>
  <c r="AH1121" i="1"/>
  <c r="AK1117" i="1"/>
  <c r="Y1124" i="1"/>
  <c r="AA1124" i="1" s="1"/>
  <c r="AE1122" i="1"/>
  <c r="Y1121" i="1"/>
  <c r="Z1121" i="1" s="1"/>
  <c r="AE1120" i="1"/>
  <c r="AI1118" i="1"/>
  <c r="Y1117" i="1"/>
  <c r="AA1117" i="1" s="1"/>
  <c r="AH1120" i="1"/>
  <c r="AK1122" i="1"/>
  <c r="AE1117" i="1"/>
  <c r="AK1119" i="1"/>
  <c r="AI1120" i="1"/>
  <c r="AK1118" i="1"/>
  <c r="AE1124" i="1"/>
  <c r="AE1121" i="1"/>
  <c r="AK1123" i="1"/>
  <c r="AK1120" i="1"/>
  <c r="AH1114" i="1"/>
  <c r="Y1116" i="1"/>
  <c r="AA1116" i="1" s="1"/>
  <c r="AE1114" i="1"/>
  <c r="AE1116" i="1"/>
  <c r="AH1116" i="1"/>
  <c r="AI1116" i="1"/>
  <c r="AK1114" i="1"/>
  <c r="AK1115" i="1"/>
  <c r="AE1113" i="1"/>
  <c r="AH1111" i="1"/>
  <c r="AI1112" i="1"/>
  <c r="AI1113" i="1"/>
  <c r="AF1109" i="1"/>
  <c r="AK1109" i="1" s="1"/>
  <c r="AF1110" i="1"/>
  <c r="AG1110" i="1" a="1"/>
  <c r="AG1110" i="1" s="1"/>
  <c r="AE1109" i="1"/>
  <c r="AG1109" i="1" a="1"/>
  <c r="AG1109" i="1" s="1"/>
  <c r="S1109" i="1"/>
  <c r="Z1110" i="1"/>
  <c r="AE1110" i="1"/>
  <c r="Z1109" i="1"/>
  <c r="R1110" i="1"/>
  <c r="AI1110" i="1"/>
  <c r="AG1107" i="1" a="1"/>
  <c r="AG1107" i="1" s="1"/>
  <c r="AF1105" i="1"/>
  <c r="AG1105" i="1" a="1"/>
  <c r="AG1105" i="1" s="1"/>
  <c r="AF1108" i="1"/>
  <c r="AK1108" i="1" s="1"/>
  <c r="AE1107" i="1"/>
  <c r="AG1106" i="1" a="1"/>
  <c r="AG1106" i="1" s="1"/>
  <c r="AH1106" i="1" s="1"/>
  <c r="S1105" i="1"/>
  <c r="AK1106" i="1"/>
  <c r="AA1106" i="1"/>
  <c r="Z1106" i="1"/>
  <c r="Z1105" i="1"/>
  <c r="AA1105" i="1"/>
  <c r="AE1108" i="1"/>
  <c r="R1107" i="1"/>
  <c r="AE1105" i="1"/>
  <c r="AG1108" i="1" a="1"/>
  <c r="AG1108" i="1" s="1"/>
  <c r="Z1108" i="1"/>
  <c r="R1106" i="1"/>
  <c r="AI1108" i="1"/>
  <c r="AA1107" i="1"/>
  <c r="S1108" i="1"/>
  <c r="S1106" i="1"/>
  <c r="AG1102" i="1" a="1"/>
  <c r="AG1102" i="1" s="1"/>
  <c r="AH1102" i="1" s="1"/>
  <c r="AF1104" i="1"/>
  <c r="AK1104" i="1" s="1"/>
  <c r="AE1103" i="1"/>
  <c r="R1101" i="1"/>
  <c r="AF1098" i="1"/>
  <c r="AK1098" i="1" s="1"/>
  <c r="AK1102" i="1"/>
  <c r="AA1101" i="1"/>
  <c r="Z1101" i="1"/>
  <c r="AA1102" i="1"/>
  <c r="Z1102" i="1"/>
  <c r="Z1104" i="1"/>
  <c r="R1103" i="1"/>
  <c r="AE1101" i="1"/>
  <c r="AG1104" i="1" a="1"/>
  <c r="AG1104" i="1" s="1"/>
  <c r="AF1101" i="1"/>
  <c r="AA1103" i="1"/>
  <c r="S1104" i="1"/>
  <c r="AE1104" i="1"/>
  <c r="AE1098" i="1"/>
  <c r="AK1097" i="1"/>
  <c r="AA1100" i="1"/>
  <c r="Z1100" i="1"/>
  <c r="AA1099" i="1"/>
  <c r="Z1099" i="1"/>
  <c r="AA1097" i="1"/>
  <c r="Z1097" i="1"/>
  <c r="AE1100" i="1"/>
  <c r="Z1098" i="1"/>
  <c r="AE1099" i="1"/>
  <c r="Y1091" i="1"/>
  <c r="AA1091" i="1" s="1"/>
  <c r="Y1096" i="1"/>
  <c r="AA1096" i="1" s="1"/>
  <c r="AK1095" i="1"/>
  <c r="AE1096" i="1"/>
  <c r="AH1096" i="1"/>
  <c r="AH1095" i="1"/>
  <c r="Y1095" i="1"/>
  <c r="AI1096" i="1"/>
  <c r="AE1094" i="1"/>
  <c r="AK1094" i="1"/>
  <c r="AE1089" i="1"/>
  <c r="AK1089" i="1"/>
  <c r="AH1088" i="1"/>
  <c r="AE1088" i="1"/>
  <c r="AE1087" i="1"/>
  <c r="AI1087" i="1"/>
  <c r="AH1089" i="1"/>
  <c r="AE1090" i="1"/>
  <c r="Y1089" i="1"/>
  <c r="AI1090" i="1"/>
  <c r="Y1094" i="1"/>
  <c r="AK1091" i="1"/>
  <c r="AE1093" i="1"/>
  <c r="AK1092" i="1"/>
  <c r="Y1088" i="1"/>
  <c r="AI1089" i="1"/>
  <c r="Y1093" i="1"/>
  <c r="AI1094" i="1"/>
  <c r="AK1087" i="1"/>
  <c r="AH1086" i="1"/>
  <c r="AK1086" i="1"/>
  <c r="AE1083" i="1"/>
  <c r="AI1083" i="1"/>
  <c r="AI1084" i="1"/>
  <c r="AH1085" i="1"/>
  <c r="AH1084" i="1"/>
  <c r="AH1083" i="1"/>
  <c r="AH1080" i="1"/>
  <c r="AE1080" i="1"/>
  <c r="AK1076" i="1"/>
  <c r="AE1076" i="1"/>
  <c r="AE1084" i="1"/>
  <c r="AE1081" i="1"/>
  <c r="AE1085" i="1"/>
  <c r="AE1086" i="1"/>
  <c r="AH1081" i="1"/>
  <c r="AH1077" i="1"/>
  <c r="AH1075" i="1"/>
  <c r="Z1075" i="1"/>
  <c r="Y121" i="1"/>
  <c r="AA121" i="1" s="1"/>
  <c r="Y123" i="1"/>
  <c r="AA123" i="1" s="1"/>
  <c r="Y125" i="1"/>
  <c r="AA125" i="1" s="1"/>
  <c r="AH119" i="1"/>
  <c r="AC129" i="1"/>
  <c r="AI129" i="1" s="1"/>
  <c r="AC126" i="1"/>
  <c r="AI126" i="1" s="1"/>
  <c r="AK795" i="1"/>
  <c r="Y124" i="1"/>
  <c r="Z124" i="1" s="1"/>
  <c r="AH122" i="1"/>
  <c r="AH126" i="1"/>
  <c r="Y126" i="1"/>
  <c r="Z126" i="1" s="1"/>
  <c r="AC122" i="1"/>
  <c r="AI122" i="1" s="1"/>
  <c r="AC121" i="1"/>
  <c r="AI121" i="1" s="1"/>
  <c r="Y130" i="1"/>
  <c r="AA130" i="1" s="1"/>
  <c r="AF128" i="1"/>
  <c r="AH128" i="1" s="1"/>
  <c r="AK231" i="1"/>
  <c r="AC130" i="1"/>
  <c r="AE130" i="1" s="1"/>
  <c r="AC124" i="1"/>
  <c r="AK124" i="1" s="1"/>
  <c r="Y231" i="1"/>
  <c r="AA231" i="1" s="1"/>
  <c r="AH231" i="1"/>
  <c r="Y119" i="1"/>
  <c r="Z119" i="1" s="1"/>
  <c r="AF127" i="1"/>
  <c r="AH127" i="1" s="1"/>
  <c r="Y128" i="1"/>
  <c r="AA128" i="1" s="1"/>
  <c r="AF125" i="1"/>
  <c r="AK125" i="1" s="1"/>
  <c r="AH124" i="1"/>
  <c r="AF123" i="1"/>
  <c r="AH123" i="1" s="1"/>
  <c r="AE231" i="1"/>
  <c r="AH121" i="1"/>
  <c r="AF120" i="1"/>
  <c r="AH120" i="1" s="1"/>
  <c r="Y129" i="1"/>
  <c r="Z129" i="1" s="1"/>
  <c r="AC119" i="1"/>
  <c r="AI119" i="1" s="1"/>
  <c r="Y122" i="1"/>
  <c r="AA122" i="1" s="1"/>
  <c r="Y127" i="1"/>
  <c r="AA127" i="1" s="1"/>
  <c r="AE125" i="1"/>
  <c r="Y120" i="1"/>
  <c r="Z120" i="1" s="1"/>
  <c r="AH130" i="1"/>
  <c r="AE128" i="1"/>
  <c r="AH129" i="1"/>
  <c r="AE120" i="1"/>
  <c r="AE127" i="1"/>
  <c r="AH51" i="1"/>
  <c r="AI123" i="1"/>
  <c r="AE123" i="1"/>
  <c r="AC1051" i="1"/>
  <c r="AI1051" i="1" s="1"/>
  <c r="AK751" i="1"/>
  <c r="Y1067" i="1"/>
  <c r="AA1067" i="1" s="1"/>
  <c r="AE1068" i="1"/>
  <c r="AH1021" i="1"/>
  <c r="Y1018" i="1"/>
  <c r="AA1018" i="1" s="1"/>
  <c r="Y1022" i="1"/>
  <c r="AA1022" i="1" s="1"/>
  <c r="R1023" i="1"/>
  <c r="AC1023" i="1"/>
  <c r="AE1023" i="1" s="1"/>
  <c r="AD1039" i="1" a="1"/>
  <c r="AD1039" i="1" s="1"/>
  <c r="AE1039" i="1" s="1"/>
  <c r="R1025" i="1"/>
  <c r="S1025" i="1"/>
  <c r="AH1066" i="1"/>
  <c r="Y1007" i="1"/>
  <c r="Z1007" i="1" s="1"/>
  <c r="AF1069" i="1"/>
  <c r="AH1069" i="1" s="1"/>
  <c r="P1025" i="1"/>
  <c r="Y1025" i="1" s="1"/>
  <c r="Z1025" i="1" s="1"/>
  <c r="AH1058" i="1"/>
  <c r="AC1040" i="1"/>
  <c r="AI1040" i="1" s="1"/>
  <c r="Y1066" i="1"/>
  <c r="Z1066" i="1" s="1"/>
  <c r="Y585" i="1"/>
  <c r="AA585" i="1" s="1"/>
  <c r="Y1016" i="1"/>
  <c r="AA1016" i="1" s="1"/>
  <c r="Y1037" i="1"/>
  <c r="Z1037" i="1" s="1"/>
  <c r="AK1034" i="1"/>
  <c r="AE1055" i="1"/>
  <c r="Y1043" i="1"/>
  <c r="Z1043" i="1" s="1"/>
  <c r="AE1036" i="1"/>
  <c r="AE1054" i="1"/>
  <c r="AH1036" i="1"/>
  <c r="AH1059" i="1"/>
  <c r="Y1017" i="1"/>
  <c r="AA1017" i="1" s="1"/>
  <c r="AE1071" i="1"/>
  <c r="Y1021" i="1"/>
  <c r="AA1021" i="1" s="1"/>
  <c r="Y1031" i="1"/>
  <c r="AA1031" i="1" s="1"/>
  <c r="AH1016" i="1"/>
  <c r="Y1028" i="1"/>
  <c r="Z1028" i="1" s="1"/>
  <c r="AE1041" i="1"/>
  <c r="AH1045" i="1"/>
  <c r="AF1073" i="1"/>
  <c r="AK1073" i="1" s="1"/>
  <c r="AH1054" i="1"/>
  <c r="AG1073" i="1" a="1"/>
  <c r="AG1073" i="1" s="1"/>
  <c r="AE1064" i="1"/>
  <c r="AH1060" i="1"/>
  <c r="AE1042" i="1"/>
  <c r="Y1045" i="1"/>
  <c r="Z1045" i="1" s="1"/>
  <c r="R1068" i="1"/>
  <c r="AK585" i="1"/>
  <c r="AF1068" i="1"/>
  <c r="AH1033" i="1"/>
  <c r="AH585" i="1"/>
  <c r="AH1008" i="1"/>
  <c r="AK1064" i="1"/>
  <c r="AE585" i="1"/>
  <c r="AI585" i="1"/>
  <c r="AF1074" i="1"/>
  <c r="AK1074" i="1" s="1"/>
  <c r="AG1074" i="1" a="1"/>
  <c r="AG1074" i="1" s="1"/>
  <c r="AE1074" i="1"/>
  <c r="AE1073" i="1"/>
  <c r="AG1071" i="1" a="1"/>
  <c r="AG1071" i="1" s="1"/>
  <c r="AF1072" i="1"/>
  <c r="AG1072" i="1" a="1"/>
  <c r="AG1072" i="1" s="1"/>
  <c r="AI1072" i="1"/>
  <c r="AF1071" i="1"/>
  <c r="AK1071" i="1" s="1"/>
  <c r="R1074" i="1"/>
  <c r="AI1074" i="1"/>
  <c r="R1073" i="1"/>
  <c r="AE1072" i="1"/>
  <c r="R1071" i="1"/>
  <c r="R1072" i="1"/>
  <c r="AF1070" i="1"/>
  <c r="AK1070" i="1" s="1"/>
  <c r="AG1070" i="1" a="1"/>
  <c r="AG1070" i="1" s="1"/>
  <c r="AE1070" i="1"/>
  <c r="AA1070" i="1"/>
  <c r="R1070" i="1"/>
  <c r="AI1070" i="1"/>
  <c r="S1069" i="1"/>
  <c r="R1069" i="1"/>
  <c r="AE1069" i="1"/>
  <c r="Z1069" i="1"/>
  <c r="AI1069" i="1"/>
  <c r="S1068" i="1"/>
  <c r="AA1068" i="1"/>
  <c r="Z1068" i="1"/>
  <c r="AK1067" i="1"/>
  <c r="AH1044" i="1"/>
  <c r="Y1063" i="1"/>
  <c r="AA1063" i="1" s="1"/>
  <c r="AH1065" i="1"/>
  <c r="Y1019" i="1"/>
  <c r="AA1019" i="1" s="1"/>
  <c r="AK1029" i="1"/>
  <c r="AK1032" i="1"/>
  <c r="AK1020" i="1"/>
  <c r="AE1026" i="1"/>
  <c r="AH963" i="1"/>
  <c r="AK1017" i="1"/>
  <c r="AH1018" i="1"/>
  <c r="Y1054" i="1"/>
  <c r="Z1054" i="1" s="1"/>
  <c r="AC1049" i="1"/>
  <c r="AI1049" i="1" s="1"/>
  <c r="Y1058" i="1"/>
  <c r="AA1058" i="1" s="1"/>
  <c r="AE1056" i="1"/>
  <c r="AH1064" i="1"/>
  <c r="AK1018" i="1"/>
  <c r="AC1025" i="1"/>
  <c r="AI1025" i="1" s="1"/>
  <c r="Y1036" i="1"/>
  <c r="Z1036" i="1" s="1"/>
  <c r="AK1053" i="1"/>
  <c r="AI1054" i="1"/>
  <c r="AE1067" i="1"/>
  <c r="AH1031" i="1"/>
  <c r="AK1046" i="1"/>
  <c r="AH1067" i="1"/>
  <c r="AI1067" i="1"/>
  <c r="AE1066" i="1"/>
  <c r="AK1066" i="1"/>
  <c r="AI1066" i="1"/>
  <c r="Y1064" i="1"/>
  <c r="AA1064" i="1" s="1"/>
  <c r="AH1013" i="1"/>
  <c r="Y1026" i="1"/>
  <c r="AA1026" i="1" s="1"/>
  <c r="Y1020" i="1"/>
  <c r="AA1020" i="1" s="1"/>
  <c r="P1023" i="1"/>
  <c r="Y1023" i="1" s="1"/>
  <c r="Z1023" i="1" s="1"/>
  <c r="AE1047" i="1"/>
  <c r="AK1062" i="1"/>
  <c r="AH1063" i="1"/>
  <c r="S1023" i="1"/>
  <c r="AH1024" i="1"/>
  <c r="AK1054" i="1"/>
  <c r="AK1065" i="1"/>
  <c r="AH1030" i="1"/>
  <c r="AE1046" i="1"/>
  <c r="AH1047" i="1"/>
  <c r="Y1055" i="1"/>
  <c r="AA1055" i="1" s="1"/>
  <c r="AE1060" i="1"/>
  <c r="Y1053" i="1"/>
  <c r="Z1053" i="1" s="1"/>
  <c r="AK1057" i="1"/>
  <c r="AH1026" i="1"/>
  <c r="AH1046" i="1"/>
  <c r="Y1065" i="1"/>
  <c r="Z1065" i="1" s="1"/>
  <c r="AH1035" i="1"/>
  <c r="AH1043" i="1"/>
  <c r="AC1052" i="1"/>
  <c r="AE1052" i="1" s="1"/>
  <c r="AE1011" i="1"/>
  <c r="AH1017" i="1"/>
  <c r="AK1024" i="1"/>
  <c r="AK1027" i="1"/>
  <c r="AE1038" i="1"/>
  <c r="AK1044" i="1"/>
  <c r="AH1055" i="1"/>
  <c r="Y1030" i="1"/>
  <c r="Z1030" i="1" s="1"/>
  <c r="Y1033" i="1"/>
  <c r="Z1033" i="1" s="1"/>
  <c r="Y1047" i="1"/>
  <c r="AA1047" i="1" s="1"/>
  <c r="AK1010" i="1"/>
  <c r="AH1025" i="1"/>
  <c r="Y1056" i="1"/>
  <c r="AA1056" i="1" s="1"/>
  <c r="Y1060" i="1"/>
  <c r="Z1060" i="1" s="1"/>
  <c r="AH1061" i="1"/>
  <c r="AE1065" i="1"/>
  <c r="AK1063" i="1"/>
  <c r="AE1063" i="1"/>
  <c r="Y1061" i="1"/>
  <c r="AA1061" i="1" s="1"/>
  <c r="AH1062" i="1"/>
  <c r="Y1062" i="1"/>
  <c r="Z1062" i="1" s="1"/>
  <c r="AK1059" i="1"/>
  <c r="AE1059" i="1"/>
  <c r="AE1061" i="1"/>
  <c r="Y1059" i="1"/>
  <c r="AK1060" i="1"/>
  <c r="AE1062" i="1"/>
  <c r="AK1061" i="1"/>
  <c r="AH1057" i="1"/>
  <c r="AK1058" i="1"/>
  <c r="AH1053" i="1"/>
  <c r="AH1056" i="1"/>
  <c r="AE1057" i="1"/>
  <c r="AK1055" i="1"/>
  <c r="AE1053" i="1"/>
  <c r="AK1056" i="1"/>
  <c r="AE1058" i="1"/>
  <c r="Y1057" i="1"/>
  <c r="AA1038" i="1"/>
  <c r="AA1042" i="1"/>
  <c r="AH1039" i="1"/>
  <c r="AH1051" i="1"/>
  <c r="AH1050" i="1"/>
  <c r="AH1048" i="1"/>
  <c r="AA1051" i="1"/>
  <c r="AE1048" i="1"/>
  <c r="AA1052" i="1"/>
  <c r="AI1047" i="1"/>
  <c r="Y1046" i="1"/>
  <c r="Z1046" i="1" s="1"/>
  <c r="AE1043" i="1"/>
  <c r="AE1044" i="1"/>
  <c r="AI1043" i="1"/>
  <c r="AH1052" i="1"/>
  <c r="AA1048" i="1"/>
  <c r="AI1050" i="1"/>
  <c r="AK1043" i="1"/>
  <c r="AE1045" i="1"/>
  <c r="AK1047" i="1"/>
  <c r="Y1044" i="1"/>
  <c r="AD1050" i="1" a="1"/>
  <c r="AD1050" i="1" s="1"/>
  <c r="AE1050" i="1" s="1"/>
  <c r="AK1045" i="1"/>
  <c r="AA1039" i="1"/>
  <c r="AH1038" i="1"/>
  <c r="AH1042" i="1"/>
  <c r="AI1039" i="1"/>
  <c r="AH1034" i="1"/>
  <c r="AE1035" i="1"/>
  <c r="AI1035" i="1"/>
  <c r="AK1035" i="1"/>
  <c r="Y1035" i="1"/>
  <c r="Z1035" i="1" s="1"/>
  <c r="Y1034" i="1"/>
  <c r="AA1034" i="1" s="1"/>
  <c r="AH1037" i="1"/>
  <c r="AE1033" i="1"/>
  <c r="AE1037" i="1"/>
  <c r="AE1034" i="1"/>
  <c r="AK1036" i="1"/>
  <c r="AK1033" i="1"/>
  <c r="AK1037" i="1"/>
  <c r="AH1032" i="1"/>
  <c r="AH1029" i="1"/>
  <c r="Y1032" i="1"/>
  <c r="AA1032" i="1" s="1"/>
  <c r="AE1031" i="1"/>
  <c r="AE1030" i="1"/>
  <c r="AI1030" i="1"/>
  <c r="Y1029" i="1"/>
  <c r="AA1029" i="1" s="1"/>
  <c r="AH1028" i="1"/>
  <c r="AE1028" i="1"/>
  <c r="AK1030" i="1"/>
  <c r="AE1032" i="1"/>
  <c r="AE1029" i="1"/>
  <c r="AK1031" i="1"/>
  <c r="AK1028" i="1"/>
  <c r="Y1027" i="1"/>
  <c r="AA1027" i="1" s="1"/>
  <c r="Y1024" i="1"/>
  <c r="Z1024" i="1" s="1"/>
  <c r="AH1027" i="1"/>
  <c r="AH1023" i="1"/>
  <c r="AE1024" i="1"/>
  <c r="AK1026" i="1"/>
  <c r="AE1027" i="1"/>
  <c r="AE1018" i="1"/>
  <c r="AE1019" i="1"/>
  <c r="AK1022" i="1"/>
  <c r="AH1022" i="1"/>
  <c r="AK1021" i="1"/>
  <c r="AH1019" i="1"/>
  <c r="AK1019" i="1"/>
  <c r="AI1019" i="1"/>
  <c r="AE1020" i="1"/>
  <c r="AH1020" i="1"/>
  <c r="AE1021" i="1"/>
  <c r="AE1022" i="1"/>
  <c r="AI1022" i="1"/>
  <c r="AK1016" i="1"/>
  <c r="AE1016" i="1"/>
  <c r="AI1017" i="1"/>
  <c r="AE1017" i="1"/>
  <c r="AH1012" i="1"/>
  <c r="AH997" i="1"/>
  <c r="AE1010" i="1"/>
  <c r="AH813" i="1"/>
  <c r="AE968" i="1"/>
  <c r="AH773" i="1"/>
  <c r="AE971" i="1"/>
  <c r="AH1005" i="1"/>
  <c r="Y1011" i="1"/>
  <c r="Z1011" i="1" s="1"/>
  <c r="AH1011" i="1"/>
  <c r="AK1009" i="1"/>
  <c r="Y1008" i="1"/>
  <c r="Z1008" i="1" s="1"/>
  <c r="AK1012" i="1"/>
  <c r="Y1012" i="1"/>
  <c r="Z1012" i="1" s="1"/>
  <c r="AH1010" i="1"/>
  <c r="AE1012" i="1"/>
  <c r="Y1010" i="1"/>
  <c r="AI1011" i="1"/>
  <c r="AK1011" i="1"/>
  <c r="AE1007" i="1"/>
  <c r="AH1007" i="1"/>
  <c r="AE1004" i="1"/>
  <c r="AE1009" i="1"/>
  <c r="AK1008" i="1"/>
  <c r="AH1009" i="1"/>
  <c r="Y965" i="1"/>
  <c r="AA965" i="1" s="1"/>
  <c r="Y1009" i="1"/>
  <c r="AE1008" i="1"/>
  <c r="Y993" i="1"/>
  <c r="AA993" i="1" s="1"/>
  <c r="AH999" i="1"/>
  <c r="AH996" i="1"/>
  <c r="AK1007" i="1"/>
  <c r="Y972" i="1"/>
  <c r="AA972" i="1" s="1"/>
  <c r="Y998" i="1"/>
  <c r="AA998" i="1" s="1"/>
  <c r="Y1004" i="1"/>
  <c r="AA1004" i="1" s="1"/>
  <c r="Y1005" i="1"/>
  <c r="AA1005" i="1" s="1"/>
  <c r="Y1000" i="1"/>
  <c r="AA1000" i="1" s="1"/>
  <c r="AH982" i="1"/>
  <c r="AK986" i="1"/>
  <c r="AK989" i="1"/>
  <c r="AE990" i="1"/>
  <c r="AK995" i="1"/>
  <c r="AK992" i="1"/>
  <c r="AE961" i="1"/>
  <c r="AE967" i="1"/>
  <c r="AH994" i="1"/>
  <c r="AH1003" i="1"/>
  <c r="AH1014" i="1"/>
  <c r="AE1005" i="1"/>
  <c r="Y963" i="1"/>
  <c r="AA963" i="1" s="1"/>
  <c r="Y968" i="1"/>
  <c r="Z968" i="1" s="1"/>
  <c r="AH975" i="1"/>
  <c r="AE1015" i="1"/>
  <c r="AK964" i="1"/>
  <c r="AE992" i="1"/>
  <c r="AK965" i="1"/>
  <c r="AK962" i="1"/>
  <c r="Y994" i="1"/>
  <c r="AA994" i="1" s="1"/>
  <c r="AK1013" i="1"/>
  <c r="AH971" i="1"/>
  <c r="Y996" i="1"/>
  <c r="AA996" i="1" s="1"/>
  <c r="AH991" i="1"/>
  <c r="Y995" i="1"/>
  <c r="AA995" i="1" s="1"/>
  <c r="AE996" i="1"/>
  <c r="AH1006" i="1"/>
  <c r="AH987" i="1"/>
  <c r="AK970" i="1"/>
  <c r="Y961" i="1"/>
  <c r="Z961" i="1" s="1"/>
  <c r="Y992" i="1"/>
  <c r="Z992" i="1" s="1"/>
  <c r="AK1006" i="1"/>
  <c r="Y1006" i="1"/>
  <c r="Z1006" i="1" s="1"/>
  <c r="AH1004" i="1"/>
  <c r="AK1003" i="1"/>
  <c r="AI1005" i="1"/>
  <c r="AK1004" i="1"/>
  <c r="Y976" i="1"/>
  <c r="Z976" i="1" s="1"/>
  <c r="AK979" i="1"/>
  <c r="AK982" i="1"/>
  <c r="Y1003" i="1"/>
  <c r="AI1004" i="1"/>
  <c r="AI971" i="1"/>
  <c r="Y973" i="1"/>
  <c r="Z973" i="1" s="1"/>
  <c r="Y985" i="1"/>
  <c r="Z985" i="1" s="1"/>
  <c r="AK991" i="1"/>
  <c r="AK1014" i="1"/>
  <c r="AE1006" i="1"/>
  <c r="AH974" i="1"/>
  <c r="AH977" i="1"/>
  <c r="AK994" i="1"/>
  <c r="Y997" i="1"/>
  <c r="Z997" i="1" s="1"/>
  <c r="AH998" i="1"/>
  <c r="AH780" i="1"/>
  <c r="Y966" i="1"/>
  <c r="AA966" i="1" s="1"/>
  <c r="AK967" i="1"/>
  <c r="Y981" i="1"/>
  <c r="AA981" i="1" s="1"/>
  <c r="AE982" i="1"/>
  <c r="Y999" i="1"/>
  <c r="Z999" i="1" s="1"/>
  <c r="AH1000" i="1"/>
  <c r="AK1005" i="1"/>
  <c r="Y967" i="1"/>
  <c r="AA967" i="1" s="1"/>
  <c r="AE969" i="1"/>
  <c r="Y975" i="1"/>
  <c r="AA975" i="1" s="1"/>
  <c r="AE976" i="1"/>
  <c r="Y978" i="1"/>
  <c r="Z978" i="1" s="1"/>
  <c r="AE988" i="1"/>
  <c r="Y990" i="1"/>
  <c r="Z990" i="1" s="1"/>
  <c r="AH995" i="1"/>
  <c r="AH781" i="1"/>
  <c r="AH969" i="1"/>
  <c r="Y971" i="1"/>
  <c r="AA971" i="1" s="1"/>
  <c r="AH976" i="1"/>
  <c r="AH988" i="1"/>
  <c r="AK1015" i="1"/>
  <c r="AE1003" i="1"/>
  <c r="AE987" i="1"/>
  <c r="AK993" i="1"/>
  <c r="AE972" i="1"/>
  <c r="AH972" i="1"/>
  <c r="AH978" i="1"/>
  <c r="AH981" i="1"/>
  <c r="AH990" i="1"/>
  <c r="AE994" i="1"/>
  <c r="AK996" i="1"/>
  <c r="AE997" i="1"/>
  <c r="Y980" i="1"/>
  <c r="Z980" i="1" s="1"/>
  <c r="AE998" i="1"/>
  <c r="Y1001" i="1"/>
  <c r="AA1001" i="1" s="1"/>
  <c r="AE993" i="1"/>
  <c r="AH784" i="1"/>
  <c r="AE786" i="1"/>
  <c r="AE980" i="1"/>
  <c r="AA1015" i="1"/>
  <c r="AH1015" i="1"/>
  <c r="AI1015" i="1"/>
  <c r="AA1014" i="1"/>
  <c r="AE1014" i="1"/>
  <c r="AI1014" i="1"/>
  <c r="AA1013" i="1"/>
  <c r="AE1013" i="1"/>
  <c r="AI1013" i="1"/>
  <c r="AK1002" i="1"/>
  <c r="AH1002" i="1"/>
  <c r="Y1002" i="1"/>
  <c r="Z1002" i="1" s="1"/>
  <c r="AK1001" i="1"/>
  <c r="AE1002" i="1"/>
  <c r="AH1001" i="1"/>
  <c r="AE1001" i="1"/>
  <c r="AK1000" i="1"/>
  <c r="AE1000" i="1"/>
  <c r="AE999" i="1"/>
  <c r="AK999" i="1"/>
  <c r="AK998" i="1"/>
  <c r="AK997" i="1"/>
  <c r="AH993" i="1"/>
  <c r="AE995" i="1"/>
  <c r="AI995" i="1"/>
  <c r="AH992" i="1"/>
  <c r="Y991" i="1"/>
  <c r="AA991" i="1" s="1"/>
  <c r="AE991" i="1"/>
  <c r="AK990" i="1"/>
  <c r="Y988" i="1"/>
  <c r="Z988" i="1" s="1"/>
  <c r="AH989" i="1"/>
  <c r="AH986" i="1"/>
  <c r="AH984" i="1"/>
  <c r="Y989" i="1"/>
  <c r="AA989" i="1" s="1"/>
  <c r="AI987" i="1"/>
  <c r="AK987" i="1"/>
  <c r="Y986" i="1"/>
  <c r="AA986" i="1" s="1"/>
  <c r="AE984" i="1"/>
  <c r="AK984" i="1"/>
  <c r="AH985" i="1"/>
  <c r="Y987" i="1"/>
  <c r="AE989" i="1"/>
  <c r="Y984" i="1"/>
  <c r="AK988" i="1"/>
  <c r="AE985" i="1"/>
  <c r="AE986" i="1"/>
  <c r="AK985" i="1"/>
  <c r="AH983" i="1"/>
  <c r="Y983" i="1"/>
  <c r="AA983" i="1" s="1"/>
  <c r="AK983" i="1"/>
  <c r="AE983" i="1"/>
  <c r="AI983" i="1"/>
  <c r="Y982" i="1"/>
  <c r="AA982" i="1" s="1"/>
  <c r="AH980" i="1"/>
  <c r="Y979" i="1"/>
  <c r="AA979" i="1" s="1"/>
  <c r="AH979" i="1"/>
  <c r="AE981" i="1"/>
  <c r="AK980" i="1"/>
  <c r="AE978" i="1"/>
  <c r="AI980" i="1"/>
  <c r="AE979" i="1"/>
  <c r="AK981" i="1"/>
  <c r="AK978" i="1"/>
  <c r="AK977" i="1"/>
  <c r="AK974" i="1"/>
  <c r="Y977" i="1"/>
  <c r="AA977" i="1" s="1"/>
  <c r="AE975" i="1"/>
  <c r="AI975" i="1"/>
  <c r="Y974" i="1"/>
  <c r="AA974" i="1" s="1"/>
  <c r="AH973" i="1"/>
  <c r="AK971" i="1"/>
  <c r="AK972" i="1"/>
  <c r="AK976" i="1"/>
  <c r="AE973" i="1"/>
  <c r="AK975" i="1"/>
  <c r="AE977" i="1"/>
  <c r="AE974" i="1"/>
  <c r="AK973" i="1"/>
  <c r="Y969" i="1"/>
  <c r="Z969" i="1" s="1"/>
  <c r="AH970" i="1"/>
  <c r="Y970" i="1"/>
  <c r="AA970" i="1" s="1"/>
  <c r="AE970" i="1"/>
  <c r="AK969" i="1"/>
  <c r="AK968" i="1"/>
  <c r="AK966" i="1"/>
  <c r="AH967" i="1"/>
  <c r="AE966" i="1"/>
  <c r="AE965" i="1"/>
  <c r="AI965" i="1"/>
  <c r="AH965" i="1"/>
  <c r="AH966" i="1"/>
  <c r="AH968" i="1"/>
  <c r="AE963" i="1"/>
  <c r="AH964" i="1"/>
  <c r="AH962" i="1"/>
  <c r="Y964" i="1"/>
  <c r="AA964" i="1" s="1"/>
  <c r="AK963" i="1"/>
  <c r="Y962" i="1"/>
  <c r="AA962" i="1" s="1"/>
  <c r="AE964" i="1"/>
  <c r="AI963" i="1"/>
  <c r="AE962" i="1"/>
  <c r="AK961" i="1"/>
  <c r="AH961" i="1"/>
  <c r="Y522" i="1"/>
  <c r="AA522" i="1" s="1"/>
  <c r="AH419" i="1"/>
  <c r="AH461" i="1"/>
  <c r="AE772" i="1"/>
  <c r="AH433" i="1"/>
  <c r="AK744" i="1"/>
  <c r="AH786" i="1"/>
  <c r="AH810" i="1"/>
  <c r="AH722" i="1"/>
  <c r="AH799" i="1"/>
  <c r="AH134" i="1"/>
  <c r="AH812" i="1"/>
  <c r="AH787" i="1"/>
  <c r="AH239" i="1"/>
  <c r="AH253" i="1"/>
  <c r="AH803" i="1"/>
  <c r="AH775" i="1"/>
  <c r="AH777" i="1"/>
  <c r="AK812" i="1"/>
  <c r="AH776" i="1"/>
  <c r="AH795" i="1"/>
  <c r="AH798" i="1"/>
  <c r="AH782" i="1"/>
  <c r="AK805" i="1"/>
  <c r="AH789" i="1"/>
  <c r="AH800" i="1"/>
  <c r="AH802" i="1"/>
  <c r="AH811" i="1"/>
  <c r="AH807" i="1"/>
  <c r="AH809" i="1"/>
  <c r="AH771" i="1"/>
  <c r="AK798" i="1"/>
  <c r="AK792" i="1"/>
  <c r="AE813" i="1"/>
  <c r="AK773" i="1"/>
  <c r="AK791" i="1"/>
  <c r="AE771" i="1"/>
  <c r="AH788" i="1"/>
  <c r="AH774" i="1"/>
  <c r="AH770" i="1"/>
  <c r="AE788" i="1"/>
  <c r="AH779" i="1"/>
  <c r="AH814" i="1"/>
  <c r="AH769" i="1"/>
  <c r="AH772" i="1"/>
  <c r="AH791" i="1"/>
  <c r="AH797" i="1"/>
  <c r="AH806" i="1"/>
  <c r="AH790" i="1"/>
  <c r="AH815" i="1"/>
  <c r="AH804" i="1"/>
  <c r="AE796" i="1"/>
  <c r="AH793" i="1"/>
  <c r="AH796" i="1"/>
  <c r="AH783" i="1"/>
  <c r="AE792" i="1"/>
  <c r="AH805" i="1"/>
  <c r="AI791" i="1"/>
  <c r="AE783" i="1"/>
  <c r="AE809" i="1"/>
  <c r="AK778" i="1"/>
  <c r="AE779" i="1"/>
  <c r="AK781" i="1"/>
  <c r="AE795" i="1"/>
  <c r="AK787" i="1"/>
  <c r="AE775" i="1"/>
  <c r="AE778" i="1"/>
  <c r="AK780" i="1"/>
  <c r="AK776" i="1"/>
  <c r="AK802" i="1"/>
  <c r="AE811" i="1"/>
  <c r="AE785" i="1"/>
  <c r="AE774" i="1"/>
  <c r="AK777" i="1"/>
  <c r="AI786" i="1"/>
  <c r="AE810" i="1"/>
  <c r="AK775" i="1"/>
  <c r="AK784" i="1"/>
  <c r="AK785" i="1"/>
  <c r="AK796" i="1"/>
  <c r="AK810" i="1"/>
  <c r="AK770" i="1"/>
  <c r="AK806" i="1"/>
  <c r="AE780" i="1"/>
  <c r="AE776" i="1"/>
  <c r="AE790" i="1"/>
  <c r="AK799" i="1"/>
  <c r="AE804" i="1"/>
  <c r="AE797" i="1"/>
  <c r="AE807" i="1"/>
  <c r="AK813" i="1"/>
  <c r="AE770" i="1"/>
  <c r="AE789" i="1"/>
  <c r="AE808" i="1"/>
  <c r="AK771" i="1"/>
  <c r="AK790" i="1"/>
  <c r="AE798" i="1"/>
  <c r="AE803" i="1"/>
  <c r="AI784" i="1"/>
  <c r="AK801" i="1"/>
  <c r="AK804" i="1"/>
  <c r="AE812" i="1"/>
  <c r="AK815" i="1"/>
  <c r="AE784" i="1"/>
  <c r="AE794" i="1"/>
  <c r="AE799" i="1"/>
  <c r="AI770" i="1"/>
  <c r="AI779" i="1"/>
  <c r="AI813" i="1"/>
  <c r="AK789" i="1"/>
  <c r="AK809" i="1"/>
  <c r="AE769" i="1"/>
  <c r="AE777" i="1"/>
  <c r="AE782" i="1"/>
  <c r="AE787" i="1"/>
  <c r="AK803" i="1"/>
  <c r="AK783" i="1"/>
  <c r="AE806" i="1"/>
  <c r="AE791" i="1"/>
  <c r="AK794" i="1"/>
  <c r="AK782" i="1"/>
  <c r="AK788" i="1"/>
  <c r="AE805" i="1"/>
  <c r="AK808" i="1"/>
  <c r="AK811" i="1"/>
  <c r="AE801" i="1"/>
  <c r="AE815" i="1"/>
  <c r="AK797" i="1"/>
  <c r="AK774" i="1"/>
  <c r="AE773" i="1"/>
  <c r="AI772" i="1"/>
  <c r="AK769" i="1"/>
  <c r="AK779" i="1"/>
  <c r="AE802" i="1"/>
  <c r="AH808" i="1"/>
  <c r="AH792" i="1"/>
  <c r="AK800" i="1"/>
  <c r="AK772" i="1"/>
  <c r="AH785" i="1"/>
  <c r="AK814" i="1"/>
  <c r="AK807" i="1"/>
  <c r="AK793" i="1"/>
  <c r="AE800" i="1"/>
  <c r="AH801" i="1"/>
  <c r="AH778" i="1"/>
  <c r="AE814" i="1"/>
  <c r="AK786" i="1"/>
  <c r="AE793" i="1"/>
  <c r="AH794" i="1"/>
  <c r="AE781" i="1"/>
  <c r="AI774" i="1"/>
  <c r="AI788" i="1"/>
  <c r="AI795" i="1"/>
  <c r="AI802" i="1"/>
  <c r="AI809" i="1"/>
  <c r="Y756" i="1"/>
  <c r="Z756" i="1" s="1"/>
  <c r="AH756" i="1"/>
  <c r="AE759" i="1"/>
  <c r="AH743" i="1"/>
  <c r="Y763" i="1"/>
  <c r="Z763" i="1" s="1"/>
  <c r="AH727" i="1"/>
  <c r="Y749" i="1"/>
  <c r="Z749" i="1" s="1"/>
  <c r="AH725" i="1"/>
  <c r="AH726" i="1"/>
  <c r="AH738" i="1"/>
  <c r="AK768" i="1"/>
  <c r="AH729" i="1"/>
  <c r="Y746" i="1"/>
  <c r="AA746" i="1" s="1"/>
  <c r="Y752" i="1"/>
  <c r="AA752" i="1" s="1"/>
  <c r="Y924" i="1"/>
  <c r="AA924" i="1" s="1"/>
  <c r="AH925" i="1"/>
  <c r="Y934" i="1"/>
  <c r="AA934" i="1" s="1"/>
  <c r="Y943" i="1"/>
  <c r="AA943" i="1" s="1"/>
  <c r="AH946" i="1"/>
  <c r="AH953" i="1"/>
  <c r="AH959" i="1"/>
  <c r="AH757" i="1"/>
  <c r="AK757" i="1"/>
  <c r="AK726" i="1"/>
  <c r="Y755" i="1"/>
  <c r="AA755" i="1" s="1"/>
  <c r="Y748" i="1"/>
  <c r="AA748" i="1" s="1"/>
  <c r="AE756" i="1"/>
  <c r="AH758" i="1"/>
  <c r="AH749" i="1"/>
  <c r="AK756" i="1"/>
  <c r="Y726" i="1"/>
  <c r="AA726" i="1" s="1"/>
  <c r="AK753" i="1"/>
  <c r="AH728" i="1"/>
  <c r="Y765" i="1"/>
  <c r="AA765" i="1" s="1"/>
  <c r="AK764" i="1"/>
  <c r="AK760" i="1"/>
  <c r="AK767" i="1"/>
  <c r="AK763" i="1"/>
  <c r="Y762" i="1"/>
  <c r="Z762" i="1" s="1"/>
  <c r="Y761" i="1"/>
  <c r="Z761" i="1" s="1"/>
  <c r="AK754" i="1"/>
  <c r="Y760" i="1"/>
  <c r="Z760" i="1" s="1"/>
  <c r="AD854" i="1" a="1"/>
  <c r="AD854" i="1" s="1"/>
  <c r="AE854" i="1" s="1"/>
  <c r="AC869" i="1"/>
  <c r="AI869" i="1" s="1"/>
  <c r="Y766" i="1"/>
  <c r="Z766" i="1" s="1"/>
  <c r="AK759" i="1"/>
  <c r="Y767" i="1"/>
  <c r="AH960" i="1"/>
  <c r="Y751" i="1"/>
  <c r="AA751" i="1" s="1"/>
  <c r="Y758" i="1"/>
  <c r="AA758" i="1" s="1"/>
  <c r="Y764" i="1"/>
  <c r="Z764" i="1" s="1"/>
  <c r="AK766" i="1"/>
  <c r="AK752" i="1"/>
  <c r="AK765" i="1"/>
  <c r="Y744" i="1"/>
  <c r="AA744" i="1" s="1"/>
  <c r="AK746" i="1"/>
  <c r="AH750" i="1"/>
  <c r="AK762" i="1"/>
  <c r="AK761" i="1"/>
  <c r="AH730" i="1"/>
  <c r="AE951" i="1"/>
  <c r="AH723" i="1"/>
  <c r="AE749" i="1"/>
  <c r="AK724" i="1"/>
  <c r="AE744" i="1"/>
  <c r="Y960" i="1"/>
  <c r="AA960" i="1" s="1"/>
  <c r="AK758" i="1"/>
  <c r="AC820" i="1"/>
  <c r="AI820" i="1" s="1"/>
  <c r="AH724" i="1"/>
  <c r="AE742" i="1"/>
  <c r="AH746" i="1"/>
  <c r="AK727" i="1"/>
  <c r="AK755" i="1"/>
  <c r="AK721" i="1"/>
  <c r="AH751" i="1"/>
  <c r="Y740" i="1"/>
  <c r="AA740" i="1" s="1"/>
  <c r="AH761" i="1"/>
  <c r="AH768" i="1"/>
  <c r="AE768" i="1"/>
  <c r="AE761" i="1"/>
  <c r="AH759" i="1"/>
  <c r="AE760" i="1"/>
  <c r="AE758" i="1"/>
  <c r="AI758" i="1"/>
  <c r="AH760" i="1"/>
  <c r="Y759" i="1"/>
  <c r="AI760" i="1"/>
  <c r="AH754" i="1"/>
  <c r="AK745" i="1"/>
  <c r="AH755" i="1"/>
  <c r="AH752" i="1"/>
  <c r="AK750" i="1"/>
  <c r="AH748" i="1"/>
  <c r="AH745" i="1"/>
  <c r="AH744" i="1"/>
  <c r="AK742" i="1"/>
  <c r="AH742" i="1"/>
  <c r="AH741" i="1"/>
  <c r="Y757" i="1"/>
  <c r="AA757" i="1" s="1"/>
  <c r="Y754" i="1"/>
  <c r="Z754" i="1" s="1"/>
  <c r="AE752" i="1"/>
  <c r="Y750" i="1"/>
  <c r="AA750" i="1" s="1"/>
  <c r="AK748" i="1"/>
  <c r="Y745" i="1"/>
  <c r="AE745" i="1"/>
  <c r="AI744" i="1"/>
  <c r="Y743" i="1"/>
  <c r="AA743" i="1" s="1"/>
  <c r="Y742" i="1"/>
  <c r="AA742" i="1" s="1"/>
  <c r="AK741" i="1"/>
  <c r="Y741" i="1"/>
  <c r="AA741" i="1" s="1"/>
  <c r="AE755" i="1"/>
  <c r="AE751" i="1"/>
  <c r="AH753" i="1"/>
  <c r="AE754" i="1"/>
  <c r="Y753" i="1"/>
  <c r="AE753" i="1"/>
  <c r="AE750" i="1"/>
  <c r="AE757" i="1"/>
  <c r="AK749" i="1"/>
  <c r="AE748" i="1"/>
  <c r="Y747" i="1"/>
  <c r="Z747" i="1" s="1"/>
  <c r="AK740" i="1"/>
  <c r="AE743" i="1"/>
  <c r="AE741" i="1"/>
  <c r="AE746" i="1"/>
  <c r="AI746" i="1"/>
  <c r="AI742" i="1"/>
  <c r="AK730" i="1"/>
  <c r="AK737" i="1"/>
  <c r="AK725" i="1"/>
  <c r="AK944" i="1"/>
  <c r="Y955" i="1"/>
  <c r="Z955" i="1" s="1"/>
  <c r="Y721" i="1"/>
  <c r="AH721" i="1"/>
  <c r="AD875" i="1" a="1"/>
  <c r="AD875" i="1" s="1"/>
  <c r="AE875" i="1" s="1"/>
  <c r="AH740" i="1"/>
  <c r="Y884" i="1"/>
  <c r="AA884" i="1" s="1"/>
  <c r="Y918" i="1"/>
  <c r="AA918" i="1" s="1"/>
  <c r="Y930" i="1"/>
  <c r="AA930" i="1" s="1"/>
  <c r="AK729" i="1"/>
  <c r="AH735" i="1"/>
  <c r="R873" i="1"/>
  <c r="AE947" i="1"/>
  <c r="AH951" i="1"/>
  <c r="Z727" i="1"/>
  <c r="AK722" i="1"/>
  <c r="AA722" i="1"/>
  <c r="Z722" i="1"/>
  <c r="Z725" i="1"/>
  <c r="AA725" i="1"/>
  <c r="AA728" i="1"/>
  <c r="Z728" i="1"/>
  <c r="AA723" i="1"/>
  <c r="Z723" i="1"/>
  <c r="Y945" i="1"/>
  <c r="AA945" i="1" s="1"/>
  <c r="Y956" i="1"/>
  <c r="AA956" i="1" s="1"/>
  <c r="AI724" i="1"/>
  <c r="AK728" i="1"/>
  <c r="AK928" i="1"/>
  <c r="AH950" i="1"/>
  <c r="Y952" i="1"/>
  <c r="Z952" i="1" s="1"/>
  <c r="AI725" i="1"/>
  <c r="AD850" i="1" a="1"/>
  <c r="AD850" i="1" s="1"/>
  <c r="AE850" i="1" s="1"/>
  <c r="Y959" i="1"/>
  <c r="AA959" i="1" s="1"/>
  <c r="AE740" i="1"/>
  <c r="Y925" i="1"/>
  <c r="AA925" i="1" s="1"/>
  <c r="Z729" i="1"/>
  <c r="AH952" i="1"/>
  <c r="Z730" i="1"/>
  <c r="AD869" i="1" a="1"/>
  <c r="AD869" i="1" s="1"/>
  <c r="AH935" i="1"/>
  <c r="AK723" i="1"/>
  <c r="AH920" i="1"/>
  <c r="AK922" i="1"/>
  <c r="AE934" i="1"/>
  <c r="Z724" i="1"/>
  <c r="AK734" i="1"/>
  <c r="AI740" i="1"/>
  <c r="AD822" i="1" a="1"/>
  <c r="AD822" i="1" s="1"/>
  <c r="AE822" i="1" s="1"/>
  <c r="AC865" i="1"/>
  <c r="AE865" i="1" s="1"/>
  <c r="AD938" i="1" a="1"/>
  <c r="AD938" i="1" s="1"/>
  <c r="AE938" i="1" s="1"/>
  <c r="Y946" i="1"/>
  <c r="Z946" i="1" s="1"/>
  <c r="AC957" i="1"/>
  <c r="AI957" i="1" s="1"/>
  <c r="AK736" i="1"/>
  <c r="AE919" i="1"/>
  <c r="AH934" i="1"/>
  <c r="AE954" i="1"/>
  <c r="AK747" i="1"/>
  <c r="AH747" i="1"/>
  <c r="AE747" i="1"/>
  <c r="AH739" i="1"/>
  <c r="AK739" i="1"/>
  <c r="AK738" i="1"/>
  <c r="AH733" i="1"/>
  <c r="AH731" i="1"/>
  <c r="Z738" i="1"/>
  <c r="Z739" i="1"/>
  <c r="AH737" i="1"/>
  <c r="Y737" i="1"/>
  <c r="AH736" i="1"/>
  <c r="AH734" i="1"/>
  <c r="AK731" i="1"/>
  <c r="Y736" i="1"/>
  <c r="AA736" i="1" s="1"/>
  <c r="AK735" i="1"/>
  <c r="Y734" i="1"/>
  <c r="AA734" i="1" s="1"/>
  <c r="Y731" i="1"/>
  <c r="AA731" i="1" s="1"/>
  <c r="Z733" i="1"/>
  <c r="AA733" i="1"/>
  <c r="Z732" i="1"/>
  <c r="AA732" i="1"/>
  <c r="AH732" i="1"/>
  <c r="Z735" i="1"/>
  <c r="AK732" i="1"/>
  <c r="AK733" i="1"/>
  <c r="AC858" i="1"/>
  <c r="AI858" i="1" s="1"/>
  <c r="AK931" i="1"/>
  <c r="Y935" i="1"/>
  <c r="Z935" i="1" s="1"/>
  <c r="AH943" i="1"/>
  <c r="Y949" i="1"/>
  <c r="AA949" i="1" s="1"/>
  <c r="AD824" i="1" a="1"/>
  <c r="AD824" i="1" s="1"/>
  <c r="AE824" i="1" s="1"/>
  <c r="AH96" i="1"/>
  <c r="Y917" i="1"/>
  <c r="Z917" i="1" s="1"/>
  <c r="AE941" i="1"/>
  <c r="Y944" i="1"/>
  <c r="AA944" i="1" s="1"/>
  <c r="AE945" i="1"/>
  <c r="Y951" i="1"/>
  <c r="Z951" i="1" s="1"/>
  <c r="AK937" i="1"/>
  <c r="AD866" i="1" a="1"/>
  <c r="AD866" i="1" s="1"/>
  <c r="AE866" i="1" s="1"/>
  <c r="AH904" i="1"/>
  <c r="Y906" i="1"/>
  <c r="Z906" i="1" s="1"/>
  <c r="AE956" i="1"/>
  <c r="AH893" i="1"/>
  <c r="Y932" i="1"/>
  <c r="AA932" i="1" s="1"/>
  <c r="AK950" i="1"/>
  <c r="Y954" i="1"/>
  <c r="Z954" i="1" s="1"/>
  <c r="AI934" i="1"/>
  <c r="AK942" i="1"/>
  <c r="Y958" i="1"/>
  <c r="AA958" i="1" s="1"/>
  <c r="AK960" i="1"/>
  <c r="AE960" i="1"/>
  <c r="AH958" i="1"/>
  <c r="AK958" i="1"/>
  <c r="AC959" i="1"/>
  <c r="AK959" i="1" s="1"/>
  <c r="AE958" i="1"/>
  <c r="AH957" i="1"/>
  <c r="AH956" i="1"/>
  <c r="AA957" i="1"/>
  <c r="AK956" i="1"/>
  <c r="AH955" i="1"/>
  <c r="AK953" i="1"/>
  <c r="Y953" i="1"/>
  <c r="AA953" i="1" s="1"/>
  <c r="Y947" i="1"/>
  <c r="Z947" i="1" s="1"/>
  <c r="AH944" i="1"/>
  <c r="AH942" i="1"/>
  <c r="AK941" i="1"/>
  <c r="Y950" i="1"/>
  <c r="Z950" i="1" s="1"/>
  <c r="AE950" i="1"/>
  <c r="AE948" i="1"/>
  <c r="AK948" i="1"/>
  <c r="Y948" i="1"/>
  <c r="Z948" i="1" s="1"/>
  <c r="AI947" i="1"/>
  <c r="Y942" i="1"/>
  <c r="AA942" i="1" s="1"/>
  <c r="Y941" i="1"/>
  <c r="Z941" i="1" s="1"/>
  <c r="AE953" i="1"/>
  <c r="AH954" i="1"/>
  <c r="AK954" i="1"/>
  <c r="AE955" i="1"/>
  <c r="AK955" i="1"/>
  <c r="AE952" i="1"/>
  <c r="AK951" i="1"/>
  <c r="AK952" i="1"/>
  <c r="AH947" i="1"/>
  <c r="AH949" i="1"/>
  <c r="AH948" i="1"/>
  <c r="AE949" i="1"/>
  <c r="AK947" i="1"/>
  <c r="AK949" i="1"/>
  <c r="AE944" i="1"/>
  <c r="AH945" i="1"/>
  <c r="AE946" i="1"/>
  <c r="AK945" i="1"/>
  <c r="AK946" i="1"/>
  <c r="AH941" i="1"/>
  <c r="AK943" i="1"/>
  <c r="AE942" i="1"/>
  <c r="AE943" i="1"/>
  <c r="Y937" i="1"/>
  <c r="Z937" i="1" s="1"/>
  <c r="AA938" i="1"/>
  <c r="Y857" i="1"/>
  <c r="AA857" i="1" s="1"/>
  <c r="R865" i="1"/>
  <c r="P869" i="1"/>
  <c r="Y869" i="1" s="1"/>
  <c r="R881" i="1"/>
  <c r="Y911" i="1"/>
  <c r="AA911" i="1" s="1"/>
  <c r="Y933" i="1"/>
  <c r="AA933" i="1" s="1"/>
  <c r="S865" i="1"/>
  <c r="R869" i="1"/>
  <c r="Y939" i="1"/>
  <c r="Z939" i="1" s="1"/>
  <c r="AH114" i="1"/>
  <c r="AC838" i="1"/>
  <c r="AH877" i="1"/>
  <c r="AC881" i="1"/>
  <c r="AE881" i="1" s="1"/>
  <c r="Y888" i="1"/>
  <c r="AA888" i="1" s="1"/>
  <c r="Y920" i="1"/>
  <c r="AA920" i="1" s="1"/>
  <c r="AE926" i="1"/>
  <c r="AH853" i="1"/>
  <c r="AD878" i="1" a="1"/>
  <c r="AD878" i="1" s="1"/>
  <c r="AE878" i="1" s="1"/>
  <c r="Y923" i="1"/>
  <c r="Z923" i="1" s="1"/>
  <c r="Y936" i="1"/>
  <c r="AA936" i="1" s="1"/>
  <c r="Y887" i="1"/>
  <c r="AA887" i="1" s="1"/>
  <c r="AE888" i="1"/>
  <c r="AH900" i="1"/>
  <c r="AH907" i="1"/>
  <c r="AE920" i="1"/>
  <c r="Y927" i="1"/>
  <c r="AA927" i="1" s="1"/>
  <c r="AE937" i="1"/>
  <c r="AD879" i="1" a="1"/>
  <c r="AD879" i="1" s="1"/>
  <c r="AE879" i="1" s="1"/>
  <c r="AH903" i="1"/>
  <c r="AE890" i="1"/>
  <c r="AE923" i="1"/>
  <c r="Y926" i="1"/>
  <c r="Z926" i="1" s="1"/>
  <c r="AI937" i="1"/>
  <c r="AH882" i="1"/>
  <c r="Y886" i="1"/>
  <c r="AA886" i="1" s="1"/>
  <c r="Y921" i="1"/>
  <c r="Z921" i="1" s="1"/>
  <c r="AH936" i="1"/>
  <c r="P865" i="1"/>
  <c r="Y865" i="1" s="1"/>
  <c r="AA865" i="1" s="1"/>
  <c r="P881" i="1"/>
  <c r="Y881" i="1" s="1"/>
  <c r="Z881" i="1" s="1"/>
  <c r="Y929" i="1"/>
  <c r="AA929" i="1" s="1"/>
  <c r="Y940" i="1"/>
  <c r="AA940" i="1" s="1"/>
  <c r="AH939" i="1"/>
  <c r="AK940" i="1"/>
  <c r="AE939" i="1"/>
  <c r="AH937" i="1"/>
  <c r="AH940" i="1"/>
  <c r="AE940" i="1"/>
  <c r="AK939" i="1"/>
  <c r="AI940" i="1"/>
  <c r="AE936" i="1"/>
  <c r="AE935" i="1"/>
  <c r="AK934" i="1"/>
  <c r="AK935" i="1"/>
  <c r="AK936" i="1"/>
  <c r="AH932" i="1"/>
  <c r="AE932" i="1"/>
  <c r="Y931" i="1"/>
  <c r="Z931" i="1" s="1"/>
  <c r="AE931" i="1"/>
  <c r="AH930" i="1"/>
  <c r="AE929" i="1"/>
  <c r="Y928" i="1"/>
  <c r="Z928" i="1" s="1"/>
  <c r="AH931" i="1"/>
  <c r="AH933" i="1"/>
  <c r="AE933" i="1"/>
  <c r="AK932" i="1"/>
  <c r="AK933" i="1"/>
  <c r="AH928" i="1"/>
  <c r="AE928" i="1"/>
  <c r="AH929" i="1"/>
  <c r="AE930" i="1"/>
  <c r="AK929" i="1"/>
  <c r="AK930" i="1"/>
  <c r="AH927" i="1"/>
  <c r="AK925" i="1"/>
  <c r="AK927" i="1"/>
  <c r="AK926" i="1"/>
  <c r="AE925" i="1"/>
  <c r="AH926" i="1"/>
  <c r="AE927" i="1"/>
  <c r="AI927" i="1"/>
  <c r="AH924" i="1"/>
  <c r="AH922" i="1"/>
  <c r="Y922" i="1"/>
  <c r="AA922" i="1" s="1"/>
  <c r="AE922" i="1"/>
  <c r="AH923" i="1"/>
  <c r="AE924" i="1"/>
  <c r="AK923" i="1"/>
  <c r="AK924" i="1"/>
  <c r="AH919" i="1"/>
  <c r="AK919" i="1"/>
  <c r="AK921" i="1"/>
  <c r="AI919" i="1"/>
  <c r="Y919" i="1"/>
  <c r="AA919" i="1" s="1"/>
  <c r="AH921" i="1"/>
  <c r="AE921" i="1"/>
  <c r="AK920" i="1"/>
  <c r="AI921" i="1"/>
  <c r="AH918" i="1"/>
  <c r="AK918" i="1"/>
  <c r="AE917" i="1"/>
  <c r="AE918" i="1"/>
  <c r="AC871" i="1"/>
  <c r="AI871" i="1" s="1"/>
  <c r="Y903" i="1"/>
  <c r="Z903" i="1" s="1"/>
  <c r="AH912" i="1"/>
  <c r="AD851" i="1" a="1"/>
  <c r="AD851" i="1" s="1"/>
  <c r="AE851" i="1" s="1"/>
  <c r="Y893" i="1"/>
  <c r="AA893" i="1" s="1"/>
  <c r="Y899" i="1"/>
  <c r="Z899" i="1" s="1"/>
  <c r="AH857" i="1"/>
  <c r="S881" i="1"/>
  <c r="AC855" i="1"/>
  <c r="AI855" i="1" s="1"/>
  <c r="Y892" i="1"/>
  <c r="Z892" i="1" s="1"/>
  <c r="AC839" i="1"/>
  <c r="AI839" i="1" s="1"/>
  <c r="AH869" i="1"/>
  <c r="AH873" i="1"/>
  <c r="AK898" i="1"/>
  <c r="AH906" i="1"/>
  <c r="AK917" i="1"/>
  <c r="Y908" i="1"/>
  <c r="AA908" i="1" s="1"/>
  <c r="AC843" i="1"/>
  <c r="AI843" i="1" s="1"/>
  <c r="AC867" i="1"/>
  <c r="AI867" i="1" s="1"/>
  <c r="AH881" i="1"/>
  <c r="Y915" i="1"/>
  <c r="AA915" i="1" s="1"/>
  <c r="AC870" i="1"/>
  <c r="AI870" i="1" s="1"/>
  <c r="AH889" i="1"/>
  <c r="AK907" i="1"/>
  <c r="AH916" i="1"/>
  <c r="AH825" i="1"/>
  <c r="AE857" i="1"/>
  <c r="AH888" i="1"/>
  <c r="Y900" i="1"/>
  <c r="Z900" i="1" s="1"/>
  <c r="AE905" i="1"/>
  <c r="Y912" i="1"/>
  <c r="Z912" i="1" s="1"/>
  <c r="AK909" i="1"/>
  <c r="P861" i="1"/>
  <c r="Y861" i="1" s="1"/>
  <c r="AA861" i="1" s="1"/>
  <c r="P873" i="1"/>
  <c r="Y873" i="1" s="1"/>
  <c r="AA873" i="1" s="1"/>
  <c r="S861" i="1"/>
  <c r="AH913" i="1"/>
  <c r="AH917" i="1"/>
  <c r="AD827" i="1" a="1"/>
  <c r="AD827" i="1" s="1"/>
  <c r="AE827" i="1" s="1"/>
  <c r="AD861" i="1" a="1"/>
  <c r="AD861" i="1" s="1"/>
  <c r="AE861" i="1" s="1"/>
  <c r="S873" i="1"/>
  <c r="AI905" i="1"/>
  <c r="AD873" i="1" a="1"/>
  <c r="AD873" i="1" s="1"/>
  <c r="AE873" i="1" s="1"/>
  <c r="Y883" i="1"/>
  <c r="AA883" i="1" s="1"/>
  <c r="AC818" i="1"/>
  <c r="AI818" i="1" s="1"/>
  <c r="P877" i="1"/>
  <c r="Y877" i="1" s="1"/>
  <c r="AA877" i="1" s="1"/>
  <c r="Y914" i="1"/>
  <c r="AA914" i="1" s="1"/>
  <c r="R877" i="1"/>
  <c r="AC862" i="1"/>
  <c r="AI862" i="1" s="1"/>
  <c r="S877" i="1"/>
  <c r="AH883" i="1"/>
  <c r="AE907" i="1"/>
  <c r="AC859" i="1"/>
  <c r="AI859" i="1" s="1"/>
  <c r="Y825" i="1"/>
  <c r="AA825" i="1" s="1"/>
  <c r="AH865" i="1"/>
  <c r="AC874" i="1"/>
  <c r="AI874" i="1" s="1"/>
  <c r="AC877" i="1"/>
  <c r="AE877" i="1" s="1"/>
  <c r="Y885" i="1"/>
  <c r="AA885" i="1" s="1"/>
  <c r="Y909" i="1"/>
  <c r="AA909" i="1" s="1"/>
  <c r="AD863" i="1" a="1"/>
  <c r="AD863" i="1" s="1"/>
  <c r="AE863" i="1" s="1"/>
  <c r="Y882" i="1"/>
  <c r="AA882" i="1" s="1"/>
  <c r="Y891" i="1"/>
  <c r="Z891" i="1" s="1"/>
  <c r="Y894" i="1"/>
  <c r="Z894" i="1" s="1"/>
  <c r="Y905" i="1"/>
  <c r="AA905" i="1" s="1"/>
  <c r="Y916" i="1"/>
  <c r="Z916" i="1" s="1"/>
  <c r="AE916" i="1"/>
  <c r="AK916" i="1"/>
  <c r="AH915" i="1"/>
  <c r="AK913" i="1"/>
  <c r="Y913" i="1"/>
  <c r="AA913" i="1" s="1"/>
  <c r="AH910" i="1"/>
  <c r="AH909" i="1"/>
  <c r="AH905" i="1"/>
  <c r="AK904" i="1"/>
  <c r="Y902" i="1"/>
  <c r="AA902" i="1" s="1"/>
  <c r="AH898" i="1"/>
  <c r="Y898" i="1"/>
  <c r="AA898" i="1" s="1"/>
  <c r="AK901" i="1"/>
  <c r="AE902" i="1"/>
  <c r="AK905" i="1"/>
  <c r="Y907" i="1"/>
  <c r="AA907" i="1" s="1"/>
  <c r="Y901" i="1"/>
  <c r="Z901" i="1" s="1"/>
  <c r="AK910" i="1"/>
  <c r="Y904" i="1"/>
  <c r="AA904" i="1" s="1"/>
  <c r="AI898" i="1"/>
  <c r="AK906" i="1"/>
  <c r="AE914" i="1"/>
  <c r="AK902" i="1"/>
  <c r="AE911" i="1"/>
  <c r="Y910" i="1"/>
  <c r="Z910" i="1" s="1"/>
  <c r="AE908" i="1"/>
  <c r="AK903" i="1"/>
  <c r="AE901" i="1"/>
  <c r="AE899" i="1"/>
  <c r="AE913" i="1"/>
  <c r="AH914" i="1"/>
  <c r="AK914" i="1"/>
  <c r="AE915" i="1"/>
  <c r="AK915" i="1"/>
  <c r="AE910" i="1"/>
  <c r="AH911" i="1"/>
  <c r="AE912" i="1"/>
  <c r="AK911" i="1"/>
  <c r="AK912" i="1"/>
  <c r="AH908" i="1"/>
  <c r="AE909" i="1"/>
  <c r="AK908" i="1"/>
  <c r="AI909" i="1"/>
  <c r="AE904" i="1"/>
  <c r="AE906" i="1"/>
  <c r="AI906" i="1"/>
  <c r="AH901" i="1"/>
  <c r="AH902" i="1"/>
  <c r="AE903" i="1"/>
  <c r="AI903" i="1"/>
  <c r="AE898" i="1"/>
  <c r="AH899" i="1"/>
  <c r="AE900" i="1"/>
  <c r="AK899" i="1"/>
  <c r="AK900" i="1"/>
  <c r="AK883" i="1"/>
  <c r="AK890" i="1"/>
  <c r="AH884" i="1"/>
  <c r="AH894" i="1"/>
  <c r="AH891" i="1"/>
  <c r="AK889" i="1"/>
  <c r="AH887" i="1"/>
  <c r="AK887" i="1"/>
  <c r="AH886" i="1"/>
  <c r="AH885" i="1"/>
  <c r="AE892" i="1"/>
  <c r="Y889" i="1"/>
  <c r="AE886" i="1"/>
  <c r="AK885" i="1"/>
  <c r="AE884" i="1"/>
  <c r="AE894" i="1"/>
  <c r="AK894" i="1"/>
  <c r="AH892" i="1"/>
  <c r="AE893" i="1"/>
  <c r="AK892" i="1"/>
  <c r="AK893" i="1"/>
  <c r="AH890" i="1"/>
  <c r="AE891" i="1"/>
  <c r="Y890" i="1"/>
  <c r="AK891" i="1"/>
  <c r="AE889" i="1"/>
  <c r="AK888" i="1"/>
  <c r="AK886" i="1"/>
  <c r="AE887" i="1"/>
  <c r="AI887" i="1"/>
  <c r="AE885" i="1"/>
  <c r="AK884" i="1"/>
  <c r="AI885" i="1"/>
  <c r="AK882" i="1"/>
  <c r="AE883" i="1"/>
  <c r="AE882" i="1"/>
  <c r="AD835" i="1" a="1"/>
  <c r="AD835" i="1" s="1"/>
  <c r="AE835" i="1" s="1"/>
  <c r="AC842" i="1"/>
  <c r="AI842" i="1" s="1"/>
  <c r="AC844" i="1"/>
  <c r="AI844" i="1" s="1"/>
  <c r="AK821" i="1"/>
  <c r="AD826" i="1" a="1"/>
  <c r="AD826" i="1" s="1"/>
  <c r="Y853" i="1"/>
  <c r="AA853" i="1" s="1"/>
  <c r="AC836" i="1"/>
  <c r="AI836" i="1" s="1"/>
  <c r="AH821" i="1"/>
  <c r="AK825" i="1"/>
  <c r="AH861" i="1"/>
  <c r="AC840" i="1"/>
  <c r="AI840" i="1" s="1"/>
  <c r="R861" i="1"/>
  <c r="AE853" i="1"/>
  <c r="AI880" i="1"/>
  <c r="AI852" i="1"/>
  <c r="AI872" i="1"/>
  <c r="AI860" i="1"/>
  <c r="AI853" i="1"/>
  <c r="AI861" i="1"/>
  <c r="AI873" i="1"/>
  <c r="AK853" i="1"/>
  <c r="AK857" i="1"/>
  <c r="AI857" i="1"/>
  <c r="AC856" i="1"/>
  <c r="AC864" i="1"/>
  <c r="AC868" i="1"/>
  <c r="AC876" i="1"/>
  <c r="AD852" i="1" a="1"/>
  <c r="AD852" i="1" s="1"/>
  <c r="AE852" i="1" s="1"/>
  <c r="AD860" i="1" a="1"/>
  <c r="AD860" i="1" s="1"/>
  <c r="AE860" i="1" s="1"/>
  <c r="AD872" i="1" a="1"/>
  <c r="AD872" i="1" s="1"/>
  <c r="AE872" i="1" s="1"/>
  <c r="AD880" i="1" a="1"/>
  <c r="AD880" i="1" s="1"/>
  <c r="AE880" i="1" s="1"/>
  <c r="Y821" i="1"/>
  <c r="AA821" i="1" s="1"/>
  <c r="AE821" i="1"/>
  <c r="AI822" i="1"/>
  <c r="AD847" i="1" a="1"/>
  <c r="AD847" i="1" s="1"/>
  <c r="AE847" i="1" s="1"/>
  <c r="AD831" i="1" a="1"/>
  <c r="AD831" i="1" s="1"/>
  <c r="AE831" i="1" s="1"/>
  <c r="AE825" i="1"/>
  <c r="AD828" i="1" a="1"/>
  <c r="AD828" i="1" s="1"/>
  <c r="AD846" i="1" a="1"/>
  <c r="AD846" i="1" s="1"/>
  <c r="AC832" i="1"/>
  <c r="AI832" i="1" s="1"/>
  <c r="AC819" i="1"/>
  <c r="AC823" i="1"/>
  <c r="AD834" i="1" a="1"/>
  <c r="AD834" i="1" s="1"/>
  <c r="AI821" i="1"/>
  <c r="AC848" i="1"/>
  <c r="AI848" i="1" s="1"/>
  <c r="AD830" i="1" a="1"/>
  <c r="AD830" i="1" s="1"/>
  <c r="AE830" i="1" s="1"/>
  <c r="AI834" i="1"/>
  <c r="AI826" i="1"/>
  <c r="AD832" i="1" a="1"/>
  <c r="AD832" i="1" s="1"/>
  <c r="Y707" i="1"/>
  <c r="AA707" i="1" s="1"/>
  <c r="AI828" i="1"/>
  <c r="Y716" i="1"/>
  <c r="Z716" i="1" s="1"/>
  <c r="Y687" i="1"/>
  <c r="AA687" i="1" s="1"/>
  <c r="Y673" i="1"/>
  <c r="AA673" i="1" s="1"/>
  <c r="Y693" i="1"/>
  <c r="AA693" i="1" s="1"/>
  <c r="Y659" i="1"/>
  <c r="AA659" i="1" s="1"/>
  <c r="AE816" i="1"/>
  <c r="Y704" i="1"/>
  <c r="Z704" i="1" s="1"/>
  <c r="AH672" i="1"/>
  <c r="Y692" i="1"/>
  <c r="AA692" i="1" s="1"/>
  <c r="AH605" i="1"/>
  <c r="AH608" i="1"/>
  <c r="AE646" i="1"/>
  <c r="AH698" i="1"/>
  <c r="Y696" i="1"/>
  <c r="Z696" i="1" s="1"/>
  <c r="Y713" i="1"/>
  <c r="AA713" i="1" s="1"/>
  <c r="Y711" i="1"/>
  <c r="AA711" i="1" s="1"/>
  <c r="Y651" i="1"/>
  <c r="Z651" i="1" s="1"/>
  <c r="Y649" i="1"/>
  <c r="Z649" i="1" s="1"/>
  <c r="AH833" i="1"/>
  <c r="Y681" i="1"/>
  <c r="AA681" i="1" s="1"/>
  <c r="Y635" i="1"/>
  <c r="AA635" i="1" s="1"/>
  <c r="Y660" i="1"/>
  <c r="Z660" i="1" s="1"/>
  <c r="Y677" i="1"/>
  <c r="AA677" i="1" s="1"/>
  <c r="AH699" i="1"/>
  <c r="Y703" i="1"/>
  <c r="AA703" i="1" s="1"/>
  <c r="Y628" i="1"/>
  <c r="AA628" i="1" s="1"/>
  <c r="Y837" i="1"/>
  <c r="AA837" i="1" s="1"/>
  <c r="AH703" i="1"/>
  <c r="Y701" i="1"/>
  <c r="AA701" i="1" s="1"/>
  <c r="AH673" i="1"/>
  <c r="Y684" i="1"/>
  <c r="AA684" i="1" s="1"/>
  <c r="AK669" i="1"/>
  <c r="AH659" i="1"/>
  <c r="AH841" i="1"/>
  <c r="AH657" i="1"/>
  <c r="AC670" i="1"/>
  <c r="AI670" i="1" s="1"/>
  <c r="AK680" i="1"/>
  <c r="AE703" i="1"/>
  <c r="Y622" i="1"/>
  <c r="Z622" i="1" s="1"/>
  <c r="Y643" i="1"/>
  <c r="Z643" i="1" s="1"/>
  <c r="Y686" i="1"/>
  <c r="AA686" i="1" s="1"/>
  <c r="AH816" i="1"/>
  <c r="Y845" i="1"/>
  <c r="AA845" i="1" s="1"/>
  <c r="AH667" i="1"/>
  <c r="AH685" i="1"/>
  <c r="AK699" i="1"/>
  <c r="AH629" i="1"/>
  <c r="AH660" i="1"/>
  <c r="AE681" i="1"/>
  <c r="AK683" i="1"/>
  <c r="AD609" i="1" a="1"/>
  <c r="AD609" i="1" s="1"/>
  <c r="AE609" i="1" s="1"/>
  <c r="Y709" i="1"/>
  <c r="Z709" i="1" s="1"/>
  <c r="AE677" i="1"/>
  <c r="AH679" i="1"/>
  <c r="AH845" i="1"/>
  <c r="AH624" i="1"/>
  <c r="AE659" i="1"/>
  <c r="AH665" i="1"/>
  <c r="AK702" i="1"/>
  <c r="Y706" i="1"/>
  <c r="AA706" i="1" s="1"/>
  <c r="Y841" i="1"/>
  <c r="AA841" i="1" s="1"/>
  <c r="AC611" i="1"/>
  <c r="AI611" i="1" s="1"/>
  <c r="AH675" i="1"/>
  <c r="AK849" i="1"/>
  <c r="AK833" i="1"/>
  <c r="AH686" i="1"/>
  <c r="Y700" i="1"/>
  <c r="AA700" i="1" s="1"/>
  <c r="AI816" i="1"/>
  <c r="AD670" i="1" a="1"/>
  <c r="AD670" i="1" s="1"/>
  <c r="AE704" i="1"/>
  <c r="Y657" i="1"/>
  <c r="Z657" i="1" s="1"/>
  <c r="AH658" i="1"/>
  <c r="Y698" i="1"/>
  <c r="AA698" i="1" s="1"/>
  <c r="AK841" i="1"/>
  <c r="AC668" i="1"/>
  <c r="AE668" i="1" s="1"/>
  <c r="AE671" i="1"/>
  <c r="AH676" i="1"/>
  <c r="AH689" i="1"/>
  <c r="AK705" i="1"/>
  <c r="Y695" i="1"/>
  <c r="AA695" i="1" s="1"/>
  <c r="AK653" i="1"/>
  <c r="Y817" i="1"/>
  <c r="Z817" i="1" s="1"/>
  <c r="AE661" i="1"/>
  <c r="Y678" i="1"/>
  <c r="AA678" i="1" s="1"/>
  <c r="AH640" i="1"/>
  <c r="AK817" i="1"/>
  <c r="Y690" i="1"/>
  <c r="AA690" i="1" s="1"/>
  <c r="AE633" i="1"/>
  <c r="AH669" i="1"/>
  <c r="Y675" i="1"/>
  <c r="AA675" i="1" s="1"/>
  <c r="AH700" i="1"/>
  <c r="AK646" i="1"/>
  <c r="AH688" i="1"/>
  <c r="AE845" i="1"/>
  <c r="Y849" i="1"/>
  <c r="AA849" i="1" s="1"/>
  <c r="AE837" i="1"/>
  <c r="AE829" i="1"/>
  <c r="Y829" i="1"/>
  <c r="AA829" i="1" s="1"/>
  <c r="AH837" i="1"/>
  <c r="AE833" i="1"/>
  <c r="AH829" i="1"/>
  <c r="AK829" i="1"/>
  <c r="AH849" i="1"/>
  <c r="AE849" i="1"/>
  <c r="AK845" i="1"/>
  <c r="AE841" i="1"/>
  <c r="AK837" i="1"/>
  <c r="Y833" i="1"/>
  <c r="AH702" i="1"/>
  <c r="AH712" i="1"/>
  <c r="AH716" i="1"/>
  <c r="AH710" i="1"/>
  <c r="AH705" i="1"/>
  <c r="AH704" i="1"/>
  <c r="AH719" i="1"/>
  <c r="AH817" i="1"/>
  <c r="AE817" i="1"/>
  <c r="Y672" i="1"/>
  <c r="AA672" i="1" s="1"/>
  <c r="Y661" i="1"/>
  <c r="AA661" i="1" s="1"/>
  <c r="AK700" i="1"/>
  <c r="AK717" i="1"/>
  <c r="Y816" i="1"/>
  <c r="AA816" i="1" s="1"/>
  <c r="AK816" i="1"/>
  <c r="Y712" i="1"/>
  <c r="AA712" i="1" s="1"/>
  <c r="Y719" i="1"/>
  <c r="AA719" i="1" s="1"/>
  <c r="AK720" i="1"/>
  <c r="AH718" i="1"/>
  <c r="AH714" i="1"/>
  <c r="AH713" i="1"/>
  <c r="AK711" i="1"/>
  <c r="AH711" i="1"/>
  <c r="AH706" i="1"/>
  <c r="Y720" i="1"/>
  <c r="AA720" i="1" s="1"/>
  <c r="AE718" i="1"/>
  <c r="Y717" i="1"/>
  <c r="AA717" i="1" s="1"/>
  <c r="AK714" i="1"/>
  <c r="Y710" i="1"/>
  <c r="AA710" i="1" s="1"/>
  <c r="AE707" i="1"/>
  <c r="AE719" i="1"/>
  <c r="AE712" i="1"/>
  <c r="AE711" i="1"/>
  <c r="AE714" i="1"/>
  <c r="AI718" i="1"/>
  <c r="AH707" i="1"/>
  <c r="AI707" i="1"/>
  <c r="AK710" i="1"/>
  <c r="AK707" i="1"/>
  <c r="AE715" i="1"/>
  <c r="AE709" i="1"/>
  <c r="AE708" i="1"/>
  <c r="AH717" i="1"/>
  <c r="AK713" i="1"/>
  <c r="AH708" i="1"/>
  <c r="AH720" i="1"/>
  <c r="AH709" i="1"/>
  <c r="AI716" i="1"/>
  <c r="AE716" i="1"/>
  <c r="Y714" i="1"/>
  <c r="AI706" i="1"/>
  <c r="AE706" i="1"/>
  <c r="AH715" i="1"/>
  <c r="Y718" i="1"/>
  <c r="AK718" i="1"/>
  <c r="Y708" i="1"/>
  <c r="AK708" i="1"/>
  <c r="AI713" i="1"/>
  <c r="AE713" i="1"/>
  <c r="AI720" i="1"/>
  <c r="AE720" i="1"/>
  <c r="AK706" i="1"/>
  <c r="Y715" i="1"/>
  <c r="AK715" i="1"/>
  <c r="AE710" i="1"/>
  <c r="AK712" i="1"/>
  <c r="AE717" i="1"/>
  <c r="AK719" i="1"/>
  <c r="AK709" i="1"/>
  <c r="AK716" i="1"/>
  <c r="Y705" i="1"/>
  <c r="AA705" i="1" s="1"/>
  <c r="AI703" i="1"/>
  <c r="Y702" i="1"/>
  <c r="AA702" i="1" s="1"/>
  <c r="AE700" i="1"/>
  <c r="AH701" i="1"/>
  <c r="AE701" i="1"/>
  <c r="AK703" i="1"/>
  <c r="AE705" i="1"/>
  <c r="AE702" i="1"/>
  <c r="AK704" i="1"/>
  <c r="AK701" i="1"/>
  <c r="AI700" i="1"/>
  <c r="AE682" i="1"/>
  <c r="AK658" i="1"/>
  <c r="AH644" i="1"/>
  <c r="AE660" i="1"/>
  <c r="AC666" i="1"/>
  <c r="AI666" i="1" s="1"/>
  <c r="AE684" i="1"/>
  <c r="AC664" i="1"/>
  <c r="AI664" i="1" s="1"/>
  <c r="AK674" i="1"/>
  <c r="AE696" i="1"/>
  <c r="Y699" i="1"/>
  <c r="AA699" i="1" s="1"/>
  <c r="AC662" i="1"/>
  <c r="AI662" i="1" s="1"/>
  <c r="AK673" i="1"/>
  <c r="AK690" i="1"/>
  <c r="AK696" i="1"/>
  <c r="AK660" i="1"/>
  <c r="AK693" i="1"/>
  <c r="AE672" i="1"/>
  <c r="AH616" i="1"/>
  <c r="AH661" i="1"/>
  <c r="AE675" i="1"/>
  <c r="AH681" i="1"/>
  <c r="AH617" i="1"/>
  <c r="AK630" i="1"/>
  <c r="Y682" i="1"/>
  <c r="AA682" i="1" s="1"/>
  <c r="Y625" i="1"/>
  <c r="AA625" i="1" s="1"/>
  <c r="Y658" i="1"/>
  <c r="AA658" i="1" s="1"/>
  <c r="AK661" i="1"/>
  <c r="Y679" i="1"/>
  <c r="Z679" i="1" s="1"/>
  <c r="AK685" i="1"/>
  <c r="AK688" i="1"/>
  <c r="AH695" i="1"/>
  <c r="Y624" i="1"/>
  <c r="AA624" i="1" s="1"/>
  <c r="AE612" i="1"/>
  <c r="AI659" i="1"/>
  <c r="AH671" i="1"/>
  <c r="AH680" i="1"/>
  <c r="AK691" i="1"/>
  <c r="AK697" i="1"/>
  <c r="AK698" i="1"/>
  <c r="AE699" i="1"/>
  <c r="AE698" i="1"/>
  <c r="AI698" i="1"/>
  <c r="AH697" i="1"/>
  <c r="Y697" i="1"/>
  <c r="AA697" i="1" s="1"/>
  <c r="AE695" i="1"/>
  <c r="AI695" i="1"/>
  <c r="Y694" i="1"/>
  <c r="AA694" i="1" s="1"/>
  <c r="AE694" i="1"/>
  <c r="AK694" i="1"/>
  <c r="AI694" i="1"/>
  <c r="AE693" i="1"/>
  <c r="AI693" i="1"/>
  <c r="AK692" i="1"/>
  <c r="AE692" i="1"/>
  <c r="AK695" i="1"/>
  <c r="AH696" i="1"/>
  <c r="AE697" i="1"/>
  <c r="AH692" i="1"/>
  <c r="AH693" i="1"/>
  <c r="AI692" i="1"/>
  <c r="AH694" i="1"/>
  <c r="AH691" i="1"/>
  <c r="AK689" i="1"/>
  <c r="Y691" i="1"/>
  <c r="Z691" i="1" s="1"/>
  <c r="AE690" i="1"/>
  <c r="AE689" i="1"/>
  <c r="AH690" i="1"/>
  <c r="Y689" i="1"/>
  <c r="AE691" i="1"/>
  <c r="Y688" i="1"/>
  <c r="AA688" i="1" s="1"/>
  <c r="AE687" i="1"/>
  <c r="AE686" i="1"/>
  <c r="AI686" i="1"/>
  <c r="AH687" i="1"/>
  <c r="AK686" i="1"/>
  <c r="AE688" i="1"/>
  <c r="AK687" i="1"/>
  <c r="Y685" i="1"/>
  <c r="AA685" i="1" s="1"/>
  <c r="AH684" i="1"/>
  <c r="AE685" i="1"/>
  <c r="AK684" i="1"/>
  <c r="AH683" i="1"/>
  <c r="AH678" i="1"/>
  <c r="AH677" i="1"/>
  <c r="AK676" i="1"/>
  <c r="Y683" i="1"/>
  <c r="AA683" i="1" s="1"/>
  <c r="AI681" i="1"/>
  <c r="Y680" i="1"/>
  <c r="AA680" i="1" s="1"/>
  <c r="AE678" i="1"/>
  <c r="AI677" i="1"/>
  <c r="Y676" i="1"/>
  <c r="AA676" i="1" s="1"/>
  <c r="AH682" i="1"/>
  <c r="AK677" i="1"/>
  <c r="AE679" i="1"/>
  <c r="AK681" i="1"/>
  <c r="AE676" i="1"/>
  <c r="AK678" i="1"/>
  <c r="AE683" i="1"/>
  <c r="AK675" i="1"/>
  <c r="AE680" i="1"/>
  <c r="AK682" i="1"/>
  <c r="AK679" i="1"/>
  <c r="Y674" i="1"/>
  <c r="AA674" i="1" s="1"/>
  <c r="AH674" i="1"/>
  <c r="AE674" i="1"/>
  <c r="AK672" i="1"/>
  <c r="AE673" i="1"/>
  <c r="AH663" i="1"/>
  <c r="AE667" i="1"/>
  <c r="AI667" i="1"/>
  <c r="AK665" i="1"/>
  <c r="AE663" i="1"/>
  <c r="AK671" i="1"/>
  <c r="AI665" i="1"/>
  <c r="AK663" i="1"/>
  <c r="AE665" i="1"/>
  <c r="AK667" i="1"/>
  <c r="AE669" i="1"/>
  <c r="AE657" i="1"/>
  <c r="AK659" i="1"/>
  <c r="AK657" i="1"/>
  <c r="AE658" i="1"/>
  <c r="AK656" i="1"/>
  <c r="AE656" i="1"/>
  <c r="AH652" i="1"/>
  <c r="AC615" i="1"/>
  <c r="AK615" i="1" s="1"/>
  <c r="Y626" i="1"/>
  <c r="AA626" i="1" s="1"/>
  <c r="Y631" i="1"/>
  <c r="AA631" i="1" s="1"/>
  <c r="AE637" i="1"/>
  <c r="AH637" i="1"/>
  <c r="AE639" i="1"/>
  <c r="AE620" i="1"/>
  <c r="AI639" i="1"/>
  <c r="Y623" i="1"/>
  <c r="AA623" i="1" s="1"/>
  <c r="Y656" i="1"/>
  <c r="AA656" i="1" s="1"/>
  <c r="Y650" i="1"/>
  <c r="Z650" i="1" s="1"/>
  <c r="AK652" i="1"/>
  <c r="AK655" i="1"/>
  <c r="AK649" i="1"/>
  <c r="AC619" i="1"/>
  <c r="AI619" i="1" s="1"/>
  <c r="Y634" i="1"/>
  <c r="AA634" i="1" s="1"/>
  <c r="AK637" i="1"/>
  <c r="AK623" i="1"/>
  <c r="Y639" i="1"/>
  <c r="Z639" i="1" s="1"/>
  <c r="AH609" i="1"/>
  <c r="AH613" i="1"/>
  <c r="AH655" i="1"/>
  <c r="AH632" i="1"/>
  <c r="AE608" i="1"/>
  <c r="AK610" i="1"/>
  <c r="AH620" i="1"/>
  <c r="AE624" i="1"/>
  <c r="AE629" i="1"/>
  <c r="Y637" i="1"/>
  <c r="AE654" i="1"/>
  <c r="AC607" i="1"/>
  <c r="AI607" i="1" s="1"/>
  <c r="AH630" i="1"/>
  <c r="AI620" i="1"/>
  <c r="AH607" i="1"/>
  <c r="AK612" i="1"/>
  <c r="Y653" i="1"/>
  <c r="AA653" i="1" s="1"/>
  <c r="AH615" i="1"/>
  <c r="AE636" i="1"/>
  <c r="AE640" i="1"/>
  <c r="Y642" i="1"/>
  <c r="AA642" i="1" s="1"/>
  <c r="AE645" i="1"/>
  <c r="Y583" i="1"/>
  <c r="AA583" i="1" s="1"/>
  <c r="AH611" i="1"/>
  <c r="AH610" i="1"/>
  <c r="AH653" i="1"/>
  <c r="AC621" i="1"/>
  <c r="AI621" i="1" s="1"/>
  <c r="AK624" i="1"/>
  <c r="AK638" i="1"/>
  <c r="AK647" i="1"/>
  <c r="AE652" i="1"/>
  <c r="AH656" i="1"/>
  <c r="AH614" i="1"/>
  <c r="Y629" i="1"/>
  <c r="Z629" i="1" s="1"/>
  <c r="AH636" i="1"/>
  <c r="AK641" i="1"/>
  <c r="AK650" i="1"/>
  <c r="Y654" i="1"/>
  <c r="AA654" i="1" s="1"/>
  <c r="Y655" i="1"/>
  <c r="AA655" i="1" s="1"/>
  <c r="AH639" i="1"/>
  <c r="AH643" i="1"/>
  <c r="AH654" i="1"/>
  <c r="AE655" i="1"/>
  <c r="AK654" i="1"/>
  <c r="Y652" i="1"/>
  <c r="AE653" i="1"/>
  <c r="AH647" i="1"/>
  <c r="Y647" i="1"/>
  <c r="AA647" i="1" s="1"/>
  <c r="AE647" i="1"/>
  <c r="Y648" i="1"/>
  <c r="AA648" i="1" s="1"/>
  <c r="AH649" i="1"/>
  <c r="AH648" i="1"/>
  <c r="AK651" i="1"/>
  <c r="AE650" i="1"/>
  <c r="AE649" i="1"/>
  <c r="AK648" i="1"/>
  <c r="AH650" i="1"/>
  <c r="AE651" i="1"/>
  <c r="AE648" i="1"/>
  <c r="AH651" i="1"/>
  <c r="AK644" i="1"/>
  <c r="AH646" i="1"/>
  <c r="AH645" i="1"/>
  <c r="AK645" i="1"/>
  <c r="Y644" i="1"/>
  <c r="AA644" i="1" s="1"/>
  <c r="Y646" i="1"/>
  <c r="AA646" i="1" s="1"/>
  <c r="AE642" i="1"/>
  <c r="AE644" i="1"/>
  <c r="AH642" i="1"/>
  <c r="AK643" i="1"/>
  <c r="AI644" i="1"/>
  <c r="AK642" i="1"/>
  <c r="Y645" i="1"/>
  <c r="AE643" i="1"/>
  <c r="AH641" i="1"/>
  <c r="Y638" i="1"/>
  <c r="AA638" i="1" s="1"/>
  <c r="AH638" i="1"/>
  <c r="Y641" i="1"/>
  <c r="AA641" i="1" s="1"/>
  <c r="AE641" i="1"/>
  <c r="AK640" i="1"/>
  <c r="AI641" i="1"/>
  <c r="AK639" i="1"/>
  <c r="AE638" i="1"/>
  <c r="Y640" i="1"/>
  <c r="AK636" i="1"/>
  <c r="AH631" i="1"/>
  <c r="AK627" i="1"/>
  <c r="Y636" i="1"/>
  <c r="AE635" i="1"/>
  <c r="AH635" i="1"/>
  <c r="AK635" i="1"/>
  <c r="AI636" i="1"/>
  <c r="AH633" i="1"/>
  <c r="AH634" i="1"/>
  <c r="AK633" i="1"/>
  <c r="AK632" i="1"/>
  <c r="Y633" i="1"/>
  <c r="AK634" i="1"/>
  <c r="AE634" i="1"/>
  <c r="AE632" i="1"/>
  <c r="AE631" i="1"/>
  <c r="Y632" i="1"/>
  <c r="AK631" i="1"/>
  <c r="AE625" i="1"/>
  <c r="AH628" i="1"/>
  <c r="AH627" i="1"/>
  <c r="Y630" i="1"/>
  <c r="AA630" i="1" s="1"/>
  <c r="AE628" i="1"/>
  <c r="Y627" i="1"/>
  <c r="AA627" i="1" s="1"/>
  <c r="AH625" i="1"/>
  <c r="AH626" i="1"/>
  <c r="AE626" i="1"/>
  <c r="AK628" i="1"/>
  <c r="AK625" i="1"/>
  <c r="AE630" i="1"/>
  <c r="AE627" i="1"/>
  <c r="AK629" i="1"/>
  <c r="AK626" i="1"/>
  <c r="AH623" i="1"/>
  <c r="AE623" i="1"/>
  <c r="AH612" i="1"/>
  <c r="AK614" i="1"/>
  <c r="AK616" i="1"/>
  <c r="AH618" i="1"/>
  <c r="AK620" i="1"/>
  <c r="AH622" i="1"/>
  <c r="AK622" i="1"/>
  <c r="AK618" i="1"/>
  <c r="AE616" i="1"/>
  <c r="AI613" i="1"/>
  <c r="AK613" i="1"/>
  <c r="AH619" i="1"/>
  <c r="Y616" i="1"/>
  <c r="AE618" i="1"/>
  <c r="AH621" i="1"/>
  <c r="AE622" i="1"/>
  <c r="AI614" i="1"/>
  <c r="AE614" i="1"/>
  <c r="AD613" i="1" a="1"/>
  <c r="AD613" i="1" s="1"/>
  <c r="AE613" i="1" s="1"/>
  <c r="AC617" i="1"/>
  <c r="AH606" i="1"/>
  <c r="Y610" i="1"/>
  <c r="AA610" i="1" s="1"/>
  <c r="AK608" i="1"/>
  <c r="AK606" i="1"/>
  <c r="AK609" i="1"/>
  <c r="AI609" i="1"/>
  <c r="AE606" i="1"/>
  <c r="AE610" i="1"/>
  <c r="AC605" i="1"/>
  <c r="AH267" i="1"/>
  <c r="AH363" i="1"/>
  <c r="AH515" i="1"/>
  <c r="AH586" i="1"/>
  <c r="AK588" i="1"/>
  <c r="AH601" i="1"/>
  <c r="AC603" i="1"/>
  <c r="AI603" i="1" s="1"/>
  <c r="AH583" i="1"/>
  <c r="AD589" i="1" a="1"/>
  <c r="AD589" i="1" s="1"/>
  <c r="AE589" i="1" s="1"/>
  <c r="AC599" i="1"/>
  <c r="AI599" i="1" s="1"/>
  <c r="AE583" i="1"/>
  <c r="AH597" i="1"/>
  <c r="AD601" i="1" a="1"/>
  <c r="AD601" i="1" s="1"/>
  <c r="AE601" i="1" s="1"/>
  <c r="AE586" i="1"/>
  <c r="AK584" i="1"/>
  <c r="Y604" i="1"/>
  <c r="AA604" i="1" s="1"/>
  <c r="AH603" i="1"/>
  <c r="Y580" i="1"/>
  <c r="AA580" i="1" s="1"/>
  <c r="AK600" i="1"/>
  <c r="AH596" i="1"/>
  <c r="AH600" i="1"/>
  <c r="AH604" i="1"/>
  <c r="AK586" i="1"/>
  <c r="AE588" i="1"/>
  <c r="AH588" i="1"/>
  <c r="AK601" i="1"/>
  <c r="AE396" i="1"/>
  <c r="AE593" i="1"/>
  <c r="Y393" i="1"/>
  <c r="AA393" i="1" s="1"/>
  <c r="AH584" i="1"/>
  <c r="AH587" i="1"/>
  <c r="Y581" i="1"/>
  <c r="Z581" i="1" s="1"/>
  <c r="AK582" i="1"/>
  <c r="Y591" i="1"/>
  <c r="Z591" i="1" s="1"/>
  <c r="Y596" i="1"/>
  <c r="Z596" i="1" s="1"/>
  <c r="AK594" i="1"/>
  <c r="AH148" i="1"/>
  <c r="AH489" i="1"/>
  <c r="AE579" i="1"/>
  <c r="AH589" i="1"/>
  <c r="Y590" i="1"/>
  <c r="AA590" i="1" s="1"/>
  <c r="AE600" i="1"/>
  <c r="AI600" i="1"/>
  <c r="AI587" i="1"/>
  <c r="AK587" i="1"/>
  <c r="AH599" i="1"/>
  <c r="AD587" i="1" a="1"/>
  <c r="AD587" i="1" s="1"/>
  <c r="AE587" i="1" s="1"/>
  <c r="AK589" i="1"/>
  <c r="AE115" i="1"/>
  <c r="AE584" i="1"/>
  <c r="AH591" i="1"/>
  <c r="AK604" i="1"/>
  <c r="AI586" i="1"/>
  <c r="AK592" i="1"/>
  <c r="Y579" i="1"/>
  <c r="AA579" i="1" s="1"/>
  <c r="AK397" i="1"/>
  <c r="AI589" i="1"/>
  <c r="Y595" i="1"/>
  <c r="Z595" i="1" s="1"/>
  <c r="Y584" i="1"/>
  <c r="AH593" i="1"/>
  <c r="Y598" i="1"/>
  <c r="AA598" i="1" s="1"/>
  <c r="AH602" i="1"/>
  <c r="AE602" i="1"/>
  <c r="AK602" i="1"/>
  <c r="AE604" i="1"/>
  <c r="AH598" i="1"/>
  <c r="AK597" i="1"/>
  <c r="AK593" i="1"/>
  <c r="AK598" i="1"/>
  <c r="AE598" i="1"/>
  <c r="AE597" i="1"/>
  <c r="AK596" i="1"/>
  <c r="AE595" i="1"/>
  <c r="Y593" i="1"/>
  <c r="AA593" i="1" s="1"/>
  <c r="Y597" i="1"/>
  <c r="AI598" i="1"/>
  <c r="AH595" i="1"/>
  <c r="AE596" i="1"/>
  <c r="AK595" i="1"/>
  <c r="AH594" i="1"/>
  <c r="Y594" i="1"/>
  <c r="AE594" i="1"/>
  <c r="AK591" i="1"/>
  <c r="Y592" i="1"/>
  <c r="AA592" i="1" s="1"/>
  <c r="AH592" i="1"/>
  <c r="AE592" i="1"/>
  <c r="AE591" i="1"/>
  <c r="AH590" i="1"/>
  <c r="AK590" i="1"/>
  <c r="AE590" i="1"/>
  <c r="AK581" i="1"/>
  <c r="AE464" i="1"/>
  <c r="AK396" i="1"/>
  <c r="Y582" i="1"/>
  <c r="AA582" i="1" s="1"/>
  <c r="Y394" i="1"/>
  <c r="AA394" i="1" s="1"/>
  <c r="AE580" i="1"/>
  <c r="AE581" i="1"/>
  <c r="AK579" i="1"/>
  <c r="AK580" i="1"/>
  <c r="AK583" i="1"/>
  <c r="AH582" i="1"/>
  <c r="AE582" i="1"/>
  <c r="AH579" i="1"/>
  <c r="AH580" i="1"/>
  <c r="AH581" i="1"/>
  <c r="Y396" i="1"/>
  <c r="Z396" i="1" s="1"/>
  <c r="AH395" i="1"/>
  <c r="Y397" i="1"/>
  <c r="AA397" i="1" s="1"/>
  <c r="AE395" i="1"/>
  <c r="AK395" i="1"/>
  <c r="AH397" i="1"/>
  <c r="Y395" i="1"/>
  <c r="AH396" i="1"/>
  <c r="AE397" i="1"/>
  <c r="AH359" i="1"/>
  <c r="AH135" i="1"/>
  <c r="AH565" i="1"/>
  <c r="AH256" i="1"/>
  <c r="AH421" i="1"/>
  <c r="AH242" i="1"/>
  <c r="AH270" i="1"/>
  <c r="AH321" i="1"/>
  <c r="AH407" i="1"/>
  <c r="AH449" i="1"/>
  <c r="AH376" i="1"/>
  <c r="AH435" i="1"/>
  <c r="AH463" i="1"/>
  <c r="Y115" i="1"/>
  <c r="AA115" i="1" s="1"/>
  <c r="AH505" i="1"/>
  <c r="AH561" i="1"/>
  <c r="AH547" i="1"/>
  <c r="AH394" i="1"/>
  <c r="AH392" i="1"/>
  <c r="AK394" i="1"/>
  <c r="AE393" i="1"/>
  <c r="AK393" i="1"/>
  <c r="AE392" i="1"/>
  <c r="AI392" i="1"/>
  <c r="AK392" i="1"/>
  <c r="Y392" i="1"/>
  <c r="AH393" i="1"/>
  <c r="AE394" i="1"/>
  <c r="AI394" i="1"/>
  <c r="AH146" i="1"/>
  <c r="AF304" i="1"/>
  <c r="AH388" i="1"/>
  <c r="AH408" i="1"/>
  <c r="AH450" i="1"/>
  <c r="AH336" i="1"/>
  <c r="AH142" i="1"/>
  <c r="AH340" i="1"/>
  <c r="AF303" i="1"/>
  <c r="AH315" i="1"/>
  <c r="AH573" i="1"/>
  <c r="AH567" i="1"/>
  <c r="AK116" i="1"/>
  <c r="AH115" i="1"/>
  <c r="Y116" i="1"/>
  <c r="AA116" i="1" s="1"/>
  <c r="AH116" i="1"/>
  <c r="AH539" i="1"/>
  <c r="AH309" i="1"/>
  <c r="AE116" i="1"/>
  <c r="AK115" i="1"/>
  <c r="AH324" i="1"/>
  <c r="AH236" i="1"/>
  <c r="AH251" i="1"/>
  <c r="AH265" i="1"/>
  <c r="AH310" i="1"/>
  <c r="AH540" i="1"/>
  <c r="AH527" i="1"/>
  <c r="AH446" i="1"/>
  <c r="AH477" i="1"/>
  <c r="AH488" i="1"/>
  <c r="AH170" i="1"/>
  <c r="AH191" i="1"/>
  <c r="AH164" i="1"/>
  <c r="AH206" i="1"/>
  <c r="AF283" i="1"/>
  <c r="AH335" i="1"/>
  <c r="AH349" i="1"/>
  <c r="AH374" i="1"/>
  <c r="AH418" i="1"/>
  <c r="AH432" i="1"/>
  <c r="AH460" i="1"/>
  <c r="AH513" i="1"/>
  <c r="AH517" i="1"/>
  <c r="AH555" i="1"/>
  <c r="AH541" i="1"/>
  <c r="AH171" i="1"/>
  <c r="AH192" i="1"/>
  <c r="AH213" i="1"/>
  <c r="AH237" i="1"/>
  <c r="AH338" i="1"/>
  <c r="AH383" i="1"/>
  <c r="AH417" i="1"/>
  <c r="AH554" i="1"/>
  <c r="AH249" i="1"/>
  <c r="AH263" i="1"/>
  <c r="AH371" i="1"/>
  <c r="AH516" i="1"/>
  <c r="AH352" i="1"/>
  <c r="AH568" i="1"/>
  <c r="AH223" i="1"/>
  <c r="AH331" i="1"/>
  <c r="AH386" i="1"/>
  <c r="AH406" i="1"/>
  <c r="AH448" i="1"/>
  <c r="AH490" i="1"/>
  <c r="AH339" i="1"/>
  <c r="AH373" i="1"/>
  <c r="AH434" i="1"/>
  <c r="AH462" i="1"/>
  <c r="AH189" i="1"/>
  <c r="AH250" i="1"/>
  <c r="AH264" i="1"/>
  <c r="AG282" i="1" a="1"/>
  <c r="AG282" i="1" s="1"/>
  <c r="AG298" i="1" a="1"/>
  <c r="AG298" i="1" s="1"/>
  <c r="AH366" i="1"/>
  <c r="AH326" i="1"/>
  <c r="AE430" i="1"/>
  <c r="AH486" i="1"/>
  <c r="AH503" i="1"/>
  <c r="AH238" i="1"/>
  <c r="AH252" i="1"/>
  <c r="AH266" i="1"/>
  <c r="AH311" i="1"/>
  <c r="AH483" i="1"/>
  <c r="AH497" i="1"/>
  <c r="AH570" i="1"/>
  <c r="AH207" i="1"/>
  <c r="AH112" i="1"/>
  <c r="AK113" i="1"/>
  <c r="AK117" i="1"/>
  <c r="AE105" i="1"/>
  <c r="AH312" i="1"/>
  <c r="AH351" i="1"/>
  <c r="AH569" i="1"/>
  <c r="AH409" i="1"/>
  <c r="AH451" i="1"/>
  <c r="AH423" i="1"/>
  <c r="AH140" i="1"/>
  <c r="AH151" i="1"/>
  <c r="AH480" i="1"/>
  <c r="AH117" i="1"/>
  <c r="AH137" i="1"/>
  <c r="AE402" i="1"/>
  <c r="AH337" i="1"/>
  <c r="AH361" i="1"/>
  <c r="AE363" i="1"/>
  <c r="AH402" i="1"/>
  <c r="AH410" i="1"/>
  <c r="AH426" i="1"/>
  <c r="AH452" i="1"/>
  <c r="AH468" i="1"/>
  <c r="AH354" i="1"/>
  <c r="AH494" i="1"/>
  <c r="AH566" i="1"/>
  <c r="AF278" i="1"/>
  <c r="AH378" i="1"/>
  <c r="AH381" i="1"/>
  <c r="AH415" i="1"/>
  <c r="AH457" i="1"/>
  <c r="Y477" i="1"/>
  <c r="Z477" i="1" s="1"/>
  <c r="Y495" i="1"/>
  <c r="AA495" i="1" s="1"/>
  <c r="AH499" i="1"/>
  <c r="AH523" i="1"/>
  <c r="AH556" i="1"/>
  <c r="AH542" i="1"/>
  <c r="Y112" i="1"/>
  <c r="AA112" i="1" s="1"/>
  <c r="AH389" i="1"/>
  <c r="AH437" i="1"/>
  <c r="AH440" i="1"/>
  <c r="AH233" i="1"/>
  <c r="AH308" i="1"/>
  <c r="AH325" i="1"/>
  <c r="AH485" i="1"/>
  <c r="AH511" i="1"/>
  <c r="AH390" i="1"/>
  <c r="AH153" i="1"/>
  <c r="AH429" i="1"/>
  <c r="AH443" i="1"/>
  <c r="AH455" i="1"/>
  <c r="AH471" i="1"/>
  <c r="AH514" i="1"/>
  <c r="AH533" i="1"/>
  <c r="Y113" i="1"/>
  <c r="AA113" i="1" s="1"/>
  <c r="Y117" i="1"/>
  <c r="AF291" i="1"/>
  <c r="AG190" i="1" a="1"/>
  <c r="AG190" i="1" s="1"/>
  <c r="AH532" i="1"/>
  <c r="AG283" i="1" a="1"/>
  <c r="AG283" i="1" s="1"/>
  <c r="AK112" i="1"/>
  <c r="AH534" i="1"/>
  <c r="AE117" i="1"/>
  <c r="AG178" i="1" a="1"/>
  <c r="AG178" i="1" s="1"/>
  <c r="AH230" i="1"/>
  <c r="AG275" i="1" a="1"/>
  <c r="AG275" i="1" s="1"/>
  <c r="AF292" i="1"/>
  <c r="AF295" i="1"/>
  <c r="AG300" i="1" a="1"/>
  <c r="AG300" i="1" s="1"/>
  <c r="AH318" i="1"/>
  <c r="AH346" i="1"/>
  <c r="AH357" i="1"/>
  <c r="AH372" i="1"/>
  <c r="AH422" i="1"/>
  <c r="AH436" i="1"/>
  <c r="AH464" i="1"/>
  <c r="AH501" i="1"/>
  <c r="AH521" i="1"/>
  <c r="AH551" i="1"/>
  <c r="AH537" i="1"/>
  <c r="AH110" i="1"/>
  <c r="AH152" i="1"/>
  <c r="AG216" i="1" a="1"/>
  <c r="AG216" i="1" s="1"/>
  <c r="AH138" i="1"/>
  <c r="AH154" i="1"/>
  <c r="AH334" i="1"/>
  <c r="AH431" i="1"/>
  <c r="AH459" i="1"/>
  <c r="AH473" i="1"/>
  <c r="AH563" i="1"/>
  <c r="AH549" i="1"/>
  <c r="AH535" i="1"/>
  <c r="AH306" i="1"/>
  <c r="AH362" i="1"/>
  <c r="AH259" i="1"/>
  <c r="AH226" i="1"/>
  <c r="AG274" i="1" a="1"/>
  <c r="AG274" i="1" s="1"/>
  <c r="AH377" i="1"/>
  <c r="AH487" i="1"/>
  <c r="AF293" i="1"/>
  <c r="AH320" i="1"/>
  <c r="AH348" i="1"/>
  <c r="AH445" i="1"/>
  <c r="AG218" i="1" a="1"/>
  <c r="AG218" i="1" s="1"/>
  <c r="AH261" i="1"/>
  <c r="AF279" i="1"/>
  <c r="AF294" i="1"/>
  <c r="AH364" i="1"/>
  <c r="AH529" i="1"/>
  <c r="AH575" i="1"/>
  <c r="AH102" i="1"/>
  <c r="AH234" i="1"/>
  <c r="AH245" i="1"/>
  <c r="AF276" i="1"/>
  <c r="AG281" i="1" a="1"/>
  <c r="AG281" i="1" s="1"/>
  <c r="AG299" i="1" a="1"/>
  <c r="AG299" i="1" s="1"/>
  <c r="AH323" i="1"/>
  <c r="AH332" i="1"/>
  <c r="AH365" i="1"/>
  <c r="AH475" i="1"/>
  <c r="AH577" i="1"/>
  <c r="AH139" i="1"/>
  <c r="AH145" i="1"/>
  <c r="AH159" i="1"/>
  <c r="AE243" i="1"/>
  <c r="AE257" i="1"/>
  <c r="AG297" i="1" a="1"/>
  <c r="AG297" i="1" s="1"/>
  <c r="AH391" i="1"/>
  <c r="AH403" i="1"/>
  <c r="AE112" i="1"/>
  <c r="AI112" i="1"/>
  <c r="AH157" i="1"/>
  <c r="AF280" i="1"/>
  <c r="AH341" i="1"/>
  <c r="AH379" i="1"/>
  <c r="AH413" i="1"/>
  <c r="AH350" i="1"/>
  <c r="AG288" i="1" a="1"/>
  <c r="AG288" i="1" s="1"/>
  <c r="AH355" i="1"/>
  <c r="AH399" i="1"/>
  <c r="AH411" i="1"/>
  <c r="AH441" i="1"/>
  <c r="AH469" i="1"/>
  <c r="AH560" i="1"/>
  <c r="AH546" i="1"/>
  <c r="AH438" i="1"/>
  <c r="AH243" i="1"/>
  <c r="AH271" i="1"/>
  <c r="AF282" i="1"/>
  <c r="AH328" i="1"/>
  <c r="AH400" i="1"/>
  <c r="AH481" i="1"/>
  <c r="AH507" i="1"/>
  <c r="AH525" i="1"/>
  <c r="AH572" i="1"/>
  <c r="Y542" i="1"/>
  <c r="Z542" i="1" s="1"/>
  <c r="AH217" i="1"/>
  <c r="AH224" i="1"/>
  <c r="AH382" i="1"/>
  <c r="AH401" i="1"/>
  <c r="AH425" i="1"/>
  <c r="AH467" i="1"/>
  <c r="AH478" i="1"/>
  <c r="AH548" i="1"/>
  <c r="AH158" i="1"/>
  <c r="AH241" i="1"/>
  <c r="AH248" i="1"/>
  <c r="AH307" i="1"/>
  <c r="AH314" i="1"/>
  <c r="AH360" i="1"/>
  <c r="AH404" i="1"/>
  <c r="AH479" i="1"/>
  <c r="AH493" i="1"/>
  <c r="AH574" i="1"/>
  <c r="AH201" i="1"/>
  <c r="AH141" i="1"/>
  <c r="AH147" i="1"/>
  <c r="AH149" i="1"/>
  <c r="AH368" i="1"/>
  <c r="AH564" i="1"/>
  <c r="AH557" i="1"/>
  <c r="AH536" i="1"/>
  <c r="AH183" i="1"/>
  <c r="AH203" i="1"/>
  <c r="AH221" i="1"/>
  <c r="AH370" i="1"/>
  <c r="AH518" i="1"/>
  <c r="AH327" i="1"/>
  <c r="AF302" i="1"/>
  <c r="AH424" i="1"/>
  <c r="AH466" i="1"/>
  <c r="AH173" i="1"/>
  <c r="AH254" i="1"/>
  <c r="AH174" i="1"/>
  <c r="AG295" i="1" a="1"/>
  <c r="AG295" i="1" s="1"/>
  <c r="AH89" i="1"/>
  <c r="AH227" i="1"/>
  <c r="AH197" i="1"/>
  <c r="AH228" i="1"/>
  <c r="AF289" i="1"/>
  <c r="AH439" i="1"/>
  <c r="AH180" i="1"/>
  <c r="AH232" i="1"/>
  <c r="AH262" i="1"/>
  <c r="AG285" i="1" a="1"/>
  <c r="AG285" i="1" s="1"/>
  <c r="AH319" i="1"/>
  <c r="AH333" i="1"/>
  <c r="AH342" i="1"/>
  <c r="AH347" i="1"/>
  <c r="AH375" i="1"/>
  <c r="AH380" i="1"/>
  <c r="AH387" i="1"/>
  <c r="AH414" i="1"/>
  <c r="AH430" i="1"/>
  <c r="AH444" i="1"/>
  <c r="AH456" i="1"/>
  <c r="AH458" i="1"/>
  <c r="AH465" i="1"/>
  <c r="AH472" i="1"/>
  <c r="AH522" i="1"/>
  <c r="AH550" i="1"/>
  <c r="AH543" i="1"/>
  <c r="AH94" i="1"/>
  <c r="AH165" i="1"/>
  <c r="AH150" i="1"/>
  <c r="AH155" i="1"/>
  <c r="AH235" i="1"/>
  <c r="AH246" i="1"/>
  <c r="AH260" i="1"/>
  <c r="AF272" i="1"/>
  <c r="AF277" i="1"/>
  <c r="AG286" i="1" a="1"/>
  <c r="AG286" i="1" s="1"/>
  <c r="AC294" i="1"/>
  <c r="AI294" i="1" s="1"/>
  <c r="AD302" i="1" a="1"/>
  <c r="AD302" i="1" s="1"/>
  <c r="AH305" i="1"/>
  <c r="AE340" i="1"/>
  <c r="AH358" i="1"/>
  <c r="AH484" i="1"/>
  <c r="AH491" i="1"/>
  <c r="AH576" i="1"/>
  <c r="AE557" i="1"/>
  <c r="AH95" i="1"/>
  <c r="AH185" i="1"/>
  <c r="AH204" i="1"/>
  <c r="AH111" i="1"/>
  <c r="AH113" i="1"/>
  <c r="AH343" i="1"/>
  <c r="AH240" i="1"/>
  <c r="AH268" i="1"/>
  <c r="AF301" i="1"/>
  <c r="AH313" i="1"/>
  <c r="AH492" i="1"/>
  <c r="AH558" i="1"/>
  <c r="AH544" i="1"/>
  <c r="AH384" i="1"/>
  <c r="AH103" i="1"/>
  <c r="AH132" i="1"/>
  <c r="AH495" i="1"/>
  <c r="AH179" i="1"/>
  <c r="AF290" i="1"/>
  <c r="AH531" i="1"/>
  <c r="AH255" i="1"/>
  <c r="AG284" i="1" a="1"/>
  <c r="AG284" i="1" s="1"/>
  <c r="AH219" i="1"/>
  <c r="AH133" i="1"/>
  <c r="AH143" i="1"/>
  <c r="AH156" i="1"/>
  <c r="AE244" i="1"/>
  <c r="AC295" i="1"/>
  <c r="AI295" i="1" s="1"/>
  <c r="AH317" i="1"/>
  <c r="AH356" i="1"/>
  <c r="AH369" i="1"/>
  <c r="AH385" i="1"/>
  <c r="AH405" i="1"/>
  <c r="AH412" i="1"/>
  <c r="AH428" i="1"/>
  <c r="AH442" i="1"/>
  <c r="AH454" i="1"/>
  <c r="AH470" i="1"/>
  <c r="AH509" i="1"/>
  <c r="AH520" i="1"/>
  <c r="AH559" i="1"/>
  <c r="AH552" i="1"/>
  <c r="AH545" i="1"/>
  <c r="AH538" i="1"/>
  <c r="AG205" i="1" a="1"/>
  <c r="AG205" i="1" s="1"/>
  <c r="AH84" i="1"/>
  <c r="AH398" i="1"/>
  <c r="AH474" i="1"/>
  <c r="AH194" i="1"/>
  <c r="AG287" i="1" a="1"/>
  <c r="AG287" i="1" s="1"/>
  <c r="AG296" i="1" a="1"/>
  <c r="AG296" i="1" s="1"/>
  <c r="AH330" i="1"/>
  <c r="AH131" i="1"/>
  <c r="AH316" i="1"/>
  <c r="AH344" i="1"/>
  <c r="AH427" i="1"/>
  <c r="AH453" i="1"/>
  <c r="AH519" i="1"/>
  <c r="AH257" i="1"/>
  <c r="AH91" i="1"/>
  <c r="AH198" i="1"/>
  <c r="AH162" i="1"/>
  <c r="AH160" i="1"/>
  <c r="AH416" i="1"/>
  <c r="AH562" i="1"/>
  <c r="AH200" i="1"/>
  <c r="AH269" i="1"/>
  <c r="AH353" i="1"/>
  <c r="AH367" i="1"/>
  <c r="AH136" i="1"/>
  <c r="AH144" i="1"/>
  <c r="AH225" i="1"/>
  <c r="AH244" i="1"/>
  <c r="AH258" i="1"/>
  <c r="AF273" i="1"/>
  <c r="AH322" i="1"/>
  <c r="AH329" i="1"/>
  <c r="AE383" i="1"/>
  <c r="AE452" i="1"/>
  <c r="AH482" i="1"/>
  <c r="AH496" i="1"/>
  <c r="AH578" i="1"/>
  <c r="AH571" i="1"/>
  <c r="AH188" i="1"/>
  <c r="AH118" i="1"/>
  <c r="AE113" i="1"/>
  <c r="AI113" i="1"/>
  <c r="AH420" i="1"/>
  <c r="AH476" i="1"/>
  <c r="AH553" i="1"/>
  <c r="AH345" i="1"/>
  <c r="AH447" i="1"/>
  <c r="AH229" i="1"/>
  <c r="AH247" i="1"/>
  <c r="AG172" i="1" a="1"/>
  <c r="AG172" i="1" s="1"/>
  <c r="AH172" i="1" s="1"/>
  <c r="AG211" i="1" a="1"/>
  <c r="AG211" i="1" s="1"/>
  <c r="AH211" i="1" s="1"/>
  <c r="AG276" i="1" a="1"/>
  <c r="AG276" i="1" s="1"/>
  <c r="AH276" i="1" s="1"/>
  <c r="AG289" i="1" a="1"/>
  <c r="AG289" i="1" s="1"/>
  <c r="AG301" i="1" a="1"/>
  <c r="AG301" i="1" s="1"/>
  <c r="AC175" i="1"/>
  <c r="AF202" i="1"/>
  <c r="AF216" i="1"/>
  <c r="AK216" i="1" s="1"/>
  <c r="AH109" i="1"/>
  <c r="AF281" i="1"/>
  <c r="AC303" i="1"/>
  <c r="AI303" i="1" s="1"/>
  <c r="AC296" i="1"/>
  <c r="AI296" i="1" s="1"/>
  <c r="AC304" i="1"/>
  <c r="AI304" i="1" s="1"/>
  <c r="AG199" i="1" a="1"/>
  <c r="AG199" i="1" s="1"/>
  <c r="AH199" i="1" s="1"/>
  <c r="AG277" i="1" a="1"/>
  <c r="AG277" i="1" s="1"/>
  <c r="AC202" i="1"/>
  <c r="AI202" i="1" s="1"/>
  <c r="AH161" i="1"/>
  <c r="AF175" i="1"/>
  <c r="AF296" i="1"/>
  <c r="AG187" i="1" a="1"/>
  <c r="AG187" i="1" s="1"/>
  <c r="AG278" i="1" a="1"/>
  <c r="AG278" i="1" s="1"/>
  <c r="AG290" i="1" a="1"/>
  <c r="AG290" i="1" s="1"/>
  <c r="AG302" i="1" a="1"/>
  <c r="AG302" i="1" s="1"/>
  <c r="AC187" i="1"/>
  <c r="AI187" i="1" s="1"/>
  <c r="AH176" i="1"/>
  <c r="AF190" i="1"/>
  <c r="AF218" i="1"/>
  <c r="AH97" i="1"/>
  <c r="AF297" i="1"/>
  <c r="AD289" i="1" a="1"/>
  <c r="AD289" i="1" s="1"/>
  <c r="AE236" i="1"/>
  <c r="AD169" i="1" a="1"/>
  <c r="AD169" i="1" s="1"/>
  <c r="AC290" i="1"/>
  <c r="AI290" i="1" s="1"/>
  <c r="AE431" i="1"/>
  <c r="AG175" i="1" a="1"/>
  <c r="AG175" i="1" s="1"/>
  <c r="AG214" i="1" a="1"/>
  <c r="AG214" i="1" s="1"/>
  <c r="AG279" i="1" a="1"/>
  <c r="AG279" i="1" s="1"/>
  <c r="AG291" i="1" a="1"/>
  <c r="AG291" i="1" s="1"/>
  <c r="AG303" i="1" a="1"/>
  <c r="AG303" i="1" s="1"/>
  <c r="AC214" i="1"/>
  <c r="AC172" i="1"/>
  <c r="AI172" i="1" s="1"/>
  <c r="AF163" i="1"/>
  <c r="AH163" i="1" s="1"/>
  <c r="AH177" i="1"/>
  <c r="AF205" i="1"/>
  <c r="AH98" i="1"/>
  <c r="AF284" i="1"/>
  <c r="AF298" i="1"/>
  <c r="AG202" i="1" a="1"/>
  <c r="AG202" i="1" s="1"/>
  <c r="AG292" i="1" a="1"/>
  <c r="AG292" i="1" s="1"/>
  <c r="AG304" i="1" a="1"/>
  <c r="AG304" i="1" s="1"/>
  <c r="AC199" i="1"/>
  <c r="AK199" i="1" s="1"/>
  <c r="AF178" i="1"/>
  <c r="AF220" i="1"/>
  <c r="AH85" i="1"/>
  <c r="AH99" i="1"/>
  <c r="AF285" i="1"/>
  <c r="AF299" i="1"/>
  <c r="AG280" i="1" a="1"/>
  <c r="AG280" i="1" s="1"/>
  <c r="AG293" i="1" a="1"/>
  <c r="AG293" i="1" s="1"/>
  <c r="AC184" i="1"/>
  <c r="AF193" i="1"/>
  <c r="AH86" i="1"/>
  <c r="AH100" i="1"/>
  <c r="AG273" i="1" a="1"/>
  <c r="AG273" i="1" s="1"/>
  <c r="AF286" i="1"/>
  <c r="AF300" i="1"/>
  <c r="AG294" i="1" a="1"/>
  <c r="AG294" i="1" s="1"/>
  <c r="AC211" i="1"/>
  <c r="AI211" i="1" s="1"/>
  <c r="AC169" i="1"/>
  <c r="AI169" i="1" s="1"/>
  <c r="AF166" i="1"/>
  <c r="AH166" i="1" s="1"/>
  <c r="AF208" i="1"/>
  <c r="AF222" i="1"/>
  <c r="AH222" i="1" s="1"/>
  <c r="AH87" i="1"/>
  <c r="AH101" i="1"/>
  <c r="AF287" i="1"/>
  <c r="AC196" i="1"/>
  <c r="AI196" i="1" s="1"/>
  <c r="AF181" i="1"/>
  <c r="AH181" i="1" s="1"/>
  <c r="AH195" i="1"/>
  <c r="AH209" i="1"/>
  <c r="AH88" i="1"/>
  <c r="AF274" i="1"/>
  <c r="AF288" i="1"/>
  <c r="AC181" i="1"/>
  <c r="AI181" i="1" s="1"/>
  <c r="AF196" i="1"/>
  <c r="AH196" i="1" s="1"/>
  <c r="AH210" i="1"/>
  <c r="AF275" i="1"/>
  <c r="AG193" i="1" a="1"/>
  <c r="AG193" i="1" s="1"/>
  <c r="AG220" i="1" a="1"/>
  <c r="AG220" i="1" s="1"/>
  <c r="AG272" i="1" a="1"/>
  <c r="AG272" i="1" s="1"/>
  <c r="AC222" i="1"/>
  <c r="AI222" i="1" s="1"/>
  <c r="AC208" i="1"/>
  <c r="AI208" i="1" s="1"/>
  <c r="AC166" i="1"/>
  <c r="AF169" i="1"/>
  <c r="AH169" i="1" s="1"/>
  <c r="AH90" i="1"/>
  <c r="AH104" i="1"/>
  <c r="AF184" i="1"/>
  <c r="AH184" i="1" s="1"/>
  <c r="AH212" i="1"/>
  <c r="AH105" i="1"/>
  <c r="AE362" i="1"/>
  <c r="Y537" i="1"/>
  <c r="Z537" i="1" s="1"/>
  <c r="AE474" i="1"/>
  <c r="AE270" i="1"/>
  <c r="AG208" i="1" a="1"/>
  <c r="AG208" i="1" s="1"/>
  <c r="AC220" i="1"/>
  <c r="AI220" i="1" s="1"/>
  <c r="AC178" i="1"/>
  <c r="AH92" i="1"/>
  <c r="AH106" i="1"/>
  <c r="AE525" i="1"/>
  <c r="AC205" i="1"/>
  <c r="AI205" i="1" s="1"/>
  <c r="AC163" i="1"/>
  <c r="AI163" i="1" s="1"/>
  <c r="AH186" i="1"/>
  <c r="AF214" i="1"/>
  <c r="AH93" i="1"/>
  <c r="AH107" i="1"/>
  <c r="AD273" i="1" a="1"/>
  <c r="AD273" i="1" s="1"/>
  <c r="AD279" i="1" a="1"/>
  <c r="AD279" i="1" s="1"/>
  <c r="AC218" i="1"/>
  <c r="AC190" i="1"/>
  <c r="AI190" i="1" s="1"/>
  <c r="AF187" i="1"/>
  <c r="AH215" i="1"/>
  <c r="AH108" i="1"/>
  <c r="AH167" i="1"/>
  <c r="AH168" i="1"/>
  <c r="AH182" i="1"/>
  <c r="AI216" i="1"/>
  <c r="AD283" i="1" a="1"/>
  <c r="AD283" i="1" s="1"/>
  <c r="AD287" i="1" a="1"/>
  <c r="AD287" i="1" s="1"/>
  <c r="AE436" i="1"/>
  <c r="AD184" i="1" a="1"/>
  <c r="AD184" i="1" s="1"/>
  <c r="AE331" i="1"/>
  <c r="AD288" i="1" a="1"/>
  <c r="AD288" i="1" s="1"/>
  <c r="AE462" i="1"/>
  <c r="AD296" i="1" a="1"/>
  <c r="AD296" i="1" s="1"/>
  <c r="AE559" i="1"/>
  <c r="AD280" i="1" a="1"/>
  <c r="AD280" i="1" s="1"/>
  <c r="AE245" i="1"/>
  <c r="AE361" i="1"/>
  <c r="AE516" i="1"/>
  <c r="AE555" i="1"/>
  <c r="AE154" i="1"/>
  <c r="AE398" i="1"/>
  <c r="AE470" i="1"/>
  <c r="AE499" i="1"/>
  <c r="AD284" i="1" a="1"/>
  <c r="AD284" i="1" s="1"/>
  <c r="AE443" i="1"/>
  <c r="AE457" i="1"/>
  <c r="AE471" i="1"/>
  <c r="AE427" i="1"/>
  <c r="Y540" i="1"/>
  <c r="Z540" i="1" s="1"/>
  <c r="AE403" i="1"/>
  <c r="AE521" i="1"/>
  <c r="AE442" i="1"/>
  <c r="AE237" i="1"/>
  <c r="AE191" i="1"/>
  <c r="AE238" i="1"/>
  <c r="AE151" i="1"/>
  <c r="AE384" i="1"/>
  <c r="AE341" i="1"/>
  <c r="AC272" i="1"/>
  <c r="AI272" i="1" s="1"/>
  <c r="AE358" i="1"/>
  <c r="AD272" i="1" a="1"/>
  <c r="AD272" i="1" s="1"/>
  <c r="AD298" i="1" a="1"/>
  <c r="AD298" i="1" s="1"/>
  <c r="Y390" i="1"/>
  <c r="Z390" i="1" s="1"/>
  <c r="AE329" i="1"/>
  <c r="AE541" i="1"/>
  <c r="AC289" i="1"/>
  <c r="AI289" i="1" s="1"/>
  <c r="AD181" i="1" a="1"/>
  <c r="AD181" i="1" s="1"/>
  <c r="AE247" i="1"/>
  <c r="AE261" i="1"/>
  <c r="AD290" i="1" a="1"/>
  <c r="AD290" i="1" s="1"/>
  <c r="AE355" i="1"/>
  <c r="AE380" i="1"/>
  <c r="AE399" i="1"/>
  <c r="AE529" i="1"/>
  <c r="AP199" i="1"/>
  <c r="AP222" i="1"/>
  <c r="AP279" i="1"/>
  <c r="AE155" i="1"/>
  <c r="AD301" i="1" a="1"/>
  <c r="AD301" i="1" s="1"/>
  <c r="Y365" i="1"/>
  <c r="AA365" i="1" s="1"/>
  <c r="AE330" i="1"/>
  <c r="AE552" i="1"/>
  <c r="AD166" i="1" a="1"/>
  <c r="AD166" i="1" s="1"/>
  <c r="AE198" i="1"/>
  <c r="AE217" i="1"/>
  <c r="AE235" i="1"/>
  <c r="AD294" i="1" a="1"/>
  <c r="AD294" i="1" s="1"/>
  <c r="AE315" i="1"/>
  <c r="AE343" i="1"/>
  <c r="AD368" i="1" a="1"/>
  <c r="AD368" i="1" s="1"/>
  <c r="AD400" i="1" a="1"/>
  <c r="AD400" i="1" s="1"/>
  <c r="AE415" i="1"/>
  <c r="AE454" i="1"/>
  <c r="AE468" i="1"/>
  <c r="AE482" i="1"/>
  <c r="AE514" i="1"/>
  <c r="AE111" i="1"/>
  <c r="AE461" i="1"/>
  <c r="AE167" i="1"/>
  <c r="AE183" i="1"/>
  <c r="AD199" i="1" a="1"/>
  <c r="AD199" i="1" s="1"/>
  <c r="AE249" i="1"/>
  <c r="AE263" i="1"/>
  <c r="AD295" i="1" a="1"/>
  <c r="AD295" i="1" s="1"/>
  <c r="AE344" i="1"/>
  <c r="AE441" i="1"/>
  <c r="AE455" i="1"/>
  <c r="AE469" i="1"/>
  <c r="AE483" i="1"/>
  <c r="AP181" i="1"/>
  <c r="AD222" i="1" a="1"/>
  <c r="AD222" i="1" s="1"/>
  <c r="AP163" i="1"/>
  <c r="AP184" i="1"/>
  <c r="AP283" i="1"/>
  <c r="AE160" i="1"/>
  <c r="AE473" i="1"/>
  <c r="AE223" i="1"/>
  <c r="AE252" i="1"/>
  <c r="AE266" i="1"/>
  <c r="AE333" i="1"/>
  <c r="AE419" i="1"/>
  <c r="AD502" i="1" a="1"/>
  <c r="AD502" i="1" s="1"/>
  <c r="AE502" i="1" s="1"/>
  <c r="AE518" i="1"/>
  <c r="AE547" i="1"/>
  <c r="AE561" i="1"/>
  <c r="AP298" i="1"/>
  <c r="AE234" i="1"/>
  <c r="AE371" i="1"/>
  <c r="AE534" i="1"/>
  <c r="AE157" i="1"/>
  <c r="AE171" i="1"/>
  <c r="AE334" i="1"/>
  <c r="AE348" i="1"/>
  <c r="AE373" i="1"/>
  <c r="AE459" i="1"/>
  <c r="AE548" i="1"/>
  <c r="AE562" i="1"/>
  <c r="AE576" i="1"/>
  <c r="AP166" i="1"/>
  <c r="AP208" i="1"/>
  <c r="Y557" i="1"/>
  <c r="Z557" i="1" s="1"/>
  <c r="AE381" i="1"/>
  <c r="AE484" i="1"/>
  <c r="AE144" i="1"/>
  <c r="AD172" i="1" a="1"/>
  <c r="AD172" i="1" s="1"/>
  <c r="AE421" i="1"/>
  <c r="AE433" i="1"/>
  <c r="AE536" i="1"/>
  <c r="AP272" i="1"/>
  <c r="Y547" i="1"/>
  <c r="AA547" i="1" s="1"/>
  <c r="Y538" i="1"/>
  <c r="Z538" i="1" s="1"/>
  <c r="AE240" i="1"/>
  <c r="AE487" i="1"/>
  <c r="AE131" i="1"/>
  <c r="AD226" i="1" a="1"/>
  <c r="AD226" i="1" s="1"/>
  <c r="AE226" i="1" s="1"/>
  <c r="AE308" i="1"/>
  <c r="AE322" i="1"/>
  <c r="AE388" i="1"/>
  <c r="AE408" i="1"/>
  <c r="AE434" i="1"/>
  <c r="AE489" i="1"/>
  <c r="AE550" i="1"/>
  <c r="AE564" i="1"/>
  <c r="AP169" i="1"/>
  <c r="AP211" i="1"/>
  <c r="AE136" i="1"/>
  <c r="AE242" i="1"/>
  <c r="AE490" i="1"/>
  <c r="AC273" i="1"/>
  <c r="AI273" i="1" s="1"/>
  <c r="AE146" i="1"/>
  <c r="AD208" i="1" a="1"/>
  <c r="AD208" i="1" s="1"/>
  <c r="AE227" i="1"/>
  <c r="AE256" i="1"/>
  <c r="AE323" i="1"/>
  <c r="AE351" i="1"/>
  <c r="AE435" i="1"/>
  <c r="AE476" i="1"/>
  <c r="AD506" i="1" a="1"/>
  <c r="AD506" i="1" s="1"/>
  <c r="AE506" i="1" s="1"/>
  <c r="AE374" i="1"/>
  <c r="Y556" i="1"/>
  <c r="Z556" i="1" s="1"/>
  <c r="Y549" i="1"/>
  <c r="Z549" i="1" s="1"/>
  <c r="AE316" i="1"/>
  <c r="AE417" i="1"/>
  <c r="AE501" i="1"/>
  <c r="AC280" i="1"/>
  <c r="AI280" i="1" s="1"/>
  <c r="AD193" i="1" a="1"/>
  <c r="AD193" i="1" s="1"/>
  <c r="AE310" i="1"/>
  <c r="AE324" i="1"/>
  <c r="AE338" i="1"/>
  <c r="AE390" i="1"/>
  <c r="AE424" i="1"/>
  <c r="AP172" i="1"/>
  <c r="AP193" i="1"/>
  <c r="AE168" i="1"/>
  <c r="AE264" i="1"/>
  <c r="AD278" i="1" a="1"/>
  <c r="AD278" i="1" s="1"/>
  <c r="Y376" i="1"/>
  <c r="AA376" i="1" s="1"/>
  <c r="AK566" i="1"/>
  <c r="AK561" i="1"/>
  <c r="AE317" i="1"/>
  <c r="AC284" i="1"/>
  <c r="AE134" i="1"/>
  <c r="AE162" i="1"/>
  <c r="AE311" i="1"/>
  <c r="AE377" i="1"/>
  <c r="AE391" i="1"/>
  <c r="AE411" i="1"/>
  <c r="AE450" i="1"/>
  <c r="AE492" i="1"/>
  <c r="AP216" i="1"/>
  <c r="AC276" i="1"/>
  <c r="AI276" i="1" s="1"/>
  <c r="AD282" i="1" a="1"/>
  <c r="AD282" i="1" s="1"/>
  <c r="AE517" i="1"/>
  <c r="AE320" i="1"/>
  <c r="AE519" i="1"/>
  <c r="AC287" i="1"/>
  <c r="AI287" i="1" s="1"/>
  <c r="AD163" i="1" a="1"/>
  <c r="AD163" i="1" s="1"/>
  <c r="AE259" i="1"/>
  <c r="AE365" i="1"/>
  <c r="AE378" i="1"/>
  <c r="AE412" i="1"/>
  <c r="AE438" i="1"/>
  <c r="AE479" i="1"/>
  <c r="AE569" i="1"/>
  <c r="AP196" i="1"/>
  <c r="AC565" i="1"/>
  <c r="AI565" i="1" s="1"/>
  <c r="AE321" i="1"/>
  <c r="AE520" i="1"/>
  <c r="AC288" i="1"/>
  <c r="AI288" i="1" s="1"/>
  <c r="AD196" i="1" a="1"/>
  <c r="AD196" i="1" s="1"/>
  <c r="AE213" i="1"/>
  <c r="AE246" i="1"/>
  <c r="AE260" i="1"/>
  <c r="AE327" i="1"/>
  <c r="AE354" i="1"/>
  <c r="AE379" i="1"/>
  <c r="AE466" i="1"/>
  <c r="AE494" i="1"/>
  <c r="AP220" i="1"/>
  <c r="AP278" i="1"/>
  <c r="AE182" i="1"/>
  <c r="AE103" i="1"/>
  <c r="AE114" i="1"/>
  <c r="AE118" i="1"/>
  <c r="AI328" i="1"/>
  <c r="AE328" i="1"/>
  <c r="AI446" i="1"/>
  <c r="AE446" i="1"/>
  <c r="Y554" i="1"/>
  <c r="Z554" i="1" s="1"/>
  <c r="AI135" i="1"/>
  <c r="AE135" i="1"/>
  <c r="AI250" i="1"/>
  <c r="AE250" i="1"/>
  <c r="AC275" i="1"/>
  <c r="AI275" i="1" s="1"/>
  <c r="AD275" i="1" a="1"/>
  <c r="AD275" i="1" s="1"/>
  <c r="AD286" i="1" a="1"/>
  <c r="AD286" i="1" s="1"/>
  <c r="AC286" i="1"/>
  <c r="AI286" i="1" s="1"/>
  <c r="AI570" i="1"/>
  <c r="AE570" i="1"/>
  <c r="AI551" i="1"/>
  <c r="AE551" i="1"/>
  <c r="AI158" i="1"/>
  <c r="AE158" i="1"/>
  <c r="AD281" i="1" a="1"/>
  <c r="AD281" i="1" s="1"/>
  <c r="AC281" i="1"/>
  <c r="AI281" i="1" s="1"/>
  <c r="AI349" i="1"/>
  <c r="AE349" i="1"/>
  <c r="AI382" i="1"/>
  <c r="AE382" i="1"/>
  <c r="AI404" i="1"/>
  <c r="AE404" i="1"/>
  <c r="AI467" i="1"/>
  <c r="AE467" i="1"/>
  <c r="AE185" i="1"/>
  <c r="AI150" i="1"/>
  <c r="AE150" i="1"/>
  <c r="AC228" i="1"/>
  <c r="AD228" i="1" a="1"/>
  <c r="AD228" i="1" s="1"/>
  <c r="AI255" i="1"/>
  <c r="AE255" i="1"/>
  <c r="AI269" i="1"/>
  <c r="AE269" i="1"/>
  <c r="AD285" i="1" a="1"/>
  <c r="AD285" i="1" s="1"/>
  <c r="AC285" i="1"/>
  <c r="AI285" i="1" s="1"/>
  <c r="AC299" i="1"/>
  <c r="AI299" i="1" s="1"/>
  <c r="AD299" i="1" a="1"/>
  <c r="AD299" i="1" s="1"/>
  <c r="AI307" i="1"/>
  <c r="AE307" i="1"/>
  <c r="AI503" i="1"/>
  <c r="AE503" i="1"/>
  <c r="AI560" i="1"/>
  <c r="AE560" i="1"/>
  <c r="AK556" i="1"/>
  <c r="AE170" i="1"/>
  <c r="AE493" i="1"/>
  <c r="AI215" i="1"/>
  <c r="AE215" i="1"/>
  <c r="AC297" i="1"/>
  <c r="AI297" i="1" s="1"/>
  <c r="AD297" i="1" a="1"/>
  <c r="AD297" i="1" s="1"/>
  <c r="AD300" i="1" a="1"/>
  <c r="AD300" i="1" s="1"/>
  <c r="AC300" i="1"/>
  <c r="AI300" i="1" s="1"/>
  <c r="AI342" i="1"/>
  <c r="AE342" i="1"/>
  <c r="AI444" i="1"/>
  <c r="AE444" i="1"/>
  <c r="AI506" i="1"/>
  <c r="AI515" i="1"/>
  <c r="AE515" i="1"/>
  <c r="AC524" i="1"/>
  <c r="AD524" i="1" a="1"/>
  <c r="AD524" i="1" s="1"/>
  <c r="AE481" i="1"/>
  <c r="AE540" i="1"/>
  <c r="AE456" i="1"/>
  <c r="AD303" i="1" a="1"/>
  <c r="AD303" i="1" s="1"/>
  <c r="AE319" i="1"/>
  <c r="AE347" i="1"/>
  <c r="AE558" i="1"/>
  <c r="AE572" i="1"/>
  <c r="AI486" i="1"/>
  <c r="AE486" i="1"/>
  <c r="AI537" i="1"/>
  <c r="AE537" i="1"/>
  <c r="AE360" i="1"/>
  <c r="AE241" i="1"/>
  <c r="AE458" i="1"/>
  <c r="AI143" i="1"/>
  <c r="AE143" i="1"/>
  <c r="AC498" i="1"/>
  <c r="AI498" i="1" s="1"/>
  <c r="AD498" i="1" a="1"/>
  <c r="AD498" i="1" s="1"/>
  <c r="AE221" i="1"/>
  <c r="AI156" i="1"/>
  <c r="AE156" i="1"/>
  <c r="AD274" i="1" a="1"/>
  <c r="AD274" i="1" s="1"/>
  <c r="AC274" i="1"/>
  <c r="AE507" i="1"/>
  <c r="AI197" i="1"/>
  <c r="AE197" i="1"/>
  <c r="AD218" i="1" a="1"/>
  <c r="AD218" i="1" s="1"/>
  <c r="AE335" i="1"/>
  <c r="AE407" i="1"/>
  <c r="AE546" i="1"/>
  <c r="AE141" i="1"/>
  <c r="AE212" i="1"/>
  <c r="AE271" i="1"/>
  <c r="AE336" i="1"/>
  <c r="AE425" i="1"/>
  <c r="AE577" i="1"/>
  <c r="AC298" i="1"/>
  <c r="AE309" i="1"/>
  <c r="AE409" i="1"/>
  <c r="AE535" i="1"/>
  <c r="AE326" i="1"/>
  <c r="AE575" i="1"/>
  <c r="AI133" i="1"/>
  <c r="AE133" i="1"/>
  <c r="AI574" i="1"/>
  <c r="AE574" i="1"/>
  <c r="AE145" i="1"/>
  <c r="AE203" i="1"/>
  <c r="AE262" i="1"/>
  <c r="AE389" i="1"/>
  <c r="AE513" i="1"/>
  <c r="AE549" i="1"/>
  <c r="AE563" i="1"/>
  <c r="AI376" i="1"/>
  <c r="AE376" i="1"/>
  <c r="AI478" i="1"/>
  <c r="AE478" i="1"/>
  <c r="AI509" i="1"/>
  <c r="AE509" i="1"/>
  <c r="AC510" i="1"/>
  <c r="AD510" i="1" a="1"/>
  <c r="AD510" i="1" s="1"/>
  <c r="AE102" i="1"/>
  <c r="AE353" i="1"/>
  <c r="AD526" i="1" a="1"/>
  <c r="AD526" i="1" s="1"/>
  <c r="AE526" i="1" s="1"/>
  <c r="AI174" i="1"/>
  <c r="AE174" i="1"/>
  <c r="AC278" i="1"/>
  <c r="AC512" i="1"/>
  <c r="AI512" i="1" s="1"/>
  <c r="AD512" i="1" a="1"/>
  <c r="AD512" i="1" s="1"/>
  <c r="AC301" i="1"/>
  <c r="AI301" i="1" s="1"/>
  <c r="AE147" i="1"/>
  <c r="AE189" i="1"/>
  <c r="AE224" i="1"/>
  <c r="AE251" i="1"/>
  <c r="AE423" i="1"/>
  <c r="AE447" i="1"/>
  <c r="AE527" i="1"/>
  <c r="AD276" i="1" a="1"/>
  <c r="AD276" i="1" s="1"/>
  <c r="AC279" i="1"/>
  <c r="AD304" i="1" a="1"/>
  <c r="AD304" i="1" s="1"/>
  <c r="AI543" i="1"/>
  <c r="AE543" i="1"/>
  <c r="AE258" i="1"/>
  <c r="AC302" i="1"/>
  <c r="AI302" i="1" s="1"/>
  <c r="AE104" i="1"/>
  <c r="AE207" i="1"/>
  <c r="AE239" i="1"/>
  <c r="AE366" i="1"/>
  <c r="AD528" i="1" a="1"/>
  <c r="AD528" i="1" s="1"/>
  <c r="AE528" i="1" s="1"/>
  <c r="AE248" i="1"/>
  <c r="AE491" i="1"/>
  <c r="AI571" i="1"/>
  <c r="AE571" i="1"/>
  <c r="AE176" i="1"/>
  <c r="AE475" i="1"/>
  <c r="AE553" i="1"/>
  <c r="AC282" i="1"/>
  <c r="AI282" i="1" s="1"/>
  <c r="AD291" i="1" a="1"/>
  <c r="AD291" i="1" s="1"/>
  <c r="AC291" i="1"/>
  <c r="AI291" i="1" s="1"/>
  <c r="AI306" i="1"/>
  <c r="AE306" i="1"/>
  <c r="AI313" i="1"/>
  <c r="AE313" i="1"/>
  <c r="AI364" i="1"/>
  <c r="AE364" i="1"/>
  <c r="S401" i="1"/>
  <c r="AD401" i="1" a="1"/>
  <c r="AD401" i="1" s="1"/>
  <c r="AI485" i="1"/>
  <c r="AE485" i="1"/>
  <c r="AE356" i="1"/>
  <c r="AE567" i="1"/>
  <c r="AE137" i="1"/>
  <c r="AE194" i="1"/>
  <c r="AE210" i="1"/>
  <c r="AE345" i="1"/>
  <c r="AE369" i="1"/>
  <c r="AE414" i="1"/>
  <c r="AD504" i="1" a="1"/>
  <c r="AD504" i="1" s="1"/>
  <c r="AE504" i="1" s="1"/>
  <c r="AE432" i="1"/>
  <c r="AD277" i="1" a="1"/>
  <c r="AD277" i="1" s="1"/>
  <c r="AC277" i="1"/>
  <c r="AD293" i="1" a="1"/>
  <c r="AD293" i="1" s="1"/>
  <c r="AC293" i="1"/>
  <c r="AI293" i="1" s="1"/>
  <c r="AC508" i="1"/>
  <c r="AD508" i="1" a="1"/>
  <c r="AD508" i="1" s="1"/>
  <c r="AE578" i="1"/>
  <c r="AI578" i="1"/>
  <c r="AE253" i="1"/>
  <c r="AE367" i="1"/>
  <c r="AE568" i="1"/>
  <c r="AE209" i="1"/>
  <c r="AE305" i="1"/>
  <c r="AE437" i="1"/>
  <c r="AE463" i="1"/>
  <c r="AD175" i="1" a="1"/>
  <c r="AD175" i="1" s="1"/>
  <c r="AD178" i="1" a="1"/>
  <c r="AD178" i="1" s="1"/>
  <c r="AD187" i="1" a="1"/>
  <c r="AD187" i="1" s="1"/>
  <c r="AD190" i="1" a="1"/>
  <c r="AD190" i="1" s="1"/>
  <c r="AD202" i="1" a="1"/>
  <c r="AD202" i="1" s="1"/>
  <c r="AD205" i="1" a="1"/>
  <c r="AD205" i="1" s="1"/>
  <c r="AD214" i="1" a="1"/>
  <c r="AD214" i="1" s="1"/>
  <c r="AC283" i="1"/>
  <c r="AD292" i="1" a="1"/>
  <c r="AD292" i="1" s="1"/>
  <c r="AC292" i="1"/>
  <c r="AI292" i="1" s="1"/>
  <c r="AI332" i="1"/>
  <c r="AE332" i="1"/>
  <c r="AI372" i="1"/>
  <c r="AE372" i="1"/>
  <c r="AI422" i="1"/>
  <c r="AE422" i="1"/>
  <c r="Y439" i="1"/>
  <c r="Z439" i="1" s="1"/>
  <c r="AK543" i="1"/>
  <c r="AI538" i="1"/>
  <c r="AE538" i="1"/>
  <c r="AE225" i="1"/>
  <c r="AE357" i="1"/>
  <c r="AE108" i="1"/>
  <c r="AE180" i="1"/>
  <c r="AE195" i="1"/>
  <c r="AD211" i="1" a="1"/>
  <c r="AD211" i="1" s="1"/>
  <c r="AE230" i="1"/>
  <c r="AE346" i="1"/>
  <c r="AE556" i="1"/>
  <c r="Y514" i="1"/>
  <c r="AA514" i="1" s="1"/>
  <c r="AE173" i="1"/>
  <c r="AE200" i="1"/>
  <c r="AE325" i="1"/>
  <c r="AE460" i="1"/>
  <c r="Y535" i="1"/>
  <c r="Z535" i="1" s="1"/>
  <c r="AE505" i="1"/>
  <c r="AE573" i="1"/>
  <c r="AE106" i="1"/>
  <c r="AE148" i="1"/>
  <c r="AE201" i="1"/>
  <c r="AE426" i="1"/>
  <c r="AE448" i="1"/>
  <c r="AE496" i="1"/>
  <c r="AE531" i="1"/>
  <c r="AE566" i="1"/>
  <c r="AE132" i="1"/>
  <c r="AE159" i="1"/>
  <c r="AE186" i="1"/>
  <c r="AE312" i="1"/>
  <c r="AE359" i="1"/>
  <c r="AE413" i="1"/>
  <c r="AE472" i="1"/>
  <c r="AE495" i="1"/>
  <c r="AD530" i="1" a="1"/>
  <c r="AD530" i="1" s="1"/>
  <c r="AE530" i="1" s="1"/>
  <c r="Y399" i="1"/>
  <c r="AA399" i="1" s="1"/>
  <c r="AK519" i="1"/>
  <c r="AE370" i="1"/>
  <c r="AE410" i="1"/>
  <c r="AE445" i="1"/>
  <c r="AE480" i="1"/>
  <c r="AE539" i="1"/>
  <c r="AE107" i="1"/>
  <c r="AE149" i="1"/>
  <c r="AE161" i="1"/>
  <c r="AE188" i="1"/>
  <c r="AD216" i="1" a="1"/>
  <c r="AD216" i="1" s="1"/>
  <c r="AE216" i="1" s="1"/>
  <c r="AE229" i="1"/>
  <c r="AE254" i="1"/>
  <c r="AE265" i="1"/>
  <c r="AE314" i="1"/>
  <c r="AE337" i="1"/>
  <c r="AE350" i="1"/>
  <c r="AE449" i="1"/>
  <c r="AE497" i="1"/>
  <c r="AE542" i="1"/>
  <c r="AE554" i="1"/>
  <c r="AE79" i="1"/>
  <c r="AE109" i="1"/>
  <c r="AE138" i="1"/>
  <c r="AE177" i="1"/>
  <c r="AE204" i="1"/>
  <c r="AE232" i="1"/>
  <c r="AE267" i="1"/>
  <c r="AE339" i="1"/>
  <c r="AE385" i="1"/>
  <c r="AE416" i="1"/>
  <c r="AE428" i="1"/>
  <c r="AE439" i="1"/>
  <c r="AE451" i="1"/>
  <c r="AE522" i="1"/>
  <c r="AE544" i="1"/>
  <c r="Y374" i="1"/>
  <c r="AA374" i="1" s="1"/>
  <c r="AE142" i="1"/>
  <c r="AE420" i="1"/>
  <c r="AE110" i="1"/>
  <c r="AE139" i="1"/>
  <c r="AE152" i="1"/>
  <c r="AE164" i="1"/>
  <c r="AE219" i="1"/>
  <c r="AE233" i="1"/>
  <c r="AE268" i="1"/>
  <c r="AE386" i="1"/>
  <c r="AE405" i="1"/>
  <c r="AE429" i="1"/>
  <c r="AE511" i="1"/>
  <c r="AE523" i="1"/>
  <c r="Y407" i="1"/>
  <c r="AA407" i="1" s="1"/>
  <c r="Y561" i="1"/>
  <c r="Z561" i="1" s="1"/>
  <c r="Y552" i="1"/>
  <c r="Z552" i="1" s="1"/>
  <c r="Y545" i="1"/>
  <c r="Z545" i="1" s="1"/>
  <c r="AE533" i="1"/>
  <c r="AE140" i="1"/>
  <c r="AE153" i="1"/>
  <c r="AE165" i="1"/>
  <c r="AE179" i="1"/>
  <c r="AE192" i="1"/>
  <c r="AE206" i="1"/>
  <c r="AE318" i="1"/>
  <c r="AE352" i="1"/>
  <c r="AE375" i="1"/>
  <c r="AE387" i="1"/>
  <c r="AE406" i="1"/>
  <c r="AE418" i="1"/>
  <c r="AE440" i="1"/>
  <c r="AE453" i="1"/>
  <c r="AE465" i="1"/>
  <c r="AE477" i="1"/>
  <c r="AE488" i="1"/>
  <c r="AE545" i="1"/>
  <c r="AE95" i="1"/>
  <c r="AE532" i="1"/>
  <c r="AK375" i="1"/>
  <c r="AK542" i="1"/>
  <c r="AK568" i="1"/>
  <c r="AC500" i="1"/>
  <c r="AI500" i="1" s="1"/>
  <c r="Y366" i="1"/>
  <c r="AA366" i="1" s="1"/>
  <c r="Y447" i="1"/>
  <c r="Z447" i="1" s="1"/>
  <c r="AK572" i="1"/>
  <c r="AK569" i="1"/>
  <c r="AK535" i="1"/>
  <c r="Y575" i="1"/>
  <c r="AA575" i="1" s="1"/>
  <c r="Y570" i="1"/>
  <c r="AA570" i="1" s="1"/>
  <c r="AK549" i="1"/>
  <c r="Y536" i="1"/>
  <c r="Z536" i="1" s="1"/>
  <c r="Y367" i="1"/>
  <c r="AA367" i="1" s="1"/>
  <c r="Y574" i="1"/>
  <c r="Z574" i="1" s="1"/>
  <c r="AK547" i="1"/>
  <c r="Y386" i="1"/>
  <c r="AA386" i="1" s="1"/>
  <c r="P400" i="1"/>
  <c r="Y400" i="1" s="1"/>
  <c r="AA400" i="1" s="1"/>
  <c r="Y576" i="1"/>
  <c r="Z576" i="1" s="1"/>
  <c r="Y567" i="1"/>
  <c r="Z567" i="1" s="1"/>
  <c r="AK563" i="1"/>
  <c r="AC400" i="1"/>
  <c r="AI400" i="1" s="1"/>
  <c r="AK573" i="1"/>
  <c r="Y571" i="1"/>
  <c r="AA571" i="1" s="1"/>
  <c r="Y559" i="1"/>
  <c r="Z559" i="1" s="1"/>
  <c r="AK455" i="1"/>
  <c r="Y406" i="1"/>
  <c r="AA406" i="1" s="1"/>
  <c r="Y474" i="1"/>
  <c r="Z474" i="1" s="1"/>
  <c r="Y520" i="1"/>
  <c r="Z520" i="1" s="1"/>
  <c r="AK578" i="1"/>
  <c r="AK575" i="1"/>
  <c r="Y398" i="1"/>
  <c r="Z398" i="1" s="1"/>
  <c r="AK499" i="1"/>
  <c r="AK531" i="1"/>
  <c r="Y578" i="1"/>
  <c r="Y558" i="1"/>
  <c r="Z558" i="1" s="1"/>
  <c r="Y544" i="1"/>
  <c r="Z544" i="1" s="1"/>
  <c r="AC401" i="1"/>
  <c r="AI401" i="1" s="1"/>
  <c r="Y444" i="1"/>
  <c r="AA444" i="1" s="1"/>
  <c r="Y456" i="1"/>
  <c r="AA456" i="1" s="1"/>
  <c r="Y469" i="1"/>
  <c r="Z469" i="1" s="1"/>
  <c r="AK501" i="1"/>
  <c r="Y518" i="1"/>
  <c r="AA518" i="1" s="1"/>
  <c r="Y568" i="1"/>
  <c r="Z568" i="1" s="1"/>
  <c r="Y566" i="1"/>
  <c r="Z566" i="1" s="1"/>
  <c r="Y564" i="1"/>
  <c r="Z564" i="1" s="1"/>
  <c r="Y562" i="1"/>
  <c r="Z562" i="1" s="1"/>
  <c r="AK560" i="1"/>
  <c r="Y550" i="1"/>
  <c r="AA550" i="1" s="1"/>
  <c r="Y548" i="1"/>
  <c r="Z548" i="1" s="1"/>
  <c r="AK546" i="1"/>
  <c r="AK453" i="1"/>
  <c r="AK505" i="1"/>
  <c r="AK557" i="1"/>
  <c r="AK509" i="1"/>
  <c r="AK371" i="1"/>
  <c r="Y371" i="1"/>
  <c r="Z371" i="1" s="1"/>
  <c r="Y428" i="1"/>
  <c r="AA428" i="1" s="1"/>
  <c r="Y435" i="1"/>
  <c r="AA435" i="1" s="1"/>
  <c r="AK551" i="1"/>
  <c r="AK537" i="1"/>
  <c r="Y459" i="1"/>
  <c r="AA459" i="1" s="1"/>
  <c r="Y466" i="1"/>
  <c r="AA466" i="1" s="1"/>
  <c r="Y480" i="1"/>
  <c r="AA480" i="1" s="1"/>
  <c r="Y487" i="1"/>
  <c r="AA487" i="1" s="1"/>
  <c r="Y494" i="1"/>
  <c r="AA494" i="1" s="1"/>
  <c r="Y577" i="1"/>
  <c r="AA577" i="1" s="1"/>
  <c r="AK554" i="1"/>
  <c r="AK552" i="1"/>
  <c r="AK540" i="1"/>
  <c r="AK538" i="1"/>
  <c r="Y443" i="1"/>
  <c r="AA443" i="1" s="1"/>
  <c r="AK448" i="1"/>
  <c r="Y455" i="1"/>
  <c r="AA455" i="1" s="1"/>
  <c r="AK507" i="1"/>
  <c r="Y517" i="1"/>
  <c r="Z517" i="1" s="1"/>
  <c r="Y573" i="1"/>
  <c r="AA573" i="1" s="1"/>
  <c r="Y563" i="1"/>
  <c r="Z563" i="1" s="1"/>
  <c r="AK558" i="1"/>
  <c r="Y551" i="1"/>
  <c r="AA551" i="1" s="1"/>
  <c r="AK544" i="1"/>
  <c r="AK577" i="1"/>
  <c r="Y555" i="1"/>
  <c r="AA555" i="1" s="1"/>
  <c r="Y387" i="1"/>
  <c r="AA387" i="1" s="1"/>
  <c r="AK364" i="1"/>
  <c r="AK570" i="1"/>
  <c r="Y553" i="1"/>
  <c r="Z553" i="1" s="1"/>
  <c r="Y539" i="1"/>
  <c r="AA539" i="1" s="1"/>
  <c r="AK363" i="1"/>
  <c r="Y569" i="1"/>
  <c r="Z569" i="1" s="1"/>
  <c r="Y541" i="1"/>
  <c r="Z541" i="1" s="1"/>
  <c r="Y363" i="1"/>
  <c r="AA363" i="1" s="1"/>
  <c r="AK574" i="1"/>
  <c r="Y572" i="1"/>
  <c r="AI569" i="1"/>
  <c r="AK562" i="1"/>
  <c r="Y560" i="1"/>
  <c r="AI557" i="1"/>
  <c r="AK548" i="1"/>
  <c r="Y546" i="1"/>
  <c r="AK427" i="1"/>
  <c r="AK451" i="1"/>
  <c r="Y483" i="1"/>
  <c r="AA483" i="1" s="1"/>
  <c r="Y490" i="1"/>
  <c r="AA490" i="1" s="1"/>
  <c r="AK497" i="1"/>
  <c r="AK553" i="1"/>
  <c r="AK539" i="1"/>
  <c r="AK373" i="1"/>
  <c r="Y460" i="1"/>
  <c r="AA460" i="1" s="1"/>
  <c r="Y486" i="1"/>
  <c r="Z486" i="1" s="1"/>
  <c r="AK493" i="1"/>
  <c r="AK571" i="1"/>
  <c r="AK559" i="1"/>
  <c r="AK545" i="1"/>
  <c r="Y543" i="1"/>
  <c r="AK449" i="1"/>
  <c r="AK454" i="1"/>
  <c r="AK576" i="1"/>
  <c r="AK564" i="1"/>
  <c r="AK550" i="1"/>
  <c r="AK536" i="1"/>
  <c r="AK419" i="1"/>
  <c r="Y442" i="1"/>
  <c r="AA442" i="1" s="1"/>
  <c r="Y452" i="1"/>
  <c r="AA452" i="1" s="1"/>
  <c r="Y470" i="1"/>
  <c r="AA470" i="1" s="1"/>
  <c r="Y484" i="1"/>
  <c r="AA484" i="1" s="1"/>
  <c r="Y491" i="1"/>
  <c r="AA491" i="1" s="1"/>
  <c r="AK567" i="1"/>
  <c r="AK555" i="1"/>
  <c r="AK541" i="1"/>
  <c r="Y438" i="1"/>
  <c r="AA438" i="1" s="1"/>
  <c r="Y450" i="1"/>
  <c r="Z450" i="1" s="1"/>
  <c r="AK503" i="1"/>
  <c r="Y408" i="1"/>
  <c r="AA408" i="1" s="1"/>
  <c r="Y415" i="1"/>
  <c r="AA415" i="1" s="1"/>
  <c r="AK456" i="1"/>
  <c r="Y468" i="1"/>
  <c r="AA468" i="1" s="1"/>
  <c r="AK452" i="1"/>
  <c r="AK457" i="1"/>
  <c r="AK473" i="1"/>
  <c r="Y403" i="1"/>
  <c r="AA403" i="1" s="1"/>
  <c r="Y411" i="1"/>
  <c r="AA411" i="1" s="1"/>
  <c r="AK450" i="1"/>
  <c r="Y453" i="1"/>
  <c r="AA453" i="1" s="1"/>
  <c r="Y471" i="1"/>
  <c r="AA471" i="1" s="1"/>
  <c r="Y492" i="1"/>
  <c r="AA492" i="1" s="1"/>
  <c r="AK513" i="1"/>
  <c r="AK529" i="1"/>
  <c r="AK527" i="1"/>
  <c r="AK525" i="1"/>
  <c r="AI525" i="1"/>
  <c r="AK521" i="1"/>
  <c r="AK523" i="1"/>
  <c r="AK522" i="1"/>
  <c r="AK520" i="1"/>
  <c r="Y523" i="1"/>
  <c r="Y521" i="1"/>
  <c r="AK517" i="1"/>
  <c r="AK516" i="1"/>
  <c r="AK518" i="1"/>
  <c r="AI516" i="1"/>
  <c r="Y516" i="1"/>
  <c r="AA516" i="1" s="1"/>
  <c r="AK515" i="1"/>
  <c r="AK514" i="1"/>
  <c r="AI517" i="1"/>
  <c r="Y515" i="1"/>
  <c r="Y519" i="1"/>
  <c r="AK511" i="1"/>
  <c r="AI511" i="1"/>
  <c r="Y478" i="1"/>
  <c r="AA478" i="1" s="1"/>
  <c r="Y496" i="1"/>
  <c r="Z496" i="1" s="1"/>
  <c r="AK489" i="1"/>
  <c r="AK488" i="1"/>
  <c r="AK487" i="1"/>
  <c r="AK496" i="1"/>
  <c r="AK495" i="1"/>
  <c r="AK494" i="1"/>
  <c r="AK492" i="1"/>
  <c r="AK490" i="1"/>
  <c r="Y489" i="1"/>
  <c r="Z489" i="1" s="1"/>
  <c r="AK486" i="1"/>
  <c r="AK491" i="1"/>
  <c r="Y497" i="1"/>
  <c r="Y493" i="1"/>
  <c r="Y488" i="1"/>
  <c r="AK485" i="1"/>
  <c r="Y482" i="1"/>
  <c r="AA482" i="1" s="1"/>
  <c r="AK480" i="1"/>
  <c r="AK484" i="1"/>
  <c r="AK483" i="1"/>
  <c r="AK482" i="1"/>
  <c r="AK481" i="1"/>
  <c r="Y481" i="1"/>
  <c r="Y485" i="1"/>
  <c r="AK479" i="1"/>
  <c r="AK478" i="1"/>
  <c r="AK477" i="1"/>
  <c r="Y476" i="1"/>
  <c r="AA476" i="1" s="1"/>
  <c r="AK476" i="1"/>
  <c r="AK475" i="1"/>
  <c r="Y475" i="1"/>
  <c r="Y479" i="1"/>
  <c r="AK474" i="1"/>
  <c r="Y467" i="1"/>
  <c r="AA467" i="1" s="1"/>
  <c r="AK469" i="1"/>
  <c r="Y472" i="1"/>
  <c r="AA472" i="1" s="1"/>
  <c r="AK472" i="1"/>
  <c r="AK470" i="1"/>
  <c r="AK466" i="1"/>
  <c r="AK471" i="1"/>
  <c r="Y473" i="1"/>
  <c r="AK468" i="1"/>
  <c r="AK467" i="1"/>
  <c r="Y465" i="1"/>
  <c r="AA465" i="1" s="1"/>
  <c r="Y464" i="1"/>
  <c r="AA464" i="1" s="1"/>
  <c r="AK462" i="1"/>
  <c r="AK465" i="1"/>
  <c r="AK464" i="1"/>
  <c r="Y463" i="1"/>
  <c r="AA463" i="1" s="1"/>
  <c r="AK463" i="1"/>
  <c r="AI464" i="1"/>
  <c r="Y462" i="1"/>
  <c r="AI463" i="1"/>
  <c r="AK461" i="1"/>
  <c r="AK460" i="1"/>
  <c r="AK459" i="1"/>
  <c r="Y458" i="1"/>
  <c r="AA458" i="1" s="1"/>
  <c r="AK458" i="1"/>
  <c r="AI459" i="1"/>
  <c r="AI458" i="1"/>
  <c r="Y461" i="1"/>
  <c r="Y449" i="1"/>
  <c r="Z449" i="1" s="1"/>
  <c r="AI455" i="1"/>
  <c r="Y457" i="1"/>
  <c r="AI452" i="1"/>
  <c r="Y454" i="1"/>
  <c r="AI449" i="1"/>
  <c r="Y451" i="1"/>
  <c r="AK446" i="1"/>
  <c r="Y364" i="1"/>
  <c r="AA364" i="1" s="1"/>
  <c r="AK365" i="1"/>
  <c r="R400" i="1"/>
  <c r="AK442" i="1"/>
  <c r="AK372" i="1"/>
  <c r="Y384" i="1"/>
  <c r="Z384" i="1" s="1"/>
  <c r="Y391" i="1"/>
  <c r="AA391" i="1" s="1"/>
  <c r="Y412" i="1"/>
  <c r="AA412" i="1" s="1"/>
  <c r="AK374" i="1"/>
  <c r="Y375" i="1"/>
  <c r="AA375" i="1" s="1"/>
  <c r="Y432" i="1"/>
  <c r="AA432" i="1" s="1"/>
  <c r="AK438" i="1"/>
  <c r="AK443" i="1"/>
  <c r="Y362" i="1"/>
  <c r="Z362" i="1" s="1"/>
  <c r="AK402" i="1"/>
  <c r="AI402" i="1"/>
  <c r="AK434" i="1"/>
  <c r="AK410" i="1"/>
  <c r="AK420" i="1"/>
  <c r="Y448" i="1"/>
  <c r="AA448" i="1" s="1"/>
  <c r="Y359" i="1"/>
  <c r="Z359" i="1" s="1"/>
  <c r="AK387" i="1"/>
  <c r="AK398" i="1"/>
  <c r="AK367" i="1"/>
  <c r="Y416" i="1"/>
  <c r="AA416" i="1" s="1"/>
  <c r="Y418" i="1"/>
  <c r="AA418" i="1" s="1"/>
  <c r="Y424" i="1"/>
  <c r="Z424" i="1" s="1"/>
  <c r="Y440" i="1"/>
  <c r="Z440" i="1" s="1"/>
  <c r="Y446" i="1"/>
  <c r="AK447" i="1"/>
  <c r="Y434" i="1"/>
  <c r="Z434" i="1" s="1"/>
  <c r="AK439" i="1"/>
  <c r="Y437" i="1"/>
  <c r="AA437" i="1" s="1"/>
  <c r="AK437" i="1"/>
  <c r="AK436" i="1"/>
  <c r="AK435" i="1"/>
  <c r="AK445" i="1"/>
  <c r="AK444" i="1"/>
  <c r="AK441" i="1"/>
  <c r="AK440" i="1"/>
  <c r="AI435" i="1"/>
  <c r="AI439" i="1"/>
  <c r="AI434" i="1"/>
  <c r="AI443" i="1"/>
  <c r="AI438" i="1"/>
  <c r="Y441" i="1"/>
  <c r="Y436" i="1"/>
  <c r="AI442" i="1"/>
  <c r="Y445" i="1"/>
  <c r="AI437" i="1"/>
  <c r="Y431" i="1"/>
  <c r="AA431" i="1" s="1"/>
  <c r="Y427" i="1"/>
  <c r="AA427" i="1" s="1"/>
  <c r="AK431" i="1"/>
  <c r="Y430" i="1"/>
  <c r="Z430" i="1" s="1"/>
  <c r="AK430" i="1"/>
  <c r="AK433" i="1"/>
  <c r="AK432" i="1"/>
  <c r="AK429" i="1"/>
  <c r="AK428" i="1"/>
  <c r="Y426" i="1"/>
  <c r="AA426" i="1" s="1"/>
  <c r="AK426" i="1"/>
  <c r="AK425" i="1"/>
  <c r="AK424" i="1"/>
  <c r="Y423" i="1"/>
  <c r="AA423" i="1" s="1"/>
  <c r="AK423" i="1"/>
  <c r="AK422" i="1"/>
  <c r="AI431" i="1"/>
  <c r="AI430" i="1"/>
  <c r="Y433" i="1"/>
  <c r="AI427" i="1"/>
  <c r="AI426" i="1"/>
  <c r="Y429" i="1"/>
  <c r="Y422" i="1"/>
  <c r="AI423" i="1"/>
  <c r="Y425" i="1"/>
  <c r="Y421" i="1"/>
  <c r="AA421" i="1" s="1"/>
  <c r="Y420" i="1"/>
  <c r="AK418" i="1"/>
  <c r="AK421" i="1"/>
  <c r="Y419" i="1"/>
  <c r="AA419" i="1" s="1"/>
  <c r="Y410" i="1"/>
  <c r="AK406" i="1"/>
  <c r="Y402" i="1"/>
  <c r="AA402" i="1" s="1"/>
  <c r="AK417" i="1"/>
  <c r="AK415" i="1"/>
  <c r="P401" i="1"/>
  <c r="R401" i="1"/>
  <c r="AK416" i="1"/>
  <c r="Y414" i="1"/>
  <c r="AK414" i="1"/>
  <c r="Y417" i="1"/>
  <c r="AA417" i="1" s="1"/>
  <c r="AK413" i="1"/>
  <c r="AK412" i="1"/>
  <c r="AK411" i="1"/>
  <c r="Y413" i="1"/>
  <c r="AA413" i="1" s="1"/>
  <c r="AK409" i="1"/>
  <c r="AK408" i="1"/>
  <c r="AK407" i="1"/>
  <c r="Y409" i="1"/>
  <c r="AA409" i="1" s="1"/>
  <c r="AK403" i="1"/>
  <c r="P405" i="1"/>
  <c r="R405" i="1"/>
  <c r="P404" i="1"/>
  <c r="S405" i="1"/>
  <c r="R404" i="1"/>
  <c r="S404" i="1"/>
  <c r="AK399" i="1"/>
  <c r="AK382" i="1"/>
  <c r="AK377" i="1"/>
  <c r="AK381" i="1"/>
  <c r="AA379" i="1"/>
  <c r="Z379" i="1"/>
  <c r="AK378" i="1"/>
  <c r="Y377" i="1"/>
  <c r="AA377" i="1" s="1"/>
  <c r="Y368" i="1"/>
  <c r="AK362" i="1"/>
  <c r="AK376" i="1"/>
  <c r="AK383" i="1"/>
  <c r="AK388" i="1"/>
  <c r="R368" i="1"/>
  <c r="Z378" i="1"/>
  <c r="S368" i="1"/>
  <c r="AC368" i="1"/>
  <c r="AI368" i="1" s="1"/>
  <c r="AK379" i="1"/>
  <c r="AK390" i="1"/>
  <c r="AK366" i="1"/>
  <c r="AK386" i="1"/>
  <c r="Y372" i="1"/>
  <c r="Z369" i="1"/>
  <c r="AK369" i="1"/>
  <c r="Y380" i="1"/>
  <c r="AA380" i="1" s="1"/>
  <c r="AK384" i="1"/>
  <c r="Y373" i="1"/>
  <c r="Z370" i="1"/>
  <c r="AK370" i="1"/>
  <c r="AK380" i="1"/>
  <c r="AK385" i="1"/>
  <c r="Y381" i="1"/>
  <c r="AA381" i="1" s="1"/>
  <c r="Y383" i="1"/>
  <c r="AA383" i="1" s="1"/>
  <c r="Y389" i="1"/>
  <c r="AA389" i="1" s="1"/>
  <c r="AK391" i="1"/>
  <c r="AK389" i="1"/>
  <c r="AI390" i="1"/>
  <c r="AI389" i="1"/>
  <c r="AI386" i="1"/>
  <c r="Y388" i="1"/>
  <c r="AI383" i="1"/>
  <c r="Y385" i="1"/>
  <c r="AI380" i="1"/>
  <c r="Y382" i="1"/>
  <c r="AI363" i="1"/>
  <c r="Y360" i="1"/>
  <c r="Z360" i="1" s="1"/>
  <c r="Y355" i="1"/>
  <c r="AA355" i="1" s="1"/>
  <c r="Y351" i="1"/>
  <c r="AA351" i="1" s="1"/>
  <c r="Y356" i="1"/>
  <c r="AA356" i="1" s="1"/>
  <c r="Y315" i="1"/>
  <c r="AA315" i="1" s="1"/>
  <c r="AK359" i="1"/>
  <c r="AK358" i="1"/>
  <c r="Y348" i="1"/>
  <c r="AA348" i="1" s="1"/>
  <c r="AK360" i="1"/>
  <c r="AK351" i="1"/>
  <c r="Y361" i="1"/>
  <c r="AA361" i="1" s="1"/>
  <c r="AK361" i="1"/>
  <c r="Y358" i="1"/>
  <c r="AI359" i="1"/>
  <c r="AK357" i="1"/>
  <c r="AK356" i="1"/>
  <c r="AK354" i="1"/>
  <c r="Y354" i="1"/>
  <c r="AA354" i="1" s="1"/>
  <c r="AK355" i="1"/>
  <c r="AI354" i="1"/>
  <c r="Y357" i="1"/>
  <c r="Y353" i="1"/>
  <c r="AA353" i="1" s="1"/>
  <c r="AK352" i="1"/>
  <c r="AK353" i="1"/>
  <c r="Y350" i="1"/>
  <c r="Z350" i="1" s="1"/>
  <c r="AK350" i="1"/>
  <c r="AI350" i="1"/>
  <c r="Y352" i="1"/>
  <c r="AK339" i="1"/>
  <c r="AK336" i="1"/>
  <c r="Y342" i="1"/>
  <c r="Z342" i="1" s="1"/>
  <c r="Y337" i="1"/>
  <c r="Z337" i="1" s="1"/>
  <c r="Y312" i="1"/>
  <c r="Z312" i="1" s="1"/>
  <c r="S275" i="1"/>
  <c r="Y347" i="1"/>
  <c r="Z347" i="1" s="1"/>
  <c r="Y344" i="1"/>
  <c r="AA344" i="1" s="1"/>
  <c r="AK349" i="1"/>
  <c r="AK344" i="1"/>
  <c r="AK348" i="1"/>
  <c r="AK347" i="1"/>
  <c r="Y346" i="1"/>
  <c r="AA346" i="1" s="1"/>
  <c r="AK346" i="1"/>
  <c r="AK345" i="1"/>
  <c r="AI347" i="1"/>
  <c r="Y345" i="1"/>
  <c r="AI346" i="1"/>
  <c r="Y349" i="1"/>
  <c r="AK337" i="1"/>
  <c r="Y305" i="1"/>
  <c r="AA305" i="1" s="1"/>
  <c r="R302" i="1"/>
  <c r="AK271" i="1"/>
  <c r="Y325" i="1"/>
  <c r="AA325" i="1" s="1"/>
  <c r="AK320" i="1"/>
  <c r="AK308" i="1"/>
  <c r="AK306" i="1"/>
  <c r="P302" i="1"/>
  <c r="Y302" i="1" s="1"/>
  <c r="P304" i="1"/>
  <c r="Y304" i="1" s="1"/>
  <c r="AA304" i="1" s="1"/>
  <c r="P300" i="1"/>
  <c r="Y300" i="1" s="1"/>
  <c r="S304" i="1"/>
  <c r="R304" i="1"/>
  <c r="Y317" i="1"/>
  <c r="Z317" i="1" s="1"/>
  <c r="AK305" i="1"/>
  <c r="S302" i="1"/>
  <c r="Y313" i="1"/>
  <c r="AA313" i="1" s="1"/>
  <c r="Y338" i="1"/>
  <c r="AA338" i="1" s="1"/>
  <c r="Y336" i="1"/>
  <c r="AK318" i="1"/>
  <c r="AK309" i="1"/>
  <c r="AK316" i="1"/>
  <c r="AK327" i="1"/>
  <c r="AK343" i="1"/>
  <c r="AK334" i="1"/>
  <c r="AK342" i="1"/>
  <c r="Y327" i="1"/>
  <c r="Z327" i="1" s="1"/>
  <c r="AK340" i="1"/>
  <c r="Y341" i="1"/>
  <c r="Z341" i="1" s="1"/>
  <c r="Y340" i="1"/>
  <c r="AA340" i="1" s="1"/>
  <c r="AK328" i="1"/>
  <c r="AK338" i="1"/>
  <c r="Y339" i="1"/>
  <c r="AK341" i="1"/>
  <c r="AI340" i="1"/>
  <c r="Y343" i="1"/>
  <c r="Y329" i="1"/>
  <c r="Z329" i="1" s="1"/>
  <c r="AK335" i="1"/>
  <c r="AK333" i="1"/>
  <c r="Y335" i="1"/>
  <c r="Y334" i="1"/>
  <c r="Y333" i="1"/>
  <c r="AK330" i="1"/>
  <c r="AK329" i="1"/>
  <c r="Y330" i="1"/>
  <c r="Y328" i="1"/>
  <c r="AI327" i="1"/>
  <c r="Y324" i="1"/>
  <c r="Z324" i="1" s="1"/>
  <c r="AK326" i="1"/>
  <c r="AK323" i="1"/>
  <c r="Y323" i="1"/>
  <c r="AA323" i="1" s="1"/>
  <c r="AK325" i="1"/>
  <c r="AK324" i="1"/>
  <c r="AK322" i="1"/>
  <c r="Y322" i="1"/>
  <c r="Y326" i="1"/>
  <c r="AK321" i="1"/>
  <c r="AK319" i="1"/>
  <c r="Y321" i="1"/>
  <c r="Y320" i="1"/>
  <c r="Y319" i="1"/>
  <c r="Y318" i="1"/>
  <c r="AK317" i="1"/>
  <c r="Y316" i="1"/>
  <c r="Z316" i="1" s="1"/>
  <c r="AK315" i="1"/>
  <c r="AK314" i="1"/>
  <c r="AK313" i="1"/>
  <c r="AK312" i="1"/>
  <c r="Y311" i="1"/>
  <c r="AA311" i="1" s="1"/>
  <c r="AK311" i="1"/>
  <c r="AK310" i="1"/>
  <c r="Y310" i="1"/>
  <c r="Y314" i="1"/>
  <c r="Y309" i="1"/>
  <c r="Y308" i="1"/>
  <c r="AK307" i="1"/>
  <c r="Y307" i="1"/>
  <c r="AA307" i="1" s="1"/>
  <c r="Y306" i="1"/>
  <c r="S300" i="1"/>
  <c r="S297" i="1"/>
  <c r="R300" i="1"/>
  <c r="Y229" i="1"/>
  <c r="Z229" i="1" s="1"/>
  <c r="P299" i="1"/>
  <c r="R299" i="1"/>
  <c r="Y224" i="1"/>
  <c r="AA224" i="1" s="1"/>
  <c r="S287" i="1"/>
  <c r="S299" i="1"/>
  <c r="P294" i="1"/>
  <c r="Y294" i="1" s="1"/>
  <c r="P301" i="1"/>
  <c r="R301" i="1"/>
  <c r="S301" i="1"/>
  <c r="P303" i="1"/>
  <c r="R303" i="1"/>
  <c r="S303" i="1"/>
  <c r="P297" i="1"/>
  <c r="R297" i="1"/>
  <c r="R292" i="1"/>
  <c r="P295" i="1"/>
  <c r="S295" i="1"/>
  <c r="R295" i="1"/>
  <c r="R294" i="1"/>
  <c r="S294" i="1"/>
  <c r="Y147" i="1"/>
  <c r="AA147" i="1" s="1"/>
  <c r="Y161" i="1"/>
  <c r="AA161" i="1" s="1"/>
  <c r="S273" i="1"/>
  <c r="S290" i="1"/>
  <c r="P288" i="1"/>
  <c r="Y288" i="1" s="1"/>
  <c r="R296" i="1"/>
  <c r="P276" i="1"/>
  <c r="Y276" i="1" s="1"/>
  <c r="S279" i="1"/>
  <c r="AK238" i="1"/>
  <c r="S281" i="1"/>
  <c r="S296" i="1"/>
  <c r="P274" i="1"/>
  <c r="S293" i="1"/>
  <c r="P298" i="1"/>
  <c r="R298" i="1"/>
  <c r="S298" i="1"/>
  <c r="P293" i="1"/>
  <c r="R293" i="1"/>
  <c r="P296" i="1"/>
  <c r="P291" i="1"/>
  <c r="R291" i="1"/>
  <c r="S291" i="1"/>
  <c r="P289" i="1"/>
  <c r="Y289" i="1" s="1"/>
  <c r="AA289" i="1" s="1"/>
  <c r="S289" i="1"/>
  <c r="Y251" i="1"/>
  <c r="AA251" i="1" s="1"/>
  <c r="Y265" i="1"/>
  <c r="Z265" i="1" s="1"/>
  <c r="R289" i="1"/>
  <c r="AK230" i="1"/>
  <c r="Y240" i="1"/>
  <c r="Z240" i="1" s="1"/>
  <c r="Y247" i="1"/>
  <c r="AA247" i="1" s="1"/>
  <c r="AK261" i="1"/>
  <c r="Y268" i="1"/>
  <c r="Z268" i="1" s="1"/>
  <c r="Y218" i="1"/>
  <c r="AA218" i="1" s="1"/>
  <c r="AK229" i="1"/>
  <c r="Y245" i="1"/>
  <c r="Z245" i="1" s="1"/>
  <c r="Y252" i="1"/>
  <c r="AA252" i="1" s="1"/>
  <c r="AK186" i="1"/>
  <c r="R288" i="1"/>
  <c r="AK233" i="1"/>
  <c r="Y216" i="1"/>
  <c r="AA216" i="1" s="1"/>
  <c r="S288" i="1"/>
  <c r="Y223" i="1"/>
  <c r="AA223" i="1" s="1"/>
  <c r="P273" i="1"/>
  <c r="Y273" i="1" s="1"/>
  <c r="AK223" i="1"/>
  <c r="AK239" i="1"/>
  <c r="Y176" i="1"/>
  <c r="AA176" i="1" s="1"/>
  <c r="Y250" i="1"/>
  <c r="AA250" i="1" s="1"/>
  <c r="Y257" i="1"/>
  <c r="AA257" i="1" s="1"/>
  <c r="Y264" i="1"/>
  <c r="AA264" i="1" s="1"/>
  <c r="Y271" i="1"/>
  <c r="Z271" i="1" s="1"/>
  <c r="R273" i="1"/>
  <c r="AK221" i="1"/>
  <c r="S292" i="1"/>
  <c r="AK148" i="1"/>
  <c r="Y177" i="1"/>
  <c r="AA177" i="1" s="1"/>
  <c r="AK183" i="1"/>
  <c r="R282" i="1"/>
  <c r="P281" i="1"/>
  <c r="Y281" i="1" s="1"/>
  <c r="AA281" i="1" s="1"/>
  <c r="Y235" i="1"/>
  <c r="Z235" i="1" s="1"/>
  <c r="Y239" i="1"/>
  <c r="AA239" i="1" s="1"/>
  <c r="Y258" i="1"/>
  <c r="AA258" i="1" s="1"/>
  <c r="AK265" i="1"/>
  <c r="R281" i="1"/>
  <c r="P284" i="1"/>
  <c r="Y284" i="1" s="1"/>
  <c r="P292" i="1"/>
  <c r="Y270" i="1"/>
  <c r="Z270" i="1" s="1"/>
  <c r="Y236" i="1"/>
  <c r="AA236" i="1" s="1"/>
  <c r="R290" i="1"/>
  <c r="Y238" i="1"/>
  <c r="AA238" i="1" s="1"/>
  <c r="S286" i="1"/>
  <c r="Y262" i="1"/>
  <c r="Z262" i="1" s="1"/>
  <c r="AI221" i="1"/>
  <c r="AK215" i="1"/>
  <c r="AK227" i="1"/>
  <c r="AK224" i="1"/>
  <c r="Y170" i="1"/>
  <c r="Z170" i="1" s="1"/>
  <c r="Y221" i="1"/>
  <c r="Z221" i="1" s="1"/>
  <c r="Y179" i="1"/>
  <c r="AA179" i="1" s="1"/>
  <c r="AK139" i="1"/>
  <c r="Y232" i="1"/>
  <c r="Z232" i="1" s="1"/>
  <c r="Y260" i="1"/>
  <c r="Z260" i="1" s="1"/>
  <c r="R287" i="1"/>
  <c r="P287" i="1"/>
  <c r="P290" i="1"/>
  <c r="P286" i="1"/>
  <c r="Y286" i="1" s="1"/>
  <c r="AA286" i="1" s="1"/>
  <c r="R286" i="1"/>
  <c r="S285" i="1"/>
  <c r="S282" i="1"/>
  <c r="R284" i="1"/>
  <c r="S284" i="1"/>
  <c r="P282" i="1"/>
  <c r="P283" i="1"/>
  <c r="R283" i="1"/>
  <c r="S283" i="1"/>
  <c r="P285" i="1"/>
  <c r="R285" i="1"/>
  <c r="S280" i="1"/>
  <c r="P277" i="1"/>
  <c r="R277" i="1"/>
  <c r="S277" i="1"/>
  <c r="P278" i="1"/>
  <c r="R278" i="1"/>
  <c r="S278" i="1"/>
  <c r="P279" i="1"/>
  <c r="R279" i="1"/>
  <c r="P280" i="1"/>
  <c r="R280" i="1"/>
  <c r="R276" i="1"/>
  <c r="S276" i="1"/>
  <c r="P275" i="1"/>
  <c r="R275" i="1"/>
  <c r="R274" i="1"/>
  <c r="S274" i="1"/>
  <c r="P272" i="1"/>
  <c r="S272" i="1"/>
  <c r="R272" i="1"/>
  <c r="AK270" i="1"/>
  <c r="Y267" i="1"/>
  <c r="Z267" i="1" s="1"/>
  <c r="AK269" i="1"/>
  <c r="AK268" i="1"/>
  <c r="AK267" i="1"/>
  <c r="Y266" i="1"/>
  <c r="AA266" i="1" s="1"/>
  <c r="AK266" i="1"/>
  <c r="AI267" i="1"/>
  <c r="AI266" i="1"/>
  <c r="Y269" i="1"/>
  <c r="AK264" i="1"/>
  <c r="Y263" i="1"/>
  <c r="AA263" i="1" s="1"/>
  <c r="AK263" i="1"/>
  <c r="AI264" i="1"/>
  <c r="AK262" i="1"/>
  <c r="AI263" i="1"/>
  <c r="Y261" i="1"/>
  <c r="AK260" i="1"/>
  <c r="AK259" i="1"/>
  <c r="AK258" i="1"/>
  <c r="AK257" i="1"/>
  <c r="Y256" i="1"/>
  <c r="AA256" i="1" s="1"/>
  <c r="AK256" i="1"/>
  <c r="AK255" i="1"/>
  <c r="AK254" i="1"/>
  <c r="AK253" i="1"/>
  <c r="AK250" i="1"/>
  <c r="Y253" i="1"/>
  <c r="Z253" i="1" s="1"/>
  <c r="AI257" i="1"/>
  <c r="Y255" i="1"/>
  <c r="AI256" i="1"/>
  <c r="Y259" i="1"/>
  <c r="AK252" i="1"/>
  <c r="AK251" i="1"/>
  <c r="Y254" i="1"/>
  <c r="AK249" i="1"/>
  <c r="Y249" i="1"/>
  <c r="Z249" i="1" s="1"/>
  <c r="AK248" i="1"/>
  <c r="AK247" i="1"/>
  <c r="AK246" i="1"/>
  <c r="Y246" i="1"/>
  <c r="AA246" i="1" s="1"/>
  <c r="Y248" i="1"/>
  <c r="AI247" i="1"/>
  <c r="AI246" i="1"/>
  <c r="Y244" i="1"/>
  <c r="Z244" i="1" s="1"/>
  <c r="Y243" i="1"/>
  <c r="AA243" i="1" s="1"/>
  <c r="AK245" i="1"/>
  <c r="AK244" i="1"/>
  <c r="AK243" i="1"/>
  <c r="AI244" i="1"/>
  <c r="AI243" i="1"/>
  <c r="AK242" i="1"/>
  <c r="Y242" i="1"/>
  <c r="AK241" i="1"/>
  <c r="Y241" i="1"/>
  <c r="AK240" i="1"/>
  <c r="AK237" i="1"/>
  <c r="AK236" i="1"/>
  <c r="AK235" i="1"/>
  <c r="AI235" i="1"/>
  <c r="Y237" i="1"/>
  <c r="Y213" i="1"/>
  <c r="Z213" i="1" s="1"/>
  <c r="Y225" i="1"/>
  <c r="Z225" i="1" s="1"/>
  <c r="Y219" i="1"/>
  <c r="AA219" i="1" s="1"/>
  <c r="Y200" i="1"/>
  <c r="Z200" i="1" s="1"/>
  <c r="Y195" i="1"/>
  <c r="AA195" i="1" s="1"/>
  <c r="Y217" i="1"/>
  <c r="Z217" i="1" s="1"/>
  <c r="AK234" i="1"/>
  <c r="Y234" i="1"/>
  <c r="Y233" i="1"/>
  <c r="AK232" i="1"/>
  <c r="Y230" i="1"/>
  <c r="AI229" i="1"/>
  <c r="Y227" i="1"/>
  <c r="AA227" i="1" s="1"/>
  <c r="AI227" i="1"/>
  <c r="P228" i="1"/>
  <c r="R228" i="1"/>
  <c r="S228" i="1"/>
  <c r="P226" i="1"/>
  <c r="AK226" i="1" s="1"/>
  <c r="R226" i="1"/>
  <c r="S226" i="1"/>
  <c r="AK225" i="1"/>
  <c r="AI224" i="1"/>
  <c r="Y220" i="1"/>
  <c r="Z220" i="1" s="1"/>
  <c r="AK219" i="1"/>
  <c r="AK217" i="1"/>
  <c r="Y222" i="1"/>
  <c r="AI219" i="1"/>
  <c r="AI217" i="1"/>
  <c r="Y215" i="1"/>
  <c r="Z215" i="1" s="1"/>
  <c r="Y174" i="1"/>
  <c r="AA174" i="1" s="1"/>
  <c r="Y181" i="1"/>
  <c r="AA181" i="1" s="1"/>
  <c r="Y191" i="1"/>
  <c r="AA191" i="1" s="1"/>
  <c r="Y209" i="1"/>
  <c r="AA209" i="1" s="1"/>
  <c r="AK210" i="1"/>
  <c r="Y201" i="1"/>
  <c r="Z201" i="1" s="1"/>
  <c r="Y185" i="1"/>
  <c r="Z185" i="1" s="1"/>
  <c r="Y208" i="1"/>
  <c r="AA208" i="1" s="1"/>
  <c r="Y150" i="1"/>
  <c r="Z150" i="1" s="1"/>
  <c r="AK206" i="1"/>
  <c r="Y138" i="1"/>
  <c r="AA138" i="1" s="1"/>
  <c r="AK191" i="1"/>
  <c r="Y196" i="1"/>
  <c r="AA196" i="1" s="1"/>
  <c r="AK143" i="1"/>
  <c r="AK95" i="1"/>
  <c r="AK145" i="1"/>
  <c r="Y164" i="1"/>
  <c r="AA164" i="1" s="1"/>
  <c r="AK170" i="1"/>
  <c r="Y194" i="1"/>
  <c r="AA194" i="1" s="1"/>
  <c r="Y199" i="1"/>
  <c r="AA199" i="1" s="1"/>
  <c r="Y114" i="1"/>
  <c r="AA114" i="1" s="1"/>
  <c r="AK144" i="1"/>
  <c r="Y173" i="1"/>
  <c r="Z173" i="1" s="1"/>
  <c r="Y186" i="1"/>
  <c r="AA186" i="1" s="1"/>
  <c r="Y193" i="1"/>
  <c r="AA193" i="1" s="1"/>
  <c r="AK194" i="1"/>
  <c r="Y210" i="1"/>
  <c r="Z210" i="1" s="1"/>
  <c r="Y162" i="1"/>
  <c r="AA162" i="1" s="1"/>
  <c r="Y171" i="1"/>
  <c r="Z171" i="1" s="1"/>
  <c r="Y182" i="1"/>
  <c r="AA182" i="1" s="1"/>
  <c r="Y188" i="1"/>
  <c r="Z188" i="1" s="1"/>
  <c r="AK137" i="1"/>
  <c r="AK151" i="1"/>
  <c r="AK155" i="1"/>
  <c r="Y160" i="1"/>
  <c r="Z160" i="1" s="1"/>
  <c r="Y180" i="1"/>
  <c r="AA180" i="1" s="1"/>
  <c r="AK174" i="1"/>
  <c r="AK154" i="1"/>
  <c r="Y204" i="1"/>
  <c r="Z204" i="1" s="1"/>
  <c r="AK135" i="1"/>
  <c r="Y167" i="1"/>
  <c r="Z167" i="1" s="1"/>
  <c r="Y149" i="1"/>
  <c r="Z149" i="1" s="1"/>
  <c r="AK158" i="1"/>
  <c r="Y165" i="1"/>
  <c r="Z165" i="1" s="1"/>
  <c r="AK177" i="1"/>
  <c r="AK182" i="1"/>
  <c r="Y212" i="1"/>
  <c r="AA212" i="1" s="1"/>
  <c r="AK213" i="1"/>
  <c r="AK212" i="1"/>
  <c r="Y214" i="1"/>
  <c r="Y211" i="1"/>
  <c r="AK209" i="1"/>
  <c r="Y207" i="1"/>
  <c r="AA207" i="1" s="1"/>
  <c r="Y206" i="1"/>
  <c r="AA206" i="1" s="1"/>
  <c r="AK207" i="1"/>
  <c r="AI206" i="1"/>
  <c r="Y203" i="1"/>
  <c r="Z203" i="1" s="1"/>
  <c r="AK203" i="1"/>
  <c r="AK204" i="1"/>
  <c r="AI203" i="1"/>
  <c r="Y205" i="1"/>
  <c r="AK201" i="1"/>
  <c r="AK200" i="1"/>
  <c r="AI200" i="1"/>
  <c r="Y202" i="1"/>
  <c r="AK198" i="1"/>
  <c r="Y198" i="1"/>
  <c r="AA198" i="1" s="1"/>
  <c r="AK197" i="1"/>
  <c r="Y197" i="1"/>
  <c r="AI198" i="1"/>
  <c r="AK195" i="1"/>
  <c r="AI195" i="1"/>
  <c r="AI194" i="1"/>
  <c r="Y192" i="1"/>
  <c r="AA192" i="1" s="1"/>
  <c r="Y189" i="1"/>
  <c r="AA189" i="1" s="1"/>
  <c r="AK192" i="1"/>
  <c r="AI192" i="1"/>
  <c r="AI191" i="1"/>
  <c r="Y190" i="1"/>
  <c r="AA190" i="1" s="1"/>
  <c r="AK188" i="1"/>
  <c r="AK189" i="1"/>
  <c r="AK185" i="1"/>
  <c r="AI185" i="1"/>
  <c r="Y187" i="1"/>
  <c r="Y183" i="1"/>
  <c r="AA183" i="1" s="1"/>
  <c r="AI182" i="1"/>
  <c r="Y184" i="1"/>
  <c r="AK180" i="1"/>
  <c r="AK179" i="1"/>
  <c r="AI180" i="1"/>
  <c r="AK176" i="1"/>
  <c r="AI176" i="1"/>
  <c r="Y178" i="1"/>
  <c r="AK173" i="1"/>
  <c r="AI173" i="1"/>
  <c r="Y175" i="1"/>
  <c r="AK171" i="1"/>
  <c r="AI170" i="1"/>
  <c r="Y172" i="1"/>
  <c r="Y153" i="1"/>
  <c r="AA153" i="1" s="1"/>
  <c r="AK161" i="1"/>
  <c r="AK152" i="1"/>
  <c r="AK168" i="1"/>
  <c r="AK146" i="1"/>
  <c r="AK111" i="1"/>
  <c r="AK136" i="1"/>
  <c r="AK118" i="1"/>
  <c r="Y134" i="1"/>
  <c r="AA134" i="1" s="1"/>
  <c r="AK141" i="1"/>
  <c r="AK159" i="1"/>
  <c r="Y154" i="1"/>
  <c r="AA154" i="1" s="1"/>
  <c r="AI168" i="1"/>
  <c r="Y151" i="1"/>
  <c r="AA151" i="1" s="1"/>
  <c r="AK138" i="1"/>
  <c r="Y163" i="1"/>
  <c r="Z163" i="1" s="1"/>
  <c r="Y156" i="1"/>
  <c r="AA156" i="1" s="1"/>
  <c r="AK157" i="1"/>
  <c r="AK140" i="1"/>
  <c r="AK134" i="1"/>
  <c r="AK156" i="1"/>
  <c r="AK142" i="1"/>
  <c r="Y152" i="1"/>
  <c r="AA152" i="1" s="1"/>
  <c r="AK153" i="1"/>
  <c r="AK150" i="1"/>
  <c r="Y142" i="1"/>
  <c r="AA142" i="1" s="1"/>
  <c r="AK149" i="1"/>
  <c r="AI118" i="1"/>
  <c r="AK110" i="1"/>
  <c r="AK147" i="1"/>
  <c r="AK160" i="1"/>
  <c r="Y168" i="1"/>
  <c r="Z168" i="1" s="1"/>
  <c r="AK167" i="1"/>
  <c r="Y169" i="1"/>
  <c r="AK165" i="1"/>
  <c r="AK164" i="1"/>
  <c r="AI164" i="1"/>
  <c r="Y166" i="1"/>
  <c r="AK162" i="1"/>
  <c r="AK131" i="1"/>
  <c r="Y133" i="1"/>
  <c r="Z133" i="1" s="1"/>
  <c r="AK133" i="1"/>
  <c r="Y108" i="1"/>
  <c r="Z108" i="1" s="1"/>
  <c r="AK108" i="1"/>
  <c r="AK109" i="1"/>
  <c r="Y155" i="1"/>
  <c r="AA155" i="1" s="1"/>
  <c r="AK132" i="1"/>
  <c r="Y135" i="1"/>
  <c r="AA135" i="1" s="1"/>
  <c r="Y159" i="1"/>
  <c r="AA159" i="1" s="1"/>
  <c r="AK114" i="1"/>
  <c r="Y131" i="1"/>
  <c r="AA131" i="1" s="1"/>
  <c r="Y132" i="1"/>
  <c r="AA132" i="1" s="1"/>
  <c r="Y158" i="1"/>
  <c r="AA158" i="1" s="1"/>
  <c r="Y141" i="1"/>
  <c r="AA141" i="1" s="1"/>
  <c r="Y146" i="1"/>
  <c r="AA146" i="1" s="1"/>
  <c r="Y157" i="1"/>
  <c r="AA157" i="1" s="1"/>
  <c r="Y148" i="1"/>
  <c r="AA148" i="1" s="1"/>
  <c r="Y145" i="1"/>
  <c r="Y144" i="1"/>
  <c r="Y143" i="1"/>
  <c r="Y139" i="1"/>
  <c r="Z139" i="1" s="1"/>
  <c r="Y140" i="1"/>
  <c r="AA140" i="1" s="1"/>
  <c r="Y136" i="1"/>
  <c r="Z136" i="1" s="1"/>
  <c r="Y137" i="1"/>
  <c r="AA137" i="1" s="1"/>
  <c r="Y118" i="1"/>
  <c r="AA118" i="1" s="1"/>
  <c r="Y111" i="1"/>
  <c r="AA111" i="1" s="1"/>
  <c r="Y110" i="1"/>
  <c r="Z110" i="1" s="1"/>
  <c r="Y109" i="1"/>
  <c r="AA109" i="1" s="1"/>
  <c r="AA1115" i="1" l="1"/>
  <c r="Z1122" i="1"/>
  <c r="AH1103" i="1"/>
  <c r="AA1139" i="1"/>
  <c r="Z1135" i="1"/>
  <c r="Z1125" i="1"/>
  <c r="AA1130" i="1"/>
  <c r="Z1150" i="1"/>
  <c r="AA1114" i="1"/>
  <c r="AA1112" i="1"/>
  <c r="Z1151" i="1"/>
  <c r="AK1165" i="1"/>
  <c r="Z1086" i="1"/>
  <c r="Z1147" i="1"/>
  <c r="Z1145" i="1"/>
  <c r="AH1170" i="1"/>
  <c r="AA1076" i="1"/>
  <c r="AA1082" i="1"/>
  <c r="AH1164" i="1"/>
  <c r="AH1163" i="1"/>
  <c r="Z1127" i="1"/>
  <c r="Z1091" i="1"/>
  <c r="AA1146" i="1"/>
  <c r="Z1154" i="1"/>
  <c r="Z1162" i="1"/>
  <c r="AA1153" i="1"/>
  <c r="Z1120" i="1"/>
  <c r="AA1144" i="1"/>
  <c r="Z1155" i="1"/>
  <c r="AA1118" i="1"/>
  <c r="Z1136" i="1"/>
  <c r="AA1159" i="1"/>
  <c r="AH1107" i="1"/>
  <c r="AA1113" i="1"/>
  <c r="Z1129" i="1"/>
  <c r="Z1140" i="1"/>
  <c r="AA1152" i="1"/>
  <c r="Z1128" i="1"/>
  <c r="Z1142" i="1"/>
  <c r="Z1148" i="1"/>
  <c r="AH1172" i="1"/>
  <c r="AK1172" i="1"/>
  <c r="AH1169" i="1"/>
  <c r="Z1156" i="1"/>
  <c r="AA1083" i="1"/>
  <c r="AA1123" i="1"/>
  <c r="AA1084" i="1"/>
  <c r="AH1100" i="1"/>
  <c r="Z1096" i="1"/>
  <c r="Z1087" i="1"/>
  <c r="AK1100" i="1"/>
  <c r="AA1119" i="1"/>
  <c r="AA1158" i="1"/>
  <c r="AA1085" i="1"/>
  <c r="Z1078" i="1"/>
  <c r="Z1134" i="1"/>
  <c r="AA1160" i="1"/>
  <c r="Z1160" i="1"/>
  <c r="AA1143" i="1"/>
  <c r="Z1138" i="1"/>
  <c r="AH1098" i="1"/>
  <c r="AA1077" i="1"/>
  <c r="AA1132" i="1"/>
  <c r="Z1111" i="1"/>
  <c r="AA1133" i="1"/>
  <c r="Z1081" i="1"/>
  <c r="AA1081" i="1"/>
  <c r="AA1137" i="1"/>
  <c r="Z1137" i="1"/>
  <c r="AA1080" i="1"/>
  <c r="Z1080" i="1"/>
  <c r="AH1104" i="1"/>
  <c r="AH1108" i="1"/>
  <c r="Z1092" i="1"/>
  <c r="AH1101" i="1"/>
  <c r="Z1079" i="1"/>
  <c r="AA1079" i="1"/>
  <c r="Z1090" i="1"/>
  <c r="AH1109" i="1"/>
  <c r="AA1121" i="1"/>
  <c r="Z1116" i="1"/>
  <c r="Z1124" i="1"/>
  <c r="Z1117" i="1"/>
  <c r="AH1110" i="1"/>
  <c r="AK1110" i="1"/>
  <c r="AH1105" i="1"/>
  <c r="AK1105" i="1"/>
  <c r="AK1101" i="1"/>
  <c r="AA1095" i="1"/>
  <c r="Z1095" i="1"/>
  <c r="AA1094" i="1"/>
  <c r="Z1094" i="1"/>
  <c r="AA1089" i="1"/>
  <c r="Z1089" i="1"/>
  <c r="Z1093" i="1"/>
  <c r="AA1093" i="1"/>
  <c r="AA1088" i="1"/>
  <c r="Z1088" i="1"/>
  <c r="AE126" i="1"/>
  <c r="AI130" i="1"/>
  <c r="AK129" i="1"/>
  <c r="AA119" i="1"/>
  <c r="AK126" i="1"/>
  <c r="AE122" i="1"/>
  <c r="Z121" i="1"/>
  <c r="Z125" i="1"/>
  <c r="AA129" i="1"/>
  <c r="Z123" i="1"/>
  <c r="AE121" i="1"/>
  <c r="AE119" i="1"/>
  <c r="AK121" i="1"/>
  <c r="AK128" i="1"/>
  <c r="AH125" i="1"/>
  <c r="AK127" i="1"/>
  <c r="AA124" i="1"/>
  <c r="AK122" i="1"/>
  <c r="AK130" i="1"/>
  <c r="Z130" i="1"/>
  <c r="AE129" i="1"/>
  <c r="AA126" i="1"/>
  <c r="Z231" i="1"/>
  <c r="AE124" i="1"/>
  <c r="AI124" i="1"/>
  <c r="AK119" i="1"/>
  <c r="AK120" i="1"/>
  <c r="Z122" i="1"/>
  <c r="AE1051" i="1"/>
  <c r="AK123" i="1"/>
  <c r="Z128" i="1"/>
  <c r="Z127" i="1"/>
  <c r="AA120" i="1"/>
  <c r="Z1067" i="1"/>
  <c r="Z1018" i="1"/>
  <c r="Z1047" i="1"/>
  <c r="Z1063" i="1"/>
  <c r="AH1074" i="1"/>
  <c r="AI1023" i="1"/>
  <c r="AA1043" i="1"/>
  <c r="Z1022" i="1"/>
  <c r="AA1007" i="1"/>
  <c r="Z1017" i="1"/>
  <c r="AK1069" i="1"/>
  <c r="AA1037" i="1"/>
  <c r="Z585" i="1"/>
  <c r="Z1016" i="1"/>
  <c r="AE1025" i="1"/>
  <c r="AA1066" i="1"/>
  <c r="Z1031" i="1"/>
  <c r="AA1036" i="1"/>
  <c r="AE1049" i="1"/>
  <c r="AE1040" i="1"/>
  <c r="Z1021" i="1"/>
  <c r="AH1073" i="1"/>
  <c r="Z1061" i="1"/>
  <c r="AA1054" i="1"/>
  <c r="AA1045" i="1"/>
  <c r="AK1025" i="1"/>
  <c r="AA1024" i="1"/>
  <c r="AA1046" i="1"/>
  <c r="Z1019" i="1"/>
  <c r="AA1060" i="1"/>
  <c r="AA1025" i="1"/>
  <c r="AA1028" i="1"/>
  <c r="Z1058" i="1"/>
  <c r="AH1072" i="1"/>
  <c r="AH1071" i="1"/>
  <c r="AK1072" i="1"/>
  <c r="AH1070" i="1"/>
  <c r="AH1068" i="1"/>
  <c r="AK1068" i="1"/>
  <c r="Z1032" i="1"/>
  <c r="Z1027" i="1"/>
  <c r="AA1030" i="1"/>
  <c r="AA1053" i="1"/>
  <c r="Z1055" i="1"/>
  <c r="Z986" i="1"/>
  <c r="AK1023" i="1"/>
  <c r="Z993" i="1"/>
  <c r="Z1064" i="1"/>
  <c r="AA1065" i="1"/>
  <c r="Z1029" i="1"/>
  <c r="Z1056" i="1"/>
  <c r="Z974" i="1"/>
  <c r="Z1026" i="1"/>
  <c r="AA1023" i="1"/>
  <c r="AA1033" i="1"/>
  <c r="Z1020" i="1"/>
  <c r="AA1035" i="1"/>
  <c r="AI1052" i="1"/>
  <c r="AA1062" i="1"/>
  <c r="AA1059" i="1"/>
  <c r="Z1059" i="1"/>
  <c r="Z1057" i="1"/>
  <c r="AA1057" i="1"/>
  <c r="AA1044" i="1"/>
  <c r="Z1044" i="1"/>
  <c r="AA1041" i="1"/>
  <c r="Z1034" i="1"/>
  <c r="AA988" i="1"/>
  <c r="Z998" i="1"/>
  <c r="AA1008" i="1"/>
  <c r="AA1011" i="1"/>
  <c r="AA969" i="1"/>
  <c r="AA1012" i="1"/>
  <c r="AA1010" i="1"/>
  <c r="Z1010" i="1"/>
  <c r="AA997" i="1"/>
  <c r="Z965" i="1"/>
  <c r="Z972" i="1"/>
  <c r="Z547" i="1"/>
  <c r="AA961" i="1"/>
  <c r="Z1004" i="1"/>
  <c r="AA985" i="1"/>
  <c r="AA968" i="1"/>
  <c r="Z1000" i="1"/>
  <c r="Z1005" i="1"/>
  <c r="AA1009" i="1"/>
  <c r="Z1009" i="1"/>
  <c r="Z996" i="1"/>
  <c r="Z1001" i="1"/>
  <c r="Z962" i="1"/>
  <c r="Z995" i="1"/>
  <c r="AA980" i="1"/>
  <c r="Z967" i="1"/>
  <c r="AA990" i="1"/>
  <c r="AA973" i="1"/>
  <c r="AA978" i="1"/>
  <c r="AA992" i="1"/>
  <c r="Z963" i="1"/>
  <c r="Z994" i="1"/>
  <c r="AA1006" i="1"/>
  <c r="AA756" i="1"/>
  <c r="AA1003" i="1"/>
  <c r="Z1003" i="1"/>
  <c r="Z966" i="1"/>
  <c r="Z977" i="1"/>
  <c r="AA999" i="1"/>
  <c r="AA976" i="1"/>
  <c r="Z982" i="1"/>
  <c r="Z975" i="1"/>
  <c r="Z964" i="1"/>
  <c r="Z971" i="1"/>
  <c r="Z981" i="1"/>
  <c r="AA1002" i="1"/>
  <c r="Z991" i="1"/>
  <c r="Z989" i="1"/>
  <c r="AA984" i="1"/>
  <c r="Z984" i="1"/>
  <c r="AA987" i="1"/>
  <c r="Z987" i="1"/>
  <c r="Z983" i="1"/>
  <c r="Z979" i="1"/>
  <c r="Z970" i="1"/>
  <c r="AA761" i="1"/>
  <c r="AA749" i="1"/>
  <c r="Z924" i="1"/>
  <c r="AA754" i="1"/>
  <c r="Z934" i="1"/>
  <c r="AA763" i="1"/>
  <c r="Z755" i="1"/>
  <c r="AI865" i="1"/>
  <c r="Z746" i="1"/>
  <c r="Z752" i="1"/>
  <c r="Z949" i="1"/>
  <c r="Z943" i="1"/>
  <c r="Z748" i="1"/>
  <c r="AA762" i="1"/>
  <c r="AA931" i="1"/>
  <c r="AA952" i="1"/>
  <c r="Z885" i="1"/>
  <c r="Z922" i="1"/>
  <c r="AA950" i="1"/>
  <c r="AA766" i="1"/>
  <c r="AE869" i="1"/>
  <c r="Z726" i="1"/>
  <c r="Z911" i="1"/>
  <c r="Z758" i="1"/>
  <c r="Z765" i="1"/>
  <c r="Z884" i="1"/>
  <c r="Z767" i="1"/>
  <c r="AA767" i="1"/>
  <c r="Z744" i="1"/>
  <c r="AA955" i="1"/>
  <c r="Z751" i="1"/>
  <c r="AA935" i="1"/>
  <c r="AA760" i="1"/>
  <c r="AA764" i="1"/>
  <c r="AA946" i="1"/>
  <c r="AE840" i="1"/>
  <c r="AE818" i="1"/>
  <c r="AA921" i="1"/>
  <c r="AE820" i="1"/>
  <c r="Z960" i="1"/>
  <c r="Z930" i="1"/>
  <c r="Z740" i="1"/>
  <c r="AA759" i="1"/>
  <c r="Z759" i="1"/>
  <c r="Z750" i="1"/>
  <c r="Z743" i="1"/>
  <c r="Z742" i="1"/>
  <c r="Z741" i="1"/>
  <c r="Z757" i="1"/>
  <c r="AA747" i="1"/>
  <c r="AA745" i="1"/>
  <c r="Z745" i="1"/>
  <c r="Z753" i="1"/>
  <c r="AA753" i="1"/>
  <c r="AE874" i="1"/>
  <c r="AA912" i="1"/>
  <c r="AA947" i="1"/>
  <c r="Z893" i="1"/>
  <c r="Z886" i="1"/>
  <c r="Z887" i="1"/>
  <c r="AA926" i="1"/>
  <c r="Z918" i="1"/>
  <c r="Z944" i="1"/>
  <c r="AA951" i="1"/>
  <c r="AE957" i="1"/>
  <c r="Z721" i="1"/>
  <c r="AA721" i="1"/>
  <c r="AA923" i="1"/>
  <c r="Z956" i="1"/>
  <c r="Z936" i="1"/>
  <c r="AA917" i="1"/>
  <c r="Z959" i="1"/>
  <c r="AE870" i="1"/>
  <c r="Z857" i="1"/>
  <c r="Z932" i="1"/>
  <c r="AK881" i="1"/>
  <c r="AK877" i="1"/>
  <c r="Z945" i="1"/>
  <c r="AE858" i="1"/>
  <c r="AK865" i="1"/>
  <c r="AA928" i="1"/>
  <c r="Z925" i="1"/>
  <c r="Z734" i="1"/>
  <c r="AA737" i="1"/>
  <c r="Z737" i="1"/>
  <c r="Z736" i="1"/>
  <c r="Z731" i="1"/>
  <c r="Z825" i="1"/>
  <c r="AA948" i="1"/>
  <c r="Z904" i="1"/>
  <c r="AA906" i="1"/>
  <c r="AA939" i="1"/>
  <c r="AA954" i="1"/>
  <c r="AA892" i="1"/>
  <c r="Z920" i="1"/>
  <c r="AA901" i="1"/>
  <c r="AI881" i="1"/>
  <c r="Z927" i="1"/>
  <c r="Z888" i="1"/>
  <c r="AA894" i="1"/>
  <c r="Z940" i="1"/>
  <c r="Z958" i="1"/>
  <c r="AI959" i="1"/>
  <c r="AE959" i="1"/>
  <c r="Z953" i="1"/>
  <c r="Z942" i="1"/>
  <c r="AA941" i="1"/>
  <c r="AA937" i="1"/>
  <c r="AA869" i="1"/>
  <c r="Z869" i="1"/>
  <c r="Z877" i="1"/>
  <c r="Z933" i="1"/>
  <c r="AE855" i="1"/>
  <c r="Z919" i="1"/>
  <c r="AK869" i="1"/>
  <c r="AA881" i="1"/>
  <c r="Z929" i="1"/>
  <c r="AA891" i="1"/>
  <c r="AE843" i="1"/>
  <c r="AE862" i="1"/>
  <c r="AE871" i="1"/>
  <c r="Z821" i="1"/>
  <c r="AE867" i="1"/>
  <c r="Z882" i="1"/>
  <c r="AA900" i="1"/>
  <c r="AA899" i="1"/>
  <c r="AA903" i="1"/>
  <c r="Z908" i="1"/>
  <c r="Z902" i="1"/>
  <c r="Z909" i="1"/>
  <c r="Z913" i="1"/>
  <c r="AA916" i="1"/>
  <c r="AE839" i="1"/>
  <c r="Z907" i="1"/>
  <c r="AE859" i="1"/>
  <c r="Z915" i="1"/>
  <c r="Z861" i="1"/>
  <c r="Z883" i="1"/>
  <c r="Z914" i="1"/>
  <c r="AI877" i="1"/>
  <c r="AE842" i="1"/>
  <c r="AK873" i="1"/>
  <c r="Z905" i="1"/>
  <c r="AK861" i="1"/>
  <c r="Z865" i="1"/>
  <c r="AA910" i="1"/>
  <c r="Z898" i="1"/>
  <c r="AA889" i="1"/>
  <c r="Z889" i="1"/>
  <c r="AA890" i="1"/>
  <c r="Z890" i="1"/>
  <c r="Z853" i="1"/>
  <c r="Z873" i="1"/>
  <c r="AI856" i="1"/>
  <c r="AE856" i="1"/>
  <c r="AI876" i="1"/>
  <c r="AE876" i="1"/>
  <c r="AI868" i="1"/>
  <c r="AE868" i="1"/>
  <c r="AI864" i="1"/>
  <c r="AE864" i="1"/>
  <c r="AE823" i="1"/>
  <c r="AI823" i="1"/>
  <c r="AE819" i="1"/>
  <c r="AI819" i="1"/>
  <c r="AE832" i="1"/>
  <c r="AI846" i="1"/>
  <c r="AE846" i="1"/>
  <c r="AE848" i="1"/>
  <c r="Z707" i="1"/>
  <c r="AE834" i="1"/>
  <c r="AE826" i="1"/>
  <c r="Z659" i="1"/>
  <c r="AE836" i="1"/>
  <c r="AI838" i="1"/>
  <c r="AE838" i="1"/>
  <c r="AA716" i="1"/>
  <c r="AE828" i="1"/>
  <c r="Z693" i="1"/>
  <c r="AE844" i="1"/>
  <c r="Z692" i="1"/>
  <c r="Z673" i="1"/>
  <c r="Z687" i="1"/>
  <c r="AH293" i="1"/>
  <c r="Z711" i="1"/>
  <c r="AE670" i="1"/>
  <c r="AA704" i="1"/>
  <c r="AK611" i="1"/>
  <c r="Z628" i="1"/>
  <c r="AA696" i="1"/>
  <c r="Z713" i="1"/>
  <c r="AA660" i="1"/>
  <c r="Z677" i="1"/>
  <c r="Z681" i="1"/>
  <c r="AA639" i="1"/>
  <c r="Z684" i="1"/>
  <c r="AE611" i="1"/>
  <c r="Z635" i="1"/>
  <c r="Z703" i="1"/>
  <c r="Z837" i="1"/>
  <c r="AA651" i="1"/>
  <c r="AK621" i="1"/>
  <c r="Z706" i="1"/>
  <c r="AA649" i="1"/>
  <c r="Z710" i="1"/>
  <c r="Z701" i="1"/>
  <c r="Z829" i="1"/>
  <c r="Z631" i="1"/>
  <c r="Z682" i="1"/>
  <c r="AA817" i="1"/>
  <c r="AI668" i="1"/>
  <c r="Z690" i="1"/>
  <c r="Z841" i="1"/>
  <c r="AA679" i="1"/>
  <c r="Z845" i="1"/>
  <c r="Z695" i="1"/>
  <c r="Z678" i="1"/>
  <c r="Z626" i="1"/>
  <c r="Z634" i="1"/>
  <c r="AA709" i="1"/>
  <c r="AK619" i="1"/>
  <c r="Z686" i="1"/>
  <c r="Z700" i="1"/>
  <c r="AE619" i="1"/>
  <c r="AA643" i="1"/>
  <c r="Z719" i="1"/>
  <c r="AI615" i="1"/>
  <c r="AA622" i="1"/>
  <c r="Z712" i="1"/>
  <c r="AE615" i="1"/>
  <c r="Z672" i="1"/>
  <c r="Z698" i="1"/>
  <c r="Z674" i="1"/>
  <c r="Z661" i="1"/>
  <c r="Z675" i="1"/>
  <c r="AA657" i="1"/>
  <c r="Z849" i="1"/>
  <c r="AA833" i="1"/>
  <c r="Z833" i="1"/>
  <c r="Z816" i="1"/>
  <c r="Z658" i="1"/>
  <c r="Z680" i="1"/>
  <c r="Z717" i="1"/>
  <c r="Z720" i="1"/>
  <c r="AA708" i="1"/>
  <c r="Z708" i="1"/>
  <c r="AA715" i="1"/>
  <c r="Z715" i="1"/>
  <c r="AA718" i="1"/>
  <c r="Z718" i="1"/>
  <c r="AA714" i="1"/>
  <c r="Z714" i="1"/>
  <c r="Z705" i="1"/>
  <c r="Z702" i="1"/>
  <c r="Z624" i="1"/>
  <c r="AE666" i="1"/>
  <c r="Z688" i="1"/>
  <c r="Z697" i="1"/>
  <c r="AE662" i="1"/>
  <c r="Z683" i="1"/>
  <c r="Z625" i="1"/>
  <c r="Z623" i="1"/>
  <c r="AA691" i="1"/>
  <c r="Z694" i="1"/>
  <c r="Z699" i="1"/>
  <c r="AE664" i="1"/>
  <c r="AA689" i="1"/>
  <c r="Z689" i="1"/>
  <c r="Z685" i="1"/>
  <c r="Z676" i="1"/>
  <c r="Z642" i="1"/>
  <c r="Z648" i="1"/>
  <c r="AA629" i="1"/>
  <c r="Z583" i="1"/>
  <c r="AA650" i="1"/>
  <c r="Z656" i="1"/>
  <c r="Z637" i="1"/>
  <c r="AA637" i="1"/>
  <c r="Z653" i="1"/>
  <c r="AK607" i="1"/>
  <c r="Z655" i="1"/>
  <c r="Z654" i="1"/>
  <c r="Z646" i="1"/>
  <c r="Z638" i="1"/>
  <c r="AE607" i="1"/>
  <c r="AE621" i="1"/>
  <c r="AA652" i="1"/>
  <c r="Z652" i="1"/>
  <c r="Z647" i="1"/>
  <c r="Z644" i="1"/>
  <c r="AA645" i="1"/>
  <c r="Z645" i="1"/>
  <c r="Z641" i="1"/>
  <c r="Z640" i="1"/>
  <c r="AA640" i="1"/>
  <c r="Z636" i="1"/>
  <c r="AA636" i="1"/>
  <c r="Z633" i="1"/>
  <c r="AA633" i="1"/>
  <c r="AA632" i="1"/>
  <c r="Z632" i="1"/>
  <c r="Z630" i="1"/>
  <c r="Z627" i="1"/>
  <c r="AA616" i="1"/>
  <c r="Z616" i="1"/>
  <c r="AE617" i="1"/>
  <c r="AK617" i="1"/>
  <c r="AI617" i="1"/>
  <c r="Z610" i="1"/>
  <c r="AE605" i="1"/>
  <c r="AK605" i="1"/>
  <c r="AI605" i="1"/>
  <c r="AE603" i="1"/>
  <c r="AE599" i="1"/>
  <c r="AK599" i="1"/>
  <c r="Z580" i="1"/>
  <c r="AK603" i="1"/>
  <c r="AA596" i="1"/>
  <c r="Z598" i="1"/>
  <c r="Z604" i="1"/>
  <c r="AA581" i="1"/>
  <c r="Z394" i="1"/>
  <c r="AH304" i="1"/>
  <c r="Z393" i="1"/>
  <c r="Z590" i="1"/>
  <c r="AH278" i="1"/>
  <c r="AH298" i="1"/>
  <c r="Z397" i="1"/>
  <c r="AA595" i="1"/>
  <c r="AA591" i="1"/>
  <c r="Z579" i="1"/>
  <c r="Z592" i="1"/>
  <c r="Z593" i="1"/>
  <c r="AA584" i="1"/>
  <c r="Z584" i="1"/>
  <c r="AA597" i="1"/>
  <c r="Z597" i="1"/>
  <c r="AA594" i="1"/>
  <c r="Z594" i="1"/>
  <c r="AH283" i="1"/>
  <c r="Z116" i="1"/>
  <c r="Z582" i="1"/>
  <c r="AA396" i="1"/>
  <c r="AA395" i="1"/>
  <c r="Z395" i="1"/>
  <c r="Z115" i="1"/>
  <c r="AA392" i="1"/>
  <c r="Z392" i="1"/>
  <c r="AE288" i="1"/>
  <c r="AH303" i="1"/>
  <c r="AH190" i="1"/>
  <c r="AH282" i="1"/>
  <c r="AA542" i="1"/>
  <c r="Z406" i="1"/>
  <c r="AH277" i="1"/>
  <c r="AK178" i="1"/>
  <c r="Z112" i="1"/>
  <c r="AE294" i="1"/>
  <c r="AE298" i="1"/>
  <c r="AH280" i="1"/>
  <c r="AH205" i="1"/>
  <c r="AA477" i="1"/>
  <c r="Z555" i="1"/>
  <c r="AH291" i="1"/>
  <c r="AH214" i="1"/>
  <c r="AH285" i="1"/>
  <c r="AH292" i="1"/>
  <c r="AE181" i="1"/>
  <c r="AH299" i="1"/>
  <c r="AH297" i="1"/>
  <c r="AE163" i="1"/>
  <c r="AH295" i="1"/>
  <c r="Z495" i="1"/>
  <c r="AH294" i="1"/>
  <c r="AH296" i="1"/>
  <c r="Z113" i="1"/>
  <c r="AK184" i="1"/>
  <c r="AI178" i="1"/>
  <c r="AE184" i="1"/>
  <c r="AH272" i="1"/>
  <c r="AH287" i="1"/>
  <c r="AH301" i="1"/>
  <c r="AE277" i="1"/>
  <c r="AH284" i="1"/>
  <c r="AE274" i="1"/>
  <c r="AH275" i="1"/>
  <c r="AE565" i="1"/>
  <c r="Z487" i="1"/>
  <c r="AH218" i="1"/>
  <c r="AH289" i="1"/>
  <c r="AK181" i="1"/>
  <c r="AE303" i="1"/>
  <c r="AH300" i="1"/>
  <c r="AH178" i="1"/>
  <c r="AH281" i="1"/>
  <c r="AH286" i="1"/>
  <c r="AH279" i="1"/>
  <c r="AH302" i="1"/>
  <c r="AH274" i="1"/>
  <c r="AH273" i="1"/>
  <c r="AH290" i="1"/>
  <c r="AH216" i="1"/>
  <c r="AA117" i="1"/>
  <c r="Z117" i="1"/>
  <c r="AE283" i="1"/>
  <c r="AA537" i="1"/>
  <c r="AH288" i="1"/>
  <c r="AE287" i="1"/>
  <c r="AH220" i="1"/>
  <c r="AH193" i="1"/>
  <c r="AA564" i="1"/>
  <c r="AE284" i="1"/>
  <c r="AE295" i="1"/>
  <c r="AE290" i="1"/>
  <c r="AE276" i="1"/>
  <c r="AA544" i="1"/>
  <c r="AE272" i="1"/>
  <c r="Z376" i="1"/>
  <c r="AK163" i="1"/>
  <c r="AI184" i="1"/>
  <c r="AH187" i="1"/>
  <c r="AK166" i="1"/>
  <c r="AE273" i="1"/>
  <c r="AH202" i="1"/>
  <c r="AE166" i="1"/>
  <c r="AH208" i="1"/>
  <c r="AI298" i="1"/>
  <c r="Z570" i="1"/>
  <c r="Z407" i="1"/>
  <c r="Z365" i="1"/>
  <c r="AE296" i="1"/>
  <c r="AI166" i="1"/>
  <c r="AH175" i="1"/>
  <c r="AI283" i="1"/>
  <c r="Z399" i="1"/>
  <c r="AE304" i="1"/>
  <c r="AE282" i="1"/>
  <c r="AE208" i="1"/>
  <c r="AA557" i="1"/>
  <c r="AA538" i="1"/>
  <c r="AK208" i="1"/>
  <c r="AE289" i="1"/>
  <c r="AE278" i="1"/>
  <c r="AE279" i="1"/>
  <c r="Z367" i="1"/>
  <c r="AA520" i="1"/>
  <c r="AI284" i="1"/>
  <c r="AA536" i="1"/>
  <c r="AE401" i="1"/>
  <c r="AE280" i="1"/>
  <c r="AE512" i="1"/>
  <c r="AA474" i="1"/>
  <c r="AA390" i="1"/>
  <c r="AE297" i="1"/>
  <c r="AE291" i="1"/>
  <c r="Z411" i="1"/>
  <c r="AA540" i="1"/>
  <c r="AE169" i="1"/>
  <c r="AE281" i="1"/>
  <c r="AE193" i="1"/>
  <c r="AE301" i="1"/>
  <c r="AE498" i="1"/>
  <c r="Z356" i="1"/>
  <c r="AA558" i="1"/>
  <c r="AE292" i="1"/>
  <c r="Z428" i="1"/>
  <c r="AA556" i="1"/>
  <c r="AE220" i="1"/>
  <c r="AK220" i="1"/>
  <c r="AE293" i="1"/>
  <c r="AK214" i="1"/>
  <c r="Z374" i="1"/>
  <c r="Z577" i="1"/>
  <c r="AE202" i="1"/>
  <c r="AE368" i="1"/>
  <c r="Z571" i="1"/>
  <c r="AA549" i="1"/>
  <c r="Z480" i="1"/>
  <c r="AE187" i="1"/>
  <c r="AE275" i="1"/>
  <c r="AI510" i="1"/>
  <c r="AE510" i="1"/>
  <c r="AI524" i="1"/>
  <c r="AE524" i="1"/>
  <c r="AI274" i="1"/>
  <c r="AA541" i="1"/>
  <c r="AA359" i="1"/>
  <c r="AA439" i="1"/>
  <c r="AA447" i="1"/>
  <c r="Z484" i="1"/>
  <c r="AA561" i="1"/>
  <c r="Z366" i="1"/>
  <c r="AA554" i="1"/>
  <c r="AE302" i="1"/>
  <c r="AI175" i="1"/>
  <c r="AE175" i="1"/>
  <c r="AA496" i="1"/>
  <c r="AA552" i="1"/>
  <c r="AA569" i="1"/>
  <c r="AA545" i="1"/>
  <c r="AE500" i="1"/>
  <c r="Z355" i="1"/>
  <c r="AE178" i="1"/>
  <c r="AE218" i="1"/>
  <c r="AE300" i="1"/>
  <c r="AE222" i="1"/>
  <c r="AI228" i="1"/>
  <c r="AE228" i="1"/>
  <c r="Z472" i="1"/>
  <c r="AA535" i="1"/>
  <c r="AI508" i="1"/>
  <c r="AE508" i="1"/>
  <c r="AE172" i="1"/>
  <c r="AE196" i="1"/>
  <c r="AE199" i="1"/>
  <c r="AE211" i="1"/>
  <c r="AI279" i="1"/>
  <c r="Z514" i="1"/>
  <c r="AA574" i="1"/>
  <c r="AE400" i="1"/>
  <c r="AI214" i="1"/>
  <c r="AE214" i="1"/>
  <c r="AE299" i="1"/>
  <c r="AE190" i="1"/>
  <c r="AI277" i="1"/>
  <c r="AI278" i="1"/>
  <c r="AA424" i="1"/>
  <c r="Z550" i="1"/>
  <c r="Z573" i="1"/>
  <c r="AE205" i="1"/>
  <c r="AE285" i="1"/>
  <c r="AE286" i="1"/>
  <c r="Z478" i="1"/>
  <c r="AA449" i="1"/>
  <c r="Z575" i="1"/>
  <c r="Z539" i="1"/>
  <c r="Z435" i="1"/>
  <c r="Z459" i="1"/>
  <c r="AA566" i="1"/>
  <c r="Z460" i="1"/>
  <c r="AA559" i="1"/>
  <c r="Z386" i="1"/>
  <c r="Z453" i="1"/>
  <c r="Z442" i="1"/>
  <c r="AA517" i="1"/>
  <c r="AA567" i="1"/>
  <c r="Z387" i="1"/>
  <c r="AK400" i="1"/>
  <c r="AA553" i="1"/>
  <c r="Z455" i="1"/>
  <c r="Z470" i="1"/>
  <c r="AA489" i="1"/>
  <c r="AA576" i="1"/>
  <c r="AA398" i="1"/>
  <c r="AA562" i="1"/>
  <c r="Z456" i="1"/>
  <c r="Z471" i="1"/>
  <c r="AA450" i="1"/>
  <c r="Z494" i="1"/>
  <c r="AA440" i="1"/>
  <c r="Z444" i="1"/>
  <c r="AA371" i="1"/>
  <c r="Z438" i="1"/>
  <c r="AA486" i="1"/>
  <c r="Z551" i="1"/>
  <c r="Z578" i="1"/>
  <c r="AA578" i="1"/>
  <c r="AA568" i="1"/>
  <c r="AA469" i="1"/>
  <c r="AA362" i="1"/>
  <c r="Z492" i="1"/>
  <c r="AA548" i="1"/>
  <c r="AA563" i="1"/>
  <c r="AA360" i="1"/>
  <c r="Z403" i="1"/>
  <c r="Z364" i="1"/>
  <c r="Z443" i="1"/>
  <c r="Z466" i="1"/>
  <c r="Z518" i="1"/>
  <c r="Z543" i="1"/>
  <c r="AA543" i="1"/>
  <c r="Z490" i="1"/>
  <c r="AA312" i="1"/>
  <c r="Z380" i="1"/>
  <c r="Z363" i="1"/>
  <c r="Z546" i="1"/>
  <c r="AA546" i="1"/>
  <c r="Z415" i="1"/>
  <c r="Z418" i="1"/>
  <c r="Z463" i="1"/>
  <c r="Z416" i="1"/>
  <c r="Z467" i="1"/>
  <c r="Z483" i="1"/>
  <c r="Z491" i="1"/>
  <c r="Z452" i="1"/>
  <c r="Z465" i="1"/>
  <c r="Z560" i="1"/>
  <c r="AA560" i="1"/>
  <c r="Z431" i="1"/>
  <c r="Z375" i="1"/>
  <c r="Z400" i="1"/>
  <c r="Z468" i="1"/>
  <c r="Z377" i="1"/>
  <c r="AA430" i="1"/>
  <c r="Z408" i="1"/>
  <c r="Z572" i="1"/>
  <c r="AA572" i="1"/>
  <c r="Z522" i="1"/>
  <c r="AA523" i="1"/>
  <c r="Z523" i="1"/>
  <c r="AA521" i="1"/>
  <c r="Z521" i="1"/>
  <c r="Z516" i="1"/>
  <c r="AA519" i="1"/>
  <c r="Z519" i="1"/>
  <c r="AA515" i="1"/>
  <c r="Z515" i="1"/>
  <c r="AA488" i="1"/>
  <c r="Z488" i="1"/>
  <c r="AA497" i="1"/>
  <c r="Z497" i="1"/>
  <c r="Z493" i="1"/>
  <c r="AA493" i="1"/>
  <c r="Z482" i="1"/>
  <c r="AA485" i="1"/>
  <c r="Z485" i="1"/>
  <c r="AA481" i="1"/>
  <c r="Z481" i="1"/>
  <c r="Z476" i="1"/>
  <c r="AA479" i="1"/>
  <c r="Z479" i="1"/>
  <c r="AA475" i="1"/>
  <c r="Z475" i="1"/>
  <c r="AA473" i="1"/>
  <c r="Z473" i="1"/>
  <c r="Z464" i="1"/>
  <c r="AA462" i="1"/>
  <c r="Z462" i="1"/>
  <c r="Z458" i="1"/>
  <c r="AA461" i="1"/>
  <c r="Z461" i="1"/>
  <c r="AA457" i="1"/>
  <c r="Z457" i="1"/>
  <c r="AA454" i="1"/>
  <c r="Z454" i="1"/>
  <c r="AA451" i="1"/>
  <c r="Z451" i="1"/>
  <c r="Z414" i="1"/>
  <c r="AA414" i="1"/>
  <c r="Z448" i="1"/>
  <c r="AK368" i="1"/>
  <c r="Z412" i="1"/>
  <c r="AA384" i="1"/>
  <c r="Z410" i="1"/>
  <c r="AA410" i="1"/>
  <c r="Z420" i="1"/>
  <c r="AA420" i="1"/>
  <c r="Z391" i="1"/>
  <c r="Z432" i="1"/>
  <c r="AA434" i="1"/>
  <c r="Z446" i="1"/>
  <c r="AA446" i="1"/>
  <c r="Z437" i="1"/>
  <c r="AA445" i="1"/>
  <c r="Z445" i="1"/>
  <c r="AA436" i="1"/>
  <c r="Z436" i="1"/>
  <c r="AA441" i="1"/>
  <c r="Z441" i="1"/>
  <c r="Z427" i="1"/>
  <c r="Z426" i="1"/>
  <c r="Z423" i="1"/>
  <c r="AA433" i="1"/>
  <c r="Z433" i="1"/>
  <c r="AA429" i="1"/>
  <c r="Z429" i="1"/>
  <c r="AA425" i="1"/>
  <c r="Z425" i="1"/>
  <c r="AA422" i="1"/>
  <c r="Z422" i="1"/>
  <c r="Z421" i="1"/>
  <c r="Z419" i="1"/>
  <c r="Z402" i="1"/>
  <c r="AK401" i="1"/>
  <c r="Y401" i="1"/>
  <c r="AA401" i="1" s="1"/>
  <c r="Z417" i="1"/>
  <c r="Z413" i="1"/>
  <c r="Z409" i="1"/>
  <c r="Y404" i="1"/>
  <c r="AA404" i="1" s="1"/>
  <c r="AK404" i="1"/>
  <c r="AK405" i="1"/>
  <c r="Y405" i="1"/>
  <c r="AA405" i="1" s="1"/>
  <c r="Z372" i="1"/>
  <c r="AA372" i="1"/>
  <c r="Z381" i="1"/>
  <c r="AA368" i="1"/>
  <c r="Z368" i="1"/>
  <c r="Z315" i="1"/>
  <c r="Z383" i="1"/>
  <c r="Z373" i="1"/>
  <c r="AA373" i="1"/>
  <c r="Z389" i="1"/>
  <c r="Z388" i="1"/>
  <c r="AA388" i="1"/>
  <c r="AA385" i="1"/>
  <c r="Z385" i="1"/>
  <c r="Z382" i="1"/>
  <c r="AA382" i="1"/>
  <c r="Z351" i="1"/>
  <c r="AA350" i="1"/>
  <c r="Z348" i="1"/>
  <c r="Z346" i="1"/>
  <c r="Z305" i="1"/>
  <c r="AK205" i="1"/>
  <c r="AA342" i="1"/>
  <c r="Z361" i="1"/>
  <c r="AA358" i="1"/>
  <c r="Z358" i="1"/>
  <c r="Z354" i="1"/>
  <c r="AA357" i="1"/>
  <c r="Z357" i="1"/>
  <c r="Z353" i="1"/>
  <c r="Z352" i="1"/>
  <c r="AA352" i="1"/>
  <c r="AA337" i="1"/>
  <c r="AA347" i="1"/>
  <c r="Z344" i="1"/>
  <c r="AK302" i="1"/>
  <c r="AA349" i="1"/>
  <c r="Z349" i="1"/>
  <c r="AA345" i="1"/>
  <c r="Z345" i="1"/>
  <c r="AA327" i="1"/>
  <c r="Z304" i="1"/>
  <c r="Z325" i="1"/>
  <c r="AK277" i="1"/>
  <c r="AK304" i="1"/>
  <c r="AK196" i="1"/>
  <c r="AK299" i="1"/>
  <c r="Z313" i="1"/>
  <c r="Z238" i="1"/>
  <c r="Z336" i="1"/>
  <c r="AA336" i="1"/>
  <c r="Y272" i="1"/>
  <c r="Z272" i="1" s="1"/>
  <c r="AK272" i="1"/>
  <c r="AK300" i="1"/>
  <c r="Z340" i="1"/>
  <c r="AA329" i="1"/>
  <c r="Z338" i="1"/>
  <c r="AA317" i="1"/>
  <c r="Z311" i="1"/>
  <c r="AA324" i="1"/>
  <c r="AA341" i="1"/>
  <c r="Z195" i="1"/>
  <c r="AA343" i="1"/>
  <c r="Z343" i="1"/>
  <c r="AA339" i="1"/>
  <c r="Z339" i="1"/>
  <c r="AA335" i="1"/>
  <c r="Z335" i="1"/>
  <c r="AA334" i="1"/>
  <c r="Z334" i="1"/>
  <c r="AA333" i="1"/>
  <c r="Z333" i="1"/>
  <c r="AA330" i="1"/>
  <c r="Z330" i="1"/>
  <c r="AA328" i="1"/>
  <c r="Z328" i="1"/>
  <c r="Z323" i="1"/>
  <c r="AA326" i="1"/>
  <c r="Z326" i="1"/>
  <c r="AA322" i="1"/>
  <c r="Z322" i="1"/>
  <c r="AA321" i="1"/>
  <c r="Z321" i="1"/>
  <c r="AA320" i="1"/>
  <c r="Z320" i="1"/>
  <c r="AA319" i="1"/>
  <c r="Z319" i="1"/>
  <c r="AA318" i="1"/>
  <c r="Z318" i="1"/>
  <c r="AA316" i="1"/>
  <c r="AA314" i="1"/>
  <c r="Z314" i="1"/>
  <c r="AA310" i="1"/>
  <c r="Z310" i="1"/>
  <c r="AA309" i="1"/>
  <c r="Z309" i="1"/>
  <c r="AA308" i="1"/>
  <c r="Z308" i="1"/>
  <c r="Z307" i="1"/>
  <c r="AA306" i="1"/>
  <c r="Z306" i="1"/>
  <c r="Y299" i="1"/>
  <c r="Z299" i="1" s="1"/>
  <c r="Z224" i="1"/>
  <c r="AK295" i="1"/>
  <c r="Z302" i="1"/>
  <c r="AA302" i="1"/>
  <c r="Z161" i="1"/>
  <c r="AA229" i="1"/>
  <c r="Z294" i="1"/>
  <c r="AA294" i="1"/>
  <c r="AK172" i="1"/>
  <c r="AK297" i="1"/>
  <c r="AA300" i="1"/>
  <c r="Z300" i="1"/>
  <c r="Y303" i="1"/>
  <c r="AK303" i="1"/>
  <c r="AK301" i="1"/>
  <c r="Y301" i="1"/>
  <c r="Y297" i="1"/>
  <c r="AA297" i="1" s="1"/>
  <c r="Y295" i="1"/>
  <c r="AA295" i="1" s="1"/>
  <c r="AK294" i="1"/>
  <c r="AA270" i="1"/>
  <c r="Z147" i="1"/>
  <c r="Z227" i="1"/>
  <c r="Z218" i="1"/>
  <c r="AA240" i="1"/>
  <c r="Z247" i="1"/>
  <c r="AK274" i="1"/>
  <c r="AA262" i="1"/>
  <c r="AA265" i="1"/>
  <c r="Z251" i="1"/>
  <c r="AA220" i="1"/>
  <c r="AA268" i="1"/>
  <c r="Z176" i="1"/>
  <c r="Z252" i="1"/>
  <c r="AA201" i="1"/>
  <c r="Z177" i="1"/>
  <c r="AK289" i="1"/>
  <c r="AA221" i="1"/>
  <c r="Y274" i="1"/>
  <c r="AA274" i="1" s="1"/>
  <c r="AA245" i="1"/>
  <c r="AK296" i="1"/>
  <c r="Y296" i="1"/>
  <c r="AA296" i="1" s="1"/>
  <c r="Y293" i="1"/>
  <c r="AA293" i="1" s="1"/>
  <c r="AK293" i="1"/>
  <c r="AK298" i="1"/>
  <c r="Y298" i="1"/>
  <c r="AA298" i="1" s="1"/>
  <c r="AK291" i="1"/>
  <c r="Y291" i="1"/>
  <c r="Z289" i="1"/>
  <c r="Z134" i="1"/>
  <c r="AK169" i="1"/>
  <c r="AA235" i="1"/>
  <c r="Z264" i="1"/>
  <c r="AA160" i="1"/>
  <c r="Z216" i="1"/>
  <c r="AI199" i="1"/>
  <c r="AA271" i="1"/>
  <c r="AK281" i="1"/>
  <c r="AK292" i="1"/>
  <c r="Z243" i="1"/>
  <c r="Z257" i="1"/>
  <c r="AK273" i="1"/>
  <c r="AK222" i="1"/>
  <c r="AA244" i="1"/>
  <c r="Z239" i="1"/>
  <c r="AK288" i="1"/>
  <c r="AA260" i="1"/>
  <c r="AK211" i="1"/>
  <c r="Z223" i="1"/>
  <c r="Z250" i="1"/>
  <c r="Z179" i="1"/>
  <c r="AK187" i="1"/>
  <c r="AA232" i="1"/>
  <c r="AA200" i="1"/>
  <c r="Y292" i="1"/>
  <c r="Z292" i="1" s="1"/>
  <c r="AA225" i="1"/>
  <c r="Z256" i="1"/>
  <c r="AA170" i="1"/>
  <c r="AK286" i="1"/>
  <c r="Z219" i="1"/>
  <c r="Z236" i="1"/>
  <c r="Z258" i="1"/>
  <c r="Z192" i="1"/>
  <c r="Z109" i="1"/>
  <c r="AA215" i="1"/>
  <c r="AK284" i="1"/>
  <c r="AA288" i="1"/>
  <c r="Z288" i="1"/>
  <c r="AK290" i="1"/>
  <c r="Y290" i="1"/>
  <c r="Y287" i="1"/>
  <c r="AK287" i="1"/>
  <c r="Z286" i="1"/>
  <c r="Z284" i="1"/>
  <c r="AA284" i="1"/>
  <c r="Y285" i="1"/>
  <c r="AK285" i="1"/>
  <c r="AK283" i="1"/>
  <c r="Y283" i="1"/>
  <c r="AK282" i="1"/>
  <c r="Y282" i="1"/>
  <c r="AK280" i="1"/>
  <c r="Y280" i="1"/>
  <c r="AA280" i="1" s="1"/>
  <c r="Z281" i="1"/>
  <c r="Y279" i="1"/>
  <c r="AA279" i="1" s="1"/>
  <c r="AK279" i="1"/>
  <c r="Y278" i="1"/>
  <c r="AA278" i="1" s="1"/>
  <c r="AK278" i="1"/>
  <c r="Y277" i="1"/>
  <c r="AK276" i="1"/>
  <c r="AK275" i="1"/>
  <c r="Y275" i="1"/>
  <c r="AA276" i="1"/>
  <c r="Z276" i="1"/>
  <c r="AA273" i="1"/>
  <c r="Z273" i="1"/>
  <c r="AA267" i="1"/>
  <c r="Z266" i="1"/>
  <c r="Z269" i="1"/>
  <c r="AA269" i="1"/>
  <c r="Z263" i="1"/>
  <c r="AA261" i="1"/>
  <c r="Z261" i="1"/>
  <c r="AA253" i="1"/>
  <c r="AA259" i="1"/>
  <c r="Z259" i="1"/>
  <c r="AA255" i="1"/>
  <c r="Z255" i="1"/>
  <c r="AA254" i="1"/>
  <c r="Z254" i="1"/>
  <c r="AA249" i="1"/>
  <c r="Z246" i="1"/>
  <c r="AA248" i="1"/>
  <c r="Z248" i="1"/>
  <c r="AA242" i="1"/>
  <c r="Z242" i="1"/>
  <c r="AA241" i="1"/>
  <c r="Z241" i="1"/>
  <c r="AA237" i="1"/>
  <c r="Z237" i="1"/>
  <c r="AA163" i="1"/>
  <c r="Z209" i="1"/>
  <c r="Z181" i="1"/>
  <c r="Z191" i="1"/>
  <c r="Z212" i="1"/>
  <c r="Z111" i="1"/>
  <c r="Z199" i="1"/>
  <c r="AA217" i="1"/>
  <c r="AA150" i="1"/>
  <c r="AA149" i="1"/>
  <c r="Z182" i="1"/>
  <c r="Z208" i="1"/>
  <c r="AA213" i="1"/>
  <c r="Z164" i="1"/>
  <c r="AA165" i="1"/>
  <c r="Z207" i="1"/>
  <c r="AA188" i="1"/>
  <c r="Z206" i="1"/>
  <c r="Z174" i="1"/>
  <c r="AA234" i="1"/>
  <c r="Z234" i="1"/>
  <c r="AA233" i="1"/>
  <c r="Z233" i="1"/>
  <c r="AA230" i="1"/>
  <c r="Z230" i="1"/>
  <c r="AK228" i="1"/>
  <c r="Y228" i="1"/>
  <c r="Y226" i="1"/>
  <c r="Z226" i="1" s="1"/>
  <c r="AA222" i="1"/>
  <c r="Z222" i="1"/>
  <c r="AI218" i="1"/>
  <c r="AK218" i="1"/>
  <c r="AK175" i="1"/>
  <c r="Z162" i="1"/>
  <c r="AA203" i="1"/>
  <c r="AA167" i="1"/>
  <c r="AA185" i="1"/>
  <c r="Z155" i="1"/>
  <c r="AA173" i="1"/>
  <c r="Z196" i="1"/>
  <c r="Z138" i="1"/>
  <c r="AK202" i="1"/>
  <c r="Z189" i="1"/>
  <c r="Z194" i="1"/>
  <c r="Z151" i="1"/>
  <c r="AA110" i="1"/>
  <c r="AA171" i="1"/>
  <c r="Z183" i="1"/>
  <c r="AA204" i="1"/>
  <c r="AA210" i="1"/>
  <c r="Z193" i="1"/>
  <c r="AK190" i="1"/>
  <c r="Z186" i="1"/>
  <c r="Z114" i="1"/>
  <c r="Z180" i="1"/>
  <c r="AA168" i="1"/>
  <c r="Z153" i="1"/>
  <c r="Z214" i="1"/>
  <c r="AA214" i="1"/>
  <c r="AA211" i="1"/>
  <c r="Z211" i="1"/>
  <c r="AA205" i="1"/>
  <c r="Z205" i="1"/>
  <c r="AA202" i="1"/>
  <c r="Z202" i="1"/>
  <c r="Z198" i="1"/>
  <c r="AA197" i="1"/>
  <c r="Z197" i="1"/>
  <c r="AI193" i="1"/>
  <c r="AK193" i="1"/>
  <c r="Z190" i="1"/>
  <c r="AA187" i="1"/>
  <c r="Z187" i="1"/>
  <c r="AA184" i="1"/>
  <c r="Z184" i="1"/>
  <c r="AA178" i="1"/>
  <c r="Z178" i="1"/>
  <c r="AA175" i="1"/>
  <c r="Z175" i="1"/>
  <c r="Z172" i="1"/>
  <c r="AA172" i="1"/>
  <c r="Z154" i="1"/>
  <c r="Z135" i="1"/>
  <c r="Z159" i="1"/>
  <c r="Z132" i="1"/>
  <c r="AA108" i="1"/>
  <c r="AA133" i="1"/>
  <c r="Z152" i="1"/>
  <c r="Z156" i="1"/>
  <c r="Z142" i="1"/>
  <c r="AA169" i="1"/>
  <c r="Z169" i="1"/>
  <c r="AA166" i="1"/>
  <c r="Z166" i="1"/>
  <c r="AA136" i="1"/>
  <c r="Z157" i="1"/>
  <c r="Z141" i="1"/>
  <c r="Z146" i="1"/>
  <c r="Z158" i="1"/>
  <c r="Z131" i="1"/>
  <c r="Z148" i="1"/>
  <c r="AA143" i="1"/>
  <c r="Z143" i="1"/>
  <c r="Z144" i="1"/>
  <c r="AA144" i="1"/>
  <c r="AA145" i="1"/>
  <c r="Z145" i="1"/>
  <c r="Z140" i="1"/>
  <c r="AA139" i="1"/>
  <c r="Z137" i="1"/>
  <c r="Z118" i="1"/>
  <c r="AA1049" i="1" l="1"/>
  <c r="AA1050" i="1"/>
  <c r="Z401" i="1"/>
  <c r="Z405" i="1"/>
  <c r="Z404" i="1"/>
  <c r="AA272" i="1"/>
  <c r="AA299" i="1"/>
  <c r="Z295" i="1"/>
  <c r="Z274" i="1"/>
  <c r="Z297" i="1"/>
  <c r="AA301" i="1"/>
  <c r="Z301" i="1"/>
  <c r="AA303" i="1"/>
  <c r="Z303" i="1"/>
  <c r="Z296" i="1"/>
  <c r="Z298" i="1"/>
  <c r="Z293" i="1"/>
  <c r="AA291" i="1"/>
  <c r="Z291" i="1"/>
  <c r="AA292" i="1"/>
  <c r="Z287" i="1"/>
  <c r="AA287" i="1"/>
  <c r="AA290" i="1"/>
  <c r="Z290" i="1"/>
  <c r="AA283" i="1"/>
  <c r="Z283" i="1"/>
  <c r="AA282" i="1"/>
  <c r="Z282" i="1"/>
  <c r="AA285" i="1"/>
  <c r="Z285" i="1"/>
  <c r="Z280" i="1"/>
  <c r="AA277" i="1"/>
  <c r="Z277" i="1"/>
  <c r="Z278" i="1"/>
  <c r="Z279" i="1"/>
  <c r="AA275" i="1"/>
  <c r="Z275" i="1"/>
  <c r="AA228" i="1"/>
  <c r="Z228" i="1"/>
  <c r="AA226" i="1"/>
  <c r="AF80" i="1"/>
  <c r="AH80" i="1" s="1"/>
  <c r="AC80" i="1"/>
  <c r="AF74" i="1"/>
  <c r="AH74" i="1" s="1"/>
  <c r="AC74" i="1"/>
  <c r="AF83" i="1"/>
  <c r="AH83" i="1" s="1"/>
  <c r="AC83" i="1"/>
  <c r="S83" i="1"/>
  <c r="R83" i="1"/>
  <c r="P83" i="1"/>
  <c r="P82" i="1"/>
  <c r="AF82" i="1"/>
  <c r="AH82" i="1" s="1"/>
  <c r="AC82" i="1"/>
  <c r="S82" i="1"/>
  <c r="R82" i="1"/>
  <c r="AC67" i="1"/>
  <c r="AF81" i="1"/>
  <c r="AH81" i="1" s="1"/>
  <c r="AC81" i="1"/>
  <c r="P81" i="1"/>
  <c r="R81" i="1"/>
  <c r="S81" i="1"/>
  <c r="R2" i="1"/>
  <c r="S2" i="1"/>
  <c r="R3" i="1"/>
  <c r="S3" i="1"/>
  <c r="R4" i="1"/>
  <c r="S4" i="1"/>
  <c r="R5" i="1"/>
  <c r="S5" i="1"/>
  <c r="R6" i="1"/>
  <c r="S6" i="1"/>
  <c r="R7" i="1"/>
  <c r="S7" i="1"/>
  <c r="R8" i="1"/>
  <c r="S8" i="1"/>
  <c r="R9" i="1"/>
  <c r="S9" i="1"/>
  <c r="R10" i="1"/>
  <c r="S10" i="1"/>
  <c r="R11" i="1"/>
  <c r="S11" i="1"/>
  <c r="R12" i="1"/>
  <c r="S12" i="1"/>
  <c r="R13" i="1"/>
  <c r="S13" i="1"/>
  <c r="R14" i="1"/>
  <c r="S14" i="1"/>
  <c r="R15" i="1"/>
  <c r="S15" i="1"/>
  <c r="R16" i="1"/>
  <c r="S16" i="1"/>
  <c r="R17" i="1"/>
  <c r="S17" i="1"/>
  <c r="R18" i="1"/>
  <c r="S18" i="1"/>
  <c r="R19" i="1"/>
  <c r="S19" i="1"/>
  <c r="R20" i="1"/>
  <c r="S20" i="1"/>
  <c r="R21" i="1"/>
  <c r="S21" i="1"/>
  <c r="R22" i="1"/>
  <c r="S22" i="1"/>
  <c r="R23" i="1"/>
  <c r="S23" i="1"/>
  <c r="R24" i="1"/>
  <c r="S24" i="1"/>
  <c r="R25" i="1"/>
  <c r="S25" i="1"/>
  <c r="R26" i="1"/>
  <c r="S26" i="1"/>
  <c r="R27" i="1"/>
  <c r="S27" i="1"/>
  <c r="R28" i="1"/>
  <c r="S28" i="1"/>
  <c r="R29" i="1"/>
  <c r="S29" i="1"/>
  <c r="R30" i="1"/>
  <c r="S30" i="1"/>
  <c r="R31" i="1"/>
  <c r="S31" i="1"/>
  <c r="R32" i="1"/>
  <c r="S32" i="1"/>
  <c r="R33" i="1"/>
  <c r="S33" i="1"/>
  <c r="R34" i="1"/>
  <c r="S34" i="1"/>
  <c r="R35" i="1"/>
  <c r="S35" i="1"/>
  <c r="R36" i="1"/>
  <c r="S36" i="1"/>
  <c r="R37" i="1"/>
  <c r="S37" i="1"/>
  <c r="R38" i="1"/>
  <c r="S38" i="1"/>
  <c r="R39" i="1"/>
  <c r="S39" i="1"/>
  <c r="R40" i="1"/>
  <c r="S40" i="1"/>
  <c r="R41" i="1"/>
  <c r="S41" i="1"/>
  <c r="R42" i="1"/>
  <c r="S42" i="1"/>
  <c r="R43" i="1"/>
  <c r="S43" i="1"/>
  <c r="R44" i="1"/>
  <c r="S44" i="1"/>
  <c r="R45" i="1"/>
  <c r="S45" i="1"/>
  <c r="R46" i="1"/>
  <c r="S46" i="1"/>
  <c r="R47" i="1"/>
  <c r="S47" i="1"/>
  <c r="R48" i="1"/>
  <c r="S48" i="1"/>
  <c r="R49" i="1"/>
  <c r="S49" i="1"/>
  <c r="R50" i="1"/>
  <c r="S50" i="1"/>
  <c r="R51" i="1"/>
  <c r="S51" i="1"/>
  <c r="R52" i="1"/>
  <c r="S52" i="1"/>
  <c r="R53" i="1"/>
  <c r="S53" i="1"/>
  <c r="R54" i="1"/>
  <c r="S54" i="1"/>
  <c r="R55" i="1"/>
  <c r="S55" i="1"/>
  <c r="R56" i="1"/>
  <c r="S56" i="1"/>
  <c r="R57" i="1"/>
  <c r="S57" i="1"/>
  <c r="R58" i="1"/>
  <c r="S58" i="1"/>
  <c r="R59" i="1"/>
  <c r="S59" i="1"/>
  <c r="R60" i="1"/>
  <c r="S60" i="1"/>
  <c r="R61" i="1"/>
  <c r="S61" i="1"/>
  <c r="R62" i="1"/>
  <c r="S62" i="1"/>
  <c r="R63" i="1"/>
  <c r="S63" i="1"/>
  <c r="R64" i="1"/>
  <c r="S64" i="1"/>
  <c r="S65" i="1"/>
  <c r="R65" i="1"/>
  <c r="AI107" i="1"/>
  <c r="S107" i="1"/>
  <c r="R107" i="1"/>
  <c r="P107" i="1"/>
  <c r="AK107" i="1" s="1"/>
  <c r="AI106" i="1"/>
  <c r="S106" i="1"/>
  <c r="R106" i="1"/>
  <c r="P106" i="1"/>
  <c r="AK106" i="1" s="1"/>
  <c r="AI105" i="1"/>
  <c r="AI104" i="1"/>
  <c r="AI103" i="1"/>
  <c r="S105" i="1"/>
  <c r="R105" i="1"/>
  <c r="P105" i="1"/>
  <c r="AK105" i="1" s="1"/>
  <c r="S104" i="1"/>
  <c r="R104" i="1"/>
  <c r="P104" i="1"/>
  <c r="AK104" i="1" s="1"/>
  <c r="S103" i="1"/>
  <c r="R103" i="1"/>
  <c r="P103" i="1"/>
  <c r="AK103" i="1" s="1"/>
  <c r="AI102" i="1"/>
  <c r="P102" i="1"/>
  <c r="AK102" i="1" s="1"/>
  <c r="R102" i="1"/>
  <c r="S102" i="1"/>
  <c r="S101" i="1"/>
  <c r="R101" i="1"/>
  <c r="P101" i="1"/>
  <c r="S100" i="1"/>
  <c r="R100" i="1"/>
  <c r="P100" i="1"/>
  <c r="S99" i="1"/>
  <c r="R99" i="1"/>
  <c r="P99" i="1"/>
  <c r="S98" i="1"/>
  <c r="R98" i="1"/>
  <c r="P98" i="1"/>
  <c r="S97" i="1"/>
  <c r="R97" i="1"/>
  <c r="P97" i="1"/>
  <c r="S96" i="1"/>
  <c r="R96" i="1"/>
  <c r="P96" i="1"/>
  <c r="AI95" i="1"/>
  <c r="S95" i="1"/>
  <c r="R95" i="1"/>
  <c r="S94" i="1"/>
  <c r="R94" i="1"/>
  <c r="P94" i="1"/>
  <c r="S93" i="1"/>
  <c r="R93" i="1"/>
  <c r="P93" i="1"/>
  <c r="S92" i="1"/>
  <c r="R92" i="1"/>
  <c r="P92" i="1"/>
  <c r="S91" i="1"/>
  <c r="R91" i="1"/>
  <c r="P91" i="1"/>
  <c r="S90" i="1"/>
  <c r="R90" i="1"/>
  <c r="P90" i="1"/>
  <c r="S89" i="1"/>
  <c r="R89" i="1"/>
  <c r="P89" i="1"/>
  <c r="S88" i="1"/>
  <c r="R88" i="1"/>
  <c r="P88" i="1"/>
  <c r="S87" i="1"/>
  <c r="S86" i="1"/>
  <c r="S85" i="1"/>
  <c r="S84" i="1"/>
  <c r="R87" i="1"/>
  <c r="R86" i="1"/>
  <c r="R85" i="1"/>
  <c r="R84" i="1"/>
  <c r="P87" i="1"/>
  <c r="P86" i="1"/>
  <c r="P85" i="1"/>
  <c r="P84" i="1"/>
  <c r="AI79" i="1"/>
  <c r="AF79" i="1"/>
  <c r="AH79" i="1" s="1"/>
  <c r="S80" i="1"/>
  <c r="S79" i="1"/>
  <c r="R80" i="1"/>
  <c r="R79" i="1"/>
  <c r="P80" i="1"/>
  <c r="P79" i="1"/>
  <c r="AF78" i="1"/>
  <c r="AH78" i="1" s="1"/>
  <c r="AC78" i="1"/>
  <c r="S78" i="1"/>
  <c r="R78" i="1"/>
  <c r="P78" i="1"/>
  <c r="P77" i="1"/>
  <c r="R77" i="1"/>
  <c r="S77" i="1"/>
  <c r="AF77" i="1"/>
  <c r="AH77" i="1" s="1"/>
  <c r="AC77" i="1"/>
  <c r="AF69" i="1"/>
  <c r="AH69" i="1" s="1"/>
  <c r="AF68" i="1"/>
  <c r="AH68" i="1" s="1"/>
  <c r="AC69" i="1"/>
  <c r="AC68" i="1"/>
  <c r="AF67" i="1"/>
  <c r="AH67" i="1" s="1"/>
  <c r="AF76" i="1"/>
  <c r="AH76" i="1" s="1"/>
  <c r="AC76" i="1"/>
  <c r="S76" i="1"/>
  <c r="R76" i="1"/>
  <c r="P76" i="1"/>
  <c r="AF75" i="1"/>
  <c r="AH75" i="1" s="1"/>
  <c r="AC75" i="1"/>
  <c r="S75" i="1"/>
  <c r="R75" i="1"/>
  <c r="P75" i="1"/>
  <c r="S74" i="1"/>
  <c r="R74" i="1"/>
  <c r="P74" i="1"/>
  <c r="AF73" i="1"/>
  <c r="AH73" i="1" s="1"/>
  <c r="AF72" i="1"/>
  <c r="AH72" i="1" s="1"/>
  <c r="AF71" i="1"/>
  <c r="AH71" i="1" s="1"/>
  <c r="AF70" i="1"/>
  <c r="AH70" i="1" s="1"/>
  <c r="AC73" i="1"/>
  <c r="AC72" i="1"/>
  <c r="AC71" i="1"/>
  <c r="AC70" i="1"/>
  <c r="P73" i="1"/>
  <c r="R73" i="1"/>
  <c r="S73" i="1"/>
  <c r="P72" i="1"/>
  <c r="R72" i="1"/>
  <c r="S72" i="1"/>
  <c r="P71" i="1"/>
  <c r="R71" i="1"/>
  <c r="S71" i="1"/>
  <c r="P70" i="1"/>
  <c r="R70" i="1"/>
  <c r="S70" i="1"/>
  <c r="AF66" i="1"/>
  <c r="AH66" i="1" s="1"/>
  <c r="AC66" i="1"/>
  <c r="S69" i="1"/>
  <c r="S68" i="1"/>
  <c r="S67" i="1"/>
  <c r="S66" i="1"/>
  <c r="R69" i="1"/>
  <c r="R68" i="1"/>
  <c r="R67" i="1"/>
  <c r="R66" i="1"/>
  <c r="P69" i="1"/>
  <c r="P68" i="1"/>
  <c r="P67" i="1"/>
  <c r="P66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2" i="1"/>
  <c r="AH53" i="1"/>
  <c r="AH54" i="1"/>
  <c r="AH55" i="1"/>
  <c r="AH56" i="1"/>
  <c r="AH57" i="1"/>
  <c r="AH58" i="1"/>
  <c r="AH59" i="1"/>
  <c r="AH60" i="1"/>
  <c r="AH61" i="1"/>
  <c r="AH62" i="1"/>
  <c r="AH63" i="1"/>
  <c r="AH64" i="1"/>
  <c r="AH65" i="1"/>
  <c r="AH18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AK77" i="1" l="1"/>
  <c r="AI54" i="1"/>
  <c r="AE54" i="1"/>
  <c r="AI53" i="1"/>
  <c r="AE53" i="1"/>
  <c r="AI18" i="1"/>
  <c r="AE18" i="1"/>
  <c r="AI24" i="1"/>
  <c r="AE24" i="1"/>
  <c r="AI51" i="1"/>
  <c r="AE51" i="1"/>
  <c r="AI23" i="1"/>
  <c r="AE23" i="1"/>
  <c r="AI22" i="1"/>
  <c r="AE22" i="1"/>
  <c r="AI21" i="1"/>
  <c r="AE21" i="1"/>
  <c r="AI68" i="1"/>
  <c r="AE68" i="1"/>
  <c r="AI61" i="1"/>
  <c r="AE61" i="1"/>
  <c r="AI47" i="1"/>
  <c r="AE47" i="1"/>
  <c r="AI33" i="1"/>
  <c r="AE33" i="1"/>
  <c r="AI69" i="1"/>
  <c r="AE69" i="1"/>
  <c r="AI60" i="1"/>
  <c r="AE60" i="1"/>
  <c r="AI46" i="1"/>
  <c r="AE46" i="1"/>
  <c r="AI32" i="1"/>
  <c r="AE32" i="1"/>
  <c r="AI59" i="1"/>
  <c r="AE59" i="1"/>
  <c r="AI45" i="1"/>
  <c r="AE45" i="1"/>
  <c r="AI31" i="1"/>
  <c r="AE31" i="1"/>
  <c r="AI26" i="1"/>
  <c r="AE26" i="1"/>
  <c r="AI74" i="1"/>
  <c r="AE74" i="1"/>
  <c r="AI81" i="1"/>
  <c r="AE81" i="1"/>
  <c r="AI37" i="1"/>
  <c r="AE37" i="1"/>
  <c r="AI67" i="1"/>
  <c r="AE67" i="1"/>
  <c r="AI49" i="1"/>
  <c r="AE49" i="1"/>
  <c r="AI82" i="1"/>
  <c r="AE82" i="1"/>
  <c r="AI30" i="1"/>
  <c r="AE30" i="1"/>
  <c r="AI77" i="1"/>
  <c r="AE77" i="1"/>
  <c r="AI57" i="1"/>
  <c r="AE57" i="1"/>
  <c r="AI43" i="1"/>
  <c r="AE43" i="1"/>
  <c r="AI29" i="1"/>
  <c r="AE29" i="1"/>
  <c r="AI25" i="1"/>
  <c r="AE25" i="1"/>
  <c r="AI52" i="1"/>
  <c r="AE52" i="1"/>
  <c r="AI80" i="1"/>
  <c r="AE80" i="1"/>
  <c r="AI50" i="1"/>
  <c r="AE50" i="1"/>
  <c r="AI48" i="1"/>
  <c r="AE48" i="1"/>
  <c r="AI58" i="1"/>
  <c r="AE58" i="1"/>
  <c r="AI56" i="1"/>
  <c r="AE56" i="1"/>
  <c r="AI42" i="1"/>
  <c r="AE42" i="1"/>
  <c r="AI28" i="1"/>
  <c r="AE28" i="1"/>
  <c r="AI66" i="1"/>
  <c r="AE66" i="1"/>
  <c r="AI70" i="1"/>
  <c r="AE70" i="1"/>
  <c r="AI75" i="1"/>
  <c r="AE75" i="1"/>
  <c r="AI83" i="1"/>
  <c r="AE83" i="1"/>
  <c r="AI40" i="1"/>
  <c r="AE40" i="1"/>
  <c r="AI72" i="1"/>
  <c r="AE72" i="1"/>
  <c r="AI39" i="1"/>
  <c r="AE39" i="1"/>
  <c r="AI73" i="1"/>
  <c r="AE73" i="1"/>
  <c r="AI38" i="1"/>
  <c r="AE38" i="1"/>
  <c r="AI65" i="1"/>
  <c r="AE65" i="1"/>
  <c r="AI76" i="1"/>
  <c r="AE76" i="1"/>
  <c r="AI64" i="1"/>
  <c r="AE64" i="1"/>
  <c r="AI36" i="1"/>
  <c r="AE36" i="1"/>
  <c r="AI78" i="1"/>
  <c r="AE78" i="1"/>
  <c r="AI63" i="1"/>
  <c r="AE63" i="1"/>
  <c r="AI35" i="1"/>
  <c r="AE35" i="1"/>
  <c r="AI62" i="1"/>
  <c r="AE62" i="1"/>
  <c r="AI34" i="1"/>
  <c r="AE34" i="1"/>
  <c r="AI20" i="1"/>
  <c r="AE20" i="1"/>
  <c r="AI19" i="1"/>
  <c r="AE19" i="1"/>
  <c r="AI44" i="1"/>
  <c r="AE44" i="1"/>
  <c r="AI55" i="1"/>
  <c r="AE55" i="1"/>
  <c r="AI41" i="1"/>
  <c r="AE41" i="1"/>
  <c r="AI27" i="1"/>
  <c r="AE27" i="1"/>
  <c r="AI71" i="1"/>
  <c r="AE71" i="1"/>
  <c r="AI94" i="1"/>
  <c r="AE94" i="1"/>
  <c r="AI101" i="1"/>
  <c r="AE101" i="1"/>
  <c r="AI96" i="1"/>
  <c r="AE96" i="1"/>
  <c r="AI89" i="1"/>
  <c r="AE89" i="1"/>
  <c r="AI100" i="1"/>
  <c r="AE100" i="1"/>
  <c r="AI93" i="1"/>
  <c r="AE93" i="1"/>
  <c r="AI90" i="1"/>
  <c r="AE90" i="1"/>
  <c r="AI87" i="1"/>
  <c r="AE87" i="1"/>
  <c r="AI91" i="1"/>
  <c r="AE91" i="1"/>
  <c r="AI88" i="1"/>
  <c r="AE88" i="1"/>
  <c r="AI99" i="1"/>
  <c r="AE99" i="1"/>
  <c r="AI92" i="1"/>
  <c r="AE92" i="1"/>
  <c r="AI97" i="1"/>
  <c r="AE97" i="1"/>
  <c r="AI86" i="1"/>
  <c r="AE86" i="1"/>
  <c r="AI98" i="1"/>
  <c r="AE98" i="1"/>
  <c r="AI85" i="1"/>
  <c r="AE85" i="1"/>
  <c r="AI84" i="1"/>
  <c r="AE84" i="1"/>
  <c r="AK98" i="1"/>
  <c r="AK81" i="1"/>
  <c r="AK29" i="1"/>
  <c r="AK97" i="1"/>
  <c r="AK30" i="1"/>
  <c r="AK100" i="1"/>
  <c r="AK31" i="1"/>
  <c r="AK83" i="1"/>
  <c r="AK90" i="1"/>
  <c r="AK20" i="1"/>
  <c r="AK94" i="1"/>
  <c r="AK101" i="1"/>
  <c r="AK67" i="1"/>
  <c r="AK72" i="1"/>
  <c r="AK73" i="1"/>
  <c r="AK96" i="1"/>
  <c r="AK34" i="1"/>
  <c r="AK18" i="1"/>
  <c r="AK32" i="1"/>
  <c r="AK19" i="1"/>
  <c r="AK33" i="1"/>
  <c r="AK21" i="1"/>
  <c r="AK35" i="1"/>
  <c r="AK22" i="1"/>
  <c r="AK36" i="1"/>
  <c r="AK66" i="1"/>
  <c r="Y76" i="1"/>
  <c r="AA76" i="1" s="1"/>
  <c r="AK76" i="1"/>
  <c r="Y77" i="1"/>
  <c r="Z77" i="1" s="1"/>
  <c r="AK84" i="1"/>
  <c r="AK91" i="1"/>
  <c r="AK23" i="1"/>
  <c r="AK37" i="1"/>
  <c r="Y78" i="1"/>
  <c r="Z78" i="1" s="1"/>
  <c r="AK78" i="1"/>
  <c r="AK85" i="1"/>
  <c r="AK24" i="1"/>
  <c r="AK38" i="1"/>
  <c r="AK68" i="1"/>
  <c r="AK70" i="1"/>
  <c r="AK86" i="1"/>
  <c r="AK88" i="1"/>
  <c r="AK25" i="1"/>
  <c r="AK39" i="1"/>
  <c r="AK69" i="1"/>
  <c r="AK87" i="1"/>
  <c r="AK99" i="1"/>
  <c r="AK26" i="1"/>
  <c r="AK40" i="1"/>
  <c r="AK92" i="1"/>
  <c r="AK27" i="1"/>
  <c r="AK41" i="1"/>
  <c r="AK71" i="1"/>
  <c r="AK28" i="1"/>
  <c r="Y74" i="1"/>
  <c r="AA74" i="1" s="1"/>
  <c r="AK74" i="1"/>
  <c r="Y79" i="1"/>
  <c r="AA79" i="1" s="1"/>
  <c r="AK79" i="1"/>
  <c r="AK89" i="1"/>
  <c r="AK82" i="1"/>
  <c r="Y75" i="1"/>
  <c r="Z75" i="1" s="1"/>
  <c r="AK75" i="1"/>
  <c r="Y80" i="1"/>
  <c r="AA80" i="1" s="1"/>
  <c r="AK80" i="1"/>
  <c r="AK93" i="1"/>
  <c r="Y82" i="1"/>
  <c r="AA82" i="1" s="1"/>
  <c r="Y81" i="1"/>
  <c r="AA81" i="1" s="1"/>
  <c r="Y83" i="1"/>
  <c r="AA83" i="1" s="1"/>
  <c r="Y102" i="1"/>
  <c r="Z102" i="1" s="1"/>
  <c r="Y67" i="1"/>
  <c r="AA67" i="1" s="1"/>
  <c r="Y66" i="1"/>
  <c r="AA66" i="1" s="1"/>
  <c r="Y87" i="1"/>
  <c r="AA87" i="1" s="1"/>
  <c r="Y69" i="1"/>
  <c r="AA69" i="1" s="1"/>
  <c r="Y71" i="1"/>
  <c r="Z71" i="1" s="1"/>
  <c r="Y68" i="1"/>
  <c r="Z68" i="1" s="1"/>
  <c r="Y73" i="1"/>
  <c r="AA73" i="1" s="1"/>
  <c r="Y105" i="1"/>
  <c r="AA105" i="1" s="1"/>
  <c r="Y88" i="1"/>
  <c r="AA88" i="1" s="1"/>
  <c r="Y103" i="1"/>
  <c r="AA103" i="1" s="1"/>
  <c r="Y107" i="1"/>
  <c r="Z107" i="1" s="1"/>
  <c r="Y96" i="1"/>
  <c r="Z96" i="1" s="1"/>
  <c r="Y106" i="1"/>
  <c r="Z106" i="1" s="1"/>
  <c r="Y32" i="1"/>
  <c r="Z32" i="1" s="1"/>
  <c r="Y33" i="1"/>
  <c r="Z33" i="1" s="1"/>
  <c r="Y104" i="1"/>
  <c r="Z104" i="1" s="1"/>
  <c r="Y100" i="1"/>
  <c r="Z100" i="1" s="1"/>
  <c r="Y84" i="1"/>
  <c r="AA84" i="1" s="1"/>
  <c r="Y93" i="1"/>
  <c r="AA93" i="1" s="1"/>
  <c r="Y90" i="1"/>
  <c r="Z90" i="1" s="1"/>
  <c r="Y99" i="1"/>
  <c r="AA99" i="1" s="1"/>
  <c r="Y85" i="1"/>
  <c r="AA85" i="1" s="1"/>
  <c r="Y86" i="1"/>
  <c r="AA86" i="1" s="1"/>
  <c r="Y94" i="1"/>
  <c r="AA94" i="1" s="1"/>
  <c r="Y97" i="1"/>
  <c r="AA97" i="1" s="1"/>
  <c r="Y98" i="1"/>
  <c r="Z98" i="1" s="1"/>
  <c r="Y101" i="1"/>
  <c r="AA101" i="1" s="1"/>
  <c r="Y92" i="1"/>
  <c r="AA92" i="1" s="1"/>
  <c r="Y72" i="1"/>
  <c r="Z72" i="1" s="1"/>
  <c r="Y91" i="1"/>
  <c r="AA91" i="1" s="1"/>
  <c r="Y95" i="1"/>
  <c r="AA95" i="1" s="1"/>
  <c r="Y70" i="1"/>
  <c r="Z70" i="1" s="1"/>
  <c r="Y89" i="1"/>
  <c r="AA89" i="1" s="1"/>
  <c r="Y25" i="1"/>
  <c r="AA25" i="1" s="1"/>
  <c r="Y31" i="1"/>
  <c r="AA31" i="1" s="1"/>
  <c r="Y20" i="1"/>
  <c r="AA20" i="1" s="1"/>
  <c r="Y34" i="1"/>
  <c r="AA34" i="1" s="1"/>
  <c r="Y26" i="1"/>
  <c r="Z26" i="1" s="1"/>
  <c r="Y28" i="1"/>
  <c r="AA28" i="1" s="1"/>
  <c r="Y41" i="1"/>
  <c r="Z41" i="1" s="1"/>
  <c r="Y37" i="1"/>
  <c r="AA37" i="1" s="1"/>
  <c r="Y35" i="1"/>
  <c r="Z35" i="1" s="1"/>
  <c r="Y21" i="1"/>
  <c r="Z21" i="1" s="1"/>
  <c r="Y36" i="1"/>
  <c r="AA36" i="1" s="1"/>
  <c r="Y19" i="1"/>
  <c r="Z19" i="1" s="1"/>
  <c r="Y23" i="1"/>
  <c r="Z23" i="1" s="1"/>
  <c r="Y24" i="1"/>
  <c r="Z24" i="1" s="1"/>
  <c r="Y30" i="1"/>
  <c r="Z30" i="1" s="1"/>
  <c r="Y40" i="1"/>
  <c r="Z40" i="1" s="1"/>
  <c r="Y29" i="1"/>
  <c r="AA29" i="1" s="1"/>
  <c r="Y22" i="1"/>
  <c r="Z22" i="1" s="1"/>
  <c r="Y18" i="1"/>
  <c r="Z18" i="1" s="1"/>
  <c r="Y38" i="1"/>
  <c r="Z38" i="1" s="1"/>
  <c r="Y39" i="1"/>
  <c r="Z39" i="1" s="1"/>
  <c r="Y27" i="1"/>
  <c r="Z27" i="1" s="1"/>
  <c r="AA78" i="1" l="1"/>
  <c r="Z37" i="1"/>
  <c r="Z87" i="1"/>
  <c r="Z79" i="1"/>
  <c r="Z67" i="1"/>
  <c r="AA77" i="1"/>
  <c r="Z76" i="1"/>
  <c r="Z80" i="1"/>
  <c r="AA75" i="1"/>
  <c r="Z82" i="1"/>
  <c r="AA71" i="1"/>
  <c r="Z81" i="1"/>
  <c r="AA68" i="1"/>
  <c r="Z83" i="1"/>
  <c r="AA102" i="1"/>
  <c r="Z84" i="1"/>
  <c r="Z69" i="1"/>
  <c r="Z66" i="1"/>
  <c r="Z73" i="1"/>
  <c r="AA100" i="1"/>
  <c r="AA106" i="1"/>
  <c r="Z86" i="1"/>
  <c r="AA33" i="1"/>
  <c r="AA32" i="1"/>
  <c r="Z103" i="1"/>
  <c r="AA104" i="1"/>
  <c r="Z105" i="1"/>
  <c r="AA107" i="1"/>
  <c r="Z88" i="1"/>
  <c r="AA72" i="1"/>
  <c r="AA96" i="1"/>
  <c r="Z99" i="1"/>
  <c r="Z89" i="1"/>
  <c r="Z91" i="1"/>
  <c r="AA90" i="1"/>
  <c r="Z93" i="1"/>
  <c r="Z94" i="1"/>
  <c r="Z97" i="1"/>
  <c r="AA70" i="1"/>
  <c r="Z85" i="1"/>
  <c r="AA98" i="1"/>
  <c r="Z101" i="1"/>
  <c r="Z92" i="1"/>
  <c r="AA19" i="1"/>
  <c r="Z95" i="1"/>
  <c r="Z31" i="1"/>
  <c r="Z74" i="1"/>
  <c r="Z34" i="1"/>
  <c r="AA26" i="1"/>
  <c r="Z25" i="1"/>
  <c r="Z28" i="1"/>
  <c r="Z20" i="1"/>
  <c r="AA35" i="1"/>
  <c r="AA38" i="1"/>
  <c r="Z36" i="1"/>
  <c r="AA27" i="1"/>
  <c r="AA41" i="1"/>
  <c r="AA21" i="1"/>
  <c r="AA18" i="1"/>
  <c r="AA22" i="1"/>
  <c r="AA30" i="1"/>
  <c r="Z29" i="1"/>
  <c r="AA40" i="1"/>
  <c r="AA24" i="1"/>
  <c r="AA39" i="1"/>
  <c r="AA23" i="1"/>
  <c r="P65" i="1" l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AE2" i="1"/>
  <c r="P2" i="1"/>
  <c r="P47" i="1"/>
  <c r="P46" i="1"/>
  <c r="P45" i="1"/>
  <c r="P44" i="1"/>
  <c r="P43" i="1"/>
  <c r="P42" i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AI16" i="1" l="1"/>
  <c r="AE16" i="1"/>
  <c r="AI14" i="1"/>
  <c r="AE14" i="1"/>
  <c r="AI12" i="1"/>
  <c r="AE12" i="1"/>
  <c r="AI10" i="1"/>
  <c r="AE10" i="1"/>
  <c r="AI7" i="1"/>
  <c r="AE7" i="1"/>
  <c r="AI2" i="1"/>
  <c r="AI13" i="1"/>
  <c r="AE13" i="1"/>
  <c r="AI11" i="1"/>
  <c r="AE11" i="1"/>
  <c r="AI9" i="1"/>
  <c r="AE9" i="1"/>
  <c r="AI8" i="1"/>
  <c r="AE8" i="1"/>
  <c r="AI6" i="1"/>
  <c r="AE6" i="1"/>
  <c r="AI5" i="1"/>
  <c r="AE5" i="1"/>
  <c r="AI4" i="1"/>
  <c r="AE4" i="1"/>
  <c r="AI15" i="1"/>
  <c r="AE15" i="1"/>
  <c r="AI17" i="1"/>
  <c r="AE17" i="1"/>
  <c r="AI3" i="1"/>
  <c r="AE3" i="1"/>
  <c r="AK13" i="1"/>
  <c r="AK12" i="1"/>
  <c r="AK5" i="1"/>
  <c r="AK10" i="1"/>
  <c r="AK6" i="1"/>
  <c r="AK2" i="1"/>
  <c r="AK17" i="1"/>
  <c r="AK3" i="1"/>
  <c r="AK11" i="1"/>
  <c r="AK4" i="1"/>
  <c r="Y47" i="1"/>
  <c r="Z47" i="1" s="1"/>
  <c r="AK47" i="1"/>
  <c r="Y52" i="1"/>
  <c r="Z52" i="1" s="1"/>
  <c r="AK52" i="1"/>
  <c r="Y53" i="1"/>
  <c r="AA53" i="1" s="1"/>
  <c r="AK53" i="1"/>
  <c r="Y42" i="1"/>
  <c r="AA42" i="1" s="1"/>
  <c r="AK42" i="1"/>
  <c r="Y54" i="1"/>
  <c r="Z54" i="1" s="1"/>
  <c r="AK54" i="1"/>
  <c r="Y43" i="1"/>
  <c r="Z43" i="1" s="1"/>
  <c r="AK43" i="1"/>
  <c r="Y55" i="1"/>
  <c r="AA55" i="1" s="1"/>
  <c r="AK55" i="1"/>
  <c r="AK9" i="1"/>
  <c r="Y44" i="1"/>
  <c r="Z44" i="1" s="1"/>
  <c r="AK44" i="1"/>
  <c r="Y56" i="1"/>
  <c r="Z56" i="1" s="1"/>
  <c r="AK56" i="1"/>
  <c r="AK8" i="1"/>
  <c r="Y45" i="1"/>
  <c r="AA45" i="1" s="1"/>
  <c r="AK45" i="1"/>
  <c r="Y57" i="1"/>
  <c r="Z57" i="1" s="1"/>
  <c r="AK57" i="1"/>
  <c r="AK7" i="1"/>
  <c r="Y46" i="1"/>
  <c r="Z46" i="1" s="1"/>
  <c r="AK46" i="1"/>
  <c r="Y58" i="1"/>
  <c r="AA58" i="1" s="1"/>
  <c r="AK58" i="1"/>
  <c r="Y59" i="1"/>
  <c r="AA59" i="1" s="1"/>
  <c r="AK59" i="1"/>
  <c r="Y60" i="1"/>
  <c r="AA60" i="1" s="1"/>
  <c r="AK60" i="1"/>
  <c r="Y61" i="1"/>
  <c r="Z61" i="1" s="1"/>
  <c r="AK61" i="1"/>
  <c r="Y48" i="1"/>
  <c r="Z48" i="1" s="1"/>
  <c r="AK48" i="1"/>
  <c r="Y62" i="1"/>
  <c r="AA62" i="1" s="1"/>
  <c r="AK62" i="1"/>
  <c r="AK16" i="1"/>
  <c r="Y49" i="1"/>
  <c r="Z49" i="1" s="1"/>
  <c r="AK49" i="1"/>
  <c r="Y63" i="1"/>
  <c r="Z63" i="1" s="1"/>
  <c r="AK63" i="1"/>
  <c r="AK15" i="1"/>
  <c r="Y50" i="1"/>
  <c r="Z50" i="1" s="1"/>
  <c r="AK50" i="1"/>
  <c r="Y64" i="1"/>
  <c r="Z64" i="1" s="1"/>
  <c r="AK64" i="1"/>
  <c r="AK14" i="1"/>
  <c r="Y51" i="1"/>
  <c r="AA51" i="1" s="1"/>
  <c r="AK51" i="1"/>
  <c r="Y65" i="1"/>
  <c r="Z65" i="1" s="1"/>
  <c r="AK65" i="1"/>
  <c r="Y17" i="1"/>
  <c r="Y6" i="1"/>
  <c r="Y2" i="1"/>
  <c r="Z2" i="1" s="1"/>
  <c r="Y4" i="1"/>
  <c r="Y3" i="1"/>
  <c r="Y12" i="1"/>
  <c r="Y5" i="1"/>
  <c r="Y11" i="1"/>
  <c r="Y10" i="1"/>
  <c r="Y16" i="1"/>
  <c r="Y8" i="1"/>
  <c r="Y15" i="1"/>
  <c r="Y9" i="1"/>
  <c r="Y14" i="1"/>
  <c r="Y7" i="1"/>
  <c r="Y13" i="1"/>
  <c r="AA47" i="1" l="1"/>
  <c r="AA63" i="1"/>
  <c r="Z53" i="1"/>
  <c r="AA44" i="1"/>
  <c r="AA52" i="1"/>
  <c r="AA46" i="1"/>
  <c r="Z60" i="1"/>
  <c r="Z55" i="1"/>
  <c r="Z45" i="1"/>
  <c r="AA49" i="1"/>
  <c r="AA56" i="1"/>
  <c r="Z58" i="1"/>
  <c r="AA43" i="1"/>
  <c r="Z62" i="1"/>
  <c r="Z42" i="1"/>
  <c r="AA65" i="1"/>
  <c r="Z51" i="1"/>
  <c r="AA50" i="1"/>
  <c r="AA64" i="1"/>
  <c r="AA54" i="1"/>
  <c r="AA48" i="1"/>
  <c r="AA61" i="1"/>
  <c r="Z59" i="1"/>
  <c r="AA57" i="1"/>
  <c r="AA2" i="1"/>
  <c r="Z6" i="1"/>
  <c r="AA6" i="1"/>
  <c r="Z10" i="1"/>
  <c r="AA10" i="1"/>
  <c r="Z3" i="1"/>
  <c r="AA3" i="1"/>
  <c r="Z11" i="1"/>
  <c r="AA11" i="1"/>
  <c r="Z4" i="1"/>
  <c r="AA4" i="1"/>
  <c r="Z12" i="1"/>
  <c r="AA12" i="1"/>
  <c r="Z17" i="1"/>
  <c r="AA17" i="1"/>
  <c r="Z5" i="1"/>
  <c r="AA5" i="1"/>
  <c r="Z13" i="1"/>
  <c r="AA13" i="1"/>
  <c r="Z7" i="1"/>
  <c r="AA7" i="1"/>
  <c r="Z14" i="1"/>
  <c r="AA14" i="1"/>
  <c r="Z9" i="1"/>
  <c r="AA9" i="1"/>
  <c r="Z15" i="1"/>
  <c r="AA15" i="1"/>
  <c r="Z8" i="1"/>
  <c r="AA8" i="1"/>
  <c r="Z16" i="1"/>
  <c r="AA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codebook</author>
    <author>tc={66FA46E8-B8EA-4D01-AA04-FA67543849F5}</author>
    <author>tc={D87E8D9B-C94A-4982-8A30-EA723783614B}</author>
    <author>tc={C2C836A1-2B05-45A8-B563-B569EBD2CE91}</author>
    <author>tc={43DF8793-2609-4718-86E2-731BB14B40DB}</author>
    <author>tc={7DB6131A-3DE9-40F9-B9E4-980E5D8C519F}</author>
    <author>tc={6F3266FC-A9DF-4CBB-B86C-2CFF47754613}</author>
    <author>tc={AA402119-3B6D-4ECA-863E-9F031F8180D2}</author>
    <author>tc={E0A156DE-6A17-481B-9AB9-CDC28FF004E3}</author>
    <author>tc={27914532-1E5C-4839-8C81-6985652A5FD6}</author>
    <author>tc={63061A09-0949-4158-BE45-2E91CF8BFF71}</author>
    <author>tc={D3AC3524-91FA-450E-9D45-759CD1A53026}</author>
    <author>tc={96688E9D-FD90-4B4C-BF8C-4BC553551824}</author>
    <author>tc={D72CA262-8F4A-40F7-8A78-850C6753FFA8}</author>
    <author>tc={C7F36DCB-E5DC-472B-B44E-ACB914EB6B8C}</author>
    <author>tc={2C25D257-D3EE-4E4E-BCBC-851319AEFA9A}</author>
    <author>tc={7E755C5C-864C-467C-8010-9FF59A654A81}</author>
    <author>tc={5FD12EC4-3518-44AD-8268-632A1A7D5E7F}</author>
    <author>tc={43831842-E2E3-46F6-8953-85C121A91509}</author>
    <author>tc={E7F13BA6-7795-4200-B1AE-692B92A680A5}</author>
    <author>tc={24A29A96-9752-4FC9-B592-E0474ACF77AD}</author>
    <author>tc={3E02B952-0AC6-4501-89BB-173F72E8E21C}</author>
    <author>tc={C4D32BB4-959F-4656-862C-1025F5EA9BF7}</author>
    <author>tc={B153362E-A020-43C1-8743-FDB2C3664F2F}</author>
    <author>tc={08E03BDA-D892-4AE8-B77A-62F32C26F511}</author>
    <author>tc={44DAC2C4-D00B-4B7C-9EA9-EA5248BCBA5D}</author>
    <author>tc={71881348-CA59-4E84-9EC9-8FDAD9AA2DB6}</author>
    <author>tc={9AA268FF-924B-444A-85E4-6874778A1F16}</author>
    <author>tc={5D54C50B-0FD2-46F2-9875-F99701E3C2EF}</author>
    <author>tc={C9E8F4D3-BAE7-42D7-AD9C-6EF53471637B}</author>
    <author>tc={D503EC79-B89D-4E18-BC1D-6ACEB8530909}</author>
    <author>tc={40542D17-77EB-44A1-9D96-7795FC075428}</author>
    <author>tc={75D9031E-B9F0-4E0A-810F-54BB923F7AB6}</author>
    <author>tc={2DC4D444-0035-425A-A93F-8303468A4103}</author>
    <author>tc={D08BD12E-5225-45C3-BEAD-2B9D68EC0271}</author>
    <author>tc={EC1510C6-B2C1-4877-B2AB-2D6D41765773}</author>
    <author>tc={718C3DAD-182D-4B86-8EAB-10D795CDC61F}</author>
    <author>tc={53223D82-286B-42E5-AA1E-06BE2CA6B3BA}</author>
    <author>tc={95213E96-D993-4FC8-8EC5-85D5CE32CDAE}</author>
    <author>tc={45FF9713-033F-417D-A442-83D193695D6D}</author>
    <author>tc={7BC1BC1E-72E0-466D-AB8D-52DD0CA7880B}</author>
    <author>tc={1518FB96-6306-49C2-A176-AFA44BA963A7}</author>
    <author>tc={748FA3AF-4BFF-4383-8F14-97F11009465D}</author>
    <author>tc={A9995945-70C4-42E4-9455-420D828EA74E}</author>
    <author>tc={2DAE6BE9-EE9C-427C-84FD-0FE5A86B53E0}</author>
    <author>tc={5CC31769-7A3D-430D-B1E8-AE00D582CF3B}</author>
    <author>tc={5A867936-D1E3-4B46-A53E-4976BCD22A87}</author>
    <author>Clara BARBARIT</author>
    <author>tc={8CF51077-E51C-493E-8065-51618F7C98F2}</author>
    <author>tc={9AA6BB33-A72B-4DA1-8E7E-46F166C6C755}</author>
    <author>tc={1C2DCF2C-3D09-496F-9184-5B21D86646B4}</author>
    <author>tc={893979EA-1CA0-4459-A3AC-447826D4ADDF}</author>
    <author>tc={B353B919-19F4-4A73-AF0F-B769B9A604FE}</author>
    <author>tc={9B8125FA-731B-4DEA-8738-974E2B34410D}</author>
    <author>tc={7E6F8690-85C6-4C3E-BC19-334DB9E1C1C3}</author>
    <author>tc={C803DD2D-5D2E-400D-A16F-5EDEAE8C2F95}</author>
    <author>tc={384C4C4B-A448-4862-AE29-1D343F958F10}</author>
    <author>tc={C0DC678E-C40D-4CFD-B0E2-34A61717D2E8}</author>
    <author>tc={5C7BD343-86ED-4FED-B5E6-7A664E486791}</author>
    <author>tc={9F1D131A-9872-4039-9B69-110DE817BF18}</author>
    <author>tc={02876DA3-33C5-4369-8F82-E478F1871F47}</author>
    <author>tc={32870940-25A4-4A5D-9452-9B6DDAF18ADB}</author>
    <author>tc={C9B2256B-9ED2-4CCB-BE3F-C39149195DA8}</author>
    <author>tc={387C46A1-C820-49E9-AB10-73D35FBA2E9B}</author>
    <author>tc={5C92F8DB-BE37-4F6E-9A31-C30D06BC45D5}</author>
    <author>tc={8DF65EBC-67E3-4111-B624-AF5115107718}</author>
    <author>tc={07CE2191-4BFF-4685-AD26-44420BD84CB3}</author>
    <author>tc={0FAD2DBE-7255-489F-9F03-35ACF2BB0C81}</author>
    <author>tc={067FE7FF-29F9-422C-8915-16F6DB6CE845}</author>
    <author>tc={A009C5F2-1D60-4528-8C19-7B52FB10AE71}</author>
    <author>tc={41F2C19E-C595-49B3-9D07-DE20250BFF88}</author>
    <author>tc={7F044545-3672-4E60-AAEA-1521449F1DEE}</author>
    <author>tc={75F49199-8383-439C-ACA6-38BE70C5C109}</author>
    <author>tc={BEC96DF5-917D-422F-8E5B-64C01BF8B013}</author>
    <author>tc={241EB24B-4416-4CF0-AEFE-92E8FC78A804}</author>
    <author>tc={D095AA79-A565-4F35-B69B-1B17FED835AA}</author>
    <author>tc={0FE3AF90-04F3-407C-82B3-422D0997CD69}</author>
    <author>tc={39E7F77A-4B53-41C1-B383-C3F9E9BA1414}</author>
    <author>tc={69A3060C-668C-4217-8215-81F1325677CB}</author>
    <author>tc={DCC5AAC5-CA61-4136-97F8-F68C4A9FA9BE}</author>
    <author>tc={B6B88F7C-5071-497F-A45C-CDD76B8C21AF}</author>
    <author>tc={4C4A4D2D-67BE-401E-B6D8-4203A88E787E}</author>
    <author>tc={ACF334BF-63F0-455D-BE6E-814E7514BD62}</author>
    <author>tc={50C44FAF-A83C-4840-B6B0-6291323167D4}</author>
    <author>tc={EFC288EF-3916-4D6C-A0E7-6B6553C88D90}</author>
    <author>tc={D732E357-FC42-4E94-8C22-57B212E2D699}</author>
    <author>tc={A78062F4-34D9-4F02-B8AF-DF6282776523}</author>
    <author>tc={D687A026-6D35-4F9A-A3C4-06EE0C3CA052}</author>
    <author>tc={023B8E83-9ED5-449A-9F62-47A572E08746}</author>
    <author>tc={71BAF4FE-25E3-4CA2-8A35-1B21CDEB5043}</author>
    <author>tc={AB1ADE54-41F0-4D6E-9278-A05D5F2FE861}</author>
    <author>tc={7141DA12-C38F-442F-8479-55138E6E9498}</author>
    <author>tc={3E9B4FF7-17C3-4DB9-B288-67052A7B4D80}</author>
    <author>tc={51982BB0-AA3B-4B3A-A741-EBED113784F1}</author>
    <author>tc={1B2B0F29-9310-43FF-B427-BE95C2673228}</author>
    <author>tc={E9B333B9-DF24-4690-9196-9F439E39A04D}</author>
    <author>tc={6ED53EAA-760D-4622-A694-43BE630BD78E}</author>
    <author>tc={DEBB6771-E68C-4882-A690-86FA343C2CAB}</author>
    <author>tc={E9F84AC8-6A80-4240-9E34-1AC55B2A07C0}</author>
    <author>tc={E3FCB5EA-5853-447A-8820-92F0C537DB77}</author>
    <author>tc={0A945994-9B33-4ECD-8270-A4BE66031DD8}</author>
    <author>tc={8B27D9C0-84D5-4E23-ACCB-066358838EA4}</author>
    <author>tc={37080BA7-C623-4EED-8570-705FA4957555}</author>
    <author>tc={5BE9DBCD-E166-4568-B89F-CB76C1CA07DA}</author>
    <author>tc={3D4EEF6D-FF74-4161-972D-4DE201D50BAE}</author>
    <author>tc={F6106282-D179-456B-903E-EAD6E47EDBD6}</author>
    <author>tc={418B13E4-729A-4E35-92EF-50331075410E}</author>
    <author>tc={ED14F41C-5EF9-4057-8B1D-B9E3729ED3AB}</author>
    <author>tc={480483D1-5DF6-479A-A654-521D441967FD}</author>
    <author>tc={8B484B17-1C0A-4119-8C06-DA7B1DC2779A}</author>
    <author>tc={DFAE3C6C-0DB9-40B1-9601-AA0E87913995}</author>
    <author>tc={4A34A6FC-615E-4D15-8F90-D89C9FB4D16E}</author>
    <author>tc={3E4D074B-90E5-49A8-B05C-99CDD12C30CB}</author>
    <author>tc={E23C2537-9A4C-4EE1-B949-69C2128DB6B7}</author>
    <author>tc={291807B6-0CB1-4F09-A9F7-74DBCF0D7744}</author>
    <author>tc={F196F438-498F-4F66-A687-2EA8E8A4DBE8}</author>
    <author>tc={8283A944-AEBE-41DD-8BD1-0FC34529C422}</author>
    <author>tc={59F248A8-C744-4217-9EFF-4EFB32C55BDF}</author>
    <author>tc={D99CE8E9-D786-4FB9-A8F4-E995B9AA8172}</author>
    <author>tc={B8D1FB27-2252-4B67-AEF3-C21536611489}</author>
    <author>tc={E21E9DCD-EBD3-4D44-B1ED-37F3164D1C39}</author>
    <author>tc={D6BC6953-D2A0-42AB-8498-6A59543A6571}</author>
    <author>tc={9BD9FFBA-8B15-433C-8878-9CBAB715EE25}</author>
    <author>tc={06572DC8-7EBE-4F27-989A-0317B41381C3}</author>
    <author>tc={08470FB3-5960-4E35-9344-F4BE2346318B}</author>
    <author>tc={2FFE14C4-A1F0-4F6B-9FBE-799C5327C8F7}</author>
    <author>tc={D36CD6DF-3304-452B-A34B-93EB9FFEEEF9}</author>
    <author>tc={9E07C009-8F03-420C-B675-ACE3E5AF6C80}</author>
    <author>tc={792DD640-BD07-4155-B3D4-B1FCCE4E4DEE}</author>
    <author>tc={DCF3968F-788F-46C3-A718-4E031C29DC0E}</author>
    <author>tc={041CBF58-3919-4C33-ADF4-9C1DD1174E2C}</author>
    <author>tc={F4E23FDF-5150-41A3-9F6A-3990072ECE82}</author>
    <author>tc={661A9B80-806A-47C1-BA89-3E1E4D1894B3}</author>
    <author>tc={9EB2289C-990F-410A-9C86-BA0D4885A73A}</author>
    <author>tc={5692B264-7F93-4935-82CC-CA050B2FD937}</author>
    <author>tc={158C023B-21FB-4DA4-8129-DD84AF3A5905}</author>
    <author>tc={B372920A-1431-4CD4-A16A-FA918DC443BF}</author>
    <author>tc={A6A7A899-AEE5-4048-8967-B3A6EB5192D9}</author>
    <author>tc={92FA2EBD-5C3D-4D12-ABA3-A18438CD2177}</author>
    <author>tc={4AAA8CB4-1298-4EB0-BE8D-86272A7B36F5}</author>
    <author>tc={97A14255-3C4A-4578-AE27-16937BDDAC40}</author>
    <author>tc={1E0A0F64-3B16-45E4-9821-FD5B0C26BE95}</author>
    <author>tc={0F35EA5E-05A5-4641-A8F6-6CFEDB40B03B}</author>
    <author>tc={D1513120-EDE7-4B9E-BEBC-AA3D218D99EF}</author>
    <author>tc={3BAB0E7A-6A4D-43B3-8667-EE831F1E3086}</author>
    <author>tc={D9760CE2-1193-4DF0-853D-F652B7560143}</author>
    <author>tc={E459726C-D1F3-4FF0-8D2E-525F3DF5CEEE}</author>
    <author>tc={8DF90B1B-58A4-4069-A432-5F871404285B}</author>
    <author>tc={B6FD537F-3079-4267-B1F3-F5733AD5B107}</author>
    <author>tc={00BF41DB-488D-4301-AF98-985F67643B34}</author>
    <author>tc={05F43312-5CE7-4B0A-B583-A92C1886B834}</author>
    <author>tc={8071E3AA-D856-4973-845A-09AEA66613E6}</author>
    <author>tc={797960A1-B4B0-4566-9354-5E45A856A809}</author>
    <author>tc={7FC2BA7D-E449-4A2E-9690-8DCB170ADFC4}</author>
    <author>tc={9CC3C8E5-14EB-4F8D-AFDC-EF4A2B8BEB93}</author>
    <author>tc={5407D924-A404-4172-B9A6-4CFF7BCE1A7F}</author>
    <author>tc={CC776AF7-30D8-4641-BF08-2139C9DAC101}</author>
    <author>tc={762ED8D4-5B7B-45D3-BDFB-C49CF7C90347}</author>
    <author>tc={7416E8CE-F7EC-45EC-90D3-346D86022F09}</author>
    <author>tc={228AE9AD-178C-4D54-ABB1-3783340E9713}</author>
    <author>tc={1AAE4B9D-D15A-4787-A806-7A8434AE444E}</author>
    <author>tc={FDFC6B4A-93E2-4A3E-9EC5-BBB948FBF331}</author>
    <author>tc={9CE930C5-0A29-440B-A15C-A577C1CBB2E9}</author>
    <author>tc={9EA40FFD-D3CA-4A88-B9AD-A3ACB348F631}</author>
    <author>tc={1F2C1F22-3E5C-4276-9FE2-C8C59B9E2515}</author>
    <author>tc={8EFC6D0A-1F39-449D-8D07-2539FFD5D7AC}</author>
    <author>tc={BC2F19A9-5BB7-4937-B7C5-A1ACFA637D03}</author>
    <author>tc={F422A464-1E60-4008-ABF7-DFDE7AEAACD3}</author>
    <author>tc={AEF65775-E979-49E4-B778-2826BC4BB0E7}</author>
    <author>tc={A2AF3A6C-741A-4071-8679-03D6CCE9EADF}</author>
    <author>tc={F936F88B-929A-4ABF-95C9-046152B6BB1A}</author>
    <author>tc={E88A495B-A271-4B75-8ABE-593D005489E6}</author>
    <author>tc={51657DC2-74EF-4EE0-97B2-EB3CD8350953}</author>
    <author>tc={EA4248A8-22B2-4BAE-B211-FC52AE7EDB46}</author>
    <author>tc={8A135BCB-29E3-492C-AFE7-48B9869FFA10}</author>
    <author>tc={AA5A6089-EB3E-46FB-909F-5B55423AD1D1}</author>
    <author>tc={01C809AF-F82B-4E6A-8C18-37DE6662FB5C}</author>
    <author>tc={7A43D793-0634-44FC-84B0-6BFDA0A7346D}</author>
    <author>tc={9814EFBF-5148-43BD-AEC6-BE09C4BBB975}</author>
    <author>tc={63DB5966-EE86-4C5A-B133-26891E48D905}</author>
    <author>tc={53A96CEB-E1EA-4BEB-9056-FFC2D7C248A3}</author>
    <author>tc={E1DD0006-1567-4AD5-87A6-CE522FD03742}</author>
    <author>tc={2EC2CBE9-F344-4679-B60E-D9BA4F9A80B7}</author>
    <author>tc={00C0C242-E3F8-4AFD-9D54-7FE65B552B77}</author>
    <author>tc={DE928099-1F21-4B70-A155-EE10D66BFE20}</author>
    <author>tc={07699AA0-969A-49C7-B01C-8F2D7AE02EC4}</author>
    <author>tc={375DDABD-6B05-4AEF-BDF4-4D74CC8CAA94}</author>
    <author>tc={BD6C9624-A1F9-4BF9-92F2-059BE42E9DA9}</author>
    <author>tc={F5171B12-537B-44EE-B0A2-1EF77809DFEF}</author>
    <author>tc={59BCA408-C004-4C2F-96F3-EFA105A854BF}</author>
    <author>tc={734C959B-7E87-4D94-8FE3-C84F1EB43710}</author>
    <author>tc={249DC718-4C13-417C-B75F-C5B126B804CC}</author>
    <author>tc={829DA7BA-5836-411B-B9B7-2D4237E455C1}</author>
    <author>tc={67865942-4DB1-4699-BABC-C379FFC88D07}</author>
    <author>tc={6DB61EC2-2CA8-4166-93C4-7A0A72A385AD}</author>
    <author>tc={4F13D66D-E663-4D9C-AD32-BAFF2F0E77EB}</author>
    <author>tc={40E7563E-FE1C-435D-8ACB-0EC0628696DC}</author>
    <author>tc={37D98044-1822-4BFF-8CA7-CE3119D1BE12}</author>
    <author>tc={CEEC33EC-71FC-4BA2-9FBE-35510D56FBE9}</author>
    <author>tc={9C105991-D4A7-481E-A849-B30F6F1B5137}</author>
    <author>tc={7517CF59-5523-41B9-87CD-D2BC3153289E}</author>
    <author>tc={2873A32E-705E-4DC1-BD82-ABA05337EB74}</author>
    <author>tc={E2433FF0-1307-4605-BE62-E1C8BA1B66D1}</author>
    <author>tc={7407A870-6DD2-402D-85CB-8090A743F1F7}</author>
    <author>tc={966F965E-F7A3-4C16-BAAF-338ADCB254E6}</author>
    <author>tc={0541163C-147A-484B-AA1A-D09F1CF9A972}</author>
    <author>tc={9BAC97E5-FA46-43FC-AA6F-A9C6E3E63478}</author>
    <author>tc={7C136C82-CC4D-4678-9227-2B8E3DE4E1BD}</author>
    <author>tc={182E456E-DB6B-42E8-91B7-9488CBC8FB9D}</author>
    <author>tc={D3EBF2DA-7180-40EA-96BD-1C46C0B82713}</author>
    <author>tc={D1877FDD-5FF0-4F12-9433-45F0E4CCB062}</author>
    <author>tc={D1B4B095-8BD8-4F0E-9D7F-6C66AC20E467}</author>
    <author>tc={2537E647-A597-4B2C-AA6A-A9CAAD798513}</author>
    <author>tc={9E124E2A-1179-49AD-A009-57D31B7BE5F1}</author>
    <author>tc={A67989CA-616B-4968-BDC9-9BB1DD200396}</author>
    <author>tc={94280DD6-F3A5-4237-9AEE-2FBAD2F41E56}</author>
    <author>tc={2988B262-08D8-4BCC-BC98-34E6FF9C02F4}</author>
    <author>tc={C8E1D2DA-8D19-49D1-90BD-62ABCDCD29F0}</author>
    <author>tc={20F0CE88-5AB0-4449-A98B-40D4B4BDEF38}</author>
    <author>tc={77A51CFE-5F16-437C-88DC-C0FC5844BECE}</author>
    <author>tc={DA4F7978-3F5D-41CD-8507-7F06912FB461}</author>
    <author>tc={5DDED758-6A0C-4116-A6E1-F068EF6C365E}</author>
    <author>tc={30CECCA5-6206-4081-92AB-E804E9536BD5}</author>
    <author>tc={F64B9E0C-7147-4F9C-9611-93058329118C}</author>
    <author>tc={1FB50556-C8FD-46F2-8C04-E3EEF78BA423}</author>
    <author>tc={7BFF74F7-F640-41EE-9453-BF5C51E072B1}</author>
    <author>tc={EF5AD22A-EBAC-436F-82AF-5AEF9FC1EDF2}</author>
    <author>tc={A3978F3E-25CE-4D3D-AC70-A8502D1DF958}</author>
    <author>tc={49372C48-8113-4DE4-8EAE-E243B470A03A}</author>
    <author>tc={BBFB3D70-8814-42C8-858D-7A47FC28C1FB}</author>
    <author>tc={27CF15A8-6841-400B-BF10-A734BAB1B07F}</author>
    <author>tc={27C5DBA8-9A0E-43B1-BE7D-C7945924A567}</author>
    <author>tc={54F9F5F0-B820-421E-B91D-F4CC33985378}</author>
    <author>tc={5497A553-2E00-4AB8-BD93-497E67FE7EE7}</author>
    <author>tc={64751037-B30D-4F66-9BF1-A4CDC953C818}</author>
    <author>tc={CA2C63E4-E501-4DA6-BA56-1FC8577A4642}</author>
    <author>tc={92AC0A08-F8BA-44F1-BC79-4B5991D59DF2}</author>
    <author>tc={1C4D4A74-2287-402C-AFC7-D9963EB3950A}</author>
    <author>tc={BCDCB13E-713F-40D9-B8CB-519EA2E7DFE9}</author>
    <author>tc={EA54F672-AA52-46FF-A26A-DBE2D9AF1824}</author>
    <author>tc={708D6E08-0657-4169-8EEE-6F47456D6996}</author>
    <author>tc={776B8666-5ED2-4F03-9F9E-99FA3FB1DDC2}</author>
    <author>tc={992E87CD-0C38-4170-B9A8-36159B095F9E}</author>
    <author>tc={ECF1866C-F4BB-4EBD-83E9-9BA3C3F324B7}</author>
    <author>tc={45B4244E-8CF5-4A6A-B54D-1D419FC3194E}</author>
    <author>tc={C74833E1-5FE2-4508-A913-73AAA94562A9}</author>
    <author>tc={57120A45-78F0-46C0-BA87-15DAF43D9FE2}</author>
    <author>tc={5AE6CCD2-FA72-473F-A90A-36F89EA53B58}</author>
    <author>tc={2D272E47-8C53-4B0D-9C35-661B79479C14}</author>
    <author>tc={6D73BA30-0236-43E0-8934-7D0C206CB57F}</author>
    <author>tc={E918D808-9A21-4376-BE50-38A9A548CB7D}</author>
    <author>tc={5342980A-98BF-4E5D-91B5-FA62850BDC53}</author>
    <author>tc={C9114E3C-0669-47FC-B0FA-58B1D5087C3E}</author>
    <author>tc={27287A53-E1E9-4F26-B978-EF288F62C4EF}</author>
    <author>tc={D334F333-0BF6-42BB-80D4-1E447F67C1A5}</author>
    <author>tc={C3508C43-1185-4104-A41D-3909AB21D43F}</author>
    <author>tc={1B6E77F0-26BC-4F65-91F9-3BF3BD57D77C}</author>
    <author>tc={350012A7-FC1D-4F3E-8D63-9113B1C88CB8}</author>
    <author>tc={38F7BE91-6FB1-40CF-967E-88B84171F75F}</author>
    <author>tc={24E0B499-F415-4025-83C0-E4FFC480D2C6}</author>
    <author>tc={86E9AA7E-BFBD-4C20-9FB1-1C761AFAC52C}</author>
    <author>tc={1F2F6D8C-2610-412F-97E7-5B655A9FDAF5}</author>
    <author>tc={22B67C70-08DC-44D1-BF02-8BA8A0444F4C}</author>
    <author>tc={F98510EB-E6CD-4968-B374-A9A9D1033EBF}</author>
    <author>tc={BAC2123F-2D63-47DF-81DA-2EA4F6C0B699}</author>
    <author>tc={2E84CA6D-8400-4963-AE6B-1BD09C980E1F}</author>
    <author>tc={20E7B01F-9BBA-4E20-84F3-57040F02CA4D}</author>
    <author>tc={3DD16A15-90AA-4DDC-85AC-BAF8DE904864}</author>
    <author>tc={D0844806-BBB0-466F-A654-24C748DC9366}</author>
    <author>tc={A2835E91-BDC6-4779-937C-D2518E2F7316}</author>
    <author>tc={2CB6D242-665D-4663-892E-F28B0C894856}</author>
    <author>tc={3F0F78DC-7316-423E-BEC0-F0C00E637092}</author>
    <author>tc={5915F9A5-A073-46F4-9334-A53E52B09D2E}</author>
    <author>tc={C7DB0E1C-5FA4-4BDC-84C5-22FAD212C9F3}</author>
    <author>tc={88328D55-E67C-43C8-BE85-CEFC4624815D}</author>
    <author>tc={ACC18328-6CC1-4BA0-B764-256D0220713E}</author>
    <author>tc={B2918E2F-65B1-49FD-AC39-BBF4E2017137}</author>
    <author>tc={4A98A97A-C7C4-43DD-BA33-8A1845D59237}</author>
    <author>tc={9F709F08-BB0C-4C2C-BEA5-DB75FAB168FC}</author>
    <author>tc={462F31DC-E48B-4271-B6DF-C3E73D0229BF}</author>
    <author>tc={CFBD4C3D-049B-452E-9A4B-A1D941F62D3A}</author>
    <author>tc={E9AAE48E-0BAD-4113-A4E5-496FEA99B3D8}</author>
    <author>tc={5520C4D0-5E62-4F87-A751-C114B07919BA}</author>
    <author>tc={1E302F4F-4B7A-4DA5-9C41-C0844A87D3B7}</author>
    <author>tc={FF5C129C-6FBF-4940-AC18-E941255B9044}</author>
    <author>tc={E208540D-9DC0-4830-81BC-61EBF6DE7F29}</author>
    <author>tc={918B603D-82E5-4ECB-9793-FE0DDCA5BB90}</author>
    <author>tc={2CC40281-29A4-40EB-BA0D-4EF27D3DCEB8}</author>
    <author>tc={A0FBBF9A-D97F-4AF3-A45F-2F06594DA662}</author>
    <author>tc={FBC4727E-B775-45A0-9F11-934B17DDAD14}</author>
    <author>tc={05D3835D-07A3-4C86-AC70-0307D8551E49}</author>
    <author>tc={320DB4E1-FA25-4459-AC4C-DD6B4AF78619}</author>
    <author>tc={97842633-EB10-49DF-A519-86D77E5783AE}</author>
    <author>tc={85630F7E-A480-45F1-ABF8-83B7600FA5B4}</author>
    <author>tc={C08DC9A2-78F4-4461-91C6-B29DA39931CB}</author>
    <author>tc={D3E907CC-91BF-4973-B26C-B7C018FE3189}</author>
    <author>tc={21A2A7E7-857E-451D-BC2C-4443FEE76A8C}</author>
    <author>tc={DF249452-FF07-476F-94AA-4A4EE0608F69}</author>
    <author>tc={6741ABD5-7A52-46F4-98F4-92F514D90A30}</author>
    <author>tc={90BD2591-43AB-4DB8-910E-D9AFCBC8AF2B}</author>
    <author>tc={E4FA46BA-23E7-408C-A6D3-EAA5A6E9A4B2}</author>
    <author>tc={B6B08E94-738C-42EA-B6A2-DCD69CF2FCA7}</author>
    <author>tc={F83D0CFE-FC56-4D4D-9EA1-D8CF0E9BDB60}</author>
    <author>tc={3D9F7F3F-B238-4A5D-9DA7-167E1973E21B}</author>
    <author>tc={D4B814DE-E65E-4D7C-AD1C-6336B3F5CEBF}</author>
    <author>tc={1CD0A218-10EF-40A2-87AE-2A3BE9C11C1E}</author>
    <author>tc={37D09951-E9B3-410E-9DB2-F812818BFB4E}</author>
    <author>tc={84AC1412-6290-452B-BC7E-EFAD276F70CF}</author>
    <author>tc={CAD754F0-381F-48C4-8BB8-9D81052DF76A}</author>
    <author>tc={B3726665-0053-4F45-980F-756734D0BFDE}</author>
    <author>tc={D74CD00A-9D6F-4020-94AD-4323526DE573}</author>
    <author>tc={305FD282-D95E-4BD8-ACC0-A6DEC203EABC}</author>
    <author>tc={EE328A7D-7257-4FC3-8C62-A20AA91990B5}</author>
    <author>tc={5053ADD0-9CCF-42B3-BA6B-48B70FC782DC}</author>
    <author>tc={3FCAA7B9-DB0B-48BE-9DAE-D907A07D7382}</author>
    <author>tc={752DC43E-C7AB-49E6-8611-55A39E70BB59}</author>
    <author>tc={76B06F20-92BD-4915-B1CF-88A8B1F6FA19}</author>
    <author>tc={03DC6973-9D69-4634-814B-ED4D7B40CF5A}</author>
    <author>tc={987D421E-9FB5-4186-BDC9-6DDF39AB217D}</author>
    <author>tc={C70AD02A-5557-48F4-A3F9-AB1A2F8F1B9C}</author>
    <author>tc={B47AC444-F547-44EC-BB98-D7E37720E377}</author>
    <author>tc={8668B9AA-11EF-4C3B-87EB-8C8F0D0FF925}</author>
    <author>tc={814721DC-75C3-410C-AF84-08D0938D378F}</author>
    <author>tc={1332BF00-C51C-4AD9-9AC2-A79C2130760E}</author>
    <author>tc={84EA742A-F3F7-4DDB-B6EE-50C032DA76EC}</author>
    <author>tc={86187B81-2C49-43BB-B9E6-7FDF1A444D10}</author>
    <author>tc={A45C9E56-7807-45DE-9C9D-1CFB6C6136CA}</author>
    <author>tc={0E3024E1-22E7-4A57-BCFC-DC30180B51B5}</author>
    <author>tc={2763F79A-4CFA-4303-9C7B-09B25B7259BA}</author>
    <author>tc={19D9E685-DC4E-407F-8092-2E92332BD68B}</author>
    <author>tc={E36F84E0-AE0A-4473-9508-72DF95749D2E}</author>
    <author>tc={950A7AAD-DEB4-42FF-9304-25621F115306}</author>
    <author>tc={D5B29CFC-E987-4082-A1B1-FA54C7C67582}</author>
    <author>tc={EF1002E6-11DD-421A-9C14-EC46DC2DBB5F}</author>
    <author>tc={69802FAB-F8CC-498B-BFC4-5AE1756D5A98}</author>
    <author>tc={4A72B2C0-8805-4D99-AAF4-CCBC2EEF1038}</author>
    <author>tc={FDA75E7C-D18D-49D1-891E-488FB37D188F}</author>
    <author>tc={F0EFA02B-63C1-417C-A93B-A5BE85C60850}</author>
    <author>tc={EE9BB526-C40E-4BFB-8B91-08ADC34D7E0F}</author>
    <author>tc={A072123B-2413-409E-B900-6DBF66956DCD}</author>
    <author>tc={AB64D994-B780-493A-A45E-80F6E2F12C14}</author>
    <author>tc={D45A88E6-3A1D-475B-B252-F4BA120E89DA}</author>
    <author>tc={21EFECF4-276B-494D-99D5-A088D887E91A}</author>
    <author>tc={66793426-7D6F-46F7-A952-1F56F94E7B8A}</author>
    <author>tc={EA515650-0B96-4422-AD92-1FBB172D8767}</author>
    <author>tc={F785B445-B05C-4975-A85E-8EB54A778C9F}</author>
    <author>tc={A038FD99-C9F8-4B2B-9468-84D771DE3344}</author>
    <author>tc={421CFA30-1EED-440A-B0B7-5A78203BCE2A}</author>
    <author>tc={C1FEC063-17E3-457D-9759-C15669431E22}</author>
    <author>tc={3F7356B6-9141-4B20-A2B6-50B1B670974D}</author>
    <author>tc={1815DB87-C96D-43E0-89E2-1D48EBA96996}</author>
    <author>tc={A834DD14-CC15-432A-A1B0-620E44974094}</author>
    <author>tc={6B0C393E-A623-40A2-B57A-54A2F23A96F1}</author>
    <author>tc={B8A44AFC-5BF4-4367-BA28-EA072D2325B9}</author>
    <author>tc={787CCBE5-33A8-4DA4-862B-DE2D77484F5F}</author>
    <author>tc={916DD342-63E0-42F7-8444-37222EC7B9C3}</author>
    <author>tc={DF03EB6E-A578-4ADD-B2E5-3214D5CE7FC5}</author>
    <author>tc={643062DF-F327-4684-919C-ECBF002F76C7}</author>
    <author>tc={7B07BF7D-8798-4CFB-8A40-61DCEE629579}</author>
    <author>tc={DE5AE4CD-DFA6-4DE4-B59D-0AF51B2C8DD2}</author>
    <author>tc={FD91C649-A034-4BB1-837D-9455EFD1D6B9}</author>
    <author>tc={198FF908-B398-4F61-913A-735CF753C635}</author>
    <author>tc={D3B78BEF-9C81-45DC-B792-FFDA823E5357}</author>
    <author>tc={D8CBD16B-9FEF-4961-A028-4F279B5F869E}</author>
    <author>tc={8971614D-61D9-4CFB-AD26-5B543EADFE0D}</author>
    <author>tc={0DE74242-35D8-44CA-902F-5FF88733B29E}</author>
    <author>tc={406094CA-DD47-464D-A559-1CD4C4F5F5EA}</author>
    <author>tc={372FA5E9-5BFD-4D8A-AE01-24F0668EFEFD}</author>
    <author>tc={201BF037-5A81-41B4-8371-60A267B88156}</author>
    <author>tc={D67DEF50-8281-4FF1-B542-9216E9DF6F9F}</author>
    <author>tc={623C034E-17BE-4136-A4C9-28117DBC2706}</author>
    <author>tc={CDFD8399-34DA-4A0B-B276-8E00EC9BF49A}</author>
    <author>tc={2E885552-B44F-4770-AC14-666EE13A86A8}</author>
    <author>tc={D54E7788-4A4D-47C6-A7A3-707B1E261A8B}</author>
    <author>tc={476043FF-72AF-422E-93D7-132867160169}</author>
    <author>tc={DE865D8E-B7D3-4F21-9DF4-9B270316DCC1}</author>
    <author>tc={EA5DE05D-2A5F-421C-A82C-4B6817B106F9}</author>
    <author>tc={A6452B68-B6C8-4AE8-83AF-DC9D6172A928}</author>
    <author>tc={01F584FD-A2FC-4AB4-B1A6-3402F4DAEE6A}</author>
    <author>tc={9418B592-4613-4345-A799-D6D5D7BD9414}</author>
    <author>tc={0BB66D26-9585-4040-9E39-77FF0B3A100A}</author>
    <author>tc={015C5B40-17D3-490E-8FC9-AA37FADA6521}</author>
    <author>tc={1CB77EEC-2579-4306-9176-4B9A4800BA99}</author>
    <author>tc={42F5832F-CB6B-4121-9F28-179841C8093D}</author>
    <author>tc={650119C6-CD15-4C75-B79F-2127D62DBE7F}</author>
    <author>tc={D4BCC4DC-BF0F-4872-98CE-BCB0C556AF7A}</author>
    <author>tc={893594E7-451E-456D-BC7B-FF6013ECB602}</author>
    <author>tc={8230DA77-D409-4EB2-942E-3BC18CE6A156}</author>
    <author>tc={604D8F71-E13C-492B-9D34-BF3733BC5625}</author>
    <author>tc={BA7661E2-139F-45EE-842D-2F5ED4BA469F}</author>
    <author>tc={DE60D569-C0DC-4B88-BAE6-170B4A86AD5F}</author>
    <author>tc={D2446EED-AD0E-40BA-9F2D-3B113DD19BC7}</author>
    <author>tc={BE409B05-521A-4A37-B46A-2B4B58C38539}</author>
    <author>tc={28DD3E67-79BB-4204-9CCF-0193E3D4E577}</author>
    <author>tc={F2AB458B-0018-49A2-A74F-DD3155E32983}</author>
    <author>tc={8DF6FBDA-65B5-446F-9C83-9ADB041C0DDB}</author>
    <author>tc={010E2F3D-E974-4B2A-98E4-8BA285D718D1}</author>
    <author>tc={457F410A-188D-4347-8DD4-D3808B7DF19B}</author>
    <author>tc={AFDC8399-858B-497C-8610-CC8A3F14B2AB}</author>
    <author>tc={4D9125C1-8A98-4B9D-BAF6-45E116A68351}</author>
    <author>tc={3FB69F3F-96A3-42D8-9D0E-9E45DF42A23C}</author>
    <author>tc={88E0D24C-BECF-48A6-93F6-2D318A44E1ED}</author>
    <author>tc={F52C9334-7749-44D9-834A-62180FECD8A9}</author>
    <author>tc={92E931D1-74A4-4041-AF4C-92151D3C4D71}</author>
    <author>tc={A8334207-B121-4A09-9FEA-3142E9F8038F}</author>
    <author>tc={7EF1C585-69A5-42D8-8613-B15BBA2D040E}</author>
    <author>tc={DE207184-FB1A-430F-B98E-E1AD27D5E73A}</author>
    <author>tc={DA6A2402-5FE3-419B-B58B-AFD3BC360B9E}</author>
    <author>tc={8953A4FC-D5BE-4E3B-8297-527D400EC5F2}</author>
    <author>tc={4E4C1577-12EE-4131-A9C2-539EBFE077A6}</author>
    <author>tc={2DC0253E-E63E-4081-BCA2-DD06D087FEE3}</author>
    <author>tc={CC44C8EB-E5B4-49DC-9D5D-76BFF262A4E4}</author>
    <author>tc={2C780ECE-6C14-4D7C-A939-48087D4EB8A1}</author>
    <author>tc={EDD8830B-24D4-4BEE-9E4E-F20C00E87C39}</author>
    <author>tc={D1A7C79E-3D5B-4671-A326-CFD74F421CF9}</author>
    <author>tc={D1DEC8CD-2348-4EC5-B4B3-85200DDBD3A5}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[Identification]
Cle unique de l'article (ex. GraffZivin2012). Identique pour toutes les estimations d'un meme article.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[Identification]
Cle unique de CETTE ligne (ex. GraffZivin2012_01). Une ligne = une estimation.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[Identification]
Auteurs.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[Identification]
Annee de publication.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[Identification]
Titre de l'article.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[Identification]
Revue ou serie de working paper.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 xml:space="preserve">[Identification]
Statut de publication.
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[Identification]
Revu par les pairs ?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[Identification]
Pays / region des donnees.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[Identification]
Base d'origine (pour PRISMA).</t>
        </r>
      </text>
    </comment>
    <comment ref="K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[Identification]
Nombre de citations (proxy qualite, optionnel).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[Taille d'effet (obligatoire)]
Type d'effet tel que rapporte.</t>
        </r>
      </text>
    </comment>
    <comment ref="N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[Taille d'effet (obligatoire)]
Estimation ponctuelle BRUTE, telle que rapportee.</t>
        </r>
      </text>
    </comment>
    <comment ref="O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[Taille d'effet (obligatoire)]
Erreur-type BRUTE. VARIABLE LA PLUS CRITIQUE pour FAT-PET.</t>
        </r>
      </text>
    </comment>
    <comment ref="P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[Taille d'effet (obligatoire)]
t-statistique (pour reconstruire le SE s'il manque).</t>
        </r>
      </text>
    </comment>
    <comment ref="Q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[Taille d'effet (obligatoire)]
p-value (secours pour le SE).</t>
        </r>
      </text>
    </comment>
    <comment ref="R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[Taille d'effet (obligatoire)]
Borne basse de l'IC.</t>
        </r>
      </text>
    </comment>
    <comment ref="S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[Taille d'effet (obligatoire)]
Borne haute de l'IC.</t>
        </r>
      </text>
    </comment>
    <comment ref="U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[Taille d'effet (obligatoire)]
Taille d'echantillon N.</t>
        </r>
      </text>
    </comment>
    <comment ref="X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[Taille d'effet (obligatoire)]
Degres de liberte.</t>
        </r>
      </text>
    </comment>
    <comment ref="AB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[Taille d'effet (obligatoire)]
Comment le SE a ete obtenu. Hierarchie: SE direct &gt; via t &gt; via IC &gt; via p.</t>
        </r>
      </text>
    </comment>
    <comment ref="AC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[Taille d'effet (obligatoire)]
Taille d'effet TRANSFORMEE (PCC ou elasticite standardisee) = ce qu'on pool.</t>
        </r>
      </text>
    </comment>
    <comment ref="AF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[Taille d'effet (obligatoire)]
SE correspondant a l'effet transforme.</t>
        </r>
      </text>
    </comment>
    <comment ref="AI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[Taille d'effet (obligatoire)]
Effet reoriente: NEGATIF = la pollution degrade la productivite.</t>
        </r>
      </text>
    </comment>
    <comment ref="AL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[Pollution / exposition]
Type de polluant.</t>
        </r>
      </text>
    </comment>
    <comment ref="AM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[Pollution / exposition]
Unite (ug/m3, ppb, indice...).</t>
        </r>
      </text>
    </comment>
    <comment ref="AN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[Pollution / exposition]
Moyenne du polluant dans l'echantillon.</t>
        </r>
      </text>
    </comment>
    <comment ref="AP1" authorId="0" shapeId="0" xr:uid="{A832F06A-9D61-43D8-AA85-ADFFED56FB8E}">
      <text>
        <r>
          <rPr>
            <sz val="11"/>
            <color theme="1"/>
            <rFont val="Calibri"/>
            <family val="2"/>
            <scheme val="minor"/>
          </rPr>
          <t>[Pollution / exposition]
Moyenne du polluant dans l'echantillon.</t>
        </r>
      </text>
    </comment>
    <comment ref="AQ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[Pollution / exposition]
Ecart-type du polluant.</t>
        </r>
      </text>
    </comment>
    <comment ref="AR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[Pollution / exposition]
Minimum du polluant.</t>
        </r>
      </text>
    </comment>
    <comment ref="AS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[Pollution / exposition]
Maximum du polluant.</t>
        </r>
      </text>
    </comment>
    <comment ref="AT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[Pollution / exposition]
Methode de mesure de l'exposition.</t>
        </r>
      </text>
    </comment>
    <comment ref="AU1" authorId="0" shapeId="0" xr:uid="{09E77F98-8E7B-4FCA-B3B5-80B1C4FE8D19}">
      <text>
        <r>
          <rPr>
            <sz val="11"/>
            <color theme="1"/>
            <rFont val="Calibri"/>
            <family val="2"/>
            <scheme val="minor"/>
          </rPr>
          <t>[Pollution / exposition]
Interieur / exterieur. MODERATEUR (rho du cadre).</t>
        </r>
      </text>
    </comment>
    <comment ref="AV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[Pollution / exposition]
Niveau d'assignation de l'exposition.</t>
        </r>
      </text>
    </comment>
    <comment ref="AW1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[Pollution / exposition]
Interieur / exterieur. MODERATEUR (rho du cadre).</t>
        </r>
      </text>
    </comment>
    <comment ref="AX1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[Pollution / exposition]
Horizon de l'effet: short_run (jour meme) / long_run (cumule) / both. MODERATEUR PRINCIPAL. Version categorielle de lag_max_days.</t>
        </r>
      </text>
    </comment>
    <comment ref="AY1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[Pollution / exposition]
Jour le plus RECENT inclus dans la fenetre d'exposition (presque toujours 0).</t>
        </r>
      </text>
    </comment>
    <comment ref="AZ1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[Pollution / exposition]
Jour le plus ANCIEN remonte (0=jour meme, 30=cumul un mois, 365=un an). Version continue de effect_timing.</t>
        </r>
      </text>
    </comment>
    <comment ref="BA1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[Outcome / productivite]
Type d'outcome de productivite.</t>
        </r>
      </text>
    </comment>
    <comment ref="BB1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[Outcome / productivite]
Marge. DRAPEAU DE POOLING: extensive (absences) analysee A PART.</t>
        </r>
      </text>
    </comment>
    <comment ref="BC1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[Outcome / productivite]
Tache physique / cognitive. Moderateur du canal m.</t>
        </r>
      </text>
    </comment>
    <comment ref="BD1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[Outcome / productivite]
Niveau de qualification des travailleurs.</t>
        </r>
      </text>
    </comment>
    <comment ref="BE1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[Outcome / productivite]
Unite de mesure de l'outcome.</t>
        </r>
      </text>
    </comment>
    <comment ref="BF1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[Outcome / productivite]
Moyenne de l'outcome dans l'echantillon.</t>
        </r>
      </text>
    </comment>
    <comment ref="BH1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[Outcome / productivite]
Ecart-type de l'outcome.</t>
        </r>
      </text>
    </comment>
    <comment ref="BI1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[Outcome / productivite]
Minimum de l'outcome.</t>
        </r>
      </text>
    </comment>
    <comment ref="BJ1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[Outcome / productivite]
Maximum de l'outcome.</t>
        </r>
      </text>
    </comment>
    <comment ref="BK1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[Outcome / productivite]
Objectif ou auto-declare.</t>
        </r>
      </text>
    </comment>
    <comment ref="BL1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[Outcome / productivite]
Niveau d'observation de l'outcome.</t>
        </r>
      </text>
    </comment>
    <comment ref="BN1" authorId="0" shapeId="0" xr:uid="{5E87CD46-9226-41F4-B1CC-D2CBA461170F}">
      <text>
        <r>
          <rPr>
            <sz val="11"/>
            <color theme="1"/>
            <rFont val="Calibri"/>
            <family val="2"/>
            <scheme val="minor"/>
          </rPr>
          <t>[Echantillon / contexte]
Secteur / industrie.</t>
        </r>
      </text>
    </comment>
    <comment ref="BO1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[Echantillon / contexte]
Secteur / industrie.</t>
        </r>
      </text>
    </comment>
    <comment ref="BP1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[Echantillon / contexte]
Type d'occupation.</t>
        </r>
      </text>
    </comment>
    <comment ref="BQ1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[Echantillon / contexte]
Niveau de developpement.</t>
        </r>
      </text>
    </comment>
    <comment ref="BR1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[Echantillon / contexte]
Urbain / rural.</t>
        </r>
      </text>
    </comment>
    <comment ref="BS1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[Echantillon / contexte]
Age moyen (si utilise).</t>
        </r>
      </text>
    </comment>
    <comment ref="BT1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[Echantillon / contexte]
% de femmes (si utilise).</t>
        </r>
      </text>
    </comment>
    <comment ref="BU1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[Echantillon / contexte]
Annee de debut des donnees.</t>
        </r>
      </text>
    </comment>
    <comment ref="BV1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[Echantillon / contexte]
Annee de fin des donnees.</t>
        </r>
      </text>
    </comment>
    <comment ref="BW1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[Echantillon / contexte]
Frequence des donnees.</t>
        </r>
      </text>
    </comment>
    <comment ref="BX1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[Identification &amp; econometrie]
Structure des donnees.</t>
        </r>
      </text>
    </comment>
    <comment ref="BY1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[Identification &amp; econometrie]
Strategie d'identification.</t>
        </r>
      </text>
    </comment>
    <comment ref="BZ1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[Identification &amp; econometrie]
Endogeneite traitee ?</t>
        </r>
      </text>
    </comment>
    <comment ref="CA1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[Identification &amp; econometrie]
Instrument utilise ?</t>
        </r>
      </text>
    </comment>
    <comment ref="CB1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[Identification &amp; econometrie]
Type d'instrument (vent, inversion, distance...).</t>
        </r>
      </text>
    </comment>
    <comment ref="CC1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[Identification &amp; econometrie]
Effets fixes inclus (individu, firme, temps, lieu).</t>
        </r>
      </text>
    </comment>
    <comment ref="CD1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[Identification &amp; econometrie]
Controle meteo present ? (binaire) CONFONDEUR CRITIQUE.</t>
        </r>
      </text>
    </comment>
    <comment ref="CE1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[Identification &amp; econometrie]
Type de controle meteo.</t>
        </r>
      </text>
    </comment>
    <comment ref="CF1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[Identification &amp; econometrie]
Controle d'autres polluants ? (binaire)</t>
        </r>
      </text>
    </comment>
    <comment ref="CG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[Identification &amp; econometrie]
Etendue du controle multi-polluants.</t>
        </r>
      </text>
    </comment>
    <comment ref="CH1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[Identification &amp; econometrie]
Selection dans la presence controlee ? (point de He et al.)</t>
        </r>
      </text>
    </comment>
    <comment ref="CI1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[Identification &amp; econometrie]
Niveau de clustering des erreurs-types.</t>
        </r>
      </text>
    </comment>
    <comment ref="CJ1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[Identification &amp; econometrie]
Forme fonctionnelle.</t>
        </r>
      </text>
    </comment>
    <comment ref="CK1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[Mecanique meta-regression]
Nombre d'estimations tirees de l'etude (ponderation/clustering).</t>
        </r>
      </text>
    </comment>
    <comment ref="CL1" authorId="0" shapeId="0" xr:uid="{BDCAF936-0044-4D95-A71C-24E79EB329FB}">
      <text>
        <r>
          <rPr>
            <sz val="11"/>
            <color theme="1"/>
            <rFont val="Calibri"/>
            <family val="2"/>
            <scheme val="minor"/>
          </rPr>
          <t>[Mecanique meta-regression]
Specification preferee de l'auteur ?</t>
        </r>
      </text>
    </comment>
    <comment ref="CM1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[Mecanique meta-regression]
Specification preferee de l'auteur ?</t>
        </r>
      </text>
    </comment>
    <comment ref="CN1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[Mecanique meta-regression]
Specification de base ou de robustesse.</t>
        </r>
      </text>
    </comment>
    <comment ref="CP1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[Mecanique meta-regression]
Origine de l'extraction.</t>
        </r>
      </text>
    </comment>
    <comment ref="CQ1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[Tracabilite codage]
Qui a code (fiabilite inter-codeurs).</t>
        </r>
      </text>
    </comment>
    <comment ref="CR1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[Tracabilite codage]
Date de codage.</t>
        </r>
      </text>
    </comment>
    <comment ref="CS1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[Tracabilite codage]
Double-code ?</t>
        </r>
      </text>
    </comment>
    <comment ref="CT1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[Tracabilite codage]
Notes / ambiguites / decisions.</t>
        </r>
      </text>
    </comment>
    <comment ref="R66" authorId="1" shapeId="0" xr:uid="{66FA46E8-B8EA-4D01-AA04-FA67543849F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66" authorId="2" shapeId="0" xr:uid="{D87E8D9B-C94A-4982-8A30-EA723783614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U66" authorId="3" shapeId="0" xr:uid="{C2C836A1-2B05-45A8-B563-B569EBD2CE9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 de juillet à novembre</t>
      </text>
    </comment>
    <comment ref="BW66" authorId="4" shapeId="0" xr:uid="{43DF8793-2609-4718-86E2-731BB14B40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66" authorId="5" shapeId="0" xr:uid="{7DB6131A-3DE9-40F9-B9E4-980E5D8C51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CC66" authorId="6" shapeId="0" xr:uid="{6F3266FC-A9DF-4CBB-B86C-2CFF477546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Préciser?</t>
      </text>
    </comment>
    <comment ref="AN67" authorId="7" shapeId="0" xr:uid="{AA402119-3B6D-4ECA-863E-9F031F8180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Devrait être plus faible</t>
      </text>
    </comment>
    <comment ref="AV67" authorId="8" shapeId="0" xr:uid="{E0A156DE-6A17-481B-9AB9-CDC28FF004E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67" authorId="9" shapeId="0" xr:uid="{27914532-1E5C-4839-8C81-6985652A5F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67" authorId="10" shapeId="0" xr:uid="{63061A09-0949-4158-BE45-2E91CF8BFF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L68" authorId="11" shapeId="0" xr:uid="{D3AC3524-91FA-450E-9D45-759CD1A5302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Ok?</t>
      </text>
    </comment>
    <comment ref="AV68" authorId="12" shapeId="0" xr:uid="{96688E9D-FD90-4B4C-BF8C-4BC553551824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68" authorId="13" shapeId="0" xr:uid="{D72CA262-8F4A-40F7-8A78-850C6753FF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68" authorId="14" shapeId="0" xr:uid="{C7F36DCB-E5DC-472B-B44E-ACB914EB6B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L69" authorId="15" shapeId="0" xr:uid="{2C25D257-D3EE-4E4E-BCBC-851319AEFA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Ok?</t>
      </text>
    </comment>
    <comment ref="AV69" authorId="16" shapeId="0" xr:uid="{7E755C5C-864C-467C-8010-9FF59A654A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69" authorId="17" shapeId="0" xr:uid="{5FD12EC4-3518-44AD-8268-632A1A7D5E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69" authorId="18" shapeId="0" xr:uid="{43831842-E2E3-46F6-8953-85C121A915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70" authorId="19" shapeId="0" xr:uid="{E7F13BA6-7795-4200-B1AE-692B92A680A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0" authorId="20" shapeId="0" xr:uid="{24A29A96-9752-4FC9-B592-E0474ACF77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0" authorId="21" shapeId="0" xr:uid="{3E02B952-0AC6-4501-89BB-173F72E8E21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71" authorId="22" shapeId="0" xr:uid="{C4D32BB4-959F-4656-862C-1025F5EA9BF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1" authorId="23" shapeId="0" xr:uid="{B153362E-A020-43C1-8743-FDB2C3664F2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1" authorId="24" shapeId="0" xr:uid="{08E03BDA-D892-4AE8-B77A-62F32C26F51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72" authorId="25" shapeId="0" xr:uid="{44DAC2C4-D00B-4B7C-9EA9-EA5248BCBA5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2" authorId="26" shapeId="0" xr:uid="{71881348-CA59-4E84-9EC9-8FDAD9AA2DB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2" authorId="27" shapeId="0" xr:uid="{9AA268FF-924B-444A-85E4-6874778A1F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73" authorId="28" shapeId="0" xr:uid="{5D54C50B-0FD2-46F2-9875-F99701E3C2E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3" authorId="29" shapeId="0" xr:uid="{C9E8F4D3-BAE7-42D7-AD9C-6EF53471637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3" authorId="30" shapeId="0" xr:uid="{D503EC79-B89D-4E18-BC1D-6ACEB85309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74" authorId="31" shapeId="0" xr:uid="{40542D17-77EB-44A1-9D96-7795FC07542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74" authorId="32" shapeId="0" xr:uid="{75D9031E-B9F0-4E0A-810F-54BB923F7AB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4" authorId="33" shapeId="0" xr:uid="{2DC4D444-0035-425A-A93F-8303468A41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4" authorId="34" shapeId="0" xr:uid="{D08BD12E-5225-45C3-BEAD-2B9D68EC02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CC74" authorId="35" shapeId="0" xr:uid="{EC1510C6-B2C1-4877-B2AB-2D6D417657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Préciser?</t>
      </text>
    </comment>
    <comment ref="R75" authorId="36" shapeId="0" xr:uid="{718C3DAD-182D-4B86-8EAB-10D795CDC6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75" authorId="37" shapeId="0" xr:uid="{53223D82-286B-42E5-AA1E-06BE2CA6B3B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5" authorId="38" shapeId="0" xr:uid="{95213E96-D993-4FC8-8EC5-85D5CE32CD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5" authorId="39" shapeId="0" xr:uid="{45FF9713-033F-417D-A442-83D193695D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CC75" authorId="40" shapeId="0" xr:uid="{7BC1BC1E-72E0-466D-AB8D-52DD0CA7880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Préciser?</t>
      </text>
    </comment>
    <comment ref="R76" authorId="41" shapeId="0" xr:uid="{1518FB96-6306-49C2-A176-AFA44BA963A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76" authorId="42" shapeId="0" xr:uid="{748FA3AF-4BFF-4383-8F14-97F11009465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6" authorId="43" shapeId="0" xr:uid="{A9995945-70C4-42E4-9455-420D828EA7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6" authorId="44" shapeId="0" xr:uid="{2DAE6BE9-EE9C-427C-84FD-0FE5A86B53E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CC76" authorId="45" shapeId="0" xr:uid="{5CC31769-7A3D-430D-B1E8-AE00D582CF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Préciser?</t>
      </text>
    </comment>
    <comment ref="R77" authorId="46" shapeId="0" xr:uid="{5A867936-D1E3-4B46-A53E-4976BCD22A87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K77" authorId="47" shapeId="0" xr:uid="{3CA7ABAB-B266-44D0-BA28-F00C1A4F8646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 mais ok</t>
        </r>
      </text>
    </comment>
    <comment ref="AV77" authorId="48" shapeId="0" xr:uid="{8CF51077-E51C-493E-8065-51618F7C98F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7" authorId="49" shapeId="0" xr:uid="{9AA6BB33-A72B-4DA1-8E7E-46F166C6C75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7" authorId="50" shapeId="0" xr:uid="{1C2DCF2C-3D09-496F-9184-5B21D86646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CC77" authorId="51" shapeId="0" xr:uid="{893979EA-1CA0-4459-A3AC-447826D4AD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Préciser?</t>
      </text>
    </comment>
    <comment ref="R78" authorId="52" shapeId="0" xr:uid="{B353B919-19F4-4A73-AF0F-B769B9A604F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78" authorId="53" shapeId="0" xr:uid="{9B8125FA-731B-4DEA-8738-974E2B34410D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8" authorId="54" shapeId="0" xr:uid="{7E6F8690-85C6-4C3E-BC19-334DB9E1C1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8" authorId="55" shapeId="0" xr:uid="{C803DD2D-5D2E-400D-A16F-5EDEAE8C2F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L79" authorId="56" shapeId="0" xr:uid="{384C4C4B-A448-4862-AE29-1D343F958F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Ok?</t>
      </text>
    </comment>
    <comment ref="R79" authorId="57" shapeId="0" xr:uid="{C0DC678E-C40D-4CFD-B0E2-34A61717D2E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79" authorId="58" shapeId="0" xr:uid="{5C7BD343-86ED-4FED-B5E6-7A664E48679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79" authorId="59" shapeId="0" xr:uid="{9F1D131A-9872-4039-9B69-110DE817BF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79" authorId="60" shapeId="0" xr:uid="{02876DA3-33C5-4369-8F82-E478F1871F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0" authorId="61" shapeId="0" xr:uid="{32870940-25A4-4A5D-9452-9B6DDAF18AD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AV80" authorId="62" shapeId="0" xr:uid="{C9B2256B-9ED2-4CCB-BE3F-C39149195DA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W80" authorId="63" shapeId="0" xr:uid="{387C46A1-C820-49E9-AB10-73D35FBA2E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Every 6 days for X</t>
      </text>
    </comment>
    <comment ref="BZ80" authorId="64" shapeId="0" xr:uid="{5C92F8DB-BE37-4F6E-9A31-C30D06BC45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81" authorId="65" shapeId="0" xr:uid="{8DF65EBC-67E3-4111-B624-AF511510771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Z81" authorId="66" shapeId="0" xr:uid="{07CE2191-4BFF-4685-AD26-44420BD84C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82" authorId="67" shapeId="0" xr:uid="{0FAD2DBE-7255-489F-9F03-35ACF2BB0C8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Z82" authorId="68" shapeId="0" xr:uid="{067FE7FF-29F9-422C-8915-16F6DB6CE84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AV83" authorId="69" shapeId="0" xr:uid="{A009C5F2-1D60-4528-8C19-7B52FB10AE7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Localisé à 2.7miles </t>
      </text>
    </comment>
    <comment ref="BZ83" authorId="70" shapeId="0" xr:uid="{41F2C19E-C595-49B3-9D07-DE20250BFF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4" authorId="71" shapeId="0" xr:uid="{7F044545-3672-4E60-AAEA-1521449F1DE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4" authorId="72" shapeId="0" xr:uid="{75F49199-8383-439C-ACA6-38BE70C5C1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5" authorId="73" shapeId="0" xr:uid="{BEC96DF5-917D-422F-8E5B-64C01BF8B01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5" authorId="74" shapeId="0" xr:uid="{241EB24B-4416-4CF0-AEFE-92E8FC78A80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6" authorId="75" shapeId="0" xr:uid="{D095AA79-A565-4F35-B69B-1B17FED835AA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6" authorId="76" shapeId="0" xr:uid="{0FE3AF90-04F3-407C-82B3-422D0997CD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B87" authorId="77" shapeId="0" xr:uid="{39E7F77A-4B53-41C1-B383-C3F9E9BA14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Mesure considérée comme marge extensive dans un autre paper</t>
      </text>
    </comment>
    <comment ref="R87" authorId="78" shapeId="0" xr:uid="{69A3060C-668C-4217-8215-81F1325677CB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7" authorId="79" shapeId="0" xr:uid="{DCC5AAC5-CA61-4136-97F8-F68C4A9FA9B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8" authorId="80" shapeId="0" xr:uid="{B6B88F7C-5071-497F-A45C-CDD76B8C21A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8" authorId="81" shapeId="0" xr:uid="{4C4A4D2D-67BE-401E-B6D8-4203A88E787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89" authorId="82" shapeId="0" xr:uid="{ACF334BF-63F0-455D-BE6E-814E7514BD62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89" authorId="83" shapeId="0" xr:uid="{50C44FAF-A83C-4840-B6B0-6291323167D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0" authorId="84" shapeId="0" xr:uid="{EFC288EF-3916-4D6C-A0E7-6B6553C88D9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0" authorId="85" shapeId="0" xr:uid="{D732E357-FC42-4E94-8C22-57B212E2D6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1" authorId="86" shapeId="0" xr:uid="{A78062F4-34D9-4F02-B8AF-DF628277652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1" authorId="87" shapeId="0" xr:uid="{D687A026-6D35-4F9A-A3C4-06EE0C3CA05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2" authorId="88" shapeId="0" xr:uid="{023B8E83-9ED5-449A-9F62-47A572E08746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2" authorId="89" shapeId="0" xr:uid="{71BAF4FE-25E3-4CA2-8A35-1B21CDEB50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3" authorId="90" shapeId="0" xr:uid="{AB1ADE54-41F0-4D6E-9278-A05D5F2FE861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3" authorId="91" shapeId="0" xr:uid="{7141DA12-C38F-442F-8479-55138E6E94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4" authorId="92" shapeId="0" xr:uid="{3E9B4FF7-17C3-4DB9-B288-67052A7B4D8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4" authorId="93" shapeId="0" xr:uid="{51982BB0-AA3B-4B3A-A741-EBED113784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5" authorId="94" shapeId="0" xr:uid="{1B2B0F29-9310-43FF-B427-BE95C267322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5" authorId="95" shapeId="0" xr:uid="{E9B333B9-DF24-4690-9196-9F439E39A0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6" authorId="96" shapeId="0" xr:uid="{6ED53EAA-760D-4622-A694-43BE630BD78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6" authorId="97" shapeId="0" xr:uid="{DEBB6771-E68C-4882-A690-86FA343C2C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7" authorId="98" shapeId="0" xr:uid="{E9F84AC8-6A80-4240-9E34-1AC55B2A07C0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7" authorId="99" shapeId="0" xr:uid="{E3FCB5EA-5853-447A-8820-92F0C537DB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8" authorId="100" shapeId="0" xr:uid="{0A945994-9B33-4ECD-8270-A4BE66031DD8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8" authorId="101" shapeId="0" xr:uid="{8B27D9C0-84D5-4E23-ACCB-066358838EA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99" authorId="102" shapeId="0" xr:uid="{37080BA7-C623-4EED-8570-705FA4957555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99" authorId="103" shapeId="0" xr:uid="{5BE9DBCD-E166-4568-B89F-CB76C1CA07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100" authorId="104" shapeId="0" xr:uid="{3D4EEF6D-FF74-4161-972D-4DE201D50BA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100" authorId="105" shapeId="0" xr:uid="{F6106282-D179-456B-903E-EAD6E47EDBD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R101" authorId="106" shapeId="0" xr:uid="{418B13E4-729A-4E35-92EF-50331075410E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</t>
      </text>
    </comment>
    <comment ref="BZ101" authorId="107" shapeId="0" xr:uid="{ED14F41C-5EF9-4057-8B1D-B9E3729ED3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Arguments justifiant l’utilisation d’OLS</t>
      </text>
    </comment>
    <comment ref="V102" authorId="108" shapeId="0" xr:uid="{480483D1-5DF6-479A-A654-521D441967F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Indicatrices pour la température notamment -&gt; nous empêche de l’estimer</t>
      </text>
    </comment>
    <comment ref="W102" authorId="109" shapeId="0" xr:uid="{8B484B17-1C0A-4119-8C06-DA7B1DC277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Indicatrices pour la température notamment -&gt; nous empêche de l’estimer</t>
      </text>
    </comment>
    <comment ref="AC102" authorId="110" shapeId="0" xr:uid="{DFAE3C6C-0DB9-40B1-9601-AA0E879139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AK102" authorId="47" shapeId="0" xr:uid="{6F5FB8E6-F936-4C4E-BC1E-C0950CCBE45A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BU102" authorId="111" shapeId="0" xr:uid="{4A34A6FC-615E-4D15-8F90-D89C9FB4D16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3" authorId="112" shapeId="0" xr:uid="{3E4D074B-90E5-49A8-B05C-99CDD12C30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3" authorId="113" shapeId="0" xr:uid="{E23C2537-9A4C-4EE1-B949-69C2128DB6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4" authorId="114" shapeId="0" xr:uid="{291807B6-0CB1-4F09-A9F7-74DBCF0D77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4" authorId="115" shapeId="0" xr:uid="{F196F438-498F-4F66-A687-2EA8E8A4DBE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5" authorId="116" shapeId="0" xr:uid="{8283A944-AEBE-41DD-8BD1-0FC34529C4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5" authorId="117" shapeId="0" xr:uid="{59F248A8-C744-4217-9EFF-4EFB32C55B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6" authorId="118" shapeId="0" xr:uid="{D99CE8E9-D786-4FB9-A8F4-E995B9AA81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6" authorId="119" shapeId="0" xr:uid="{B8D1FB27-2252-4B67-AEF3-C215366114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N107" authorId="120" shapeId="0" xr:uid="{E21E9DCD-EBD3-4D44-B1ED-37F3164D1C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−0,149−0,007*2,78+0,002*(2,78)^2 
Réponse :
    Marginal effect at the mean</t>
      </text>
    </comment>
    <comment ref="AC107" authorId="121" shapeId="0" xr:uid="{D6BC6953-D2A0-42AB-8498-6A59543A65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7" authorId="122" shapeId="0" xr:uid="{9BD9FFBA-8B15-433C-8878-9CBAB715EE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8" authorId="123" shapeId="0" xr:uid="{06572DC8-7EBE-4F27-989A-0317B41381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8" authorId="124" shapeId="0" xr:uid="{08470FB3-5960-4E35-9344-F4BE234631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09" authorId="125" shapeId="0" xr:uid="{2FFE14C4-A1F0-4F6B-9FBE-799C5327C8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09" authorId="126" shapeId="0" xr:uid="{D36CD6DF-3304-452B-A34B-93EB9FFEEE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0" authorId="127" shapeId="0" xr:uid="{9E07C009-8F03-420C-B675-ACE3E5AF6C8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0" authorId="128" shapeId="0" xr:uid="{792DD640-BD07-4155-B3D4-B1FCCE4E4D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1" authorId="129" shapeId="0" xr:uid="{DCF3968F-788F-46C3-A718-4E031C29DC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1" authorId="130" shapeId="0" xr:uid="{041CBF58-3919-4C33-ADF4-9C1DD1174E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2" authorId="131" shapeId="0" xr:uid="{F4E23FDF-5150-41A3-9F6A-3990072ECE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2" authorId="132" shapeId="0" xr:uid="{661A9B80-806A-47C1-BA89-3E1E4D1894B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3" authorId="133" shapeId="0" xr:uid="{9EB2289C-990F-410A-9C86-BA0D4885A7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3" authorId="134" shapeId="0" xr:uid="{5692B264-7F93-4935-82CC-CA050B2FD9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4" authorId="135" shapeId="0" xr:uid="{158C023B-21FB-4DA4-8129-DD84AF3A59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4" authorId="136" shapeId="0" xr:uid="{B372920A-1431-4CD4-A16A-FA918DC443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5" authorId="137" shapeId="0" xr:uid="{A6A7A899-AEE5-4048-8967-B3A6EB5192D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5" authorId="138" shapeId="0" xr:uid="{92FA2EBD-5C3D-4D12-ABA3-A18438CD21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6" authorId="139" shapeId="0" xr:uid="{4AAA8CB4-1298-4EB0-BE8D-86272A7B36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6" authorId="140" shapeId="0" xr:uid="{97A14255-3C4A-4578-AE27-16937BDDAC4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7" authorId="141" shapeId="0" xr:uid="{1E0A0F64-3B16-45E4-9821-FD5B0C26BE9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7" authorId="142" shapeId="0" xr:uid="{0F35EA5E-05A5-4641-A8F6-6CFEDB40B03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AC118" authorId="143" shapeId="0" xr:uid="{D1513120-EDE7-4B9E-BEBC-AA3D218D99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Calculé à partir de la semi-élasticité de 5,5% indiquée dans le texte</t>
      </text>
    </comment>
    <comment ref="BU118" authorId="144" shapeId="0" xr:uid="{3BAB0E7A-6A4D-43B3-8667-EE831F1E308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Growing season</t>
      </text>
    </comment>
    <comment ref="BU119" authorId="145" shapeId="0" xr:uid="{D9760CE2-1193-4DF0-853D-F652B756014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0" authorId="146" shapeId="0" xr:uid="{E459726C-D1F3-4FF0-8D2E-525F3DF5CEE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1" authorId="147" shapeId="0" xr:uid="{8DF90B1B-58A4-4069-A432-5F871404285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2" authorId="148" shapeId="0" xr:uid="{B6FD537F-3079-4267-B1F3-F5733AD5B1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3" authorId="149" shapeId="0" xr:uid="{00BF41DB-488D-4301-AF98-985F67643B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4" authorId="150" shapeId="0" xr:uid="{05F43312-5CE7-4B0A-B583-A92C1886B83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5" authorId="151" shapeId="0" xr:uid="{8071E3AA-D856-4973-845A-09AEA66613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6" authorId="152" shapeId="0" xr:uid="{797960A1-B4B0-4566-9354-5E45A856A8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7" authorId="153" shapeId="0" xr:uid="{7FC2BA7D-E449-4A2E-9690-8DCB170ADF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8" authorId="154" shapeId="0" xr:uid="{9CC3C8E5-14EB-4F8D-AFDC-EF4A2B8BEB9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29" authorId="155" shapeId="0" xr:uid="{5407D924-A404-4172-B9A6-4CFF7BCE1A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0" authorId="156" shapeId="0" xr:uid="{CC776AF7-30D8-4641-BF08-2139C9DAC10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1" authorId="157" shapeId="0" xr:uid="{762ED8D4-5B7B-45D3-BDFB-C49CF7C9034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2" authorId="158" shapeId="0" xr:uid="{7416E8CE-F7EC-45EC-90D3-346D86022F0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3" authorId="159" shapeId="0" xr:uid="{228AE9AD-178C-4D54-ABB1-3783340E97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4" authorId="160" shapeId="0" xr:uid="{1AAE4B9D-D15A-4787-A806-7A8434AE44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5" authorId="161" shapeId="0" xr:uid="{FDFC6B4A-93E2-4A3E-9EC5-BBB948FBF3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6" authorId="162" shapeId="0" xr:uid="{9CE930C5-0A29-440B-A15C-A577C1CBB2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7" authorId="163" shapeId="0" xr:uid="{9EA40FFD-D3CA-4A88-B9AD-A3ACB348F63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8" authorId="164" shapeId="0" xr:uid="{1F2C1F22-3E5C-4276-9FE2-C8C59B9E251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39" authorId="165" shapeId="0" xr:uid="{8EFC6D0A-1F39-449D-8D07-2539FFD5D7A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0" authorId="166" shapeId="0" xr:uid="{BC2F19A9-5BB7-4937-B7C5-A1ACFA637D0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1" authorId="167" shapeId="0" xr:uid="{F422A464-1E60-4008-ABF7-DFDE7AEAACD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2" authorId="168" shapeId="0" xr:uid="{AEF65775-E979-49E4-B778-2826BC4BB0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3" authorId="169" shapeId="0" xr:uid="{A2AF3A6C-741A-4071-8679-03D6CCE9EAD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4" authorId="170" shapeId="0" xr:uid="{F936F88B-929A-4ABF-95C9-046152B6BB1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5" authorId="171" shapeId="0" xr:uid="{E88A495B-A271-4B75-8ABE-593D005489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6" authorId="172" shapeId="0" xr:uid="{51657DC2-74EF-4EE0-97B2-EB3CD83509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7" authorId="173" shapeId="0" xr:uid="{EA4248A8-22B2-4BAE-B211-FC52AE7EDB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8" authorId="174" shapeId="0" xr:uid="{8A135BCB-29E3-492C-AFE7-48B9869FFA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49" authorId="175" shapeId="0" xr:uid="{AA5A6089-EB3E-46FB-909F-5B55423AD1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0" authorId="176" shapeId="0" xr:uid="{01C809AF-F82B-4E6A-8C18-37DE6662FB5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1" authorId="177" shapeId="0" xr:uid="{7A43D793-0634-44FC-84B0-6BFDA0A7346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2" authorId="178" shapeId="0" xr:uid="{9814EFBF-5148-43BD-AEC6-BE09C4BBB97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3" authorId="179" shapeId="0" xr:uid="{63DB5966-EE86-4C5A-B133-26891E48D90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4" authorId="180" shapeId="0" xr:uid="{53A96CEB-E1EA-4BEB-9056-FFC2D7C248A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5" authorId="181" shapeId="0" xr:uid="{E1DD0006-1567-4AD5-87A6-CE522FD0374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6" authorId="182" shapeId="0" xr:uid="{2EC2CBE9-F344-4679-B60E-D9BA4F9A80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7" authorId="183" shapeId="0" xr:uid="{00C0C242-E3F8-4AFD-9D54-7FE65B552B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8" authorId="184" shapeId="0" xr:uid="{DE928099-1F21-4B70-A155-EE10D66BFE2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59" authorId="185" shapeId="0" xr:uid="{07699AA0-969A-49C7-B01C-8F2D7AE02EC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160" authorId="186" shapeId="0" xr:uid="{375DDABD-6B05-4AEF-BDF4-4D74CC8CAA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AC161" authorId="187" shapeId="0" xr:uid="{BD6C9624-A1F9-4BF9-92F2-059BE42E9D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BU161" authorId="188" shapeId="0" xr:uid="{F5171B12-537B-44EE-B0A2-1EF77809DF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season</t>
      </text>
    </comment>
    <comment ref="AC164" authorId="189" shapeId="0" xr:uid="{59BCA408-C004-4C2F-96F3-EFA105A854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67" authorId="190" shapeId="0" xr:uid="{734C959B-7E87-4D94-8FE3-C84F1EB437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70" authorId="191" shapeId="0" xr:uid="{249DC718-4C13-417C-B75F-C5B126B804C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73" authorId="192" shapeId="0" xr:uid="{829DA7BA-5836-411B-B9B7-2D4237E455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76" authorId="193" shapeId="0" xr:uid="{67865942-4DB1-4699-BABC-C379FFC88D0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79" authorId="194" shapeId="0" xr:uid="{6DB61EC2-2CA8-4166-93C4-7A0A72A385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82" authorId="195" shapeId="0" xr:uid="{4F13D66D-E663-4D9C-AD32-BAFF2F0E77E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85" authorId="196" shapeId="0" xr:uid="{40E7563E-FE1C-435D-8ACB-0EC0628696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88" authorId="197" shapeId="0" xr:uid="{37D98044-1822-4BFF-8CA7-CE3119D1BE1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91" authorId="198" shapeId="0" xr:uid="{CEEC33EC-71FC-4BA2-9FBE-35510D56FB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94" authorId="199" shapeId="0" xr:uid="{9C105991-D4A7-481E-A849-B30F6F1B51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197" authorId="200" shapeId="0" xr:uid="{7517CF59-5523-41B9-87CD-D2BC315328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00" authorId="201" shapeId="0" xr:uid="{2873A32E-705E-4DC1-BD82-ABA05337EB7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03" authorId="202" shapeId="0" xr:uid="{E2433FF0-1307-4605-BE62-E1C8BA1B66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06" authorId="203" shapeId="0" xr:uid="{7407A870-6DD2-402D-85CB-8090A743F1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09" authorId="204" shapeId="0" xr:uid="{966F965E-F7A3-4C16-BAAF-338ADCB254E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12" authorId="205" shapeId="0" xr:uid="{0541163C-147A-484B-AA1A-D09F1CF9A97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15" authorId="206" shapeId="0" xr:uid="{9BAC97E5-FA46-43FC-AA6F-A9C6E3E634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17" authorId="207" shapeId="0" xr:uid="{7C136C82-CC4D-4678-9227-2B8E3DE4E1B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19" authorId="208" shapeId="0" xr:uid="{182E456E-DB6B-42E8-91B7-9488CBC8FB9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AC221" authorId="209" shapeId="0" xr:uid="{D3EBF2DA-7180-40EA-96BD-1C46C0B827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Très faible?</t>
      </text>
    </comment>
    <comment ref="BU238" authorId="210" shapeId="0" xr:uid="{D1877FDD-5FF0-4F12-9433-45F0E4CCB0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39" authorId="211" shapeId="0" xr:uid="{D1B4B095-8BD8-4F0E-9D7F-6C66AC20E4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0" authorId="212" shapeId="0" xr:uid="{2537E647-A597-4B2C-AA6A-A9CAAD79851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AO241" authorId="213" shapeId="0" xr:uid="{9E124E2A-1179-49AD-A009-57D31B7BE5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Tous les coefs par la suite sont estimés sur un sous-échantillon excluant les mesures de la pollution de l’air considérées comme «excellente»</t>
      </text>
    </comment>
    <comment ref="BU241" authorId="214" shapeId="0" xr:uid="{A67989CA-616B-4968-BDC9-9BB1DD2003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2" authorId="215" shapeId="0" xr:uid="{94280DD6-F3A5-4237-9AEE-2FBAD2F41E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3" authorId="216" shapeId="0" xr:uid="{2988B262-08D8-4BCC-BC98-34E6FF9C02F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4" authorId="217" shapeId="0" xr:uid="{C8E1D2DA-8D19-49D1-90BD-62ABCDCD29F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5" authorId="218" shapeId="0" xr:uid="{20F0CE88-5AB0-4449-A98B-40D4B4BDEF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6" authorId="219" shapeId="0" xr:uid="{77A51CFE-5F16-437C-88DC-C0FC5844BEC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7" authorId="220" shapeId="0" xr:uid="{DA4F7978-3F5D-41CD-8507-7F06912FB46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8" authorId="221" shapeId="0" xr:uid="{5DDED758-6A0C-4116-A6E1-F068EF6C365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49" authorId="222" shapeId="0" xr:uid="{30CECCA5-6206-4081-92AB-E804E9536BD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0" authorId="223" shapeId="0" xr:uid="{F64B9E0C-7147-4F9C-9611-9305832911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1" authorId="224" shapeId="0" xr:uid="{1FB50556-C8FD-46F2-8C04-E3EEF78BA42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2" authorId="225" shapeId="0" xr:uid="{7BFF74F7-F640-41EE-9453-BF5C51E072B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3" authorId="226" shapeId="0" xr:uid="{EF5AD22A-EBAC-436F-82AF-5AEF9FC1ED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4" authorId="227" shapeId="0" xr:uid="{A3978F3E-25CE-4D3D-AC70-A8502D1DF9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5" authorId="228" shapeId="0" xr:uid="{49372C48-8113-4DE4-8EAE-E243B470A0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6" authorId="229" shapeId="0" xr:uid="{BBFB3D70-8814-42C8-858D-7A47FC28C1F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7" authorId="230" shapeId="0" xr:uid="{27CF15A8-6841-400B-BF10-A734BAB1B0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8" authorId="231" shapeId="0" xr:uid="{27C5DBA8-9A0E-43B1-BE7D-C7945924A5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59" authorId="232" shapeId="0" xr:uid="{54F9F5F0-B820-421E-B91D-F4CC3398537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0" authorId="233" shapeId="0" xr:uid="{5497A553-2E00-4AB8-BD93-497E67FE7EE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1" authorId="234" shapeId="0" xr:uid="{64751037-B30D-4F66-9BF1-A4CDC953C81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2" authorId="235" shapeId="0" xr:uid="{CA2C63E4-E501-4DA6-BA56-1FC8577A464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3" authorId="236" shapeId="0" xr:uid="{92AC0A08-F8BA-44F1-BC79-4B5991D59D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4" authorId="237" shapeId="0" xr:uid="{1C4D4A74-2287-402C-AFC7-D9963EB395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5" authorId="238" shapeId="0" xr:uid="{BCDCB13E-713F-40D9-B8CB-519EA2E7DFE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6" authorId="239" shapeId="0" xr:uid="{EA54F672-AA52-46FF-A26A-DBE2D9AF182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7" authorId="240" shapeId="0" xr:uid="{708D6E08-0657-4169-8EEE-6F47456D69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8" authorId="241" shapeId="0" xr:uid="{776B8666-5ED2-4F03-9F9E-99FA3FB1DDC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69" authorId="242" shapeId="0" xr:uid="{992E87CD-0C38-4170-B9A8-36159B095F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70" authorId="243" shapeId="0" xr:uid="{ECF1866C-F4BB-4EBD-83E9-9BA3C3F324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U271" authorId="244" shapeId="0" xr:uid="{45B4244E-8CF5-4A6A-B54D-1D419FC319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Saison</t>
      </text>
    </comment>
    <comment ref="BA272" authorId="245" shapeId="0" xr:uid="{C74833E1-5FE2-4508-A913-73AAA94562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3" authorId="246" shapeId="0" xr:uid="{57120A45-78F0-46C0-BA87-15DAF43D9FE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4" authorId="247" shapeId="0" xr:uid="{5AE6CCD2-FA72-473F-A90A-36F89EA53B5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5" authorId="248" shapeId="0" xr:uid="{2D272E47-8C53-4B0D-9C35-661B79479C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6" authorId="249" shapeId="0" xr:uid="{6D73BA30-0236-43E0-8934-7D0C206CB5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7" authorId="250" shapeId="0" xr:uid="{E918D808-9A21-4376-BE50-38A9A548CB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8" authorId="251" shapeId="0" xr:uid="{5342980A-98BF-4E5D-91B5-FA62850BDC5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79" authorId="252" shapeId="0" xr:uid="{C9114E3C-0669-47FC-B0FA-58B1D5087C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0" authorId="253" shapeId="0" xr:uid="{27287A53-E1E9-4F26-B978-EF288F62C4E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1" authorId="254" shapeId="0" xr:uid="{D334F333-0BF6-42BB-80D4-1E447F67C1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2" authorId="255" shapeId="0" xr:uid="{C3508C43-1185-4104-A41D-3909AB21D43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3" authorId="256" shapeId="0" xr:uid="{1B6E77F0-26BC-4F65-91F9-3BF3BD57D77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4" authorId="257" shapeId="0" xr:uid="{350012A7-FC1D-4F3E-8D63-9113B1C88C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5" authorId="258" shapeId="0" xr:uid="{38F7BE91-6FB1-40CF-967E-88B84171F7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6" authorId="259" shapeId="0" xr:uid="{24E0B499-F415-4025-83C0-E4FFC480D2C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7" authorId="260" shapeId="0" xr:uid="{86E9AA7E-BFBD-4C20-9FB1-1C761AFAC52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CO287" authorId="261" shapeId="0" xr:uid="{1F2F6D8C-2610-412F-97E7-5B655A9FDAF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Match à domicile ou à l’extérieur</t>
      </text>
    </comment>
    <comment ref="BA288" authorId="262" shapeId="0" xr:uid="{22B67C70-08DC-44D1-BF02-8BA8A0444F4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89" authorId="263" shapeId="0" xr:uid="{F98510EB-E6CD-4968-B374-A9A9D1033E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0" authorId="264" shapeId="0" xr:uid="{BAC2123F-2D63-47DF-81DA-2EA4F6C0B6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1" authorId="265" shapeId="0" xr:uid="{2E84CA6D-8400-4963-AE6B-1BD09C980E1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2" authorId="266" shapeId="0" xr:uid="{20E7B01F-9BBA-4E20-84F3-57040F02CA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3" authorId="267" shapeId="0" xr:uid="{3DD16A15-90AA-4DDC-85AC-BAF8DE90486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4" authorId="268" shapeId="0" xr:uid="{D0844806-BBB0-466F-A654-24C748DC93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5" authorId="269" shapeId="0" xr:uid="{A2835E91-BDC6-4779-937C-D2518E2F731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6" authorId="270" shapeId="0" xr:uid="{2CB6D242-665D-4663-892E-F28B0C8948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7" authorId="271" shapeId="0" xr:uid="{3F0F78DC-7316-423E-BEC0-F0C00E63709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8" authorId="272" shapeId="0" xr:uid="{5915F9A5-A073-46F4-9334-A53E52B09D2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299" authorId="273" shapeId="0" xr:uid="{C7DB0E1C-5FA4-4BDC-84C5-22FAD212C9F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300" authorId="274" shapeId="0" xr:uid="{88328D55-E67C-43C8-BE85-CEFC4624815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301" authorId="275" shapeId="0" xr:uid="{ACC18328-6CC1-4BA0-B764-256D0220713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302" authorId="276" shapeId="0" xr:uid="{B2918E2F-65B1-49FD-AC39-BBF4E20171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303" authorId="277" shapeId="0" xr:uid="{4A98A97A-C7C4-43DD-BA33-8A1845D5923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304" authorId="278" shapeId="0" xr:uid="{9F709F08-BB0C-4C2C-BEA5-DB75FAB168F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D305" authorId="279" shapeId="0" xr:uid="{462F31DC-E48B-4271-B6DF-C3E73D0229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Blue collar</t>
      </text>
    </comment>
    <comment ref="AK325" authorId="47" shapeId="0" xr:uid="{572666CA-A9E1-4549-AC16-847E111521CB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CB329" authorId="280" shapeId="0" xr:uid="{CFBD4C3D-049B-452E-9A4B-A1D941F62D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Wind_speed * atmospheric_boundary_layer_height</t>
      </text>
    </comment>
    <comment ref="AZ331" authorId="281" shapeId="0" xr:uid="{E9AAE48E-0BAD-4113-A4E5-496FEA99B3D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poll de l’air sur 3 ans</t>
      </text>
    </comment>
    <comment ref="CO434" authorId="47" shapeId="0" xr:uid="{29C57719-3F2F-4874-99BB-3DFF44D706A4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subset of planned audience</t>
        </r>
      </text>
    </comment>
    <comment ref="AK467" authorId="47" shapeId="0" xr:uid="{D2685FBD-64FD-442F-BEFA-67BC3DDA1A77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AL474" authorId="282" shapeId="0" xr:uid="{5520C4D0-5E62-4F87-A751-C114B07919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AN474" authorId="283" shapeId="0" xr:uid="{1E302F4F-4B7A-4DA5-9C41-C0844A87D3B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!!!!ln -&gt; garder ou NA?</t>
      </text>
    </comment>
    <comment ref="BA474" authorId="284" shapeId="0" xr:uid="{FF5C129C-6FBF-4940-AC18-E941255B90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75" authorId="285" shapeId="0" xr:uid="{E208540D-9DC0-4830-81BC-61EBF6DE7F2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75" authorId="286" shapeId="0" xr:uid="{918B603D-82E5-4ECB-9793-FE0DDCA5BB9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76" authorId="287" shapeId="0" xr:uid="{2CC40281-29A4-40EB-BA0D-4EF27D3DCEB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76" authorId="288" shapeId="0" xr:uid="{A0FBBF9A-D97F-4AF3-A45F-2F06594DA66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77" authorId="289" shapeId="0" xr:uid="{FBC4727E-B775-45A0-9F11-934B17DDAD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77" authorId="290" shapeId="0" xr:uid="{05D3835D-07A3-4C86-AC70-0307D8551E4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78" authorId="291" shapeId="0" xr:uid="{320DB4E1-FA25-4459-AC4C-DD6B4AF786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78" authorId="292" shapeId="0" xr:uid="{97842633-EB10-49DF-A519-86D77E5783A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79" authorId="293" shapeId="0" xr:uid="{85630F7E-A480-45F1-ABF8-83B7600FA5B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79" authorId="294" shapeId="0" xr:uid="{C08DC9A2-78F4-4461-91C6-B29DA39931C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80" authorId="295" shapeId="0" xr:uid="{D3E907CC-91BF-4973-B26C-B7C018FE318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K481" authorId="47" shapeId="0" xr:uid="{DE26CABB-46A8-4F09-8FC5-C998327A098F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BA481" authorId="296" shapeId="0" xr:uid="{21A2A7E7-857E-451D-BC2C-4443FEE76A8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82" authorId="297" shapeId="0" xr:uid="{DF249452-FF07-476F-94AA-4A4EE0608F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83" authorId="298" shapeId="0" xr:uid="{6741ABD5-7A52-46F4-98F4-92F514D90A3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84" authorId="299" shapeId="0" xr:uid="{90BD2591-43AB-4DB8-910E-D9AFCBC8AF2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85" authorId="300" shapeId="0" xr:uid="{E4FA46BA-23E7-408C-A6D3-EAA5A6E9A4B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86" authorId="301" shapeId="0" xr:uid="{B6B08E94-738C-42EA-B6A2-DCD69CF2FCA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86" authorId="302" shapeId="0" xr:uid="{F83D0CFE-FC56-4D4D-9EA1-D8CF0E9BDB6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87" authorId="303" shapeId="0" xr:uid="{3D9F7F3F-B238-4A5D-9DA7-167E1973E21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87" authorId="304" shapeId="0" xr:uid="{D4B814DE-E65E-4D7C-AD1C-6336B3F5CEB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88" authorId="305" shapeId="0" xr:uid="{1CD0A218-10EF-40A2-87AE-2A3BE9C11C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88" authorId="306" shapeId="0" xr:uid="{37D09951-E9B3-410E-9DB2-F812818BFB4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89" authorId="307" shapeId="0" xr:uid="{84AC1412-6290-452B-BC7E-EFAD276F70C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89" authorId="308" shapeId="0" xr:uid="{CAD754F0-381F-48C4-8BB8-9D81052DF7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90" authorId="309" shapeId="0" xr:uid="{B3726665-0053-4F45-980F-756734D0BFD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90" authorId="310" shapeId="0" xr:uid="{D74CD00A-9D6F-4020-94AD-4323526DE57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L491" authorId="311" shapeId="0" xr:uid="{305FD282-D95E-4BD8-ACC0-A6DEC203EAB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Anciennement API</t>
      </text>
    </comment>
    <comment ref="BA491" authorId="312" shapeId="0" xr:uid="{EE328A7D-7257-4FC3-8C62-A20AA91990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2" authorId="313" shapeId="0" xr:uid="{5053ADD0-9CCF-42B3-BA6B-48B70FC782D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3" authorId="314" shapeId="0" xr:uid="{3FCAA7B9-DB0B-48BE-9DAE-D907A07D73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4" authorId="315" shapeId="0" xr:uid="{752DC43E-C7AB-49E6-8611-55A39E70BB5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5" authorId="316" shapeId="0" xr:uid="{76B06F20-92BD-4915-B1CF-88A8B1F6FA1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6" authorId="317" shapeId="0" xr:uid="{03DC6973-9D69-4634-814B-ED4D7B40CF5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7" authorId="318" shapeId="0" xr:uid="{987D421E-9FB5-4186-BDC9-6DDF39AB217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8" authorId="319" shapeId="0" xr:uid="{C70AD02A-5557-48F4-A3F9-AB1A2F8F1B9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499" authorId="320" shapeId="0" xr:uid="{B47AC444-F547-44EC-BB98-D7E37720E3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0" authorId="321" shapeId="0" xr:uid="{8668B9AA-11EF-4C3B-87EB-8C8F0D0FF9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1" authorId="322" shapeId="0" xr:uid="{814721DC-75C3-410C-AF84-08D0938D37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2" authorId="323" shapeId="0" xr:uid="{1332BF00-C51C-4AD9-9AC2-A79C213076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3" authorId="324" shapeId="0" xr:uid="{84EA742A-F3F7-4DDB-B6EE-50C032DA76E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4" authorId="325" shapeId="0" xr:uid="{86187B81-2C49-43BB-B9E6-7FDF1A444D1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5" authorId="326" shapeId="0" xr:uid="{A45C9E56-7807-45DE-9C9D-1CFB6C6136C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6" authorId="327" shapeId="0" xr:uid="{0E3024E1-22E7-4A57-BCFC-DC30180B51B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7" authorId="328" shapeId="0" xr:uid="{2763F79A-4CFA-4303-9C7B-09B25B7259B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8" authorId="329" shapeId="0" xr:uid="{19D9E685-DC4E-407F-8092-2E92332BD6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09" authorId="330" shapeId="0" xr:uid="{E36F84E0-AE0A-4473-9508-72DF95749D2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0" authorId="331" shapeId="0" xr:uid="{950A7AAD-DEB4-42FF-9304-25621F1153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1" authorId="332" shapeId="0" xr:uid="{D5B29CFC-E987-4082-A1B1-FA54C7C6758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2" authorId="333" shapeId="0" xr:uid="{EF1002E6-11DD-421A-9C14-EC46DC2DBB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3" authorId="334" shapeId="0" xr:uid="{69802FAB-F8CC-498B-BFC4-5AE1756D5A9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4" authorId="335" shapeId="0" xr:uid="{4A72B2C0-8805-4D99-AAF4-CCBC2EEF103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5" authorId="336" shapeId="0" xr:uid="{FDA75E7C-D18D-49D1-891E-488FB37D18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6" authorId="337" shapeId="0" xr:uid="{F0EFA02B-63C1-417C-A93B-A5BE85C60850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7" authorId="338" shapeId="0" xr:uid="{EE9BB526-C40E-4BFB-8B91-08ADC34D7E0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8" authorId="339" shapeId="0" xr:uid="{A072123B-2413-409E-B900-6DBF66956DC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19" authorId="340" shapeId="0" xr:uid="{AB64D994-B780-493A-A45E-80F6E2F12C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0" authorId="341" shapeId="0" xr:uid="{D45A88E6-3A1D-475B-B252-F4BA120E89D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1" authorId="342" shapeId="0" xr:uid="{21EFECF4-276B-494D-99D5-A088D887E91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2" authorId="343" shapeId="0" xr:uid="{66793426-7D6F-46F7-A952-1F56F94E7B8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3" authorId="344" shapeId="0" xr:uid="{EA515650-0B96-4422-AD92-1FBB172D876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4" authorId="345" shapeId="0" xr:uid="{F785B445-B05C-4975-A85E-8EB54A778C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5" authorId="346" shapeId="0" xr:uid="{A038FD99-C9F8-4B2B-9468-84D771DE334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6" authorId="347" shapeId="0" xr:uid="{421CFA30-1EED-440A-B0B7-5A78203BCE2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7" authorId="348" shapeId="0" xr:uid="{C1FEC063-17E3-457D-9759-C15669431E2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8" authorId="349" shapeId="0" xr:uid="{3F7356B6-9141-4B20-A2B6-50B1B670974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29" authorId="350" shapeId="0" xr:uid="{1815DB87-C96D-43E0-89E2-1D48EBA9699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30" authorId="351" shapeId="0" xr:uid="{A834DD14-CC15-432A-A1B0-620E4497409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31" authorId="352" shapeId="0" xr:uid="{6B0C393E-A623-40A2-B57A-54A2F23A96F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32" authorId="353" shapeId="0" xr:uid="{B8A44AFC-5BF4-4367-BA28-EA072D2325B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33" authorId="354" shapeId="0" xr:uid="{787CCBE5-33A8-4DA4-862B-DE2D77484F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BA534" authorId="355" shapeId="0" xr:uid="{916DD342-63E0-42F7-8444-37222EC7B9C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Discutable, le papier parle des deux</t>
      </text>
    </comment>
    <comment ref="AC535" authorId="356" shapeId="0" xr:uid="{DF03EB6E-A578-4ADD-B2E5-3214D5CE7FC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Ybarre proche de 0 --&gt; sd?</t>
      </text>
    </comment>
    <comment ref="CH535" authorId="357" shapeId="0" xr:uid="{643062DF-F327-4684-919C-ECBF002F76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Pas pertinent ici</t>
      </text>
    </comment>
    <comment ref="N550" authorId="358" shapeId="0" xr:uid="{7B07BF7D-8798-4CFB-8A40-61DCEE62957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Augmentation de l’aversion au risque</t>
      </text>
    </comment>
    <comment ref="AN579" authorId="359" shapeId="0" xr:uid="{DE5AE4CD-DFA6-4DE4-B59D-0AF51B2C8DD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!!!ln</t>
      </text>
    </comment>
    <comment ref="AN591" authorId="360" shapeId="0" xr:uid="{FD91C649-A034-4BB1-837D-9455EFD1D6B9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!!!!ln -&gt; garder ou NA?
</t>
      </text>
    </comment>
    <comment ref="AZ591" authorId="361" shapeId="0" xr:uid="{198FF908-B398-4F61-913A-735CF753C63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2" authorId="362" shapeId="0" xr:uid="{D3B78BEF-9C81-45DC-B792-FFDA823E53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3" authorId="363" shapeId="0" xr:uid="{D8CBD16B-9FEF-4961-A028-4F279B5F86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4" authorId="364" shapeId="0" xr:uid="{8971614D-61D9-4CFB-AD26-5B543EADFE0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5" authorId="365" shapeId="0" xr:uid="{0DE74242-35D8-44CA-902F-5FF88733B2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6" authorId="366" shapeId="0" xr:uid="{406094CA-DD47-464D-A559-1CD4C4F5F5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7" authorId="367" shapeId="0" xr:uid="{372FA5E9-5BFD-4D8A-AE01-24F0668EFEF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8" authorId="368" shapeId="0" xr:uid="{201BF037-5A81-41B4-8371-60A267B881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599" authorId="369" shapeId="0" xr:uid="{D67DEF50-8281-4FF1-B542-9216E9DF6F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0" authorId="370" shapeId="0" xr:uid="{623C034E-17BE-4136-A4C9-28117DBC270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1" authorId="371" shapeId="0" xr:uid="{CDFD8399-34DA-4A0B-B276-8E00EC9BF49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2" authorId="372" shapeId="0" xr:uid="{2E885552-B44F-4770-AC14-666EE13A86A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3" authorId="373" shapeId="0" xr:uid="{D54E7788-4A4D-47C6-A7A3-707B1E261A8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4" authorId="374" shapeId="0" xr:uid="{476043FF-72AF-422E-93D7-13286716016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5" authorId="375" shapeId="0" xr:uid="{DE865D8E-B7D3-4F21-9DF4-9B270316DCC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6" authorId="376" shapeId="0" xr:uid="{EA5DE05D-2A5F-421C-A82C-4B6817B106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7" authorId="377" shapeId="0" xr:uid="{A6452B68-B6C8-4AE8-83AF-DC9D6172A92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8" authorId="378" shapeId="0" xr:uid="{01F584FD-A2FC-4AB4-B1A6-3402F4DAEE6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09" authorId="379" shapeId="0" xr:uid="{9418B592-4613-4345-A799-D6D5D7BD941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0" authorId="380" shapeId="0" xr:uid="{0BB66D26-9585-4040-9E39-77FF0B3A100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1" authorId="381" shapeId="0" xr:uid="{015C5B40-17D3-490E-8FC9-AA37FADA652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2" authorId="382" shapeId="0" xr:uid="{1CB77EEC-2579-4306-9176-4B9A4800BA9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3" authorId="383" shapeId="0" xr:uid="{42F5832F-CB6B-4121-9F28-179841C809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4" authorId="384" shapeId="0" xr:uid="{650119C6-CD15-4C75-B79F-2127D62DBE7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5" authorId="385" shapeId="0" xr:uid="{D4BCC4DC-BF0F-4872-98CE-BCB0C556AF7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6" authorId="386" shapeId="0" xr:uid="{893594E7-451E-456D-BC7B-FF6013ECB60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7" authorId="387" shapeId="0" xr:uid="{8230DA77-D409-4EB2-942E-3BC18CE6A15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8" authorId="388" shapeId="0" xr:uid="{604D8F71-E13C-492B-9D34-BF3733BC562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19" authorId="389" shapeId="0" xr:uid="{BA7661E2-139F-45EE-842D-2F5ED4BA469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0" authorId="390" shapeId="0" xr:uid="{DE60D569-C0DC-4B88-BAE6-170B4A86AD5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1" authorId="391" shapeId="0" xr:uid="{D2446EED-AD0E-40BA-9F2D-3B113DD19BC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2" authorId="392" shapeId="0" xr:uid="{BE409B05-521A-4A37-B46A-2B4B58C385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3" authorId="393" shapeId="0" xr:uid="{28DD3E67-79BB-4204-9CCF-0193E3D4E57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4" authorId="394" shapeId="0" xr:uid="{F2AB458B-0018-49A2-A74F-DD3155E329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5" authorId="395" shapeId="0" xr:uid="{8DF6FBDA-65B5-446F-9C83-9ADB041C0D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6" authorId="396" shapeId="0" xr:uid="{010E2F3D-E974-4B2A-98E4-8BA285D718D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7" authorId="397" shapeId="0" xr:uid="{457F410A-188D-4347-8DD4-D3808B7DF1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8" authorId="398" shapeId="0" xr:uid="{AFDC8399-858B-497C-8610-CC8A3F14B2A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29" authorId="399" shapeId="0" xr:uid="{4D9125C1-8A98-4B9D-BAF6-45E116A683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0" authorId="400" shapeId="0" xr:uid="{3FB69F3F-96A3-42D8-9D0E-9E45DF42A23C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1" authorId="401" shapeId="0" xr:uid="{88E0D24C-BECF-48A6-93F6-2D318A44E1E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2" authorId="402" shapeId="0" xr:uid="{F52C9334-7749-44D9-834A-62180FECD8A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3" authorId="403" shapeId="0" xr:uid="{92E931D1-74A4-4041-AF4C-92151D3C4D7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4" authorId="404" shapeId="0" xr:uid="{A8334207-B121-4A09-9FEA-3142E9F8038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5" authorId="405" shapeId="0" xr:uid="{7EF1C585-69A5-42D8-8613-B15BBA2D040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Z636" authorId="406" shapeId="0" xr:uid="{DE207184-FB1A-430F-B98E-E1AD27D5E7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année précédente</t>
      </text>
    </comment>
    <comment ref="AK751" authorId="47" shapeId="0" xr:uid="{CD2D61F4-DCEB-4A00-9BD7-8B22D32A569D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O795" authorId="407" shapeId="0" xr:uid="{DA6A2402-5FE3-419B-B58B-AFD3BC360B9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Erreur dans la table?</t>
      </text>
    </comment>
    <comment ref="AK795" authorId="47" shapeId="0" xr:uid="{328EAC75-CB5A-41C3-BB63-2DBC4FA56544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AK865" authorId="47" shapeId="0" xr:uid="{6630D726-C268-4979-B379-A2FE4A6EBB0C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pb d'arrondis, ok</t>
        </r>
      </text>
    </comment>
    <comment ref="AL961" authorId="408" shapeId="0" xr:uid="{8953A4FC-D5BE-4E3B-8297-527D400EC5F2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Annual average daily maximum 8-hour O3 concentration</t>
      </text>
    </comment>
    <comment ref="AL962" authorId="409" shapeId="0" xr:uid="{4E4C1577-12EE-4131-A9C2-539EBFE077A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Cumulative O3 exposure exceeding 40 ppb</t>
      </text>
    </comment>
    <comment ref="AL963" authorId="410" shapeId="0" xr:uid="{2DC0253E-E63E-4081-BCA2-DD06D087FEE3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Cumulative O3 exposure exceeding 60 ppb </t>
      </text>
    </comment>
    <comment ref="AL964" authorId="411" shapeId="0" xr:uid="{CC44C8EB-E5B4-49DC-9D5D-76BFF262A4E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Weighted cumulative O3 exposure</t>
      </text>
    </comment>
    <comment ref="CB997" authorId="412" shapeId="0" xr:uid="{2C780ECE-6C14-4D7C-A939-48087D4EB8A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Proxy for wind (when no wind, no nearby pollution)</t>
      </text>
    </comment>
    <comment ref="BY1053" authorId="413" shapeId="0" xr:uid="{EDD8830B-24D4-4BEE-9E4E-F20C00E87C3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Besoin de préciser?
Réponse :
    FE ou RE</t>
      </text>
    </comment>
    <comment ref="BY1057" authorId="47" shapeId="0" xr:uid="{85FDA45E-807C-421E-A9F8-D7BDE770A2A9}">
      <text>
        <r>
          <rPr>
            <b/>
            <sz val="9"/>
            <color indexed="81"/>
            <rFont val="Tahoma"/>
            <charset val="1"/>
          </rPr>
          <t>Clara BARBARIT:</t>
        </r>
        <r>
          <rPr>
            <sz val="9"/>
            <color indexed="81"/>
            <rFont val="Tahoma"/>
            <charset val="1"/>
          </rPr>
          <t xml:space="preserve">
The system GMM generated a heteroscedastic and
autocorrelation consistent variance matrix and used
the lagged value of the endogenous variables as the
instruments.</t>
        </r>
      </text>
    </comment>
    <comment ref="O1067" authorId="47" shapeId="0" xr:uid="{9400A026-9629-4FDC-AEA1-406F75ECDA23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0,0045*(-0,0039/-0,0113)
</t>
        </r>
      </text>
    </comment>
    <comment ref="AY1068" authorId="47" shapeId="0" xr:uid="{4A8D9026-0806-4FF6-A074-F1C0FB5BCF8F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69" authorId="47" shapeId="0" xr:uid="{56E8BDFE-013A-4D5C-A717-39A6A508D138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70" authorId="47" shapeId="0" xr:uid="{17E10B7E-A361-40A8-8E57-EEAAEEBD4BA4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71" authorId="47" shapeId="0" xr:uid="{2BB00EBC-8CFA-40C2-B76A-892AE58E88AA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72" authorId="47" shapeId="0" xr:uid="{DB4F8D67-56FB-4571-8970-B10F79832C8D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73" authorId="47" shapeId="0" xr:uid="{51738363-563B-4D27-B284-E2A8D14F7A14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AY1074" authorId="47" shapeId="0" xr:uid="{82CE5DE3-4F62-4C5A-BAF8-0DF41D164C22}">
      <text>
        <r>
          <rPr>
            <b/>
            <sz val="9"/>
            <color indexed="81"/>
            <rFont val="Tahoma"/>
            <family val="2"/>
          </rPr>
          <t>Clara BARBARIT:</t>
        </r>
        <r>
          <rPr>
            <sz val="9"/>
            <color indexed="81"/>
            <rFont val="Tahoma"/>
            <family val="2"/>
          </rPr>
          <t xml:space="preserve">
lagged annual average</t>
        </r>
      </text>
    </comment>
    <comment ref="BM1097" authorId="414" shapeId="0" xr:uid="{D1A7C79E-3D5B-4671-A326-CFD74F421CF9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questionnable</t>
      </text>
    </comment>
    <comment ref="BM1111" authorId="415" shapeId="0" xr:uid="{D1DEC8CD-2348-4EC5-B4B3-85200DDBD3A5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questionnable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<sst xmlns="http://schemas.openxmlformats.org/spreadsheetml/2006/main" count="60558" uniqueCount="2380">
  <si>
    <t>study_id</t>
  </si>
  <si>
    <t>estimate_id</t>
  </si>
  <si>
    <t>authors</t>
  </si>
  <si>
    <t>pub_year</t>
  </si>
  <si>
    <t>title</t>
  </si>
  <si>
    <t>outlet</t>
  </si>
  <si>
    <t>pub_status</t>
  </si>
  <si>
    <t>peer_reviewed</t>
  </si>
  <si>
    <t>data_country</t>
  </si>
  <si>
    <t>source_db</t>
  </si>
  <si>
    <t>n_citations</t>
  </si>
  <si>
    <t>effect_type_raw</t>
  </si>
  <si>
    <t>effect_raw</t>
  </si>
  <si>
    <t>se_raw</t>
  </si>
  <si>
    <t>t_stat</t>
  </si>
  <si>
    <t>p_value</t>
  </si>
  <si>
    <t>ci_low</t>
  </si>
  <si>
    <t>ci_high</t>
  </si>
  <si>
    <t>n_obs</t>
  </si>
  <si>
    <t>dof</t>
  </si>
  <si>
    <t>se_source</t>
  </si>
  <si>
    <t>effect_transformed</t>
  </si>
  <si>
    <t>se_transformed</t>
  </si>
  <si>
    <t>sign_reoriented</t>
  </si>
  <si>
    <t>pollutant</t>
  </si>
  <si>
    <t>pollutant_unit</t>
  </si>
  <si>
    <t>poll_mean</t>
  </si>
  <si>
    <t>poll_sd</t>
  </si>
  <si>
    <t>poll_min</t>
  </si>
  <si>
    <t>poll_max</t>
  </si>
  <si>
    <t>exposure_measure</t>
  </si>
  <si>
    <t>exposure_assignment</t>
  </si>
  <si>
    <t>indoor_outdoor</t>
  </si>
  <si>
    <t>effect_timing</t>
  </si>
  <si>
    <t>lag_min_days</t>
  </si>
  <si>
    <t>lag_max_days</t>
  </si>
  <si>
    <t>outcome_type</t>
  </si>
  <si>
    <t>margin</t>
  </si>
  <si>
    <t>task_type</t>
  </si>
  <si>
    <t>skill_level</t>
  </si>
  <si>
    <t>outcome_unit</t>
  </si>
  <si>
    <t>outcome_mean</t>
  </si>
  <si>
    <t>outcome_sd</t>
  </si>
  <si>
    <t>outcome_min</t>
  </si>
  <si>
    <t>outcome_max</t>
  </si>
  <si>
    <t>outcome_objective</t>
  </si>
  <si>
    <t>outcome_level</t>
  </si>
  <si>
    <t>sector</t>
  </si>
  <si>
    <t>occupation</t>
  </si>
  <si>
    <t>development</t>
  </si>
  <si>
    <t>urban_rural</t>
  </si>
  <si>
    <t>age_mean</t>
  </si>
  <si>
    <t>pct_female</t>
  </si>
  <si>
    <t>data_start</t>
  </si>
  <si>
    <t>data_end</t>
  </si>
  <si>
    <t>data_frequency</t>
  </si>
  <si>
    <t>data_structure</t>
  </si>
  <si>
    <t>id_strategy</t>
  </si>
  <si>
    <t>endogeneity_addressed</t>
  </si>
  <si>
    <t>instrument_used</t>
  </si>
  <si>
    <t>instrument_type</t>
  </si>
  <si>
    <t>fixed_effects</t>
  </si>
  <si>
    <t>controls_weather</t>
  </si>
  <si>
    <t>controls_weather_type</t>
  </si>
  <si>
    <t>controls_multipollutant</t>
  </si>
  <si>
    <t>controls_multipollutant_type</t>
  </si>
  <si>
    <t>controls_attendance_selection</t>
  </si>
  <si>
    <t>se_clustering</t>
  </si>
  <si>
    <t>functional_form</t>
  </si>
  <si>
    <t>n_estimates_in_study</t>
  </si>
  <si>
    <t>author_preferred</t>
  </si>
  <si>
    <t>baseline_or_robustness</t>
  </si>
  <si>
    <t>extract_origin</t>
  </si>
  <si>
    <t>coder</t>
  </si>
  <si>
    <t>coding_date</t>
  </si>
  <si>
    <t>double_coded</t>
  </si>
  <si>
    <t>notes</t>
  </si>
  <si>
    <t>MODIFIER ICI les valeurs des menus deroulants. Ajoute/retire une valeur dans la colonne voulue (jusqu'a la ligne 32). Les menus de la feuille Extraction se mettent a jour automatiquement.</t>
  </si>
  <si>
    <t>published</t>
  </si>
  <si>
    <t>Scopus</t>
  </si>
  <si>
    <t>elasticity</t>
  </si>
  <si>
    <t>reported_SE</t>
  </si>
  <si>
    <t>PM2.5</t>
  </si>
  <si>
    <t>fixed_station</t>
  </si>
  <si>
    <t>individual</t>
  </si>
  <si>
    <t>indoor</t>
  </si>
  <si>
    <t>short_run</t>
  </si>
  <si>
    <t>physical_output</t>
  </si>
  <si>
    <t>intensive</t>
  </si>
  <si>
    <t>physical</t>
  </si>
  <si>
    <t>low</t>
  </si>
  <si>
    <t>objective</t>
  </si>
  <si>
    <t>OECD</t>
  </si>
  <si>
    <t>urban</t>
  </si>
  <si>
    <t>daily</t>
  </si>
  <si>
    <t>panel</t>
  </si>
  <si>
    <t>OLS</t>
  </si>
  <si>
    <t>none</t>
  </si>
  <si>
    <t>linear</t>
  </si>
  <si>
    <t>baseline</t>
  </si>
  <si>
    <t>table</t>
  </si>
  <si>
    <t>Valentin</t>
  </si>
  <si>
    <t>working_paper</t>
  </si>
  <si>
    <t>WoS</t>
  </si>
  <si>
    <t>semi_elasticity</t>
  </si>
  <si>
    <t>from_t</t>
  </si>
  <si>
    <t>PM10</t>
  </si>
  <si>
    <t>satellite</t>
  </si>
  <si>
    <t>workplace</t>
  </si>
  <si>
    <t>outdoor</t>
  </si>
  <si>
    <t>long_run</t>
  </si>
  <si>
    <t>cognitive_performance</t>
  </si>
  <si>
    <t>extensive</t>
  </si>
  <si>
    <t>cognitive</t>
  </si>
  <si>
    <t>high</t>
  </si>
  <si>
    <t>self_reported</t>
  </si>
  <si>
    <t>firm</t>
  </si>
  <si>
    <t>non_OECD</t>
  </si>
  <si>
    <t>rural</t>
  </si>
  <si>
    <t>weekly</t>
  </si>
  <si>
    <t>cross_section</t>
  </si>
  <si>
    <t>temperature</t>
  </si>
  <si>
    <t>single_other</t>
  </si>
  <si>
    <t>log_log</t>
  </si>
  <si>
    <t>robustness</t>
  </si>
  <si>
    <t>text</t>
  </si>
  <si>
    <t>Clara</t>
  </si>
  <si>
    <t>thesis</t>
  </si>
  <si>
    <t>EconLit</t>
  </si>
  <si>
    <t>marginal_effect</t>
  </si>
  <si>
    <t>from_CI</t>
  </si>
  <si>
    <t>NO2</t>
  </si>
  <si>
    <t>personal_sensor</t>
  </si>
  <si>
    <t>city_region</t>
  </si>
  <si>
    <t>mixed</t>
  </si>
  <si>
    <t>both</t>
  </si>
  <si>
    <t>error_rate</t>
  </si>
  <si>
    <t>aggregate</t>
  </si>
  <si>
    <t>monthly</t>
  </si>
  <si>
    <t>RCT</t>
  </si>
  <si>
    <t>IV_2SLS</t>
  </si>
  <si>
    <t>temp_humidity</t>
  </si>
  <si>
    <t>multiple</t>
  </si>
  <si>
    <t>quadratic</t>
  </si>
  <si>
    <t>report</t>
  </si>
  <si>
    <t>OpenAlex</t>
  </si>
  <si>
    <t>standardized_coef</t>
  </si>
  <si>
    <t>from_p</t>
  </si>
  <si>
    <t>O3</t>
  </si>
  <si>
    <t>interpolated_model</t>
  </si>
  <si>
    <t>labor_supply</t>
  </si>
  <si>
    <t>annual</t>
  </si>
  <si>
    <t>time_series</t>
  </si>
  <si>
    <t>RD</t>
  </si>
  <si>
    <t>full_weather</t>
  </si>
  <si>
    <t>threshold</t>
  </si>
  <si>
    <t>conference</t>
  </si>
  <si>
    <t>other</t>
  </si>
  <si>
    <t>correlation</t>
  </si>
  <si>
    <t>SO2</t>
  </si>
  <si>
    <t>sales_revenue</t>
  </si>
  <si>
    <t>DiD</t>
  </si>
  <si>
    <t>CO</t>
  </si>
  <si>
    <t>AQI_composite</t>
  </si>
  <si>
    <t>UNITE D'OBSERVATION : une ligne = une ESTIMATION (pas un article). study_id relie les estimations d'un meme article.</t>
  </si>
  <si>
    <t>CONVENTION DE SIGNE : negatif = la pollution DEGRADE la productivite. Reorienter chaque estimation dans sign_reoriented.</t>
  </si>
  <si>
    <t>Pour editer les menus deroulants -&gt; feuille Listes. Pour editer une description au survol -&gt; clic droit sur l'en-tete (Extraction) &gt; Modifier la note.</t>
  </si>
  <si>
    <t>Variable</t>
  </si>
  <si>
    <t>Famille</t>
  </si>
  <si>
    <t>Description</t>
  </si>
  <si>
    <t>Type</t>
  </si>
  <si>
    <t>Valeurs autorisees / codage</t>
  </si>
  <si>
    <t>Identification</t>
  </si>
  <si>
    <t>Cle unique de l'article (ex. GraffZivin2012). Identique pour toutes les estimations d'un meme article.</t>
  </si>
  <si>
    <t>texte</t>
  </si>
  <si>
    <t>Cle unique de CETTE ligne (ex. GraffZivin2012_01). Une ligne = une estimation.</t>
  </si>
  <si>
    <t>Auteurs.</t>
  </si>
  <si>
    <t>Annee de publication.</t>
  </si>
  <si>
    <t>entier</t>
  </si>
  <si>
    <t>Titre de l'article.</t>
  </si>
  <si>
    <t>Revue ou serie de working paper.</t>
  </si>
  <si>
    <t>liste (editable)</t>
  </si>
  <si>
    <t>published, working_paper, thesis, report, conference</t>
  </si>
  <si>
    <t>Revu par les pairs ?</t>
  </si>
  <si>
    <t>binaire 1/0</t>
  </si>
  <si>
    <t>1, 0</t>
  </si>
  <si>
    <t>Pays / region des donnees.</t>
  </si>
  <si>
    <t>Scopus, WoS, EconLit, OpenAlex, other</t>
  </si>
  <si>
    <t>Nombre de citations (proxy qualite, optionnel).</t>
  </si>
  <si>
    <t>Taille d'effet (obligatoire)</t>
  </si>
  <si>
    <t>Type d'effet tel que rapporte.</t>
  </si>
  <si>
    <t>elasticity, semi_elasticity, marginal_effect, standardized_coef, correlation, other</t>
  </si>
  <si>
    <t>Estimation ponctuelle BRUTE, telle que rapportee.</t>
  </si>
  <si>
    <t>nombre</t>
  </si>
  <si>
    <t>t-statistique (pour reconstruire le SE s'il manque).</t>
  </si>
  <si>
    <t>p-value (secours pour le SE).</t>
  </si>
  <si>
    <t>Borne basse de l'IC.</t>
  </si>
  <si>
    <t>Borne haute de l'IC.</t>
  </si>
  <si>
    <t>Taille d'echantillon N.</t>
  </si>
  <si>
    <t>Degres de liberte.</t>
  </si>
  <si>
    <t>Comment le SE a ete obtenu. Hierarchie: SE direct &gt; via t &gt; via IC &gt; via p.</t>
  </si>
  <si>
    <t>reported_SE, from_t, from_CI, from_p</t>
  </si>
  <si>
    <t>Taille d'effet TRANSFORMEE (PCC ou elasticite standardisee) = ce qu'on pool.</t>
  </si>
  <si>
    <t>SE correspondant a l'effet transforme.</t>
  </si>
  <si>
    <t>Effet reoriente: NEGATIF = la pollution degrade la productivite.</t>
  </si>
  <si>
    <t>Pollution / exposition</t>
  </si>
  <si>
    <t>Type de polluant.</t>
  </si>
  <si>
    <t>PM2.5, PM10, NO2, O3, SO2, CO, AQI_composite, multiple, other</t>
  </si>
  <si>
    <t>Unite (ug/m3, ppb, indice...).</t>
  </si>
  <si>
    <t>Moyenne du polluant dans l'echantillon.</t>
  </si>
  <si>
    <t>Ecart-type du polluant.</t>
  </si>
  <si>
    <t>Minimum du polluant.</t>
  </si>
  <si>
    <t>Maximum du polluant.</t>
  </si>
  <si>
    <t>Methode de mesure de l'exposition.</t>
  </si>
  <si>
    <t>fixed_station, satellite, personal_sensor, interpolated_model, other</t>
  </si>
  <si>
    <t>Niveau d'assignation de l'exposition.</t>
  </si>
  <si>
    <t>individual, workplace, city_region</t>
  </si>
  <si>
    <t>indoor, outdoor, mixed</t>
  </si>
  <si>
    <t>Horizon de l'effet: short_run (jour meme) / long_run (cumule) / both. MODERATEUR PRINCIPAL. Version categorielle de lag_max_days.</t>
  </si>
  <si>
    <t>short_run, long_run, both</t>
  </si>
  <si>
    <t>Jour le plus RECENT inclus dans la fenetre d'exposition (presque toujours 0).</t>
  </si>
  <si>
    <t>Jour le plus ANCIEN remonte (0=jour meme, 30=cumul un mois, 365=un an). Version continue de effect_timing.</t>
  </si>
  <si>
    <t>Outcome / productivite</t>
  </si>
  <si>
    <t>Type d'outcome de productivite.</t>
  </si>
  <si>
    <t>physical_output, cognitive_performance, error_rate, labor_supply, sales_revenue, other</t>
  </si>
  <si>
    <t>intensive, extensive</t>
  </si>
  <si>
    <t>physical, cognitive, mixed</t>
  </si>
  <si>
    <t>Niveau de qualification des travailleurs.</t>
  </si>
  <si>
    <t>low, high, mixed</t>
  </si>
  <si>
    <t>Unite de mesure de l'outcome.</t>
  </si>
  <si>
    <t>Moyenne de l'outcome dans l'echantillon.</t>
  </si>
  <si>
    <t>Ecart-type de l'outcome.</t>
  </si>
  <si>
    <t>Minimum de l'outcome.</t>
  </si>
  <si>
    <t>Maximum de l'outcome.</t>
  </si>
  <si>
    <t>Objectif ou auto-declare.</t>
  </si>
  <si>
    <t>objective, self_reported</t>
  </si>
  <si>
    <t>Niveau d'observation de l'outcome.</t>
  </si>
  <si>
    <t>individual, firm, aggregate</t>
  </si>
  <si>
    <t>Echantillon / contexte</t>
  </si>
  <si>
    <t>Secteur / industrie.</t>
  </si>
  <si>
    <t>Type d'occupation.</t>
  </si>
  <si>
    <t>Niveau de developpement.</t>
  </si>
  <si>
    <t>OECD, non_OECD</t>
  </si>
  <si>
    <t>Urbain / rural.</t>
  </si>
  <si>
    <t>urban, rural, mixed</t>
  </si>
  <si>
    <t>Age moyen (si utilise).</t>
  </si>
  <si>
    <t>% de femmes (si utilise).</t>
  </si>
  <si>
    <t>Annee de debut des donnees.</t>
  </si>
  <si>
    <t>Annee de fin des donnees.</t>
  </si>
  <si>
    <t>Frequence des donnees.</t>
  </si>
  <si>
    <t>daily, weekly, monthly, annual, other</t>
  </si>
  <si>
    <t>Identification &amp; econometrie</t>
  </si>
  <si>
    <t>Structure des donnees.</t>
  </si>
  <si>
    <t>panel, cross_section, RCT, time_series</t>
  </si>
  <si>
    <t>Strategie d'identification.</t>
  </si>
  <si>
    <t>OLS, fixed_effects, IV_2SLS, RD, DiD, RCT, other</t>
  </si>
  <si>
    <t>Endogeneite traitee ?</t>
  </si>
  <si>
    <t>Instrument utilise ?</t>
  </si>
  <si>
    <t>Type d'instrument (vent, inversion, distance...).</t>
  </si>
  <si>
    <t>Effets fixes inclus (individu, firme, temps, lieu).</t>
  </si>
  <si>
    <t>Type de controle meteo.</t>
  </si>
  <si>
    <t>none, temperature, temp_humidity, full_weather</t>
  </si>
  <si>
    <t>Controle d'autres polluants ? (binaire)</t>
  </si>
  <si>
    <t>Etendue du controle multi-polluants.</t>
  </si>
  <si>
    <t>none, single_other, multiple</t>
  </si>
  <si>
    <t>Niveau de clustering des erreurs-types.</t>
  </si>
  <si>
    <t>Forme fonctionnelle.</t>
  </si>
  <si>
    <t>linear, log_log, quadratic, threshold, other</t>
  </si>
  <si>
    <t>Mecanique meta-regression</t>
  </si>
  <si>
    <t>Nombre d'estimations tirees de l'etude (ponderation/clustering).</t>
  </si>
  <si>
    <t>Specification preferee de l'auteur ?</t>
  </si>
  <si>
    <t>Specification de base ou de robustesse.</t>
  </si>
  <si>
    <t>baseline, robustness</t>
  </si>
  <si>
    <t>Origine de l'extraction.</t>
  </si>
  <si>
    <t>table, text</t>
  </si>
  <si>
    <t>Tracabilite codage</t>
  </si>
  <si>
    <t>Qui a code (fiabilite inter-codeurs).</t>
  </si>
  <si>
    <t>Valentin, Clara</t>
  </si>
  <si>
    <t>Date de codage.</t>
  </si>
  <si>
    <t>date</t>
  </si>
  <si>
    <t>Double-code ?</t>
  </si>
  <si>
    <t>Notes / ambiguites / decisions.</t>
  </si>
  <si>
    <t>Statut de publication.</t>
  </si>
  <si>
    <t>Base d'origine.</t>
  </si>
  <si>
    <t>Erreur-type BRUTE.</t>
  </si>
  <si>
    <t>Marge.</t>
  </si>
  <si>
    <t>Tache physique / cognitive.</t>
  </si>
  <si>
    <t>Selection dans la presence controlee ?</t>
  </si>
  <si>
    <t>Controle meteo present ?.</t>
  </si>
  <si>
    <t>textile</t>
  </si>
  <si>
    <t>China</t>
  </si>
  <si>
    <t>cases/worker/shift</t>
  </si>
  <si>
    <t>CNY/worker/shift</t>
  </si>
  <si>
    <t>HeEtAl2019</t>
  </si>
  <si>
    <t>HeEtAl2019_Jiangsu_ind_PM25_2SLS</t>
  </si>
  <si>
    <t>HeEtAl2019_Jiangsu_avg_PM25_OLS</t>
  </si>
  <si>
    <t>10 ug/m^3</t>
  </si>
  <si>
    <t>HeEtAl2019_Jiangsu_avg_SO2_OLS</t>
  </si>
  <si>
    <t>HeEtAl2019_Jiangsu_avg_PM25_2SLS</t>
  </si>
  <si>
    <t>HeEtAl2019_Jiangsu_avg_SO2_2SLS</t>
  </si>
  <si>
    <t>HeEtAl2019_Jiangsu_ind_PM25_OLS</t>
  </si>
  <si>
    <t>HeEtAl2019_Jiangsu_ind_SO2_OLS</t>
  </si>
  <si>
    <t>HeEtAl2019_Jiangsu_ind_SO2_2SLS</t>
  </si>
  <si>
    <t>thermal_inversion</t>
  </si>
  <si>
    <t>HeEtAl2019_Henan_avg_PM25_OLS</t>
  </si>
  <si>
    <t>HeEtAl2019_Henan_avg_SO2_OLS</t>
  </si>
  <si>
    <t>HeEtAl2019_Henan_avg_PM25_2SLS</t>
  </si>
  <si>
    <t>HeEtAl2019_Henan_avg_SO2_2SLS</t>
  </si>
  <si>
    <t>HeEtAl2019_Henan_ind_PM25_OLS</t>
  </si>
  <si>
    <t>HeEtAl2019_Henan_ind_SO2_OLS</t>
  </si>
  <si>
    <t>HeEtAl2019_Henan_ind_PM25_2SLS</t>
  </si>
  <si>
    <t>HeEtAl2019_Henan_ind_SO2_2SLS</t>
  </si>
  <si>
    <t>NA</t>
  </si>
  <si>
    <t>time</t>
  </si>
  <si>
    <t>worker, time</t>
  </si>
  <si>
    <t>machine_operator</t>
  </si>
  <si>
    <t>He, Liu, Salvo</t>
  </si>
  <si>
    <t>newey_west_30_day</t>
  </si>
  <si>
    <t>Severe Air Pollution and Labor Productivity: Evidence from Industrial Towns in China</t>
  </si>
  <si>
    <t>American Economic Journal: Applied Economics</t>
  </si>
  <si>
    <t>n_regressor</t>
  </si>
  <si>
    <t>se_pcc</t>
  </si>
  <si>
    <t>pcc</t>
  </si>
  <si>
    <t>elast_reoriented</t>
  </si>
  <si>
    <t>se_elasticity</t>
  </si>
  <si>
    <t>pcc_reoriented</t>
  </si>
  <si>
    <t>HeEtAl2019_Jiangsu_ind_PM25_2SLS_PDL_5</t>
  </si>
  <si>
    <t>HeEtAl2019_Jiangsu_ind_PM25_2SLS_PDL_10</t>
  </si>
  <si>
    <t>HeEtAl2019_Jiangsu_ind_PM25_2SLS_PDL_15</t>
  </si>
  <si>
    <t>HeEtAl2019_Jiangsu_ind_PM25_2SLS_PDL_20</t>
  </si>
  <si>
    <t>HeEtAl2019_Jiangsu_ind_PM25_2SLS_PDL_25</t>
  </si>
  <si>
    <t>HeEtAl2019_Jiangsu_ind_PM25_2SLS_PDL_30</t>
  </si>
  <si>
    <t>HeEtAl2019_Jiangsu_ind_SO2_2SLS_PDL_5</t>
  </si>
  <si>
    <t>HeEtAl2019_Jiangsu_ind_SO2_2SLS_PDL_10</t>
  </si>
  <si>
    <t>HeEtAl2019_Jiangsu_ind_SO2_2SLS_PDL_15</t>
  </si>
  <si>
    <t>HeEtAl2019_Jiangsu_ind_SO2_2SLS_PDL_20</t>
  </si>
  <si>
    <t>HeEtAl2019_Jiangsu_ind_SO2_2SLS_PDL_30</t>
  </si>
  <si>
    <t>HeEtAl2019_Jiangsu_ind_SO2_2SLS_PDL_25</t>
  </si>
  <si>
    <t>HeEtAl2019_Henan_ind_PM25_2SLS_PDL_5</t>
  </si>
  <si>
    <t>HeEtAl2019_Henan_ind_PM25_2SLS_PDL_10</t>
  </si>
  <si>
    <t>HeEtAl2019_Henan_ind_PM25_2SLS_PDL_15</t>
  </si>
  <si>
    <t>HeEtAl2019_Henan_ind_PM25_2SLS_PDL_20</t>
  </si>
  <si>
    <t>HeEtAl2019_Henan_ind_PM25_2SLS_PDL_25</t>
  </si>
  <si>
    <t>HeEtAl2019_Henan_ind_PM25_2SLS_PDL_30</t>
  </si>
  <si>
    <t>HeEtAl2019_Henan_ind_SO2_2SLS_PDL_5</t>
  </si>
  <si>
    <t>HeEtAl2019_Henan_ind_SO2_2SLS_PDL_10</t>
  </si>
  <si>
    <t>HeEtAl2019_Henan_ind_SO2_2SLS_PDL_15</t>
  </si>
  <si>
    <t>HeEtAl2019_Henan_ind_SO2_2SLS_PDL_20</t>
  </si>
  <si>
    <t>HeEtAl2019_Henan_ind_SO2_2SLS_PDL_25</t>
  </si>
  <si>
    <t>HeEtAl2019_Henan_ind_SO2_2SLS_PDL_30</t>
  </si>
  <si>
    <t>HeEtAl2019_Jiangsu_ind_PM25_OLS_PDL_5</t>
  </si>
  <si>
    <t>HeEtAl2019_Jiangsu_ind_PM25_OLS_PDL_10</t>
  </si>
  <si>
    <t>HeEtAl2019_Jiangsu_ind_PM25_OLS_PDL_15</t>
  </si>
  <si>
    <t>HeEtAl2019_Jiangsu_ind_PM25_OLS_PDL_20</t>
  </si>
  <si>
    <t>HeEtAl2019_Jiangsu_ind_PM25_OLS_PDL_25</t>
  </si>
  <si>
    <t>HeEtAl2019_Jiangsu_ind_PM25_OLS_PDL_30</t>
  </si>
  <si>
    <t>HeEtAl2019_Jiangsu_ind_SO2_OLS_PDL_5</t>
  </si>
  <si>
    <t>HeEtAl2019_Jiangsu_ind_SO2_OLS_PDL_10</t>
  </si>
  <si>
    <t>HeEtAl2019_Jiangsu_ind_SO2_OLS_PDL_15</t>
  </si>
  <si>
    <t>HeEtAl2019_Jiangsu_ind_SO2_OLS_PDL_20</t>
  </si>
  <si>
    <t>HeEtAl2019_Jiangsu_ind_SO2_OLS_PDL_25</t>
  </si>
  <si>
    <t>HeEtAl2019_Jiangsu_ind_SO2_OLS_PDL_30</t>
  </si>
  <si>
    <t>HeEtAl2019_Henan_ind_PM25_OLS_PDL_5</t>
  </si>
  <si>
    <t>HeEtAl2019_Henan_ind_PM25_OLS_PDL_10</t>
  </si>
  <si>
    <t>HeEtAl2019_Henan_ind_PM25_OLS_PDL_15</t>
  </si>
  <si>
    <t>HeEtAl2019_Henan_ind_PM25_OLS_PDL_20</t>
  </si>
  <si>
    <t>HeEtAl2019_Henan_ind_PM25_OLS_PDL_25</t>
  </si>
  <si>
    <t>HeEtAl2019_Henan_ind_PM25_OLS_PDL_30</t>
  </si>
  <si>
    <t>HeEtAl2019_Henan_ind_SO2_OLS_PDL_5</t>
  </si>
  <si>
    <t>HeEtAl2019_Henan_ind_SO2_OLS_PDL_10</t>
  </si>
  <si>
    <t>HeEtAl2019_Henan_ind_SO2_OLS_PDL_15</t>
  </si>
  <si>
    <t>HeEtAl2019_Henan_ind_SO2_OLS_PDL_20</t>
  </si>
  <si>
    <t>HeEtAl2019_Henan_ind_SO2_OLS_PDL_25</t>
  </si>
  <si>
    <t>HeEtAl2019_Henan_ind_SO2_OLS_PDL_30</t>
  </si>
  <si>
    <t>sub_sector</t>
  </si>
  <si>
    <t>manufacture</t>
  </si>
  <si>
    <t>day + newey_west_30_day</t>
  </si>
  <si>
    <t>polynomial</t>
  </si>
  <si>
    <t>effect_scale</t>
  </si>
  <si>
    <t>effect scale</t>
  </si>
  <si>
    <t>level</t>
  </si>
  <si>
    <t>percent_of_mean</t>
  </si>
  <si>
    <t>level = effet en unités de l'outcome ; percent_of_mean = effet déjà en % de la moyenne</t>
  </si>
  <si>
    <t>level, percent_of_mean</t>
  </si>
  <si>
    <t>Table 4 : effet en % de l'output moyen (note de la table)</t>
  </si>
  <si>
    <t>Sous-secteur</t>
  </si>
  <si>
    <t>ChangEtAl2016</t>
  </si>
  <si>
    <t>Chang, Zivin, Gross, Neidell</t>
  </si>
  <si>
    <t>Particulate Pollution and the Productivity of Pear Packers</t>
  </si>
  <si>
    <t>American Economic Journal: Economic Policy</t>
  </si>
  <si>
    <t>USA</t>
  </si>
  <si>
    <t>monetary_output</t>
  </si>
  <si>
    <t>piece_rate_earnings/hour/worker</t>
  </si>
  <si>
    <t>6_day + worker</t>
  </si>
  <si>
    <t>paker</t>
  </si>
  <si>
    <t>wind_temp_rain_radiation</t>
  </si>
  <si>
    <t>ozone</t>
  </si>
  <si>
    <t>log_level</t>
  </si>
  <si>
    <t xml:space="preserve">fruit packing </t>
  </si>
  <si>
    <t>ozone_nitrogendioxide_carbonmonoxide_coarsePM</t>
  </si>
  <si>
    <t>piece_rate_earnings/hour/worker (regular time only)</t>
  </si>
  <si>
    <t>piece_rate_earnings/hour/worker (overtime only)</t>
  </si>
  <si>
    <t>Table 3 : colonne 1; regular time only</t>
  </si>
  <si>
    <t>Table 3 : colonne 2; regular time only</t>
  </si>
  <si>
    <t>Table 3 : colonne 5; regular time only</t>
  </si>
  <si>
    <t>Table 3 : colonne 6; regular time only</t>
  </si>
  <si>
    <t>Table 4 : colonne 2; regular time only</t>
  </si>
  <si>
    <t>Table 4 : colonne 3; regular time only</t>
  </si>
  <si>
    <t>Table 4 : colonne 4; regular time only</t>
  </si>
  <si>
    <t>Table 4 : colonne 5; regular time only</t>
  </si>
  <si>
    <t>ppb</t>
  </si>
  <si>
    <t>ChangEtAl2016_OLS_level-level_wFire</t>
  </si>
  <si>
    <t>ChangEtAl2016_OLS_level-level_w/Fire</t>
  </si>
  <si>
    <t>ChangEtAl2016_OLS_log-level_w/Fire</t>
  </si>
  <si>
    <t>ChangEtAl2016_OLS_log-level_wFire</t>
  </si>
  <si>
    <t>ChangEtAl2016_OLS_robw/meter</t>
  </si>
  <si>
    <t>ChangEtAl2016_OLS_robflextemp</t>
  </si>
  <si>
    <t>ChangEtAl2016_OLS_robaddpoll</t>
  </si>
  <si>
    <t>ChangEtAl2016_OLS_robworkFE</t>
  </si>
  <si>
    <t>ChangEtAl2016_OLS_robregtime</t>
  </si>
  <si>
    <t>ChangEtAl2016_OLS_robovertime</t>
  </si>
  <si>
    <t>ChangEtAl2016_OLS_level-level_wFire_ozone</t>
  </si>
  <si>
    <t>ChangEtAl2016_OLS_level-level_w/Fire_ozone</t>
  </si>
  <si>
    <t>ChangEtAl2016_OLS_log-level_wFire_ozone</t>
  </si>
  <si>
    <t>ChangEtAl2016_OLS_log-level_w/Fire_ozone</t>
  </si>
  <si>
    <t>ChangEtAl2019</t>
  </si>
  <si>
    <t>The Effect of Pollution on Worker Productivity: Evidence from Call Center Workers in China</t>
  </si>
  <si>
    <t>American Economic Jounal: Applied Economics</t>
  </si>
  <si>
    <t>service</t>
  </si>
  <si>
    <t>travel_agency</t>
  </si>
  <si>
    <t xml:space="preserve">caller </t>
  </si>
  <si>
    <t>API</t>
  </si>
  <si>
    <t xml:space="preserve">daily </t>
  </si>
  <si>
    <t>semi</t>
  </si>
  <si>
    <t xml:space="preserve">number_of_calls/shift/worker </t>
  </si>
  <si>
    <t>temp</t>
  </si>
  <si>
    <t>day + worker</t>
  </si>
  <si>
    <t>Table 3 : colonne 1</t>
  </si>
  <si>
    <t>Table 3 : colonne 2</t>
  </si>
  <si>
    <t>Table 3 : colonne 3</t>
  </si>
  <si>
    <t>Table 3 : colonne 4</t>
  </si>
  <si>
    <t>10 unit</t>
  </si>
  <si>
    <t>ChangEtAl2019_OLS_nbcalls</t>
  </si>
  <si>
    <t>ChangEtAl2019_OLS_nbcalls_w.FE</t>
  </si>
  <si>
    <t>ChangEtAl2019_OLS_min</t>
  </si>
  <si>
    <t>ChangEtAl2019_OLS_min_w.FE</t>
  </si>
  <si>
    <t>minutes_on_phone/shift/worker</t>
  </si>
  <si>
    <t>minutes_logged/shift/worker</t>
  </si>
  <si>
    <t>minutes/call/worker/shift</t>
  </si>
  <si>
    <t>Table 4 : colonne 1</t>
  </si>
  <si>
    <t>Table 4 : colonne 2</t>
  </si>
  <si>
    <t>Table 4 : colonne 3</t>
  </si>
  <si>
    <t>Table 4 : colonne 4</t>
  </si>
  <si>
    <t>ChangEtAl2019_OLS_minphone</t>
  </si>
  <si>
    <t>ChangEtAl2019_OLS_minphone_w.FE</t>
  </si>
  <si>
    <t>ChangEtAl2019_OLS_min/phonecall</t>
  </si>
  <si>
    <t>ChangEtAl2019_OLS_min/phonecall_w.FE</t>
  </si>
  <si>
    <t>Table 5 : colonne 2</t>
  </si>
  <si>
    <t>ChangEtAl2019_OLS_nbcalls_Shangai</t>
  </si>
  <si>
    <t>ChangEtAl2019_OLS_nbcalls_w.FE_Shangai</t>
  </si>
  <si>
    <t>ChangEtAl2019_OLS_minphone_Nantong</t>
  </si>
  <si>
    <t>ChangEtAl2019_OLS_minphone_w.FE_Nantong</t>
  </si>
  <si>
    <t>Table 7 : colonne 3 - panel A</t>
  </si>
  <si>
    <t>Table 7 : colonne 4 - panel A</t>
  </si>
  <si>
    <t>Table 7 : colonne 3 - panel B</t>
  </si>
  <si>
    <t>Table 7 : colonne 4 - panel B</t>
  </si>
  <si>
    <t>Table 8 : colonne 2 - panel A</t>
  </si>
  <si>
    <t>Table 8 : colonne 2 - panel B</t>
  </si>
  <si>
    <t>ChangEtAl2019_OLS_nbcalls_w/temp</t>
  </si>
  <si>
    <t>ChangEtAl2019_OLS_min_w/temp</t>
  </si>
  <si>
    <t>Table 8 : colonne 3 - panel A</t>
  </si>
  <si>
    <t>Table 8 : colonne 3 - panel B</t>
  </si>
  <si>
    <t>ChangEtAl2019_OLS_nbcalls_precip_Shangai</t>
  </si>
  <si>
    <t>ChangEtAl2019_OLS_min_precip_Shangai</t>
  </si>
  <si>
    <t>ChangEtAl2019_OLS_nbcalls_w.temp(cat)</t>
  </si>
  <si>
    <t>ChangEtAl2019_OLS_min_w.temp(cat)</t>
  </si>
  <si>
    <t>Table 8 : colonne 5 - panel A</t>
  </si>
  <si>
    <t>Table 8 : colonne 5 - panel B</t>
  </si>
  <si>
    <t>temp_precipitation</t>
  </si>
  <si>
    <t>ZivinNeidell2012</t>
  </si>
  <si>
    <t>Zivin, Neidell</t>
  </si>
  <si>
    <t xml:space="preserve">The Impact of Pollution on Worker Productivity </t>
  </si>
  <si>
    <t>American Economic Review</t>
  </si>
  <si>
    <t>10 ppb</t>
  </si>
  <si>
    <t>agriculture</t>
  </si>
  <si>
    <t>fruit_harvesting</t>
  </si>
  <si>
    <t>farm_worker</t>
  </si>
  <si>
    <t xml:space="preserve">Table 3 : colonne 1 </t>
  </si>
  <si>
    <t>time, contract</t>
  </si>
  <si>
    <t>temp_humidity_precipitation_wind_pressure_radiation</t>
  </si>
  <si>
    <t>Zivin2012_OLS</t>
  </si>
  <si>
    <t>Zivin2012_Tobit</t>
  </si>
  <si>
    <t>Zivin2012_Median</t>
  </si>
  <si>
    <t>Zivin2012_Censored</t>
  </si>
  <si>
    <t>Tobit</t>
  </si>
  <si>
    <t>Median</t>
  </si>
  <si>
    <t>Censored median</t>
  </si>
  <si>
    <t>time, contract, worker</t>
  </si>
  <si>
    <t>Zivin2012_OLS_workerFE</t>
  </si>
  <si>
    <t>Zivin2012_OLS_xtenure</t>
  </si>
  <si>
    <t>hourly_pieces</t>
  </si>
  <si>
    <t>estimated_ci</t>
  </si>
  <si>
    <t>outcome_estimated_mean</t>
  </si>
  <si>
    <t>poll_estimated_mean</t>
  </si>
  <si>
    <t>La moyenne du sous-échantillon est-elle estimée par la moyenne de l'échantillon ?</t>
  </si>
  <si>
    <t>Lieu de travail : interieur / exterieur.</t>
  </si>
  <si>
    <t>indoor_outdoor_measure</t>
  </si>
  <si>
    <t>Lieu de mesure de la pollution</t>
  </si>
  <si>
    <t>6-days</t>
  </si>
  <si>
    <t>worker</t>
  </si>
  <si>
    <t>Table 4 : colonne 6</t>
  </si>
  <si>
    <t>Table 4 : colonne 7</t>
  </si>
  <si>
    <t xml:space="preserve">Censored </t>
  </si>
  <si>
    <t>Table 4 : colonne 9; porte sur la variable latente</t>
  </si>
  <si>
    <t>ChangEtAl2016_OLS_log-level_6days</t>
  </si>
  <si>
    <t>ChangEtAl2016_OLS_log-level_median</t>
  </si>
  <si>
    <t>ChangEtAl2016_OLS_log-level_censoredmedian</t>
  </si>
  <si>
    <t>estimated_n_regressor</t>
  </si>
  <si>
    <t>Zivin2012_OLS_Y&gt;0.1</t>
  </si>
  <si>
    <t>Zivin2012_OLS_Y&gt;0.2</t>
  </si>
  <si>
    <t>Zivin2012_OLS_w/monday</t>
  </si>
  <si>
    <t>Table 4 : colonne 5</t>
  </si>
  <si>
    <t>Zivin2012_OLS_w/monday&amp;tuesday</t>
  </si>
  <si>
    <t>Table 4 : colonne 8</t>
  </si>
  <si>
    <t xml:space="preserve">latent_variable </t>
  </si>
  <si>
    <t>CHECK</t>
  </si>
  <si>
    <t>Permet de vérifier que la t-stat associée au raw_effect est la même que celle associée à l'élasticité</t>
  </si>
  <si>
    <t>estimated_n_regressors</t>
  </si>
  <si>
    <t>Nombre de règresseurs estimés ?</t>
  </si>
  <si>
    <t>LichterEtAl2017</t>
  </si>
  <si>
    <t>Lichter, Pestel, Sommer</t>
  </si>
  <si>
    <t>Productivity effects of air pollution: Evidence from professional soccer</t>
  </si>
  <si>
    <t>Labour Economics</t>
  </si>
  <si>
    <t>Germany</t>
  </si>
  <si>
    <t>ball_passes/match/player</t>
  </si>
  <si>
    <t>pass_accuracy/match/player</t>
  </si>
  <si>
    <t>1999/2000</t>
  </si>
  <si>
    <t>2010/2011</t>
  </si>
  <si>
    <t xml:space="preserve">objective </t>
  </si>
  <si>
    <t>sport</t>
  </si>
  <si>
    <t>professional_soccer</t>
  </si>
  <si>
    <t>match</t>
  </si>
  <si>
    <t>LichterEtAl2017_OLS_PM10_playercara</t>
  </si>
  <si>
    <t>Table 2 : colonne 1</t>
  </si>
  <si>
    <t>LichterEtAl2017_OLS_PM10_teamxsaisonFE</t>
  </si>
  <si>
    <t>woker</t>
  </si>
  <si>
    <t>worker, match</t>
  </si>
  <si>
    <t>worker, match, coach</t>
  </si>
  <si>
    <t>worker, match, coach, team x season</t>
  </si>
  <si>
    <t>Table 2 : colonne 2</t>
  </si>
  <si>
    <t>Table 2 : colonne 3</t>
  </si>
  <si>
    <t>Table 2 : colonne 4</t>
  </si>
  <si>
    <t>Table 2 : colonne 5</t>
  </si>
  <si>
    <t>Table 2 : colonne 6</t>
  </si>
  <si>
    <t>LichterEtAl2017_OLS_PM10_passacur_playercara</t>
  </si>
  <si>
    <t>LichterEtAl2017_OLS_PM10_passacur_playerFE</t>
  </si>
  <si>
    <t>LichterEtAl2017_OLS_PM10_passacur</t>
  </si>
  <si>
    <t>sd (X)</t>
  </si>
  <si>
    <t>LichterEtAl2017_OLS_PM10_long/short_playercara</t>
  </si>
  <si>
    <t>LichterEtAl2017_OLS_PM10_long/short_playerFE</t>
  </si>
  <si>
    <t>LichterEtAl2017_OLS_PM10_long/short</t>
  </si>
  <si>
    <t>Table A.1 : colonne 1</t>
  </si>
  <si>
    <t>Table A.1 : colonne 2</t>
  </si>
  <si>
    <t>LichterEtAl2017_OLS_PM10_fulltime_playercara</t>
  </si>
  <si>
    <t>LichterEtAl2017_OLS_PM10_fulltime</t>
  </si>
  <si>
    <t>Table A.1 : colonne 7</t>
  </si>
  <si>
    <t>Table A.1 : colonne 8</t>
  </si>
  <si>
    <t>LichterEtAl2017_OLS_PM10_match_w/squared</t>
  </si>
  <si>
    <t>LichterEtAl2017_OLS_ozone_match_w/squared</t>
  </si>
  <si>
    <t>LichterEtAl2017_OLS_PM10_w/squared</t>
  </si>
  <si>
    <t>LichterEtAl2017_OLS_ozone_w/squared</t>
  </si>
  <si>
    <t>LichterEtAl2017_OLS_PM10_match_weathercat</t>
  </si>
  <si>
    <t>LichterEtAl2017_OLS_ozone_match_weathercat</t>
  </si>
  <si>
    <t>LichterEtAl2017_OLS_PM10_weathercat</t>
  </si>
  <si>
    <t>LichterEtAl2017_OLS_ozone_weathercat</t>
  </si>
  <si>
    <t>Table A.3 : colonne 1</t>
  </si>
  <si>
    <t>Table A.3 : colonne 2</t>
  </si>
  <si>
    <t>Table A.3 : colonne 5</t>
  </si>
  <si>
    <t>Table A.3 : colonne 6</t>
  </si>
  <si>
    <t>Table 5 : colonne 2; regular time only, during days with overtime</t>
  </si>
  <si>
    <t>Table 5 : colonne 3; overtime only</t>
  </si>
  <si>
    <t>ChangEtAl2016_OLS_robovertimeprod_regcontrole</t>
  </si>
  <si>
    <t>Table 5 : colonne 4; overtime only controlled by reg time</t>
  </si>
  <si>
    <t>ArchsmithEtAl2018</t>
  </si>
  <si>
    <t>Archsmith, Heyes, Saberian</t>
  </si>
  <si>
    <t>Air Quality and Error Quantity: Pollution and Performance in a High-Skilled, Quality-Focused Occupation</t>
  </si>
  <si>
    <t>Journal of the Association of Environmental and Resource Economists</t>
  </si>
  <si>
    <t xml:space="preserve">cognitive </t>
  </si>
  <si>
    <t>umpires</t>
  </si>
  <si>
    <t>baseball</t>
  </si>
  <si>
    <t>ppm</t>
  </si>
  <si>
    <t>Ozone</t>
  </si>
  <si>
    <t>LPM</t>
  </si>
  <si>
    <t>worker, venue, time</t>
  </si>
  <si>
    <t>temp_humidity_skycover_precipitation_wind_pressure</t>
  </si>
  <si>
    <t>probability_correct_call</t>
  </si>
  <si>
    <t>pitch-level</t>
  </si>
  <si>
    <t>CO_O3</t>
  </si>
  <si>
    <t>PM2.5_O3</t>
  </si>
  <si>
    <t>PM2.5_CO</t>
  </si>
  <si>
    <t xml:space="preserve">Clara </t>
  </si>
  <si>
    <t>Table 2 : colonne 8</t>
  </si>
  <si>
    <t>ArchsmithEtAl2018_PM2.5_GameSituation</t>
  </si>
  <si>
    <t>ArchsmithEtAl2018_CO_GameSituation</t>
  </si>
  <si>
    <t>ArchsmithEtAl2018_O3_GameSituation</t>
  </si>
  <si>
    <t>ArchsmithEtAl2018_PM2.5_PitchControls</t>
  </si>
  <si>
    <t>ArchsmithEtAl2018_CO_PitchControls</t>
  </si>
  <si>
    <t>ArchsmithEtAl2018_O3_PitchControls</t>
  </si>
  <si>
    <t>ArchsmithEtAl2018_PM2.5_UmpireSpeSZ</t>
  </si>
  <si>
    <t>ArchsmithEtAl2018_CO_UmpireSpeSZ</t>
  </si>
  <si>
    <t>ArchsmithEtAl2018_O3_UmpireSpeSZ</t>
  </si>
  <si>
    <t>Table 2 : colonne 7</t>
  </si>
  <si>
    <t>ArchsmithEtAl2018_PM2.5_UmpireTrends</t>
  </si>
  <si>
    <t>ArchsmithEtAl2018_CO_UmpireTrends</t>
  </si>
  <si>
    <t>ArchsmithEtAl2018_O3_UmpireTrends</t>
  </si>
  <si>
    <t>ArchsmithEtAl2018_PM2.5_UmpireFE</t>
  </si>
  <si>
    <t>ArchsmithEtAl2018_CO_UmpireFE</t>
  </si>
  <si>
    <t>ArchsmithEtAl2018_O3_UmpireFE</t>
  </si>
  <si>
    <t>ArchsmithEtAl2018_PM2.5_TimeFE</t>
  </si>
  <si>
    <t>ArchsmithEtAl2018_CO_TimeFE</t>
  </si>
  <si>
    <t>ArchsmithEtAl2018_O3_TimeFE</t>
  </si>
  <si>
    <t>ArchsmithEtAl2018_PM2.5_w/weather</t>
  </si>
  <si>
    <t>ArchsmithEtAl2018_CO_w/weather</t>
  </si>
  <si>
    <t>ArchsmithEtAl2018_O3_w/weather</t>
  </si>
  <si>
    <t>venue</t>
  </si>
  <si>
    <t>venue, time</t>
  </si>
  <si>
    <t>ArchsmithEtAl2018_PM2.5_PrefW/weather</t>
  </si>
  <si>
    <t>ArchsmithEtAl2018_CO_PrefW/weather</t>
  </si>
  <si>
    <t>ArchsmithEtAl2018_O3_PrefW/weather</t>
  </si>
  <si>
    <t>ArchsmithEtAl2018_PM2.5_PrefW/TravelDays</t>
  </si>
  <si>
    <t>ArchsmithEtAl2018_CO_PrefW/TravelDays</t>
  </si>
  <si>
    <t>ArchsmithEtAl2018_O3_PrefW/TravelDays</t>
  </si>
  <si>
    <t>ArchsmithEtAl2018_PM2.5_PrefW.LogHours</t>
  </si>
  <si>
    <t>ArchsmithEtAl2018_CO_PrefW.LogHours</t>
  </si>
  <si>
    <t>ArchsmithEtAl2018_O3__PrefW.LogHours</t>
  </si>
  <si>
    <t>ArchsmithEtAl2018_PM2.5_PrefW.AvPoll</t>
  </si>
  <si>
    <t>ArchsmithEtAl2018_CO_PrefW.AvPoll</t>
  </si>
  <si>
    <t>ArchsmithEtAl2018_O3__PrefW.AvPoll</t>
  </si>
  <si>
    <t>ArchsmithEtAl2018_PM2.5_PrefW.PlayerFE</t>
  </si>
  <si>
    <t>ArchsmithEtAl2018_CO_PrefW.PlayerFE</t>
  </si>
  <si>
    <t>ArchsmithEtAl2018_O3__PrefW.PlayerFE</t>
  </si>
  <si>
    <t>venue, time, worker</t>
  </si>
  <si>
    <t>ArchsmithEtAl2018_PM2.5_PrefW/GameExclusion</t>
  </si>
  <si>
    <t>ArchsmithEtAl2018_CO_PrefW/GameExclusion</t>
  </si>
  <si>
    <t>ArchsmithEtAl2018_O3__PrefW/GameExclusion</t>
  </si>
  <si>
    <t>ArchsmithEtAl2018_PM2.5_PrefW/SampleRestriction</t>
  </si>
  <si>
    <t>ArchsmithEtAl2018_CO_PrefW/SampleRestriction</t>
  </si>
  <si>
    <t>ArchsmithEtAl2018_O3__PrefW/SampleRestriction</t>
  </si>
  <si>
    <t>ArchsmithEtAl2018_PM2.5_PrefW/UmpireSpeSZ</t>
  </si>
  <si>
    <t>ArchsmithEtAl2018_CO_PrefW/UmpireSpeSZ</t>
  </si>
  <si>
    <t>ArchsmithEtAl2018_O3__PrefW/UmpireSpeSZ</t>
  </si>
  <si>
    <t>Table 4 : colonne 9</t>
  </si>
  <si>
    <t>Probit</t>
  </si>
  <si>
    <t>Logit</t>
  </si>
  <si>
    <t>ArchsmithEtAl2018_O3_Probit</t>
  </si>
  <si>
    <t>ArchsmithEtAl2018_CO_Probit</t>
  </si>
  <si>
    <t>ArchsmithEtAl2018_PM2.5_Probit</t>
  </si>
  <si>
    <t>ArchsmithEtAl2018_PM2.5_Tobit</t>
  </si>
  <si>
    <t>ArchsmithEtAl2018_CO_Tobit</t>
  </si>
  <si>
    <t>ArchsmithEtAl2018_O3_Tobit</t>
  </si>
  <si>
    <t>Table 5 : colonne 3</t>
  </si>
  <si>
    <t>Table 5 : colonne 4</t>
  </si>
  <si>
    <t>CO_O3_PM10</t>
  </si>
  <si>
    <t>PM2.5_CO_PM10</t>
  </si>
  <si>
    <t>CO_O3_NO2</t>
  </si>
  <si>
    <t>PM2.5_CO_NO2</t>
  </si>
  <si>
    <t>CO_O3_SO2</t>
  </si>
  <si>
    <t>PM2.5_CO_SO2</t>
  </si>
  <si>
    <t>CO_O3_PM10_NO2_SO2</t>
  </si>
  <si>
    <t>PM2.5_CO_PM10_NO2_SO2</t>
  </si>
  <si>
    <t>Table 6 : colonne 5</t>
  </si>
  <si>
    <t>Table 6 : colonne 4</t>
  </si>
  <si>
    <t>Table 6 : colonne 3</t>
  </si>
  <si>
    <t>Table 6 : colonne 2</t>
  </si>
  <si>
    <t>ArchsmithEtAl2018_O3_PM10SO2NO2</t>
  </si>
  <si>
    <t>ArchsmithEtAl2018_PM2.5_PM10SO2NO2</t>
  </si>
  <si>
    <t>ArchsmithEtAl2018_O3_SO2</t>
  </si>
  <si>
    <t>ArchsmithEtAl2018_PM2.5_SO2</t>
  </si>
  <si>
    <t>ArchsmithEtAl2018_O3_NO2</t>
  </si>
  <si>
    <t>ArchsmithEtAl2018_PM2.5_NO2</t>
  </si>
  <si>
    <t>ArchsmithEtAl2018_O3_PM10</t>
  </si>
  <si>
    <t>ArchsmithEtAl2018_PM2.5_PM10</t>
  </si>
  <si>
    <t>AdhvaryuEtAl2019</t>
  </si>
  <si>
    <t>Adhvaryu, Kala, Nyshadham</t>
  </si>
  <si>
    <t>Management and Shocks to Worker Productivity</t>
  </si>
  <si>
    <t>Journal of Political Economy</t>
  </si>
  <si>
    <t>India</t>
  </si>
  <si>
    <t xml:space="preserve">textile </t>
  </si>
  <si>
    <t>pieces/target/hour/worker</t>
  </si>
  <si>
    <t>August 2013</t>
  </si>
  <si>
    <t>May 2014</t>
  </si>
  <si>
    <t>line_date_hour</t>
  </si>
  <si>
    <t>time, style, line</t>
  </si>
  <si>
    <t>AdhvaryuEtAl2019_PM2.5_LineFE</t>
  </si>
  <si>
    <t>AdhvaryuEtAl2019_PM2.5_WorkerFE</t>
  </si>
  <si>
    <t>AdhvaryuEtAl2019_PM2.5_LowComplex</t>
  </si>
  <si>
    <t>AdhvaryuEtAl2019_PM2.5_HighComplex</t>
  </si>
  <si>
    <t>Table 3 : colonne 1 - low complexity</t>
  </si>
  <si>
    <t>Table 3 : colonne 1 - high complexity</t>
  </si>
  <si>
    <t>AdhvaryuEtAl2019_PM2.5_BelowMedianAge</t>
  </si>
  <si>
    <t>AdhvaryuEtAl2019_PM2.5_AboveMedianAge</t>
  </si>
  <si>
    <t>Table 3 : colonne 1 - above median age</t>
  </si>
  <si>
    <t xml:space="preserve">line </t>
  </si>
  <si>
    <t>mean(pieces/target/hour/worker)/line</t>
  </si>
  <si>
    <t>Table 5 : colonne 1</t>
  </si>
  <si>
    <t>AdhvaryuEtAl2019_PM2.5_DateFE</t>
  </si>
  <si>
    <t>AdhvaryuEtAl2019_PM2.5_LineLevel</t>
  </si>
  <si>
    <t>Table A5 : colonne 1</t>
  </si>
  <si>
    <t>HeyesEtAl2019</t>
  </si>
  <si>
    <t>Heyes, Rivers, Schaufele</t>
  </si>
  <si>
    <t>Pollution and Politician Productivity: The Effect of PM on MPs</t>
  </si>
  <si>
    <t>Land Economics</t>
  </si>
  <si>
    <t>Canada</t>
  </si>
  <si>
    <t>Flesch-Kincaid_Index</t>
  </si>
  <si>
    <t>politics</t>
  </si>
  <si>
    <t>MP</t>
  </si>
  <si>
    <t>worker_month</t>
  </si>
  <si>
    <t xml:space="preserve">table </t>
  </si>
  <si>
    <t>Table C1 : colonne 1</t>
  </si>
  <si>
    <t>time, worker</t>
  </si>
  <si>
    <t>Table C1 : colonne 2</t>
  </si>
  <si>
    <t>Table C1 : colonne 3</t>
  </si>
  <si>
    <t>HeyesEtAl2019_w/spe_level-level</t>
  </si>
  <si>
    <t>HeyesEtAl2019_timeFE_level-level</t>
  </si>
  <si>
    <t>HeyesEtAl2019_workerFE_level-level</t>
  </si>
  <si>
    <t>HeyesEtAl2019_w/spe_log-level</t>
  </si>
  <si>
    <t>HeyesEtAl2019_timeFE_log-level</t>
  </si>
  <si>
    <t>HeyesEtAl2019_workerFE_log-level</t>
  </si>
  <si>
    <t>2014/2015</t>
  </si>
  <si>
    <t>2019/2020</t>
  </si>
  <si>
    <t>LiEtAl2024</t>
  </si>
  <si>
    <t>Li, Sun, Ho</t>
  </si>
  <si>
    <t xml:space="preserve">Immediate Impacts of Air Pollution on the Performance of Football Players </t>
  </si>
  <si>
    <t>Journal of Sports Economics</t>
  </si>
  <si>
    <t>physical_performance</t>
  </si>
  <si>
    <t>AQI</t>
  </si>
  <si>
    <t>match-level</t>
  </si>
  <si>
    <t>unit</t>
  </si>
  <si>
    <t>temp_humidity_wind</t>
  </si>
  <si>
    <t>worker, team x season, city</t>
  </si>
  <si>
    <t>LiEtAl2024_OLS_workerFE</t>
  </si>
  <si>
    <t>LiEtAl2024_OLS_controls</t>
  </si>
  <si>
    <t>LiEtAl2024_OLS_subsample</t>
  </si>
  <si>
    <t>LiEtAl2024_OLS_AQUI&gt;=50</t>
  </si>
  <si>
    <t>LiEtAl2024_IV_AQI</t>
  </si>
  <si>
    <t>LiEtAl2024_IV_PM2.5</t>
  </si>
  <si>
    <t>LiEtAl2024_IV_PM10</t>
  </si>
  <si>
    <t>LiEtAl2024_IV_O3</t>
  </si>
  <si>
    <t>IV</t>
  </si>
  <si>
    <t>upwind_pollution</t>
  </si>
  <si>
    <t>LiEtAl2024_IV_PM2.5_controlO3</t>
  </si>
  <si>
    <t>LiEtAl2024_IV_PM10_controlO3</t>
  </si>
  <si>
    <t>LiEtAl2024_IV_O3_controlPM2.5</t>
  </si>
  <si>
    <t>LiEtAl2024_IV_O3_controlPM10</t>
  </si>
  <si>
    <t>LiEtAl2024_IV_AQI_success</t>
  </si>
  <si>
    <t>LiEtAl2024_IV_PM2.5_controlO3_success</t>
  </si>
  <si>
    <t>LiEtAl2024_IV_PM10_controlO3_success</t>
  </si>
  <si>
    <t>LiEtAl2024_IV_O3_controlPM2.5_success</t>
  </si>
  <si>
    <t>LiEtAl2024_IV_O3_controlPM10_success</t>
  </si>
  <si>
    <t>LiEtAl2024_IV_AQI_tackles</t>
  </si>
  <si>
    <t>LiEtAl2024_IV_PM2.5_controlO3_tackles</t>
  </si>
  <si>
    <t>LiEtAl2024_IV_PM10_controlO3_tackles</t>
  </si>
  <si>
    <t>LiEtAl2024_IV_O3_controlPM2.5_tackles</t>
  </si>
  <si>
    <t>LiEtAl2024_IV_O3_controlPM10_tackles</t>
  </si>
  <si>
    <t>successful_passes/match/player</t>
  </si>
  <si>
    <t>tackles/match/player</t>
  </si>
  <si>
    <t>LiEtAl2024_IV_AQI_HomeTeam</t>
  </si>
  <si>
    <t>LiEtAl2024_IV_AQI_AwayTeam</t>
  </si>
  <si>
    <t>LiEtAl2024_IV_AQI_DomesticPlayer</t>
  </si>
  <si>
    <t>LiEtAl2024_IV_AQI_ForeignPlayer</t>
  </si>
  <si>
    <t>LiEtAl2024_IV_AQI_StrongTeam</t>
  </si>
  <si>
    <t>LiEtAl2024_IV_AQI_WeakTeam</t>
  </si>
  <si>
    <t>LiEtAl2024_IV_AQI_LP</t>
  </si>
  <si>
    <t>LiEtAl2024_IV_AQI_OP</t>
  </si>
  <si>
    <t>LiEtAl2024_IV_AQI_FTP</t>
  </si>
  <si>
    <t>LiEtAl2024_IV_AQI_KP</t>
  </si>
  <si>
    <t>LiEtAl2024_IV_AQI_assists</t>
  </si>
  <si>
    <t>LiEtAl2024_IV_AQI_dribble</t>
  </si>
  <si>
    <t>Table 3 : colonne 5</t>
  </si>
  <si>
    <t>Table 3 : colonne 6</t>
  </si>
  <si>
    <t>Table 6 : colonne 1</t>
  </si>
  <si>
    <t>Table 6 : colonne 6</t>
  </si>
  <si>
    <t>Table 7 : colonne 1</t>
  </si>
  <si>
    <t>Table 7 : colonne 2</t>
  </si>
  <si>
    <t>Table 7 : colonne 3</t>
  </si>
  <si>
    <t>Table 7 : colonne 4</t>
  </si>
  <si>
    <t>Table 7 : colonne 5</t>
  </si>
  <si>
    <t>Table 7 : colonne 6</t>
  </si>
  <si>
    <t>ZhangEtAl2024</t>
  </si>
  <si>
    <t>Zhang, Wei, Huang, He, Liu, Liu, Lin, Shi, Liu, Freeman</t>
  </si>
  <si>
    <t>The impact of transient air pollution exposure on worker performance in Chinese soccer players</t>
  </si>
  <si>
    <t>worker, home</t>
  </si>
  <si>
    <t>temp_humidity_dewpoint_cloudy_wind</t>
  </si>
  <si>
    <t>Table 1  : colonne 1</t>
  </si>
  <si>
    <t>worker, home, team, season</t>
  </si>
  <si>
    <t>worker, home, team x season</t>
  </si>
  <si>
    <t>Table 1  : colonne 2</t>
  </si>
  <si>
    <t>Table 1  : colonne 3</t>
  </si>
  <si>
    <t>Table 1  : colonne 4</t>
  </si>
  <si>
    <t>Table 1  : colonne 5</t>
  </si>
  <si>
    <t>ZhangEtAl2024_AQI_baseline_passes</t>
  </si>
  <si>
    <t>ZhangEtAl2024_AQI_Team&amp;SeasonFE_passes</t>
  </si>
  <si>
    <t>ZhangEtAl2024_AQI_Team*SeasonFE_passes</t>
  </si>
  <si>
    <t>ZhangEtAl2024_PM2.5_passes</t>
  </si>
  <si>
    <t>ZhangEtAl2024_PM10_passes</t>
  </si>
  <si>
    <t>ZhangEtAl2024_AQI_baseline_fouls</t>
  </si>
  <si>
    <t>ZhangEtAl2024_AQI_Team&amp;SeasonFE_fouls</t>
  </si>
  <si>
    <t>ZhangEtAl2024_AQI_Team*SeasonFE_fouls</t>
  </si>
  <si>
    <t>ZhangEtAl2024_PM2.5_fouls</t>
  </si>
  <si>
    <t>ZhangEtAl2024_PM10_fouls</t>
  </si>
  <si>
    <t>fouls/match/player</t>
  </si>
  <si>
    <t>ZhangEtAl2024_AQI_baseline_distance</t>
  </si>
  <si>
    <t>ZhangEtAl2024_AQI_Team&amp;SeasonFE_distance</t>
  </si>
  <si>
    <t>ZhangEtAl2024_AQI_Team*SeasonFE_distance</t>
  </si>
  <si>
    <t>ZhangEtAl2024_PM2.5_distance</t>
  </si>
  <si>
    <t>ZhangEtAl2024_PM10_distance</t>
  </si>
  <si>
    <t>distance_running/match/player</t>
  </si>
  <si>
    <t>Table 1  : colonne 6</t>
  </si>
  <si>
    <t>Table 1  : colonne 7</t>
  </si>
  <si>
    <t>Table 1  : colonne 8</t>
  </si>
  <si>
    <t>Table 1  : colonne 9</t>
  </si>
  <si>
    <t>Table 1  : colonne 10</t>
  </si>
  <si>
    <t>Table 2  : colonne 1</t>
  </si>
  <si>
    <t>Table 2  : colonne 2</t>
  </si>
  <si>
    <t>Table 2  : colonne 3</t>
  </si>
  <si>
    <t>Table 2  : colonne 4</t>
  </si>
  <si>
    <t>ZhangEtAl2024_PM2.5_passes_home</t>
  </si>
  <si>
    <t>ZhangEtAl2024_PM2.5_passes_away</t>
  </si>
  <si>
    <t>ZhangEtAl2024_PM10_passes_home</t>
  </si>
  <si>
    <t>ZhangEtAl2024_PM10_passes_away</t>
  </si>
  <si>
    <t>ZhangEtAl2024_PM2.5_fouls_home</t>
  </si>
  <si>
    <t>ZhangEtAl2024_PM2.5_fouls_away</t>
  </si>
  <si>
    <t>ZhangEtAl2024_PM10_fouls_home</t>
  </si>
  <si>
    <t>ZhangEtAl2024_PM10_fouls_away</t>
  </si>
  <si>
    <t>Table A9  : colonne 1</t>
  </si>
  <si>
    <t>Table A9  : colonne 2</t>
  </si>
  <si>
    <t>Table A9  : colonne 3</t>
  </si>
  <si>
    <t>Table A9  : colonne 4</t>
  </si>
  <si>
    <t>Table A9  : colonne 5</t>
  </si>
  <si>
    <t>Table A9  : colonne 6</t>
  </si>
  <si>
    <t xml:space="preserve">Scientific Reports </t>
  </si>
  <si>
    <t>ZhangEtAl2024_AQI_fouls_home</t>
  </si>
  <si>
    <t>ZhangEtAl2024_AQI_fouls_away</t>
  </si>
  <si>
    <t>ZhangEtAl2024_AQI_passes_home</t>
  </si>
  <si>
    <t>ZhangEtAl2024_AQI__passes_away</t>
  </si>
  <si>
    <t>ZhangEtAl2024_AQI_distance_home</t>
  </si>
  <si>
    <t>ZhangEtAl2024_AQI_distance_away</t>
  </si>
  <si>
    <t>ZhangEtAl2024_PM2.5_distance_home</t>
  </si>
  <si>
    <t>ZhangEtAl2024_PM2.5_distance_away</t>
  </si>
  <si>
    <t>ZhangEtAl2024_PM10_distance_home</t>
  </si>
  <si>
    <t>ZhangEtAl2024_PM10_distance_away</t>
  </si>
  <si>
    <t>Table A12 : colonne 1 - panel B</t>
  </si>
  <si>
    <t>Table A12 : colonne 2 - panel B</t>
  </si>
  <si>
    <t>Table A12 : colonne 3 - panel B</t>
  </si>
  <si>
    <t>Table A12 : colonne 4 - panel B</t>
  </si>
  <si>
    <t>Table A12 : colonne 5 - panel B</t>
  </si>
  <si>
    <t>Table A12 : colonne 6 - panel B</t>
  </si>
  <si>
    <t>ChenEtAl2021</t>
  </si>
  <si>
    <t>Chen, Zhang</t>
  </si>
  <si>
    <t>Impact of air pollution on labor productivity: Evidence from prison factory data</t>
  </si>
  <si>
    <t>China Economic Quarterly International</t>
  </si>
  <si>
    <t>piece_rate_wage (Yuan/month)</t>
  </si>
  <si>
    <t>ChenEtAl2021_OLS_baseline</t>
  </si>
  <si>
    <t>ChenEtAl2021_OLS_workerFE</t>
  </si>
  <si>
    <t>ChenEtAl2021_OLS_temp</t>
  </si>
  <si>
    <t>ChenEtAl2021_OLS_meteorological</t>
  </si>
  <si>
    <t>temp_humidity_sunshine_wind</t>
  </si>
  <si>
    <t>ChenEtAl2021_IV_baseline</t>
  </si>
  <si>
    <t>ChenEtAl2021_IV_workerFE</t>
  </si>
  <si>
    <t>ChenEtAl2021_IV_temp</t>
  </si>
  <si>
    <t>ChenEtAl2021_IV_meteorological</t>
  </si>
  <si>
    <t>atmospheric_inversion</t>
  </si>
  <si>
    <t>management &amp; logistic</t>
  </si>
  <si>
    <t>ChenEtAl2021_IV_timeFE</t>
  </si>
  <si>
    <t>ChenEtAl2021_IV_log&amp;mana</t>
  </si>
  <si>
    <t>ChenEtAl2021_IV_prod</t>
  </si>
  <si>
    <t>ChenEtAl2021_IV_18/20</t>
  </si>
  <si>
    <t>ChenEtAl2021_IV_20/30</t>
  </si>
  <si>
    <t>ChenEtAl2021_IV_30/40</t>
  </si>
  <si>
    <t>ChenEtAl2021_IV_40/50</t>
  </si>
  <si>
    <t>ChenEtAl2021_IV_50/59</t>
  </si>
  <si>
    <t>Table 6 : colonne 1 - panel A</t>
  </si>
  <si>
    <t>Table 6 : colonne 2 - panel A</t>
  </si>
  <si>
    <t>Table 6 : colonne 3 - panel A</t>
  </si>
  <si>
    <t>Table 6 : colonne 4 - panel A</t>
  </si>
  <si>
    <t>Table 6 : colonne 5 - panel A</t>
  </si>
  <si>
    <t>Table 6 : colonne 1 - panel B</t>
  </si>
  <si>
    <t>Table 6 : colonne 2 - panel B</t>
  </si>
  <si>
    <t>Table 6 : colonne 3 - panel B</t>
  </si>
  <si>
    <t>Table 6 : colonne 4 - panel B</t>
  </si>
  <si>
    <t>Table 6 : colonne 5 - panel B</t>
  </si>
  <si>
    <t>ChenEtAl2021_IV_UnderPrimary</t>
  </si>
  <si>
    <t>ChenEtAl2021_IV_Primary</t>
  </si>
  <si>
    <t>ChenEtAl2021_IV_JuniorHS</t>
  </si>
  <si>
    <t>ChenEtAl2021_IV_SeniorHS</t>
  </si>
  <si>
    <t>ChenEtAl2021_IV_College</t>
  </si>
  <si>
    <t>JiangEtAl2025</t>
  </si>
  <si>
    <t xml:space="preserve">Jiang, Chen, Liu, Wu, Lyu </t>
  </si>
  <si>
    <t>Breathing in pollution, breathing out efficiency: how does air pollution affect labour productivity in China’s service sector?</t>
  </si>
  <si>
    <t>Applied Economics</t>
  </si>
  <si>
    <t xml:space="preserve">Scopus </t>
  </si>
  <si>
    <t>yearly</t>
  </si>
  <si>
    <t>output/worker (CNY 1000)</t>
  </si>
  <si>
    <t>firm, county, time</t>
  </si>
  <si>
    <t>JiangEtAl2025_OLS_w/WeatherControls</t>
  </si>
  <si>
    <t>JiangEtAl2025_OLS_w.WeatherControls</t>
  </si>
  <si>
    <t>temp_precipitation_wind_sunshine_humidity_pressure</t>
  </si>
  <si>
    <t>JiangEtAl2025_OLS_3y</t>
  </si>
  <si>
    <t>JiangEtAl2025_IV_3y</t>
  </si>
  <si>
    <t>JiangEtAl2025_IV_w/WeatherControls</t>
  </si>
  <si>
    <t>JiangEtAl2025_IV_w.WeatherControls</t>
  </si>
  <si>
    <t>JiangEtAl2025_IV_Producer</t>
  </si>
  <si>
    <t>JiangEtAl2025_IV_Consumer</t>
  </si>
  <si>
    <t>JiangEtAl2025_IV_Public</t>
  </si>
  <si>
    <t>producer</t>
  </si>
  <si>
    <t>consumer</t>
  </si>
  <si>
    <t>public</t>
  </si>
  <si>
    <t>JiangEtAl2025_IV_Pilot</t>
  </si>
  <si>
    <t>JiangEtAl2025_IV_NonPilot</t>
  </si>
  <si>
    <t>JiangEtAl2025_IV_North</t>
  </si>
  <si>
    <t>JiangEtAl2025_IV_South</t>
  </si>
  <si>
    <t>JiangEtAl2025_IV_East</t>
  </si>
  <si>
    <t>JiangEtAl2025_IV_MiddleAndWest</t>
  </si>
  <si>
    <t>JiangEtAl2025_IV_Coastal</t>
  </si>
  <si>
    <t>JiangEtAl2025_IV_Inner</t>
  </si>
  <si>
    <t>heterogeneity</t>
  </si>
  <si>
    <t>JiangEtAl2025_IV_2007/2011</t>
  </si>
  <si>
    <t>JiangEtAl2025_IV_2012/2016</t>
  </si>
  <si>
    <t>JiangEtAl2025_IV_State-owned</t>
  </si>
  <si>
    <t>JiangEtAl2025_IV_Non-state-owned</t>
  </si>
  <si>
    <t>JiangEtAl2025_IV_Medium/Large-Scale</t>
  </si>
  <si>
    <t>JiangEtAl2025_IV_Small-Scale</t>
  </si>
  <si>
    <t>Table 8 : colonne 1</t>
  </si>
  <si>
    <t>Table 8 : colonne 2</t>
  </si>
  <si>
    <t>Table 8 : colonne 3</t>
  </si>
  <si>
    <t>Table 8 : colonne 4</t>
  </si>
  <si>
    <t>Table 8 : colonne 5</t>
  </si>
  <si>
    <t>Table 8 : colonne 6</t>
  </si>
  <si>
    <t>sd (Y)</t>
  </si>
  <si>
    <t xml:space="preserve">age </t>
  </si>
  <si>
    <t>age</t>
  </si>
  <si>
    <t>education</t>
  </si>
  <si>
    <t>subsector</t>
  </si>
  <si>
    <t>localisation</t>
  </si>
  <si>
    <t>period_of_time</t>
  </si>
  <si>
    <t>scale</t>
  </si>
  <si>
    <t>ownership</t>
  </si>
  <si>
    <t>origin</t>
  </si>
  <si>
    <t>effort type</t>
  </si>
  <si>
    <t>dribbles/match/player</t>
  </si>
  <si>
    <t>assists/match/player</t>
  </si>
  <si>
    <t>key_passes/match/player</t>
  </si>
  <si>
    <t>final_third_passes/match/player</t>
  </si>
  <si>
    <t>short-medium_passes/match/player</t>
  </si>
  <si>
    <t>long_passes/match/player</t>
  </si>
  <si>
    <t>output_relevance</t>
  </si>
  <si>
    <t>overtime</t>
  </si>
  <si>
    <t>pollution_level</t>
  </si>
  <si>
    <t xml:space="preserve">heterogeneity </t>
  </si>
  <si>
    <t>Subsample analysis</t>
  </si>
  <si>
    <t>heterogeneity type</t>
  </si>
  <si>
    <t>effort_type</t>
  </si>
  <si>
    <t>outcome_relevance</t>
  </si>
  <si>
    <t>La mesure de l'output est-elle considérée comme pertinente ?</t>
  </si>
  <si>
    <t>firm, county, time, region</t>
  </si>
  <si>
    <t>firm, county, time, province</t>
  </si>
  <si>
    <t>firm, county, province</t>
  </si>
  <si>
    <t>firm, county, time, sector</t>
  </si>
  <si>
    <t>Table B1 : colonne 1</t>
  </si>
  <si>
    <t>Table B1 : colonne 2</t>
  </si>
  <si>
    <t>Table B1 : colonne 3</t>
  </si>
  <si>
    <t>Table B1 : colonne 4</t>
  </si>
  <si>
    <t>boundary_layer</t>
  </si>
  <si>
    <t>Table B2 : colonne 1</t>
  </si>
  <si>
    <t>Table B2 : colonne 2</t>
  </si>
  <si>
    <t>Table B2 : colonne 3</t>
  </si>
  <si>
    <t>Table B2 : colonne 4</t>
  </si>
  <si>
    <t>JiangEtAl2025_IV_RegionFE</t>
  </si>
  <si>
    <t>JiangEtAl2025_IV_ProvincialTrend</t>
  </si>
  <si>
    <t>JiangEtAl2025_IV_ProvincialTrendxYearFE</t>
  </si>
  <si>
    <t>JiangEtAl2025_IV_ThermalInversion_City</t>
  </si>
  <si>
    <t>JiangEtAl2025_IV_ThermalInversion_Province</t>
  </si>
  <si>
    <t>JiangEtAl2025_IV_Ventilation_City</t>
  </si>
  <si>
    <t>JiangEtAl2025_IV_LayerBoundary</t>
  </si>
  <si>
    <t>JiangEtAl2025_IV_SectorFE</t>
  </si>
  <si>
    <t>JiangEtAl2025_IV_w.FirmSize</t>
  </si>
  <si>
    <t>JiangEtAl2025_IV_w/Truncation</t>
  </si>
  <si>
    <t>JiangEtAl2025_IV_w/GeoMouv</t>
  </si>
  <si>
    <t>JiangEtAl2025_IV_w.CountyEconControls</t>
  </si>
  <si>
    <t>Table B3 : colonne 1</t>
  </si>
  <si>
    <t>Table B3 : colonne 2</t>
  </si>
  <si>
    <t>Table B3 : colonne 3</t>
  </si>
  <si>
    <t>Table B3 : colonne 4</t>
  </si>
  <si>
    <t>ventilation_coef</t>
  </si>
  <si>
    <t>empirical framework --&gt; productivity = output/worker; tableaux --&gt; productivity = VA/worker</t>
  </si>
  <si>
    <t>BathejaEtAl2025</t>
  </si>
  <si>
    <t>Batheja, Hirshleifer, Mullins</t>
  </si>
  <si>
    <t>More than particulates matter: Multiple pollutants and productivity in Indian call centers</t>
  </si>
  <si>
    <t>Journal of Environmental Economics and Management</t>
  </si>
  <si>
    <t>mg/m^3</t>
  </si>
  <si>
    <t xml:space="preserve">average_calls/hour/worker </t>
  </si>
  <si>
    <t>caller</t>
  </si>
  <si>
    <t>temp_precipitation_dew-point_cloud-cover</t>
  </si>
  <si>
    <t>Table 2 : colonne 5 - panel B</t>
  </si>
  <si>
    <t>Table 2 : colonne 6 - panel B</t>
  </si>
  <si>
    <t>BathejaEtAl2025_OLS_PM2.5_calls/shift</t>
  </si>
  <si>
    <t>BathejaEtAl2025_OLS_PM2.5_calls/hour</t>
  </si>
  <si>
    <t>BathejaEtAl2025_OLS_CO_calls/shift</t>
  </si>
  <si>
    <t>BathejaEtAl2025_OLS_CO_calls/hour</t>
  </si>
  <si>
    <t>BathejaEtAl2025_OLS_O3_calls/shift</t>
  </si>
  <si>
    <t>BathejaEtAl2025_OLS_PM2.5_calls/shift_W/other-poll</t>
  </si>
  <si>
    <t>BathejaEtAl2025_OLS_PM2.5_calls/hour_W/other-poll</t>
  </si>
  <si>
    <t>BathejaEtAl2025_OLS_O3_calls/hour</t>
  </si>
  <si>
    <t>BathejaEtAl2025_OLS_CO_calls/hourt_W/other-poll</t>
  </si>
  <si>
    <t>BathejaEtAl2025_OLS_O3_calls/shift_W/other-poll</t>
  </si>
  <si>
    <t>BathejaEtAl2025_OLS_O3_calls/hour_W/other-poll</t>
  </si>
  <si>
    <t>Table 3 : colonne 5 - panel A</t>
  </si>
  <si>
    <t>Table 3 : colonne 6 - panel A</t>
  </si>
  <si>
    <t>Table 3 : colonne 5 - panel B</t>
  </si>
  <si>
    <t>Table 3 : colonne 6 - panel B</t>
  </si>
  <si>
    <t>Table 3 : colonne 5 - panel C</t>
  </si>
  <si>
    <t>Table 3 : colonne 6 - panel C</t>
  </si>
  <si>
    <t>BathejaEtAl2025_OLS_PM2.5_IM-index</t>
  </si>
  <si>
    <t>BathejaEtAl2025_OLS_CO_IM-index</t>
  </si>
  <si>
    <t>BathejaEtAl2025_OLS_O3_IM-index</t>
  </si>
  <si>
    <t>index</t>
  </si>
  <si>
    <t>intensive_margin_index</t>
  </si>
  <si>
    <t>Table 2 : colonne 4 - panel B</t>
  </si>
  <si>
    <t>BathejaEtAl2025_OLS_CO_calls/shift_W/other-poll</t>
  </si>
  <si>
    <t>Table 3 : colonne 4 - panel A</t>
  </si>
  <si>
    <t>Table 3 : colonne 4 - panel B</t>
  </si>
  <si>
    <t>Table 3 : colonne 4 - panel C</t>
  </si>
  <si>
    <t>BathejaEtAl2025_IV_4WD&amp;Quarter_PM2.5_IM-index_W/other-poll</t>
  </si>
  <si>
    <t>BathejaEtAl2025_IV_4WD&amp;Quarter_CO_IM-index_W/other-poll</t>
  </si>
  <si>
    <t>BathejaEtAl2025_IV_4WD&amp;Quarter_O3_IM-index_W/other-poll</t>
  </si>
  <si>
    <t>BathejaEtAl2025_IV_8WD&amp;Quarter_PM2.5_IM-index</t>
  </si>
  <si>
    <t>BathejaEtAl2025_IV_8WD&amp;Quarter_CO_IM-index</t>
  </si>
  <si>
    <t>BathejaEtAl2025_IV_8WD&amp;Quarter_O3_IM-index</t>
  </si>
  <si>
    <t>BathejaEtAl2025_IV_4WD&amp;Month_PM2.5_IM-index</t>
  </si>
  <si>
    <t>BathejaEtAl2025_IV_4WD&amp;Month_CO_IM-index</t>
  </si>
  <si>
    <t>BathejaEtAl2025_IV_4WD&amp;Month_O3_IM-index</t>
  </si>
  <si>
    <t>BathejaEtAl2025_IV_HP-WD&amp;Month_PM2.5_IM-index</t>
  </si>
  <si>
    <t>BathejaEtAl2025_IV_HP-WD&amp;Month_CO_IM-index</t>
  </si>
  <si>
    <t>BathejaEtAl2025_IV_HP-WD&amp;Month_O3_IM-index</t>
  </si>
  <si>
    <t>BathejaEtAl2025_IV_8WD&amp;Month_PM2.5_IM-index</t>
  </si>
  <si>
    <t>BathejaEtAl2025_IV_8WD&amp;Month_CO_IM-index</t>
  </si>
  <si>
    <t>BathejaEtAl2025_IV_8WD&amp;Month_O3_IM-index</t>
  </si>
  <si>
    <t>4WD &amp; Quarter</t>
  </si>
  <si>
    <t>8WD &amp; Quarter</t>
  </si>
  <si>
    <t>4WD &amp; Month</t>
  </si>
  <si>
    <t>8WD &amp; Month</t>
  </si>
  <si>
    <t>HP WD &amp; Month</t>
  </si>
  <si>
    <t>Table 4 : colonne 2 - panel B</t>
  </si>
  <si>
    <t>Table 4 : colonne 3 - panel B</t>
  </si>
  <si>
    <t>Table 4 : colonne 4 - panel B</t>
  </si>
  <si>
    <t>Table 4 : colonne 5 - panel B</t>
  </si>
  <si>
    <t>Sarmiento2021</t>
  </si>
  <si>
    <t>Sarmiento</t>
  </si>
  <si>
    <t>Air pollution and the productivity of high-skill labor: evidence from court hearings</t>
  </si>
  <si>
    <t>Scandinavian Journal of Economics</t>
  </si>
  <si>
    <t>Mexico</t>
  </si>
  <si>
    <t>Sarmiento2021_IV_CO_w/FE</t>
  </si>
  <si>
    <t>Sarmiento2021_IV_NO2_w/FE</t>
  </si>
  <si>
    <t>Sarmiento2021_IV_O3_w/FE</t>
  </si>
  <si>
    <t>Sarmiento2021_IV_PM2.5_w/FE</t>
  </si>
  <si>
    <t>output</t>
  </si>
  <si>
    <t>law</t>
  </si>
  <si>
    <t>judges</t>
  </si>
  <si>
    <t>hearings-level</t>
  </si>
  <si>
    <t>wind speed</t>
  </si>
  <si>
    <t>worker, firm</t>
  </si>
  <si>
    <t>worker, firm, time</t>
  </si>
  <si>
    <t>worker, firm, time, firm x time</t>
  </si>
  <si>
    <t>Sarmiento2021_IV_CO_firm&amp;workerFE</t>
  </si>
  <si>
    <t>Sarmiento2021_IV_NO2_firm&amp;workerFE</t>
  </si>
  <si>
    <t>Sarmiento2021_IV_O3_firm&amp;workerFE</t>
  </si>
  <si>
    <t>Sarmiento2021_IV_PM2.5_firm&amp;workerFE</t>
  </si>
  <si>
    <t>Sarmiento2021_IV_CO_timeFE_spe1</t>
  </si>
  <si>
    <t>Sarmiento2021_IV_NO2_timeFE_spe1</t>
  </si>
  <si>
    <t>Sarmiento2021_IV_O3_timeFE_spe1</t>
  </si>
  <si>
    <t>Sarmiento2021_IV_PM2.5_timeFE_spe1</t>
  </si>
  <si>
    <t>Sarmiento2021_IV_CO_timeFE_spe2</t>
  </si>
  <si>
    <t>Sarmiento2021_IV_NO2_timeFE_spe2</t>
  </si>
  <si>
    <t>Sarmiento2021_IV_O3_timeFE_spe2</t>
  </si>
  <si>
    <t>Sarmiento2021_IV_PM2.5_timeFE_spe2</t>
  </si>
  <si>
    <t>Sarmiento2021_IV_CO_timexfirmFE</t>
  </si>
  <si>
    <t>Sarmiento2021_IV_NO2_timexfirmFE</t>
  </si>
  <si>
    <t>Sarmiento2021_IV_O3_timexfirmFE</t>
  </si>
  <si>
    <t>Sarmiento2021_IV_PM2.5_timexfirmFE</t>
  </si>
  <si>
    <t>wind direction</t>
  </si>
  <si>
    <t>Sarmiento2021_IV_CO_windspeed</t>
  </si>
  <si>
    <t>Sarmiento2021_IV_NO2_windspeed</t>
  </si>
  <si>
    <t>Sarmiento2021_IV_O3_windspeed</t>
  </si>
  <si>
    <t>Sarmiento2021_IV_PM2.5_windspeed</t>
  </si>
  <si>
    <t>Sarmiento2021_IV_CO_assaults</t>
  </si>
  <si>
    <t>Sarmiento2021_IV_NO2_assaults</t>
  </si>
  <si>
    <t>Sarmiento2021_IV_O3_assaults</t>
  </si>
  <si>
    <t>Sarmiento2021_IV_PM2.5_assaults</t>
  </si>
  <si>
    <t>Sarmiento2021_IV_CO_robbery</t>
  </si>
  <si>
    <t>Sarmiento2021_IV_PM2.5_robbery</t>
  </si>
  <si>
    <t>Sarmiento2021_IV_CO_other</t>
  </si>
  <si>
    <t>Sarmiento2021_IV_NO2_other</t>
  </si>
  <si>
    <t>Sarmiento2021_IV_O3_other</t>
  </si>
  <si>
    <t>Sarmiento2021_IV_PM2.5_other</t>
  </si>
  <si>
    <t>Sarmiento2021_IV_O3_robbery</t>
  </si>
  <si>
    <t>Sarmiento2021_IV_NO2_robbery</t>
  </si>
  <si>
    <t>crime</t>
  </si>
  <si>
    <t>scheduled</t>
  </si>
  <si>
    <t>Sarmiento2021_IV_CO_timeFE_spe1_planned</t>
  </si>
  <si>
    <t>Sarmiento2021_IV_NO2_timeFE_spe1_planned</t>
  </si>
  <si>
    <t>Sarmiento2021_IV_O3_timeFE_spe1_planned</t>
  </si>
  <si>
    <t>Sarmiento2021_IV_PM2.5_timeFE_spe1_planned</t>
  </si>
  <si>
    <t>Sarmiento2021_IV_CO_timeFE_spe2_planned</t>
  </si>
  <si>
    <t>Sarmiento2021_IV_NO2_timeFE_spe2_planned</t>
  </si>
  <si>
    <t>Sarmiento2021_IV_O3_timeFE_spe2_planned</t>
  </si>
  <si>
    <t>Sarmiento2021_IV_PM2.5_timeFE_spe2_planned</t>
  </si>
  <si>
    <t>Sarmiento2021_IV_CO_timexfirmFE_planned</t>
  </si>
  <si>
    <t>Sarmiento2021_IV_NO2_timexfirmFE_planned</t>
  </si>
  <si>
    <t>Sarmiento2021_IV_O3_timexfirmFE_planned</t>
  </si>
  <si>
    <t>Sarmiento2021_IV_PM2.5_timexfirmFE_planned</t>
  </si>
  <si>
    <t>Sarmiento2021_IV_NO2_controlO3PM2.5</t>
  </si>
  <si>
    <t>Sarmiento2021_IV_O3_controlNO2PM2.5</t>
  </si>
  <si>
    <t>Sarmiento2021_IV_PM2.5_controlO3NO2</t>
  </si>
  <si>
    <t>O3_PM2.5</t>
  </si>
  <si>
    <t>NO2_PM2.5</t>
  </si>
  <si>
    <t>O3_NO2</t>
  </si>
  <si>
    <t>Sarmiento2021_IV_CO_controlO3NO2</t>
  </si>
  <si>
    <t>Sarmiento2021_IV_NO2_controlO3CO</t>
  </si>
  <si>
    <t>Sarmiento2021_IV_O3_controlCONO2</t>
  </si>
  <si>
    <t>Sarmiento2021_IV_CO_controlO3PM2.5</t>
  </si>
  <si>
    <t>Sarmiento2021_IV_O3_controlCOPM2.5</t>
  </si>
  <si>
    <t>Sarmiento2021_IV_PM2.5_controlO3CO</t>
  </si>
  <si>
    <t>Sarmiento2021_IV_CO_controlNO2PM2.5</t>
  </si>
  <si>
    <t>Sarmiento2021_IV_NO2_controlCOPM2.5</t>
  </si>
  <si>
    <t>Sarmiento2021_IV_PM2.5_controlCONO2</t>
  </si>
  <si>
    <t>CO_NO2</t>
  </si>
  <si>
    <t>CO_PM2.5</t>
  </si>
  <si>
    <t>O3_CO</t>
  </si>
  <si>
    <t>Sarmiento2021_IV_CO_daily</t>
  </si>
  <si>
    <t>Sarmiento2021_IV_NO2_daily</t>
  </si>
  <si>
    <t>Sarmiento2021_IV_O3_daily</t>
  </si>
  <si>
    <t>Sarmiento2021_IV_PM2.5_daily</t>
  </si>
  <si>
    <t>length_judicial_hearings/hearings (minutes)</t>
  </si>
  <si>
    <t>length_judicial_hearings/day/courthouse (minutes)</t>
  </si>
  <si>
    <t>Table 11 : colonne 1</t>
  </si>
  <si>
    <t>Table 11 : colonne 2</t>
  </si>
  <si>
    <t>Table 11 : colonne 3</t>
  </si>
  <si>
    <t>Table 11 : colonne 4</t>
  </si>
  <si>
    <t>length_judicial_hearings/hearings/city (minutes)</t>
  </si>
  <si>
    <t>Sarmiento2021_IV_NO2_city</t>
  </si>
  <si>
    <t>Sarmiento2021_IV_CO_city</t>
  </si>
  <si>
    <t>Sarmiento2021_IV_O3_city</t>
  </si>
  <si>
    <t>Sarmiento2021_IV_PM2.5_city</t>
  </si>
  <si>
    <t>Sarmiento2021_IV_CO_morning</t>
  </si>
  <si>
    <t>Sarmiento2021_IV_NO2_morning</t>
  </si>
  <si>
    <t>Sarmiento2021_IV_O3_morning</t>
  </si>
  <si>
    <t>Sarmiento2021_IV_PM2.5_morning</t>
  </si>
  <si>
    <t>Sarmiento2021_IV_CO_afternoon</t>
  </si>
  <si>
    <t>Sarmiento2021_IV_NO2_afternoon</t>
  </si>
  <si>
    <t>Sarmiento2021_IV_O3afternoon</t>
  </si>
  <si>
    <t>Sarmiento2021_IV_PM2.5_afternoon</t>
  </si>
  <si>
    <t>Table 12 : colonne 1</t>
  </si>
  <si>
    <t>Table 12 : colonne 2</t>
  </si>
  <si>
    <t>Table 12 : colonne 3</t>
  </si>
  <si>
    <t>Table 12 : colonne 4</t>
  </si>
  <si>
    <t>Table 14 : colonne 1</t>
  </si>
  <si>
    <t>Table 14 : colonne 2</t>
  </si>
  <si>
    <t>Table 14 : colonne 3</t>
  </si>
  <si>
    <t>Table 14 : colonne 4</t>
  </si>
  <si>
    <t xml:space="preserve">player_efficiency_rating </t>
  </si>
  <si>
    <t>NiEtAl2023</t>
  </si>
  <si>
    <t>Ni, Hu, Ju, Wang</t>
  </si>
  <si>
    <t>Air pollution and indoor work efficiency: Evidence from professional basketball players in China</t>
  </si>
  <si>
    <t>Journal of Cleaner Production</t>
  </si>
  <si>
    <t>WOS</t>
  </si>
  <si>
    <t>basketball</t>
  </si>
  <si>
    <t>player</t>
  </si>
  <si>
    <t>team, season</t>
  </si>
  <si>
    <t>NiEtAl2023_OLS_Team&amp;SeasonFE</t>
  </si>
  <si>
    <t>level-log</t>
  </si>
  <si>
    <t>NiEtAl2023_OLS_Team*SeasonFE</t>
  </si>
  <si>
    <t>team, season, team x season</t>
  </si>
  <si>
    <t>temp_windspeed_rain_snow</t>
  </si>
  <si>
    <t>NiEtAl2023_OLS_PlayerFE</t>
  </si>
  <si>
    <t>NiEtAl2023_OLS_Weather</t>
  </si>
  <si>
    <t>NiEtAl2023_OLS_Player_Team*SeasonFE</t>
  </si>
  <si>
    <t>NiEtAl2023_OLS_Weather_Team*SeasonFE</t>
  </si>
  <si>
    <t>NiEtAl2023_OLS_PM2.5</t>
  </si>
  <si>
    <t>NiEtAl2023_OLS_PM10</t>
  </si>
  <si>
    <t>NiEtAl2023_OLS_SO2</t>
  </si>
  <si>
    <t>NiEtAl2023_OLS_CO</t>
  </si>
  <si>
    <t>NiEtAl2023_OLS_NO2</t>
  </si>
  <si>
    <t>NiEtAl2023_OLS_O3</t>
  </si>
  <si>
    <t>NiEtAl2023_IV_Team&amp;SeasonFE</t>
  </si>
  <si>
    <t>NiEtAl2023_IV_Team*SeasonFE</t>
  </si>
  <si>
    <t>NiEtAl2023_IV_PlayerFE</t>
  </si>
  <si>
    <t>NiEtAl2023_IV_Player_Team*SeasonFE</t>
  </si>
  <si>
    <t>NiEtAl2023_IV_Weather</t>
  </si>
  <si>
    <t>NiEtAl2023_IV_Weather_Team*SeasonFE</t>
  </si>
  <si>
    <t>NiEtAl2023_IV_PM2.5</t>
  </si>
  <si>
    <t>NiEtAl2023_IV_PM10</t>
  </si>
  <si>
    <t>NiEtAl2023_IV_SO2</t>
  </si>
  <si>
    <t>NiEtAl2023_IV_CO</t>
  </si>
  <si>
    <t>NiEtAl2023_IV_NO2</t>
  </si>
  <si>
    <t>NiEtAl2023_IV_O3</t>
  </si>
  <si>
    <t>Table 5 : colonne 5</t>
  </si>
  <si>
    <t>Table 5 : colonne 6</t>
  </si>
  <si>
    <t>NiEtAl2023_IV_Weather_Home</t>
  </si>
  <si>
    <t>NiEtAl2023_IV_Weather_Team*SeasonFE_Home</t>
  </si>
  <si>
    <t>NiEtAl2023_IV_Weather_Away</t>
  </si>
  <si>
    <t>NiEtAl2023_IV_Weather_Team*SeasonFE_Away</t>
  </si>
  <si>
    <t>thermal_inversion (g2)</t>
  </si>
  <si>
    <t>NiEtAl2023_IV_Weather_+10°C</t>
  </si>
  <si>
    <t>NiEtAl2023_IV_Weather_Team*SeasonFE_+10°C</t>
  </si>
  <si>
    <t>NiEtAl2023_IV_Weather_-10°C</t>
  </si>
  <si>
    <t>NiEtAl2023_IV_Weather_Team*SeasonFE_-10°C</t>
  </si>
  <si>
    <t>NiEtAl2023_IV_Weather_Age&gt;26</t>
  </si>
  <si>
    <t>NiEtAl2023_IV_Weather_Age&lt;26</t>
  </si>
  <si>
    <t>NiEtAl2023_IV_Weather_Team*SeasonFE_Age&lt;26</t>
  </si>
  <si>
    <t>NiEtAl2023_IV_Weather_Foreign</t>
  </si>
  <si>
    <t>NiEtAl2023_IV_Weather_Domestic</t>
  </si>
  <si>
    <t>NiEtAl2023_IV_Weather_Team*SeasonFE_Foreign</t>
  </si>
  <si>
    <t>NiEtAl2023_IV_Weather_Team*SeasonFE_Domestic</t>
  </si>
  <si>
    <t>Table A2 : colonne 1</t>
  </si>
  <si>
    <t>Table A2 : colonne 2</t>
  </si>
  <si>
    <t>Table A2 : colonne 3</t>
  </si>
  <si>
    <t>Table A2 : colonne 4</t>
  </si>
  <si>
    <t>Table A2 : colonne 5</t>
  </si>
  <si>
    <t>Table A2 : colonne 6</t>
  </si>
  <si>
    <t>NiEtAl2023_IV_Team&amp;SeasonFE_rob</t>
  </si>
  <si>
    <t>NiEtAl2023_IV_Team*SeasonFE_rob</t>
  </si>
  <si>
    <t>NiEtAl2023_IV_PlayerFE_rob</t>
  </si>
  <si>
    <t>NiEtAl2023_IV_Player_Team*SeasonFE_rob</t>
  </si>
  <si>
    <t>NiEtAl2023_IV_Weather_rob</t>
  </si>
  <si>
    <t>NiEtAl2023_IV_Weather_Team*SeasonFE_rob</t>
  </si>
  <si>
    <t>thermal_inversion (g3)</t>
  </si>
  <si>
    <t>NiEtAl2023_IV_Weather_MinTemp</t>
  </si>
  <si>
    <t>NiEtAl2023_IV_Weather_Team*SeasonFE_MinTemp</t>
  </si>
  <si>
    <t>NiEtAl2023_IV_Weather_AvTemp</t>
  </si>
  <si>
    <t>NiEtAl2023_IV_Weather_Team*SeasonFE_AvTemp</t>
  </si>
  <si>
    <t>Table A4 : colonne 1</t>
  </si>
  <si>
    <t>Table A4 : colonne 2</t>
  </si>
  <si>
    <t>Table A4 : colonne 3</t>
  </si>
  <si>
    <t>Table A4 : colonne 4</t>
  </si>
  <si>
    <t>NiEtAl2023_IV_Weather_Team*SeasonFE_Age&gt;26</t>
  </si>
  <si>
    <t>NiEtAl2023_IV_Weather_Age&gt;23</t>
  </si>
  <si>
    <t>NiEtAl2023_IV_Weather_Age&lt;23</t>
  </si>
  <si>
    <t>NiEtAl2023_IV_Weather_Team*SeasonFE_Age&gt;23</t>
  </si>
  <si>
    <t>NiEtAl2023_IV_Weather_Team*SeasonFE_Age&lt;23</t>
  </si>
  <si>
    <t>NiEtAl2023_IV_Weather_Age&gt;29</t>
  </si>
  <si>
    <t>NiEtAl2023_IV_Weather_Age&lt;29</t>
  </si>
  <si>
    <t>NiEtAl2023_IV_Weather_Team*SeasonFE_Age&gt;29</t>
  </si>
  <si>
    <t>NiEtAl2023_IV_Weather_Team*SeasonFE_Age&lt;29</t>
  </si>
  <si>
    <t>NiEtAl2023_IV_PlayerFE_Team*SeasonFE</t>
  </si>
  <si>
    <t>NiEtAl2023_IV_PlayerFE_Weather</t>
  </si>
  <si>
    <t>NiEtAl2023_IV_PlayerFE_Weather_Team*SeasonFE</t>
  </si>
  <si>
    <t>season, team x season, worker</t>
  </si>
  <si>
    <t>Table A5 : colonne 2</t>
  </si>
  <si>
    <t>Table A5 : colonne 4</t>
  </si>
  <si>
    <t>Table A5 : colonne 3</t>
  </si>
  <si>
    <t>Table A6 : colonne 1</t>
  </si>
  <si>
    <t>Table A6 : colonne 2</t>
  </si>
  <si>
    <t>Table A6 : colonne 3</t>
  </si>
  <si>
    <t>Table A3 : colonne 2</t>
  </si>
  <si>
    <t>case_type</t>
  </si>
  <si>
    <t>temp_precipitation_wind-speed_air-pressure_humidity_suntime</t>
  </si>
  <si>
    <t>time, worker, localisation</t>
  </si>
  <si>
    <t>case-level</t>
  </si>
  <si>
    <t>decision_time/case/worker (days)</t>
  </si>
  <si>
    <t>Environmental Research Letters</t>
  </si>
  <si>
    <t>Air pollution lowers high skill public sector worker productivity in China</t>
  </si>
  <si>
    <t>Kahn, Li</t>
  </si>
  <si>
    <t>KahnLi2020_Criminal</t>
  </si>
  <si>
    <t>KahnLi2020</t>
  </si>
  <si>
    <t>Table A3 : colonne 1</t>
  </si>
  <si>
    <t>KahnLi2020_Civil</t>
  </si>
  <si>
    <t>KahnLi2020_WithoutGuidelines</t>
  </si>
  <si>
    <t>KahnLi2020_WithGuidelines</t>
  </si>
  <si>
    <t>KahnLi2020_SlowTrack</t>
  </si>
  <si>
    <t>KahnLi2020_FastTrack</t>
  </si>
  <si>
    <t>KahnLi2020_Hard</t>
  </si>
  <si>
    <t>KahnLi2020_Simple</t>
  </si>
  <si>
    <t>KahnLi2020_OldJudge</t>
  </si>
  <si>
    <t>KahnLi2020_YoungJudge</t>
  </si>
  <si>
    <t>Table 3 : colonne 8</t>
  </si>
  <si>
    <t>KahnLi2020_Heat</t>
  </si>
  <si>
    <t>KahnLi2020_Forecast_Max</t>
  </si>
  <si>
    <t>KahnLi2020_SmogAlert</t>
  </si>
  <si>
    <t>KahnLi2020_2014&gt;</t>
  </si>
  <si>
    <t>KahnLi2020_2014&lt;</t>
  </si>
  <si>
    <t>KahnLi2020_BaiduMaxIndex</t>
  </si>
  <si>
    <t>KahnLi2020_Controls</t>
  </si>
  <si>
    <t>KahnLi2020_FE</t>
  </si>
  <si>
    <t>Newey-West se</t>
  </si>
  <si>
    <t>temp_precipitation_dew-point_cloud-cover_wind-speed_air-pressure</t>
  </si>
  <si>
    <t>time serie</t>
  </si>
  <si>
    <t>trader</t>
  </si>
  <si>
    <t>finance</t>
  </si>
  <si>
    <t>macro</t>
  </si>
  <si>
    <t>VIX_price</t>
  </si>
  <si>
    <t>NBER</t>
  </si>
  <si>
    <t>The effect of air pollution on investor behavior: evidence from the S&amp;P 500</t>
  </si>
  <si>
    <t>Heyes, Neidell, Saberian</t>
  </si>
  <si>
    <t>HeyesEtAl2016_VIX_2-DayLead_2</t>
  </si>
  <si>
    <t>HeyesEtAl2016</t>
  </si>
  <si>
    <t>HeyesEtAl2016_VIX_2-DayLead_1</t>
  </si>
  <si>
    <t>HeyesEtAl2016_VIX_2-DayLead_0</t>
  </si>
  <si>
    <t>HeyesEtAl2016_VIX_1-DayLead_1</t>
  </si>
  <si>
    <t>HeyesEtAl2016_VIX_1-DayLead_0</t>
  </si>
  <si>
    <t>HeyesEtAl2016_VIX_2-DayLag_2</t>
  </si>
  <si>
    <t>HeyesEtAl2016_VIX_2-DayLag_1</t>
  </si>
  <si>
    <t>HeyesEtAl2016_VIX_2-DayLag_0</t>
  </si>
  <si>
    <t>HeyesEtAl2016_VIX_1-DayLag_1</t>
  </si>
  <si>
    <t>HeyesEtAl2016_VIX_1-DayLag_0</t>
  </si>
  <si>
    <t>HeyesEtAl2016_VIX_Daily</t>
  </si>
  <si>
    <t>daily_percentage_return_S&amp;P500</t>
  </si>
  <si>
    <t>HeyesEtAl2016_Traffic</t>
  </si>
  <si>
    <t>HeyesEtAl2016_W/OtherPollControl</t>
  </si>
  <si>
    <t>weather</t>
  </si>
  <si>
    <t>temp_dew-point_cloud-cover_wind-speed_air-pressure</t>
  </si>
  <si>
    <t>HeyesEtAl2016_W/Precipitation</t>
  </si>
  <si>
    <t>HeyesEtAl2016_w/WeatherControl</t>
  </si>
  <si>
    <t>HeyesEtAl2016_Return_2-DayLead_2</t>
  </si>
  <si>
    <t>HeyesEtAl2016_Return_2-DayLead_1</t>
  </si>
  <si>
    <t>HeyesEtAl2016_Return_2-DayLead_0</t>
  </si>
  <si>
    <t>HeyesEtAl2016_Return_1-DayLead_1</t>
  </si>
  <si>
    <t>HeyesEtAl2016_Return_1-DayLead_0</t>
  </si>
  <si>
    <t>HeyesEtAl2016_Return_2-DayLag_2</t>
  </si>
  <si>
    <t>HeyesEtAl2016_Return_2-DayLag_1</t>
  </si>
  <si>
    <t>HeyesEtAl2016_Return_2-DayLag_0</t>
  </si>
  <si>
    <t>HeyesEtAl2016_Return_1-DayLag_1</t>
  </si>
  <si>
    <t>HeyesEtAl2016_Return_1-DayLag_0</t>
  </si>
  <si>
    <t>HeyesEtAl2016_Return_Daily</t>
  </si>
  <si>
    <t>µg/m^3</t>
  </si>
  <si>
    <t>test_calcul_elasticity</t>
  </si>
  <si>
    <t>verif_elasticity</t>
  </si>
  <si>
    <t>test_calcul_se</t>
  </si>
  <si>
    <t>verif_se</t>
  </si>
  <si>
    <t>poll_mean_elasticity</t>
  </si>
  <si>
    <t>Zivin2012_OLS_w/Monday_lag1_contemp</t>
  </si>
  <si>
    <t>Zivin2012_OLS_w/Monday_lag1_j1</t>
  </si>
  <si>
    <t>Zivin2012_OLS_w/Monday_lag1_cumul</t>
  </si>
  <si>
    <t>Zivin2012_OLS_w/monday&amp;Tuesday_lag1&amp;2_contemp</t>
  </si>
  <si>
    <t>Zivin2012_OLS_w/monday&amp;Tuesday_lag1&amp;2_j1</t>
  </si>
  <si>
    <t>Zivin2012_OLS_w/monday&amp;Tuesday_lag1&amp;2_j2</t>
  </si>
  <si>
    <t>Zivin2012_OLS_w/monday&amp;Tuesday_lag1&amp;2_cumul</t>
  </si>
  <si>
    <t>BathejaEtAl2025_OLS_log_PM2.5</t>
  </si>
  <si>
    <t>BathejaEtAl2025_OLS_log_CO</t>
  </si>
  <si>
    <t>BathejaEtAl2025_OLS_log_O3</t>
  </si>
  <si>
    <t>Table 2 : colonne 3 - panel B</t>
  </si>
  <si>
    <t>Table 3 : colonne 3 - panel B</t>
  </si>
  <si>
    <t>Table 3 : colonne 3 - panel A</t>
  </si>
  <si>
    <t>Table 3 : colonne 3 - panel C</t>
  </si>
  <si>
    <t>ZhouLi2021</t>
  </si>
  <si>
    <t>ZhouLi2021_FullSample</t>
  </si>
  <si>
    <t>ZhouLi2021_LowIncome</t>
  </si>
  <si>
    <t>ZhouLi2021_HighIncome</t>
  </si>
  <si>
    <t>Zhou, Li</t>
  </si>
  <si>
    <t>Air pollution and income distribution: evidence from Chinese provincial panel data</t>
  </si>
  <si>
    <t>Environmental Science and Pollution Research</t>
  </si>
  <si>
    <t>emission_of_industrial_waste_gases</t>
  </si>
  <si>
    <t>regional_GDP/labour_force (ln)</t>
  </si>
  <si>
    <t>region</t>
  </si>
  <si>
    <t>R&amp;D</t>
  </si>
  <si>
    <t>inventors</t>
  </si>
  <si>
    <t>industry, time</t>
  </si>
  <si>
    <t>3SLS</t>
  </si>
  <si>
    <t>income</t>
  </si>
  <si>
    <t xml:space="preserve">Table 4 : colonne 1 </t>
  </si>
  <si>
    <t>Bai, Qui, Xiao</t>
  </si>
  <si>
    <t>Does Pollution Affect Exports? - Evidence from China</t>
  </si>
  <si>
    <t>Journal of Comparative Economics</t>
  </si>
  <si>
    <t>BaiEtAl2026</t>
  </si>
  <si>
    <t>BaiEtAl2026_LP</t>
  </si>
  <si>
    <t>VA/worker</t>
  </si>
  <si>
    <t>firm, time</t>
  </si>
  <si>
    <t>Does air pollution decrease labor share? Evidence from China</t>
  </si>
  <si>
    <t>ZhouZhang2023</t>
  </si>
  <si>
    <t>ZhouZhang2023_LP</t>
  </si>
  <si>
    <t>Zhou, Zhang</t>
  </si>
  <si>
    <t>Global Environmental Change</t>
  </si>
  <si>
    <t>temp_precipitation_humidity_wind-speed_suntime</t>
  </si>
  <si>
    <t>temp_precipitation_humidity_wind-speed_suntime_pressure</t>
  </si>
  <si>
    <t>HeEtAl2026</t>
  </si>
  <si>
    <t>HeEtAl2026_OLS</t>
  </si>
  <si>
    <t>HeEtAl2026_IV</t>
  </si>
  <si>
    <t>HeEtAl2026_IV_Small(output)</t>
  </si>
  <si>
    <t>HeEtAl2026_IV_Large(output)</t>
  </si>
  <si>
    <t>HeEtAl2026_IV_Small(VA)</t>
  </si>
  <si>
    <t>HeEtAl2026_IV_Large(VA)</t>
  </si>
  <si>
    <t>He, Sheng, Zhang</t>
  </si>
  <si>
    <t>Air pollution as comparative disadvantage</t>
  </si>
  <si>
    <t>Journal of Public Economics</t>
  </si>
  <si>
    <t>county</t>
  </si>
  <si>
    <t>firm_size</t>
  </si>
  <si>
    <t>firm x product, time</t>
  </si>
  <si>
    <t>ln(VA/worker)</t>
  </si>
  <si>
    <t>ChenEtAl2025</t>
  </si>
  <si>
    <t>ChenEtAl2025_LP</t>
  </si>
  <si>
    <t>Chen, Wang, Zhang</t>
  </si>
  <si>
    <t>Air pollution, labor productivity, and individual consumption</t>
  </si>
  <si>
    <t>Journal of Population Economics</t>
  </si>
  <si>
    <t>city</t>
  </si>
  <si>
    <t>ZhangEtAl2025</t>
  </si>
  <si>
    <t>Zhang, Liang, Liang</t>
  </si>
  <si>
    <t>Air pollution and labour productivity: firm-level spatial evidence from China</t>
  </si>
  <si>
    <t>Environmental Research Communications</t>
  </si>
  <si>
    <t>industry</t>
  </si>
  <si>
    <t>ZhangEtAl2025_W/Controls</t>
  </si>
  <si>
    <t>ZhangEtAl2025_W.Controls</t>
  </si>
  <si>
    <t>ln(operating_revenue/worker)</t>
  </si>
  <si>
    <t>?</t>
  </si>
  <si>
    <t>ZhangEtAl2025_W/Controls_Direct</t>
  </si>
  <si>
    <t>ZhangEtAl2025_W/Controls_Indirect</t>
  </si>
  <si>
    <t>ZhangEtAl2025_W/Controls_Total</t>
  </si>
  <si>
    <t>ZhangEtAl2025_W.Controls_Direct</t>
  </si>
  <si>
    <t>ZhangEtAl2025_W.Controls_Indirect</t>
  </si>
  <si>
    <t>ZhangEtAl2025_W.Controls_Total</t>
  </si>
  <si>
    <t>Durbin_model</t>
  </si>
  <si>
    <t>spillover from nearby firms</t>
  </si>
  <si>
    <t>ZhangEtAl2025_W/Controls_Direct_SOE</t>
  </si>
  <si>
    <t>ZhangEtAl2025_W/Controls_Direct_NOSE</t>
  </si>
  <si>
    <t>ZhangEtAl2025_W/Controls_Indirect_SOE</t>
  </si>
  <si>
    <t>ZhangEtAl2025_W/Controls_Indirect_NOSEU</t>
  </si>
  <si>
    <t>ZhangEtAl2025_W/Controls_Total_SOE</t>
  </si>
  <si>
    <t>ZhangEtAl2025_W/Controls_Total_NSOE</t>
  </si>
  <si>
    <t>ZhangEtAl2025_W.Controls_Direct_NOSE</t>
  </si>
  <si>
    <t>ZhangEtAl2025_W.Controls_Indirect_SOE</t>
  </si>
  <si>
    <t>ZhangEtAl2025_W.Controls_Indirect_NOSEU</t>
  </si>
  <si>
    <t>ZhangEtAl2025_W.Controls_Total_SOE</t>
  </si>
  <si>
    <t>ZhangEtAl2025_W.Controls_Total_NSOE</t>
  </si>
  <si>
    <t>ZhangEtAl2025_W.Controls_Direct_SOE</t>
  </si>
  <si>
    <t>Table 9 : colonne 1</t>
  </si>
  <si>
    <t>Table 9 : colonne 2</t>
  </si>
  <si>
    <t>ZhangEtAl2025_W.Controls_Direct_HLI</t>
  </si>
  <si>
    <t>ZhangEtAl2025_W.Controls_Direct_LLI</t>
  </si>
  <si>
    <t>ZhangEtAl2025_W.Controls_Indirect_HLI</t>
  </si>
  <si>
    <t>ZhangEtAl2025_W.Controls_Indirect_LLI</t>
  </si>
  <si>
    <t>ZhangEtAl2025_W.Controls_Total_HLI</t>
  </si>
  <si>
    <t>ZhangEtAl2025_W.Controls_Total_LLI</t>
  </si>
  <si>
    <t>ZhangEtAl2025_W/Controls_Direct_HLI</t>
  </si>
  <si>
    <t>ZhangEtAl2025_W/Controls_Direct_LLI</t>
  </si>
  <si>
    <t>ZhangEtAl2025_W/Controls_Indirect_HLI</t>
  </si>
  <si>
    <t>ZhangEtAl2025_W/Controls_Indirect_LLI</t>
  </si>
  <si>
    <t>ZhangEtAl2025_W/Controls_Total_HLI</t>
  </si>
  <si>
    <t>ZhangEtAl2025_W/Controls_Total_LLI</t>
  </si>
  <si>
    <t>labor_intensity</t>
  </si>
  <si>
    <t>Table 9 : colonne 3</t>
  </si>
  <si>
    <t>Table 9 : colonne 4</t>
  </si>
  <si>
    <t>The Labor Productivity Consequences of Exposure to Particulate Matters: Evidence from a Chinese National Panel Survey</t>
  </si>
  <si>
    <t>International Journal of Environmental Research and Public Health</t>
  </si>
  <si>
    <t>av_hourly_wage (yuan 1999)</t>
  </si>
  <si>
    <t>blue-collar</t>
  </si>
  <si>
    <t>snow_precipitation_humidity_wind-speed_suntime_pressure</t>
  </si>
  <si>
    <t>county, year</t>
  </si>
  <si>
    <t>sexe</t>
  </si>
  <si>
    <t>residence</t>
  </si>
  <si>
    <t>skill</t>
  </si>
  <si>
    <t>delivery_volume/day/worker</t>
  </si>
  <si>
    <t>WangEtAl2022</t>
  </si>
  <si>
    <t>Wang, Lin, Qiu</t>
  </si>
  <si>
    <t>Productivity loss amid invisible pollution</t>
  </si>
  <si>
    <t>temp_radiation_wind-speed_humidity_pressure</t>
  </si>
  <si>
    <t>delivery service</t>
  </si>
  <si>
    <t xml:space="preserve">courier </t>
  </si>
  <si>
    <t>worker, date</t>
  </si>
  <si>
    <t>10 µg/m^3</t>
  </si>
  <si>
    <t>WangEtAl2022_OLS_workerFE_log</t>
  </si>
  <si>
    <t>WangEtAl2022_OLS_time&amp;workerFE_log</t>
  </si>
  <si>
    <t>WangEtAl2022_OLS_2weekFE_log</t>
  </si>
  <si>
    <t>WangEtAl2022_OLS_IndivControls_log</t>
  </si>
  <si>
    <t>WangEtAl2022_OLS_workerFE_level</t>
  </si>
  <si>
    <t>WangEtAl2022_OLS_time&amp;subsidiaryFE_level</t>
  </si>
  <si>
    <t>WangEtAl2022_OLS_time&amp;workerFE_level</t>
  </si>
  <si>
    <t>WangEtAl2022_OLS_2weekFE_level</t>
  </si>
  <si>
    <t>WangEtAl2022_OLS_IndivControls_level</t>
  </si>
  <si>
    <t>WangEtAl2022_IV_workerFE_log</t>
  </si>
  <si>
    <t>WangEtAl2022_IV_time&amp;workerFE_log</t>
  </si>
  <si>
    <t>WangEtAl2022_IV_2weekFE_log</t>
  </si>
  <si>
    <t>WangEtAl2022_IV_IndivControls_log</t>
  </si>
  <si>
    <t>WangEtAl2022_OLS_ControlPM2.5</t>
  </si>
  <si>
    <t>WangEtAl2022_OLS_ControlPM10</t>
  </si>
  <si>
    <t>WangEtAl2022_OLS_PM2.5_ControlOzone</t>
  </si>
  <si>
    <t>WangEtAl2022_OLS_PM10_ControlOzone</t>
  </si>
  <si>
    <t>WangEtAl2022_OLS_PM2.5</t>
  </si>
  <si>
    <t>WangEtAl2022_IV_ControlPM2.5</t>
  </si>
  <si>
    <t>WangEtAl2022_IV_ControlPM10</t>
  </si>
  <si>
    <t>WangEtAl2022_IV_PM2.5_ControlOzone</t>
  </si>
  <si>
    <t>WangEtAl2022_IV_PM10_ControlOzone</t>
  </si>
  <si>
    <t>WangEtAl2022_IV_PM2.5</t>
  </si>
  <si>
    <t>subsidiary, time</t>
  </si>
  <si>
    <t>WangEtAl2022_OLS_30&gt;</t>
  </si>
  <si>
    <t>WangEtAl2022_OLS_30&lt;</t>
  </si>
  <si>
    <t>WangEtAl2022_OLS_educ&gt;</t>
  </si>
  <si>
    <t>WangEtAl2022_OLS_educ&lt;</t>
  </si>
  <si>
    <t>WangEtAl2022_OLS_career&gt;</t>
  </si>
  <si>
    <t>WangEtAl2022_OLS_career&lt;</t>
  </si>
  <si>
    <t>WangEtAl2022_OLS_Guangdong</t>
  </si>
  <si>
    <t>WangEtAl2022_OLS_/Guangdong</t>
  </si>
  <si>
    <t>WangEtAl2022_OLS_hometown</t>
  </si>
  <si>
    <t>WangEtAl2022_OLS_/hometown</t>
  </si>
  <si>
    <t>career</t>
  </si>
  <si>
    <t>WangEtAl2022_OLS_NorthWind</t>
  </si>
  <si>
    <t>WangEtAl2022_OLS_SouthWind</t>
  </si>
  <si>
    <t>WangEtAl2022_OLS_RobustIV</t>
  </si>
  <si>
    <t>Table B7 : colonne 2</t>
  </si>
  <si>
    <t>Table B7 : colonne 3</t>
  </si>
  <si>
    <t>WangEtAl2022_OLS_RobustIV_90</t>
  </si>
  <si>
    <t>WangEtAl2022_OLS_RobustIV_60</t>
  </si>
  <si>
    <t>WangEtAl2022_OLS_RobustIV_45</t>
  </si>
  <si>
    <t>Table C2 : colonne 1</t>
  </si>
  <si>
    <t>Table C2 : colonne 9</t>
  </si>
  <si>
    <t>Table C2 : colonne 2</t>
  </si>
  <si>
    <t>Table C2 : colonne 3</t>
  </si>
  <si>
    <t>Table C2 : colonne 4</t>
  </si>
  <si>
    <t>Table C2 : colonne 5</t>
  </si>
  <si>
    <t>Table C2 : colonne 6</t>
  </si>
  <si>
    <t>Table C2 : colonne 7</t>
  </si>
  <si>
    <t>Table C2 : colonne 8</t>
  </si>
  <si>
    <t>WangEtAl2022_OLS_RobustIV_90[80,90]</t>
  </si>
  <si>
    <t>WangEtAl2022_OLS_RobustIV_60[80,90]</t>
  </si>
  <si>
    <t>WangEtAl2022_OLS_RobustIV_45[80,90]</t>
  </si>
  <si>
    <t>WangEtAl2022_OLS_RobustIV_90[85,90]</t>
  </si>
  <si>
    <t>WangEtAl2022_OLS_RobustIV_60[85,90]</t>
  </si>
  <si>
    <t>WangEtAl2022_OLS_RobustIV_45[85,90]</t>
  </si>
  <si>
    <t>WangEtAl2022_OLS_RobustIV_wind-speed</t>
  </si>
  <si>
    <t>WangEtAl2022_OLS_RobustIV_hourly-wind</t>
  </si>
  <si>
    <t>WangEtAl2022_OLS_RobustIV_7d</t>
  </si>
  <si>
    <t>WangEtAl2022_OLS_RobustIV_6d</t>
  </si>
  <si>
    <t>WangEtAl2022_OLS_RobustIV_5d</t>
  </si>
  <si>
    <t>Table C3 : colonne 1</t>
  </si>
  <si>
    <t>Table C3 : colonne 2</t>
  </si>
  <si>
    <t>Table C3 : colonne 3</t>
  </si>
  <si>
    <t>WangEtAl2022_OLS_RobustIV_7d_NO2</t>
  </si>
  <si>
    <t>WangEtAl2022_OLS_RobustIV_6d_NO2</t>
  </si>
  <si>
    <t>WangEtAl2022_OLS_RobustIV_5d_NO2</t>
  </si>
  <si>
    <t>Table C4 : colonne 1</t>
  </si>
  <si>
    <t>Table C4 : colonne 2</t>
  </si>
  <si>
    <t>Table C4 : colonne 3</t>
  </si>
  <si>
    <t>WangEtAl2022_OLS_AlterIV_7d_NO2</t>
  </si>
  <si>
    <t>WangEtAl2022_OLS_AlterIV_6d_NO2</t>
  </si>
  <si>
    <t>WangEtAl2022_OLS_AlterIV_5d_NO2</t>
  </si>
  <si>
    <t>WangEtAl2022_OLS_AlterIV_7d</t>
  </si>
  <si>
    <t>WangEtAl2022_OLS_AlterIV_6d</t>
  </si>
  <si>
    <t>WangEtAl2022_OLS_AlterIV_5d</t>
  </si>
  <si>
    <t>WangEtAl2022_OLS_W/Weather</t>
  </si>
  <si>
    <t>WangEtAl2022_IV_W/Weather</t>
  </si>
  <si>
    <t>Table D1 : colonne 1</t>
  </si>
  <si>
    <t>Table D2 : colonne 4</t>
  </si>
  <si>
    <t>Table D1 : colonne 6</t>
  </si>
  <si>
    <t>WangEtAl2022_IV_W/WeatherBis</t>
  </si>
  <si>
    <t>WangEtAl2022_IV_HumidityXTemperature</t>
  </si>
  <si>
    <t>WangEtAl2022_IV_HumidityXTemperatureBins</t>
  </si>
  <si>
    <t>WangEtAl2022_IV_FinerTempBins</t>
  </si>
  <si>
    <t>WangEtAl2022_IV_HumidityXFinerTempBins</t>
  </si>
  <si>
    <t>WangEtAl2022_IV_Typhoon</t>
  </si>
  <si>
    <t>Table D2 : colonne 1</t>
  </si>
  <si>
    <t>Table D2 : colonne 2</t>
  </si>
  <si>
    <t>Table D2 : colonne 3</t>
  </si>
  <si>
    <t>Table D2 : colonne 5</t>
  </si>
  <si>
    <t>Table D2 : colonne 6</t>
  </si>
  <si>
    <t>Table E2 : colonne 1</t>
  </si>
  <si>
    <t>Table E2 : colonne 2</t>
  </si>
  <si>
    <t>Table E2 : colonne 3</t>
  </si>
  <si>
    <t>Table E2 : colonne 4</t>
  </si>
  <si>
    <t>Table E2 : colonne 5</t>
  </si>
  <si>
    <t>WangEtAl2022_OLS_workerFE_log_AQI</t>
  </si>
  <si>
    <t>WangEtAl2022_OLS_time&amp;workerFE_log_AQI</t>
  </si>
  <si>
    <t>WangEtAl2022_OLS_time&amp;subsidiaryF_log_AQI</t>
  </si>
  <si>
    <t>WangEtAl2022_OLS_2weekFE_log_AQI</t>
  </si>
  <si>
    <t>WangEtAl2022_OLS_IndivControls_log_AQI</t>
  </si>
  <si>
    <t>WangEtAl2022_OLS_workerFE_level_AQI</t>
  </si>
  <si>
    <t>WangEtAl2022_OLS_time&amp;subsidiaryFE_level_AQI</t>
  </si>
  <si>
    <t>WangEtAl2022_OLS_time&amp;workerFE_level_AQI</t>
  </si>
  <si>
    <t>WangEtAl2022_OLS_2weekFE_level_AQI</t>
  </si>
  <si>
    <t>WangEtAl2022_OLS_IndivControls_level_AQI</t>
  </si>
  <si>
    <t>WangEtAl2022_IV_workerFE_log_AQI</t>
  </si>
  <si>
    <t>WangEtAl2022_IV_time&amp;subsidiaryF_logE_AQI</t>
  </si>
  <si>
    <t>WangEtAl2022_IV_time&amp;workerFE_log_AQI</t>
  </si>
  <si>
    <t>WangEtAl2022_IV_2weekFE_log_AQI</t>
  </si>
  <si>
    <t>WangEtAl2022_IV_IndivControls_log_AQI</t>
  </si>
  <si>
    <t>NaidenovaEtAl2022</t>
  </si>
  <si>
    <t xml:space="preserve">Naidenova, Parshakov, Suvorov </t>
  </si>
  <si>
    <t>Air pollution and individual productivity : Evidence from the Ironlan Triathlon results</t>
  </si>
  <si>
    <t xml:space="preserve">Economics and Human Biology </t>
  </si>
  <si>
    <t>minutes</t>
  </si>
  <si>
    <t xml:space="preserve">triathlon </t>
  </si>
  <si>
    <t>runner</t>
  </si>
  <si>
    <t>course-level</t>
  </si>
  <si>
    <t>temp_wind-speed</t>
  </si>
  <si>
    <t>NaidenovaEtAl2022_OLS_ozone_OvTime</t>
  </si>
  <si>
    <t>NaidenovaEtAl2022_OLS_PM2.5_OvTime</t>
  </si>
  <si>
    <t>NaidenovaEtAl2022_OLS_ozone_SwimmingTime_Female_Pro</t>
  </si>
  <si>
    <t>NaidenovaEtAl2022_OLS_ozone_SwimmingTime_Male_Pro</t>
  </si>
  <si>
    <t>NaidenovaEtAl2022_OLS_ozone_SwimmingTime_Female_NonPro</t>
  </si>
  <si>
    <t>NaidenovaEtAl2022_OLS_ozone_SwimmingTime_Male_NonPro</t>
  </si>
  <si>
    <t>NaidenovaEtAl2022_OLS_PM2.5_SwimmingTime_Female_NonPro</t>
  </si>
  <si>
    <t>NaidenovaEtAl2022_OLS_PM2.5_SwimmingTime_Female_Pro</t>
  </si>
  <si>
    <t>NaidenovaEtAl2022_OLS_PM2.5_SwimmingTime_Male_Pro</t>
  </si>
  <si>
    <t>NaidenovaEtAl2022_OLS_PM2.5_SwimmingTime_Male_NonPro</t>
  </si>
  <si>
    <t>NaidenovaEtAl2022_OLS_ozone_BicycleTime_Female_Pro</t>
  </si>
  <si>
    <t>NaidenovaEtAl2022_OLS_ozone_BicycleTime_Male_NonPro</t>
  </si>
  <si>
    <t>NaidenovaEtAl2022_OLS_ozone_BicycleTime_Female_NonPro</t>
  </si>
  <si>
    <t>NaidenovaEtAl2022_OLS_ozone_BicycleTime_Male_Pro</t>
  </si>
  <si>
    <t>NaidenovaEtAl2022_OLS_PM2.5_BicycleTime_Female_Pro</t>
  </si>
  <si>
    <t>NaidenovaEtAl2022_OLS_PM2.5_BicycleTime_Male_Pro</t>
  </si>
  <si>
    <t>NaidenovaEtAl2022_OLS_PM2.5_BicycleTime_Female_NonPro</t>
  </si>
  <si>
    <t>NaidenovaEtAl2022_OLS_PM2.5_BicycleTime_Male_NonPro</t>
  </si>
  <si>
    <t>NaidenovaEtAl2022_OLS_ozone_RunningTime_Female_Pro</t>
  </si>
  <si>
    <t>NaidenovaEtAl2022_OLS_ozone_RunningTime_Male_Pro</t>
  </si>
  <si>
    <t>NaidenovaEtAl2022_OLS_ozone_RunningTime_Female_NonPro</t>
  </si>
  <si>
    <t>NaidenovaEtAl2022_OLS_ozone_RunningTime_Male_NonPro</t>
  </si>
  <si>
    <t>NaidenovaEtAl2022_OLS_PM2.5_RunningTime_Female_Pro</t>
  </si>
  <si>
    <t>NaidenovaEtAl2022_OLS_PM2.5_RunningTime_Male_Pro</t>
  </si>
  <si>
    <t>NaidenovaEtAl2022_OLS_PM2.5_RunningTime_Female_NonPro</t>
  </si>
  <si>
    <t>NaidenovaEtAl2022_OLS_PM2.5_RunningTime_Male_NonPro</t>
  </si>
  <si>
    <t>NaidenovaEtAl2022_OLS_ozone_OvTime_Female_Pro</t>
  </si>
  <si>
    <t>NaidenovaEtAl2022_OLS_ozone_OvTime_Male_Pro</t>
  </si>
  <si>
    <t>NaidenovaEtAl2022_OLS_ozone_OvTime_Female_NonPro</t>
  </si>
  <si>
    <t>NaidenovaEtAl2022_OLS_ozone_OvTime_Male_NonPro</t>
  </si>
  <si>
    <t>NaidenovaEtAl2022_OLS_PM2.5_OvTime_Female_Pro</t>
  </si>
  <si>
    <t>NaidenovaEtAl2022_OLS_PM2.5_OvTime_Male_Pro</t>
  </si>
  <si>
    <t>NaidenovaEtAl2022_OLS_PM2.5_OvTime_Female_NonPro</t>
  </si>
  <si>
    <t>NaidenovaEtAl2022_OLS_PM2.5_OvTime_Male_NonPro</t>
  </si>
  <si>
    <t>NaidenovaEtAl2022_OLS_ozone_OvTime_Male_Pro_W/PollutantControl</t>
  </si>
  <si>
    <t>NaidenovaEtAl2022_OLS_ozone_OvTime_Female_Pro_W/PollutantControl</t>
  </si>
  <si>
    <t>NaidenovaEtAl2022_OLS_ozone_OvTime_Female_NonPro_W/PollutantControl</t>
  </si>
  <si>
    <t>NaidenovaEtAl2022_OLS_ozone_OvTime_Male_NonPro_W/PollutantControl</t>
  </si>
  <si>
    <t>NaidenovaEtAl2022_OLS_PM2.5_OvTime_Female_Pro_W/PollutantControl</t>
  </si>
  <si>
    <t>NaidenovaEtAl2022_OLS_PM2.5_OvTime_Male_Pro_W/PollutantControl</t>
  </si>
  <si>
    <t>NaidenovaEtAl2022_OLS_PM2.5_OvTime_Female_NonPro_W/PollutantControl</t>
  </si>
  <si>
    <t>NaidenovaEtAl2022_OLS_PM2.5_OvTime_Male_NonPro_W/PollutantControl</t>
  </si>
  <si>
    <t>NaidenovaEtAl2022_OLS_ozone_SwimmingTime_Female_Pro_W/PollutantControl</t>
  </si>
  <si>
    <t>NaidenovaEtAl2022_OLS_ozone_SwimmingTime_Male_Pro_W/PollutantControl</t>
  </si>
  <si>
    <t>NaidenovaEtAl2022_OLS_ozone_SwimmingTime_Female_NonPro_W/PollutantControl</t>
  </si>
  <si>
    <t>NaidenovaEtAl2022_OLS_ozone_SwimmingTime_Male_NonPro_W/PollutantControl</t>
  </si>
  <si>
    <t>NaidenovaEtAl2022_OLS_PM2.5_SwimmingTime_Female_Pro_W/PollutantControl</t>
  </si>
  <si>
    <t>NaidenovaEtAl2022_OLS_PM2.5_SwimmingTime_Male_Pro_W/PollutantControl</t>
  </si>
  <si>
    <t>NaidenovaEtAl2022_OLS_PM2.5_SwimmingTime_Female_NonPro_W/PollutantControl</t>
  </si>
  <si>
    <t>NaidenovaEtAl2022_OLS_PM2.5_SwimmingTime_Male_NonPro_W/PollutantControl</t>
  </si>
  <si>
    <t>NaidenovaEtAl2022_OLS_ozone_BicycleTime_Female_Pro_W/PollutantControl</t>
  </si>
  <si>
    <t>NaidenovaEtAl2022_OLS_ozone_BicycleTime_Male_Pro_W/PollutantControl</t>
  </si>
  <si>
    <t>NaidenovaEtAl2022_OLS_ozone_BicycleTime_Female_NonPro_W/PollutantControl</t>
  </si>
  <si>
    <t>NaidenovaEtAl2022_OLS_ozone_BicycleTime_Male_NonPro_W/PollutantControl</t>
  </si>
  <si>
    <t>NaidenovaEtAl2022_OLS_PM2.5_BicycleTime_Female_Pro_W/PollutantControl</t>
  </si>
  <si>
    <t>NaidenovaEtAl2022_OLS_PM2.5_BicycleTime_Male_Pro_W/PollutantControl</t>
  </si>
  <si>
    <t>NaidenovaEtAl2022_OLS_PM2.5_BicycleTime_Female_NonPro_W/PollutantControl</t>
  </si>
  <si>
    <t>NaidenovaEtAl2022_OLS_PM2.5_BicycleTime_Male_NonPro_W/PollutantControl</t>
  </si>
  <si>
    <t>NaidenovaEtAl2022_OLS_ozone_RunningTime_Female_Pro_W/PollutantControl</t>
  </si>
  <si>
    <t>NaidenovaEtAl2022_OLS_ozone_RunningTime_Male_Pro_W/PollutantControl</t>
  </si>
  <si>
    <t>NaidenovaEtAl2022_OLS_ozone_RunningTime_Female_NonPro_W/PollutantControl</t>
  </si>
  <si>
    <t>NaidenovaEtAl2022_OLS_ozone_RunningTime_Male_NonPro_W/PollutantControl</t>
  </si>
  <si>
    <t>NaidenovaEtAl2022_OLS_PM2.5_RunningTime_Female_Pro_W/PollutantControl</t>
  </si>
  <si>
    <t>NaidenovaEtAl2022_OLS_PM2.5_RunningTime_Male_Pro_W/PollutantControl</t>
  </si>
  <si>
    <t>NaidenovaEtAl2022_OLS_PM2.5_RunningTime_Female_NonPro_W/PollutantControl</t>
  </si>
  <si>
    <t>NaidenovaEtAl2022_OLS_PM2.5_RunningTime_Male_NonPro_W/PollutantControl</t>
  </si>
  <si>
    <t>Table 6 : colonne 7</t>
  </si>
  <si>
    <t>Table 6 : colonne 8</t>
  </si>
  <si>
    <t>Table 6 : colonne 9</t>
  </si>
  <si>
    <t>Table 6 : colonne 11</t>
  </si>
  <si>
    <t>Table 6 : colonne 12</t>
  </si>
  <si>
    <t>Table 6 : colonne 13</t>
  </si>
  <si>
    <t>Table 6 : colonne 10</t>
  </si>
  <si>
    <t>Table 6 : colonne 14</t>
  </si>
  <si>
    <t>sex, pro, activity</t>
  </si>
  <si>
    <t>t</t>
  </si>
  <si>
    <t>HillEtAl2022</t>
  </si>
  <si>
    <t>Hill, Burkhardt, Bayham, O'Dell, Ford, Fischer, Pierce</t>
  </si>
  <si>
    <t>American Journal of Agricultural Economics</t>
  </si>
  <si>
    <t>trays/hour/worker</t>
  </si>
  <si>
    <t>strawberry_harvesting</t>
  </si>
  <si>
    <t>harvester</t>
  </si>
  <si>
    <t>Air pollution, weather, and agricultural worker productivity</t>
  </si>
  <si>
    <t>time, individual, firm</t>
  </si>
  <si>
    <t>10h Max ozone</t>
  </si>
  <si>
    <t>HillEtAl2022_PM2.5_FarmXYearFE</t>
  </si>
  <si>
    <t>HillEtAl2022_O3_FarmXYearFE</t>
  </si>
  <si>
    <t>HillEtAl2022_PM2.5_FarmXWeekFE</t>
  </si>
  <si>
    <t>HillEtAl2022_O3_FarmXWeekFE</t>
  </si>
  <si>
    <t>HillEtAl2022_PM2.5_FieldXWeekFE</t>
  </si>
  <si>
    <t>HillEtAl2022_O3_FieldXWeekFE</t>
  </si>
  <si>
    <t>HillEtAl2022_PM2.5_WeekXFarmXYEarFE</t>
  </si>
  <si>
    <t>HillEtAl2022_O3_WeekXFarmXYEarFE</t>
  </si>
  <si>
    <t>HillEtAl2022_PM2.5_Controls</t>
  </si>
  <si>
    <t>HillEtAl2022_O3_Controls</t>
  </si>
  <si>
    <t>HillEtAl2022_PM2.5_NO2</t>
  </si>
  <si>
    <t>HillEtAl2022_O3_NO2</t>
  </si>
  <si>
    <t>HillEtAl2022_NO2</t>
  </si>
  <si>
    <t>PM2.5_NO2</t>
  </si>
  <si>
    <t>10h Max NO2</t>
  </si>
  <si>
    <t>HillEtAl2022_PM2.5_W/Co-pollutants</t>
  </si>
  <si>
    <t>HillEtAl2022_O3_W/Co-pollutants</t>
  </si>
  <si>
    <t>HillEtAl2022_NO2_W/Co-pollutants</t>
  </si>
  <si>
    <t>HillEtAl2022_PM2.5_FE</t>
  </si>
  <si>
    <t>HillEtAl2022_NO2_FE</t>
  </si>
  <si>
    <t>HillEtAl2022_O3_FE</t>
  </si>
  <si>
    <t>HillEtAl2022_PM2.5_WorkerControls</t>
  </si>
  <si>
    <t>HillEtAl2022_O3_WorkerControls</t>
  </si>
  <si>
    <t>HillEtAl2022_NO2_WorkerControls</t>
  </si>
  <si>
    <t>HillEtAl2022_PM2.5_WeatherControl</t>
  </si>
  <si>
    <t>HillEtAl2022_O3_WeatherControl</t>
  </si>
  <si>
    <t>HillEtAl2022_NO2_WeatherControl</t>
  </si>
  <si>
    <t>HillEtAl2022_PM2.5_WindControls</t>
  </si>
  <si>
    <t>HillEtAl2022_O3_WindControls</t>
  </si>
  <si>
    <t>HillEtAl2022_NO2_WindControls</t>
  </si>
  <si>
    <t>HillEtAl2022_PM2.5_TempSplines</t>
  </si>
  <si>
    <t>HillEtAl2022_O3_TempSplines</t>
  </si>
  <si>
    <t>HillEtAl2022_NO2_TempSplines</t>
  </si>
  <si>
    <t>HillEtAl2022_PM2.5_QuadrTemp</t>
  </si>
  <si>
    <t>HillEtAl2022_O3_QuadrTemp</t>
  </si>
  <si>
    <t>HillEtAl2022_NO2_QuadrTemp</t>
  </si>
  <si>
    <t>temp_precipitation_radiation</t>
  </si>
  <si>
    <t>temp_precipitation_radiation_wind</t>
  </si>
  <si>
    <t>HillEtAl2022_PM2.5_MoyMaxTemp</t>
  </si>
  <si>
    <t>HillEtAl2022_O3_MoyMaxTemp</t>
  </si>
  <si>
    <t>HillEtAl2022_PM2.5_MoyMinTemp</t>
  </si>
  <si>
    <t>HillEtAl2022_O3_MoyMinTemp</t>
  </si>
  <si>
    <t>HillEtAl2022_O3_TotalMinTemp</t>
  </si>
  <si>
    <t>HillEtAl2022_O3_TotalMaxTemp</t>
  </si>
  <si>
    <t>HillEtAl2022_PM2.5_MoyPrecip</t>
  </si>
  <si>
    <t>HillEtAl2022_O3_MoyPrecip</t>
  </si>
  <si>
    <t>HillEtAl2022_O3_TotalPrecip</t>
  </si>
  <si>
    <t>HillEtAl2022_PM2.5_MoySolarRad</t>
  </si>
  <si>
    <t>HillEtAl2022_O3_MoySolarRad</t>
  </si>
  <si>
    <t>HillEtAl2022_O3_TotalSolarRad</t>
  </si>
  <si>
    <t>HillEtAl2022_PM2.5_MoyNWWind</t>
  </si>
  <si>
    <t>HillEtAl2022_O3_MoyNWWind</t>
  </si>
  <si>
    <t>HillEtAl2022_O3_TotalNWWind</t>
  </si>
  <si>
    <t>HillEtAl2022_PM2.5_MoyWindSpeed</t>
  </si>
  <si>
    <t>HillEtAl2022_O3_MoyWindSpeed</t>
  </si>
  <si>
    <t>HillEtAl2022_O3_TotalWindSpeed</t>
  </si>
  <si>
    <t>HillEtAl2022_PM2.5_MoyAge</t>
  </si>
  <si>
    <t>HillEtAl2022_O3_MoyAge</t>
  </si>
  <si>
    <t>HillEtAl2022_O3_TotalAge</t>
  </si>
  <si>
    <t>sex</t>
  </si>
  <si>
    <t>HillEtAl2022_O3_Male</t>
  </si>
  <si>
    <t>HillEtAl2022_O3_Female</t>
  </si>
  <si>
    <t>HillEtAl2022_PM2.5_Female</t>
  </si>
  <si>
    <t>HillEtAl2022_PM2.5_Male</t>
  </si>
  <si>
    <t>Table A7 : colonne 1</t>
  </si>
  <si>
    <t>HillEtAl2022_PM2.5_DayWeekFE</t>
  </si>
  <si>
    <t>HillEtAl2022_O3_DayWeekFE</t>
  </si>
  <si>
    <t>HillEtAl2022_NO2_DayWeekFE</t>
  </si>
  <si>
    <t>HillEtAl2022_PM2.5_DayWeekFE*YearFE</t>
  </si>
  <si>
    <t>HillEtAl2022_O3_DayWeekFE*YearFE</t>
  </si>
  <si>
    <t>HillEtAl2022_NO2_DayWeekFE*YearFE</t>
  </si>
  <si>
    <t>HillEtAl2022_PM2.5_DayWeekFE*FarmFE</t>
  </si>
  <si>
    <t>HillEtAl2022_O3_DayWeekFE*FarmFE</t>
  </si>
  <si>
    <t>HillEtAl2022_NO2_DayWeekFE*FarmFE</t>
  </si>
  <si>
    <t>HillEtAl2022_PM2.5_DayWeekFE*FarmFE*YearFE</t>
  </si>
  <si>
    <t>HillEtAl2022_O3_DayWeekFE*FarmFE*YearFE</t>
  </si>
  <si>
    <t>HillEtAl2022_NO2_DayWeekFE*FarmFE*YearFE</t>
  </si>
  <si>
    <t>HillEtAl2022_PM2.5_DayWeekFE*MonthFE</t>
  </si>
  <si>
    <t>HillEtAl2022_O3_DayWeekFE*MonthFE</t>
  </si>
  <si>
    <t>HillEtAl2022_NO2_DayWeekFE*MonthFE</t>
  </si>
  <si>
    <t>Table A7 : colonne 2</t>
  </si>
  <si>
    <t>Table A7 : colonne 3</t>
  </si>
  <si>
    <t>Table A7 : colonne 4</t>
  </si>
  <si>
    <t>Table A7 : colonne 5</t>
  </si>
  <si>
    <t>HillEtAl2022_PM2.5_Farm1</t>
  </si>
  <si>
    <t>HillEtAl2022_PM2.5_Farm2</t>
  </si>
  <si>
    <t>Table A8 : colonne 1</t>
  </si>
  <si>
    <t>HillEtAl2022_PM2.5_Lag2</t>
  </si>
  <si>
    <t>HillEtAl2022_PM2.5_Lag1</t>
  </si>
  <si>
    <t>HillEtAl2022_PM2.5_Contemp</t>
  </si>
  <si>
    <t>Table A10 : colonne 4</t>
  </si>
  <si>
    <t>Table E3 : colonne 1</t>
  </si>
  <si>
    <t>WangEtAl2022_OLS_TimeFE</t>
  </si>
  <si>
    <t>WangEtAl2022_IV_TimeFE</t>
  </si>
  <si>
    <t>WangEtAl2022_OLS_LinearTrend</t>
  </si>
  <si>
    <t>WangEtAl2022_IV_LinearTrend</t>
  </si>
  <si>
    <t>WangEtAl2022_OLS_QuadraticTrend</t>
  </si>
  <si>
    <t>WangEtAl2022_IV_QuadraticTrend</t>
  </si>
  <si>
    <t>WangEtAl2022_OLS_CubicTrend</t>
  </si>
  <si>
    <t>WangEtAl2022_IV_CubicTrend</t>
  </si>
  <si>
    <t>WangEtAl2022_OLS_CubicTrendWeekFE</t>
  </si>
  <si>
    <t>WangEtAl2022_IV_CubicTrendWeekFE</t>
  </si>
  <si>
    <t>Table E3 : colonne 2</t>
  </si>
  <si>
    <t>Table E3 : colonne 3</t>
  </si>
  <si>
    <t>Table E3 : colonne 4</t>
  </si>
  <si>
    <t>Table E3 : colonne 5</t>
  </si>
  <si>
    <t>WangEtAl2022_IV_PRD</t>
  </si>
  <si>
    <t>WangEtAl2022_IV_GZSZ</t>
  </si>
  <si>
    <t>WangEtAl2022_IV_PRDw/GZSZ</t>
  </si>
  <si>
    <t>WangEtAl2022_IV_Region*MonthFE</t>
  </si>
  <si>
    <t>WangEtAl2022_IV_City*MonthFE</t>
  </si>
  <si>
    <t>WangEtAl2022_IV_BaiduIndex</t>
  </si>
  <si>
    <t>Table E4 : colonne 1</t>
  </si>
  <si>
    <t>Table E4 : colonne 2</t>
  </si>
  <si>
    <t>Table E4 : colonne 3</t>
  </si>
  <si>
    <t>Table E4 : colonne 4</t>
  </si>
  <si>
    <t>Table E4 : colonne 5</t>
  </si>
  <si>
    <t>Table E4 : colonne 6</t>
  </si>
  <si>
    <t>worker, time, localisation</t>
  </si>
  <si>
    <t>WangEtAl2022_IV_CityCluster</t>
  </si>
  <si>
    <t>Table E5 : colonne 1</t>
  </si>
  <si>
    <t>WangEtAl2022_OLS_TruncateOzone</t>
  </si>
  <si>
    <t>WangEtAl2022_IV_TruncateOzone</t>
  </si>
  <si>
    <t>Table E6 : colonne 1</t>
  </si>
  <si>
    <t>Table E6 : colonne 2</t>
  </si>
  <si>
    <t>WangEtAl2022_OLS_Ozone_ControlNO2</t>
  </si>
  <si>
    <t>WangEtAl2022_OLS_NO2_ControlOzone</t>
  </si>
  <si>
    <t>WangEtAl2022_OLS_Ozone_ControlSO2</t>
  </si>
  <si>
    <t>WangEtAl2022_OLS_SO2_ControlOzone</t>
  </si>
  <si>
    <t>WangEtAl2022_OLS_Ozone_ControlPM2.5NO2</t>
  </si>
  <si>
    <t>WangEtAl2022_OLS_PM2.5_ControlOzoneNO2</t>
  </si>
  <si>
    <t>WangEtAl2022_OLS_NO2_ControlOzonePM2.5</t>
  </si>
  <si>
    <t>WangEtAl2022_IV_Ozone_ControlNO2</t>
  </si>
  <si>
    <t>WangEtAl2022_IV_NO2_ControlOzone</t>
  </si>
  <si>
    <t>WangEtAl2022_IV_Ozone_ControlSO2</t>
  </si>
  <si>
    <t>WangEtAl2022_IV_SO2_ControlOzone</t>
  </si>
  <si>
    <t>WangEtAl2022_IV_Ozone_ControlPM2.5NO2</t>
  </si>
  <si>
    <t>WangEtAl2022_IV_PM2.5_ControlOzoneNO2</t>
  </si>
  <si>
    <t>WangEtAl2022_IV_NO2_ControlOzonePM2.5</t>
  </si>
  <si>
    <t>WangEtAl2022_IV_CO_ControlOzone</t>
  </si>
  <si>
    <t>WangEtAl2022_IV_Ozone_ControlCO</t>
  </si>
  <si>
    <t>WangEtAl2022_OLS_CO_ControlOzone</t>
  </si>
  <si>
    <t>WangEtAl2022_OLS_Ozone_ControlCO</t>
  </si>
  <si>
    <t>Ozone_NO2</t>
  </si>
  <si>
    <t>Ozone_PM2.5</t>
  </si>
  <si>
    <t>Table E8 : colonne 1</t>
  </si>
  <si>
    <t>Table E8 : colonne 2</t>
  </si>
  <si>
    <t>Table E8 : colonne 3</t>
  </si>
  <si>
    <t>Table E8 : colonne 4</t>
  </si>
  <si>
    <t>WangEtAl2022_IV_WorkRecords&gt;30Days</t>
  </si>
  <si>
    <t>WangEtAl2022_IV_WorkRecords&gt;45Days</t>
  </si>
  <si>
    <t>WangEtAl2022_IV_WorkRecords&gt;60Days</t>
  </si>
  <si>
    <t>Table E9 : colonne 1</t>
  </si>
  <si>
    <t>Table E9 : colonne 2</t>
  </si>
  <si>
    <t>Table E9 : colonne 3</t>
  </si>
  <si>
    <t>workrecord</t>
  </si>
  <si>
    <t>WangEtAl2022_OLS_time&amp;subsidiaryFE_log</t>
  </si>
  <si>
    <t>WangEtAl2022_IV_time&amp;subsidiaryFE_log</t>
  </si>
  <si>
    <t>WangEtAl2022_IV_ControlAvProdOfPeers</t>
  </si>
  <si>
    <t>Table E11 : colonne 1</t>
  </si>
  <si>
    <t>WangEtAl2022_IV_log_Lowest33</t>
  </si>
  <si>
    <t>WangEtAl2022_IV_level_Lowest33</t>
  </si>
  <si>
    <t>WangEtAl2022_IV_level_3367</t>
  </si>
  <si>
    <t>WangEtAl2022_IV_log_3367</t>
  </si>
  <si>
    <t>WangEtAl2022_IV_level_Top33</t>
  </si>
  <si>
    <t>WangEtAl2022_IV_log_Top33</t>
  </si>
  <si>
    <t>Table E12 : colonne 1</t>
  </si>
  <si>
    <t>Table E12 : colonne 2</t>
  </si>
  <si>
    <t>Table E12 : colonne 3</t>
  </si>
  <si>
    <t>productivity</t>
  </si>
  <si>
    <t>WangEtAl2022_IV_PDL_3_5</t>
  </si>
  <si>
    <t>WangEtAl2022_IV_PDL_3_10</t>
  </si>
  <si>
    <t>WangEtAl2022_IV_PDL_3_15</t>
  </si>
  <si>
    <t>WangEtAl2022_IV_PDL_3_20</t>
  </si>
  <si>
    <t>WangEtAl2022_IV_PDL_3_25</t>
  </si>
  <si>
    <t>WangEtAl2022_IV_PDL_3_35</t>
  </si>
  <si>
    <t>WangEtAl2022_IV_PDL_3_30</t>
  </si>
  <si>
    <t>WangEtAl2022_IV_PDL_3_40</t>
  </si>
  <si>
    <t>WangEtAl2022_IV_PDL_3_5_ControlPM2.5</t>
  </si>
  <si>
    <t>WangEtAl2022_IV_PDL_3_10_ControlPM2.5</t>
  </si>
  <si>
    <t>WangEtAl2022_IV_PDL_3_15_ControlPM2.5</t>
  </si>
  <si>
    <t>WangEtAl2022_IV_PDL_3_20_ControlPM2.5</t>
  </si>
  <si>
    <t>WangEtAl2022_IV_PDL_3_25_ControlPM2.5</t>
  </si>
  <si>
    <t>WangEtAl2022_IV_PDL_3_30_ControlPM2.5</t>
  </si>
  <si>
    <t>WangEtAl2022_IV_PDL_3_35_ControlPM2.5</t>
  </si>
  <si>
    <t>WangEtAl2022_IV_PDL_3_40_ControlPM2.5</t>
  </si>
  <si>
    <t>WangEtAl2022_IV_PDL_3_5_Truncated</t>
  </si>
  <si>
    <t>WangEtAl2022_IV_PDL_3_10_Truncated</t>
  </si>
  <si>
    <t>WangEtAl2022_IV_PDL_3_15_Truncated</t>
  </si>
  <si>
    <t>WangEtAl2022_IV_PDL_3_20_Truncated</t>
  </si>
  <si>
    <t>WangEtAl2022_IV_PDL_3_25_Truncated</t>
  </si>
  <si>
    <t>WangEtAl2022_IV_PDL_3_30_Truncated</t>
  </si>
  <si>
    <t>WangEtAl2022_IV_PDL_3_35_Truncated</t>
  </si>
  <si>
    <t>WangEtAl2022_IV_PDL_3_40_Truncated</t>
  </si>
  <si>
    <t>WangEtAl2022_IV_PDL_4_5</t>
  </si>
  <si>
    <t>WangEtAl2022_IV_PDL_4_10</t>
  </si>
  <si>
    <t>WangEtAl2022_IV_PDL_4_15</t>
  </si>
  <si>
    <t>WangEtAl2022_IV_PDL_4_20</t>
  </si>
  <si>
    <t>WangEtAl2022_IV_PDL_4_25</t>
  </si>
  <si>
    <t>WangEtAl2022_IV_PDL_4_30</t>
  </si>
  <si>
    <t>WangEtAl2022_IV_PDL_4_35</t>
  </si>
  <si>
    <t>WangEtAl2022_IV_PDL_4_40</t>
  </si>
  <si>
    <t>WangEtAl2022_IV_PDL_4_5_ControlPM2.5</t>
  </si>
  <si>
    <t>WangEtAl2022_IV_PDL_4_10_ControlPM2.5</t>
  </si>
  <si>
    <t>WangEtAl2022_IV_PDL_4_15_ControlPM2.5</t>
  </si>
  <si>
    <t>WangEtAl2022_IV_PDL_4_20_ControlPM2.5</t>
  </si>
  <si>
    <t>WangEtAl2022_IV_PDL_4_25_ControlPM2.5</t>
  </si>
  <si>
    <t>WangEtAl2022_IV_PDL_4_30_ControlPM2.5</t>
  </si>
  <si>
    <t>WangEtAl2022_IV_PDL_4_35_ControlPM2.5</t>
  </si>
  <si>
    <t>WangEtAl2022_IV_PDL_4_40_ControlPM2.5</t>
  </si>
  <si>
    <t>WangEtAl2022_IV_PDL_4_5_Truncated</t>
  </si>
  <si>
    <t>WangEtAl2022_IV_PDL_4_10_Truncated</t>
  </si>
  <si>
    <t>WangEtAl2022_IV_PDL_4_15_Truncated</t>
  </si>
  <si>
    <t>WangEtAl2022_IV_PDL_4_20_Truncated</t>
  </si>
  <si>
    <t>WangEtAl2022_IV_PDL_4_25_Truncated</t>
  </si>
  <si>
    <t>WangEtAl2022_IV_PDL_4_30_Truncated</t>
  </si>
  <si>
    <t>WangEtAl2022_IV_PDL_4_35_Truncated</t>
  </si>
  <si>
    <t>WangEtAl2022_IV_PDL_4_40_Truncated</t>
  </si>
  <si>
    <t>Table E13 : colonne 1</t>
  </si>
  <si>
    <t>Table E13 : colonne 2</t>
  </si>
  <si>
    <t>Table E13 : colonne 3</t>
  </si>
  <si>
    <t>Table E13 : colonne 4</t>
  </si>
  <si>
    <t>Table E13 : colonne 5</t>
  </si>
  <si>
    <t>Table E13 : colonne 6</t>
  </si>
  <si>
    <t>WangEtAl2026</t>
  </si>
  <si>
    <t>WangEtAl2026_MDA8Ozone</t>
  </si>
  <si>
    <t>Wang, Li, Gao, Chen</t>
  </si>
  <si>
    <t>Ground- Level Ozone and Agricultural Productivity in China</t>
  </si>
  <si>
    <t>Australian Journal of Agricultural and Resource Economics</t>
  </si>
  <si>
    <t>PMDA8_O3</t>
  </si>
  <si>
    <t>output/worker (CNY)</t>
  </si>
  <si>
    <t>AOT40</t>
  </si>
  <si>
    <t>SUM06</t>
  </si>
  <si>
    <t>W126</t>
  </si>
  <si>
    <t>ppm*h</t>
  </si>
  <si>
    <t>county, time</t>
  </si>
  <si>
    <t>temp_precipitation_sunshine_humidity_wind_pressure</t>
  </si>
  <si>
    <t>FuEtAl2021</t>
  </si>
  <si>
    <t>Fu, Viard, Zhang</t>
  </si>
  <si>
    <t>Air pollution and manufacturing firm productivity: nationwide estimates for China</t>
  </si>
  <si>
    <t>The Economic Journal</t>
  </si>
  <si>
    <t>FuEtAl2021_OLS_W/WeatherControls</t>
  </si>
  <si>
    <t>FuEtAl2021_OLS_W.WeatherControls</t>
  </si>
  <si>
    <t>FuEtAl2021_IV_W/WeatherControls</t>
  </si>
  <si>
    <t>FuEtAl2021_IV_W.WeatherControls</t>
  </si>
  <si>
    <t>temp_precipitation_wind-speed_pressure_humidity_suntime</t>
  </si>
  <si>
    <t>FuEtAl2021_IV_EconCenters</t>
  </si>
  <si>
    <t>FuEtAl2021_IV_AllOther</t>
  </si>
  <si>
    <t>Appendix B : colonne 2</t>
  </si>
  <si>
    <t>Appendix B : colonne 3</t>
  </si>
  <si>
    <t>FuEtAl2021_IV_Cluster_Firm&amp;County*Year</t>
  </si>
  <si>
    <t>FuEtAl2021_IV_Cluster_County*Year</t>
  </si>
  <si>
    <t>FuEtAl2021_IV_Cluster_County</t>
  </si>
  <si>
    <t>FuEtAl2021_IV_RegionByYearFE</t>
  </si>
  <si>
    <t>FuEtAl2021_IV_ProvinceByYearFE</t>
  </si>
  <si>
    <t>FuEtAl2021_IV_ProvincialTrend</t>
  </si>
  <si>
    <t>FuEtAl2021_IV_YearFE&amp;PRovincialTrend</t>
  </si>
  <si>
    <t>firm, county-year</t>
  </si>
  <si>
    <t>firm, time, localisation</t>
  </si>
  <si>
    <t>Appendix C : colonne 2</t>
  </si>
  <si>
    <t>Appendix C : colonne 3</t>
  </si>
  <si>
    <t>Appendix C : colonne 4</t>
  </si>
  <si>
    <t>Appendix C : colonne 5</t>
  </si>
  <si>
    <t>Appendix C : colonne 6</t>
  </si>
  <si>
    <t>Appendix C : colonne 7</t>
  </si>
  <si>
    <t>Appendix C : colonne 8</t>
  </si>
  <si>
    <t>Appendix D : colonne 2</t>
  </si>
  <si>
    <t>Appendix D : colonne 3</t>
  </si>
  <si>
    <t>Appendix D : colonne 4</t>
  </si>
  <si>
    <t>Appendix D : colonne 5</t>
  </si>
  <si>
    <t>Appendix D : colonne 6</t>
  </si>
  <si>
    <t>weighted regression by VA</t>
  </si>
  <si>
    <t>FuEtAl2021_IV_VAWeighted</t>
  </si>
  <si>
    <t>FuEtAl2021_IV_Non-winsorized</t>
  </si>
  <si>
    <t>FuEtAl2021_IV_RawData</t>
  </si>
  <si>
    <t>FuEtAl2021_IV_SinglePlant</t>
  </si>
  <si>
    <t>FuEtAl2021_IV_Elasticity</t>
  </si>
  <si>
    <t>FuEtAl2021_IV_W/RelocatingFirms</t>
  </si>
  <si>
    <t>FuEtAl2021_IV_4Cat_High</t>
  </si>
  <si>
    <t>FuEtAl2021_IV_4Cat_MedHigh</t>
  </si>
  <si>
    <t>FuEtAl2021_IV_4Cat_MedLow</t>
  </si>
  <si>
    <t>FuEtAl2021_IV_4Cat_Low</t>
  </si>
  <si>
    <t>FuEtAl2021_IV_2Cat_High</t>
  </si>
  <si>
    <t>FuEtAl2021_IV_2Cat_Low</t>
  </si>
  <si>
    <t>technology</t>
  </si>
  <si>
    <t>FuEtAl2021_IV_PollutingFirms</t>
  </si>
  <si>
    <t>FuEtAl2021_IV_CleanFirms</t>
  </si>
  <si>
    <t>pollution</t>
  </si>
  <si>
    <t>DrutMahieux2015</t>
  </si>
  <si>
    <t>Drut, Mahieux</t>
  </si>
  <si>
    <t>Correcting agglomeration economies: How air pollution matters</t>
  </si>
  <si>
    <t>Papers in Regional Science</t>
  </si>
  <si>
    <t>France</t>
  </si>
  <si>
    <t>nominal_wage/worker</t>
  </si>
  <si>
    <t>employment_area</t>
  </si>
  <si>
    <t>cross-sectional</t>
  </si>
  <si>
    <t>DrutMahieux2015_OLS_W/FE</t>
  </si>
  <si>
    <t>DrutMahieux2015_OLS_W.FE</t>
  </si>
  <si>
    <t>DrutMahieux2015_DensIVGMM</t>
  </si>
  <si>
    <t>DrutMahieux2015_DensIV2SLS</t>
  </si>
  <si>
    <t>DrutMahieux2015_IV</t>
  </si>
  <si>
    <t>car_ownership</t>
  </si>
  <si>
    <t>FuEtAl2022</t>
  </si>
  <si>
    <t>Trans-boundary air pollution spillovers: Physical transport and economic costs by distance</t>
  </si>
  <si>
    <t>Journal of Development Economics</t>
  </si>
  <si>
    <t>Table 1 : colonne 1</t>
  </si>
  <si>
    <t>HuEtAl2026</t>
  </si>
  <si>
    <t>Out with the breath, out with the firms: Air pollution and foreign-invested firms exit in China</t>
  </si>
  <si>
    <t xml:space="preserve">Structural Change and Economic Dynamics </t>
  </si>
  <si>
    <t>secondary</t>
  </si>
  <si>
    <t>Hu, He, Sheng</t>
  </si>
  <si>
    <t>HuEtAl2026_Kernal-Uniform</t>
  </si>
  <si>
    <t>HuEtAl2026_Kernal-Triangular</t>
  </si>
  <si>
    <t>HuEtAl2026_Kernal-Rectangular</t>
  </si>
  <si>
    <t>FuEtAl2022_150km_M2SLS</t>
  </si>
  <si>
    <t>FuEtAl2022_200km_M2SLS</t>
  </si>
  <si>
    <t>FuEtAl2022_250km_M2SLS</t>
  </si>
  <si>
    <t>FuEtAl2022_300km_M2SLS</t>
  </si>
  <si>
    <t>FuEtAl2022_300km_instrument-lagged_M2SLS</t>
  </si>
  <si>
    <t>FuEtAl2022_300km_instrument-second-lagged_M2SLS</t>
  </si>
  <si>
    <t>FuEtAl2022_150km_Wald</t>
  </si>
  <si>
    <t>FuEtAl2022_200km_Wald</t>
  </si>
  <si>
    <t>FuEtAl2022_250km_Wald</t>
  </si>
  <si>
    <t>FuEtAl2022_300km_Wald</t>
  </si>
  <si>
    <t>FuEtAl2022_300km_M2SLS_FirmDay</t>
  </si>
  <si>
    <t>FuEtAl2022_300km_M2SLS_FirmWeek</t>
  </si>
  <si>
    <t>FuEtAl2022_300km_M2SLS_FirmMonth</t>
  </si>
  <si>
    <t>FuEtAl2022_300km_M2SLS_FirmQuarter</t>
  </si>
  <si>
    <t>FuEtAl2022_300km_M2SLS_FirmSemi-Annual</t>
  </si>
  <si>
    <t>FuEtAl2022_300km_M2SLS_FirmYear</t>
  </si>
  <si>
    <t>nearby_city_pollution</t>
  </si>
  <si>
    <t>LinEtAl2024</t>
  </si>
  <si>
    <t>LinEtAl2024_W/Control</t>
  </si>
  <si>
    <t>Lin, Wan, Yu</t>
  </si>
  <si>
    <t>What you breathe makes you poor: The effect of air pollution on income</t>
  </si>
  <si>
    <t>China Economic Reviex</t>
  </si>
  <si>
    <t>LinEtAl2024_W.Control</t>
  </si>
  <si>
    <t>wage income + business income</t>
  </si>
  <si>
    <t>time, localisation</t>
  </si>
  <si>
    <t>Table 10 : colonne 1</t>
  </si>
  <si>
    <t>Table 10 : colonne 2</t>
  </si>
  <si>
    <t>temp_precipitation_humidity</t>
  </si>
  <si>
    <t>GoodenbergerEtAl2024</t>
  </si>
  <si>
    <t>Goodenberger, Munk, Seney</t>
  </si>
  <si>
    <t>The interactive effects of temperature and air quality on productivity</t>
  </si>
  <si>
    <t>factory</t>
  </si>
  <si>
    <t>airflow/shift (00 cfm)</t>
  </si>
  <si>
    <t>assembly_line</t>
  </si>
  <si>
    <t>operator</t>
  </si>
  <si>
    <t>time, station</t>
  </si>
  <si>
    <t>NO2_O3_CO_PM10</t>
  </si>
  <si>
    <t>SO2_O3_CO_PM10</t>
  </si>
  <si>
    <t>SO2_NO2_CO_PM10</t>
  </si>
  <si>
    <t>SO2_NO2_O3_PM10</t>
  </si>
  <si>
    <t>NO2_SO2_O3_CO</t>
  </si>
  <si>
    <t>GoodenbergerEtAl2024_Linear_SO2</t>
  </si>
  <si>
    <t>GoodenbergerEtAl2024_Linear_NO2</t>
  </si>
  <si>
    <t>GoodenbergerEtAl2024_Linear_O3</t>
  </si>
  <si>
    <t>GoodenbergerEtAl2024_Linear_CO</t>
  </si>
  <si>
    <t>GoodenbergerEtAl2024_Linear_PM10</t>
  </si>
  <si>
    <t>GoodenbergerEtAl2024_Linear_SO2_OVB</t>
  </si>
  <si>
    <t>GoodenbergerEtAl2024_Linear_NO2_OVB</t>
  </si>
  <si>
    <t>GoodenbergerEtAl2024_Linear_O3_OVB</t>
  </si>
  <si>
    <t>GoodenbergerEtAl2024_Linear_CO_OVB</t>
  </si>
  <si>
    <t>GoodenbergerEtAl2024_Linear_PM10_OVB</t>
  </si>
  <si>
    <t>GoodenbergerEtAl2024_Linear_SO2_T&lt;80</t>
  </si>
  <si>
    <t>GoodenbergerEtAl2024_Linear_NO2_T&lt;80</t>
  </si>
  <si>
    <t>GoodenbergerEtAl2024_Linear_O3_T&lt;80</t>
  </si>
  <si>
    <t>GoodenbergerEtAl2024_Linear_CO_T&lt;80</t>
  </si>
  <si>
    <t>GoodenbergerEtAl2024_Linear_PM10_T&lt;80</t>
  </si>
  <si>
    <t>GoodenbergerEtAl2024_Linear_SO2_T&gt;80</t>
  </si>
  <si>
    <t>GoodenbergerEtAl2024_Linear_NO2_T&gt;80</t>
  </si>
  <si>
    <t>GoodenbergerEtAl2024_Linear_O3_T&gt;80</t>
  </si>
  <si>
    <t>GoodenbergerEtAl2024_Linear_CO_T&gt;80</t>
  </si>
  <si>
    <t>GoodenbergerEtAl2024_Linear_PM10_T&gt;80</t>
  </si>
  <si>
    <t>GoodenbergerEtAl2024_Quadratic_SO2</t>
  </si>
  <si>
    <t>GoodenbergerEtAl2024_Quadratic_NO2</t>
  </si>
  <si>
    <t>GoodenbergerEtAl2024_Quadratic_O3</t>
  </si>
  <si>
    <t>GoodenbergerEtAl2024_Quadratic_CO</t>
  </si>
  <si>
    <t>GoodenbergerEtAl2024_Quadratic_PM10</t>
  </si>
  <si>
    <t>GoodenbergerEtAl2024_Quadratic_SO2_T&lt;80</t>
  </si>
  <si>
    <t>GoodenbergerEtAl2024_Quadratic_NO2_T&lt;80</t>
  </si>
  <si>
    <t>GoodenbergerEtAl2024_Quadratic_O3_T&lt;80</t>
  </si>
  <si>
    <t>GoodenbergerEtAl2024_Quadratic_CO_T&lt;80</t>
  </si>
  <si>
    <t>GoodenbergerEtAl2024_Quadratic_PM10_T&lt;80</t>
  </si>
  <si>
    <t>GoodenbergerEtAl2024_Quadratic_SO2_T&gt;80</t>
  </si>
  <si>
    <t>GoodenbergerEtAl2024_Quadratic_NO2_T&gt;80</t>
  </si>
  <si>
    <t>GoodenbergerEtAl2024_Quadratic_O3_T&gt;80</t>
  </si>
  <si>
    <t>GoodenbergerEtAl2024_Quadratic_CO_T&gt;80</t>
  </si>
  <si>
    <t>GoodenbergerEtAl2024_Quadratic_PM10_T&gt;80</t>
  </si>
  <si>
    <t>MajumderEtAl2024</t>
  </si>
  <si>
    <t>Majumder, Chaudhary, Dey</t>
  </si>
  <si>
    <t>Exposure to ambient PM2.5 and its association with the loss of labor productivity of manufacturing plants in India</t>
  </si>
  <si>
    <t>MajumderEtAl2024_FE-Model</t>
  </si>
  <si>
    <t>MajumderEtAl2024_FE-Model_Poll&gt;40</t>
  </si>
  <si>
    <t>MajumderEtAl2024_RE-Model</t>
  </si>
  <si>
    <t>MajumderEtAl2024_RE-Model_Poll&gt;40</t>
  </si>
  <si>
    <t>MajumderEtAl2024_GMM-Model</t>
  </si>
  <si>
    <t>MajumderEtAl2024_GMM-Model_Poll&gt;40</t>
  </si>
  <si>
    <t>gross_VA/worker</t>
  </si>
  <si>
    <t>temp_humudity</t>
  </si>
  <si>
    <t>temp_humudity_wind-speed_wind-direction</t>
  </si>
  <si>
    <t>OLS (RE)</t>
  </si>
  <si>
    <t>OLS (FE)</t>
  </si>
  <si>
    <t>control for lag value of Y</t>
  </si>
  <si>
    <t>MajumderEtAl2024_RE-Model_High-K-Intensity</t>
  </si>
  <si>
    <t>MajumderEtAl2024_RE-Model_Low-K-Intensity</t>
  </si>
  <si>
    <t>MajumderEtAl2024_RE-Model_High-BlueCollar-Intensity</t>
  </si>
  <si>
    <t>MajumderEtAl2024_RE-Model_High-Supervisor-Intensity</t>
  </si>
  <si>
    <t>GMM</t>
  </si>
  <si>
    <t>MajumderEtAl2024_ControlK-intensity</t>
  </si>
  <si>
    <t>MajumderEtAl2024_IV</t>
  </si>
  <si>
    <t>MajumderEtAl2024_IV-Model_Poll&gt;40</t>
  </si>
  <si>
    <t>rainfall</t>
  </si>
  <si>
    <t>localisation, time</t>
  </si>
  <si>
    <t>XiaoLiu2023</t>
  </si>
  <si>
    <t>Xiao, Liu</t>
  </si>
  <si>
    <t>Air Pollution and Enterprise Energy Efficiency: Evidence from Energy-Intensive Manufacturing Industries in China</t>
  </si>
  <si>
    <t>Sustainability</t>
  </si>
  <si>
    <t>temp_precipitation_humidity_wind-speed_pressure</t>
  </si>
  <si>
    <t>Mullins2018</t>
  </si>
  <si>
    <t>Mullins</t>
  </si>
  <si>
    <t>Ambient air pollution and human performance: Contemporaneous and acclimatization effects of ozone exposure on athletic performance</t>
  </si>
  <si>
    <t>Health Economics</t>
  </si>
  <si>
    <t>event-level</t>
  </si>
  <si>
    <t>meet + athlete</t>
  </si>
  <si>
    <t>result</t>
  </si>
  <si>
    <t>endurance</t>
  </si>
  <si>
    <t>worker, time, event</t>
  </si>
  <si>
    <t>temp_precipitation_wind_dew-point</t>
  </si>
  <si>
    <t>Mullins2018_Endurance</t>
  </si>
  <si>
    <t>Li, Shi, Zeng</t>
  </si>
  <si>
    <t>The Impact of Haze Pollution on Firm-Level TFP in China: Test of a Mediation Model of Labor Productivity</t>
  </si>
  <si>
    <t>revenue/staff_average</t>
  </si>
  <si>
    <t>mesure des PM2.5 par Columbia</t>
  </si>
  <si>
    <t>mesure des PM2.5 par le gouv chinois</t>
  </si>
  <si>
    <t>firm's_emissions</t>
  </si>
  <si>
    <t>Table 9 : colonne 6</t>
  </si>
  <si>
    <t>/inconstitent registered places</t>
  </si>
  <si>
    <t>LiEtAl2020_1</t>
  </si>
  <si>
    <t>LiEtAl2020_1_CNEMC</t>
  </si>
  <si>
    <t>LiEtAl2020_1_Columbia</t>
  </si>
  <si>
    <t>LiEtAl2020_1_RestrictedSample</t>
  </si>
  <si>
    <t>LiEtAl2020_1_Non-HeavyPollutingFirms</t>
  </si>
  <si>
    <t>LiEtAl2020_1_HeavyPollutingFirms</t>
  </si>
  <si>
    <t>LiEtAl2020_1_Non-State-OwnedFirms</t>
  </si>
  <si>
    <t>LiEtAl2020_1_State-OwnedFirms</t>
  </si>
  <si>
    <t>industry, region</t>
  </si>
  <si>
    <t>Kogel2022</t>
  </si>
  <si>
    <t>Kogel</t>
  </si>
  <si>
    <t>The impact of air pollution on labour productivity in France</t>
  </si>
  <si>
    <t>Kogel2022_OLS</t>
  </si>
  <si>
    <t>firm, sector, time</t>
  </si>
  <si>
    <t>local_labour_market</t>
  </si>
  <si>
    <t>Table 19 : colonne 1</t>
  </si>
  <si>
    <t>Kogel2022_IV</t>
  </si>
  <si>
    <t>PBLH, wind_speed</t>
  </si>
  <si>
    <t>Kogel2022_IV_1stCaniculeControl</t>
  </si>
  <si>
    <t>Kogel2022_IV_100%Service</t>
  </si>
  <si>
    <t>service_intensity</t>
  </si>
  <si>
    <t>Kogel2022_IV1_0%Service</t>
  </si>
  <si>
    <t>Kogel2022_IV_Kcontrol</t>
  </si>
  <si>
    <t>Table 20 : colonne 2</t>
  </si>
  <si>
    <t>Kogel2022_IV_HighSkilled</t>
  </si>
  <si>
    <t>Table 23 : colonne 1</t>
  </si>
  <si>
    <t>Kogel2022_IV1_LowSkilled</t>
  </si>
  <si>
    <t>Kogel2022_IV_HighPopDensity</t>
  </si>
  <si>
    <t>pop_density</t>
  </si>
  <si>
    <t>Table 24 : colonne 1</t>
  </si>
  <si>
    <t>Kogel2022_IV1_LowPopDensity</t>
  </si>
  <si>
    <t>Kogel2022_IV_MultiEstablishments</t>
  </si>
  <si>
    <t>multi_establishments</t>
  </si>
  <si>
    <t>Table 26 : colonne 1</t>
  </si>
  <si>
    <t>Kogel2022_IV_Urban</t>
  </si>
  <si>
    <t>Kogel2022_IV1_Rural</t>
  </si>
  <si>
    <t>Kogel2022_IV_Urban_ControlForServiceIntensity</t>
  </si>
  <si>
    <t xml:space="preserve">urban </t>
  </si>
  <si>
    <t>Kogel2022_IV1_Rural__ControlForServiceIntensity</t>
  </si>
  <si>
    <t>Kogel2022_IV_1Firms&gt;7yo</t>
  </si>
  <si>
    <t>firm's_age</t>
  </si>
  <si>
    <t>Kogel2022_IV_1Firms&gt;10yo</t>
  </si>
  <si>
    <t>Kogel2022_IV_LaborMarketW.ConstantPop</t>
  </si>
  <si>
    <t>population</t>
  </si>
  <si>
    <t>Kogel2022_IV_HighPollutionStock</t>
  </si>
  <si>
    <t>Kogel2022_IV1_LowPollutionStock</t>
  </si>
  <si>
    <t>HeJi2021</t>
  </si>
  <si>
    <t>He, Ji</t>
  </si>
  <si>
    <t>HeJi2021_OLS</t>
  </si>
  <si>
    <t>HeJi2021_IV</t>
  </si>
  <si>
    <t>HeJi2021_Male</t>
  </si>
  <si>
    <t>HeJi2021_Female</t>
  </si>
  <si>
    <t>HeJi2021_&lt;College</t>
  </si>
  <si>
    <t>HeJi2021_&gt;=College</t>
  </si>
  <si>
    <t>HeJi2021_Urban</t>
  </si>
  <si>
    <t>HeJi2021_Rural</t>
  </si>
  <si>
    <t>HeJi2021_HighSkilled</t>
  </si>
  <si>
    <t>HeJi2021_LowSkilled</t>
  </si>
  <si>
    <t>HeJi2021_Indoor</t>
  </si>
  <si>
    <t>HeJi2021_Outdoor</t>
  </si>
  <si>
    <t>HeJi2021_IV_12</t>
  </si>
  <si>
    <t>HeJi2021_IV_24</t>
  </si>
  <si>
    <t>PM1</t>
  </si>
  <si>
    <t>industry*</t>
  </si>
  <si>
    <t>author_preferred_proposition</t>
  </si>
  <si>
    <t>long_passes/short_passes</t>
  </si>
  <si>
    <t>LichterEtAl2017_OLS_PM10_playercara_level-level</t>
  </si>
  <si>
    <t>LichterEtAl2017_OLS_ozone_playercara_level-level</t>
  </si>
  <si>
    <t>LichterEtAl2017_OLS_PM10_playerFE_level-level</t>
  </si>
  <si>
    <t>LichterEtAl2017_OLS_ozone_playerFE_level-level</t>
  </si>
  <si>
    <t>LichterEtAl2017_OLS_PM10_weather_level-level</t>
  </si>
  <si>
    <t>LichterEtAl2017_OLS_ozone_weather_level-level</t>
  </si>
  <si>
    <t>LichterEtAl2017_OLS_PM10_match_level-level</t>
  </si>
  <si>
    <t>LichterEtAl2017_OLS_ozone_match_level-level</t>
  </si>
  <si>
    <t>LichterEtAl2017_OLS_PM10__coachFE_level-level</t>
  </si>
  <si>
    <t>LichterEtAl2017_OLS_ozone_coachFE_level-level</t>
  </si>
  <si>
    <t>LichterEtAl2017_OLS_PM10_teamxsaisonFE_level-level</t>
  </si>
  <si>
    <t>LichterEtAl2017_OLS_ozone_teamxsaisonFE_level-level</t>
  </si>
  <si>
    <t>LichterEtAl2017_OLS_PM10_playercara_log-log</t>
  </si>
  <si>
    <t>LichterEtAl2017_OLS_ozone_playercara_log-log</t>
  </si>
  <si>
    <t>LichterEtAl2017_OLS_PM10_playerFE_log-log</t>
  </si>
  <si>
    <t>LichterEtAl2017_OLS_ozone_playerFE_log-log</t>
  </si>
  <si>
    <t>LichterEtAl2017_OLS_PM10_weather_log-log</t>
  </si>
  <si>
    <t>LichterEtAl2017_OLS_ozone_weather_log-log</t>
  </si>
  <si>
    <t>LichterEtAl2017_OLS_PM10_match_log-log</t>
  </si>
  <si>
    <t>LichterEtAl2017_OLS_ozone_match_log-log</t>
  </si>
  <si>
    <t>LichterEtAl2017_OLS_PM10__coachFE_log-log</t>
  </si>
  <si>
    <t>LichterEtAl2017_OLS_ozone_coachFE_log-log</t>
  </si>
  <si>
    <t>LichterEtAl2017_OLS_PM10_teamxsaisonFE_log-log</t>
  </si>
  <si>
    <t>LichterEtAl2017_OLS_ozone_teamxsaisonFE_log-log</t>
  </si>
  <si>
    <t>HeyesEtAl2019_WithinMP</t>
  </si>
  <si>
    <t>physical performance</t>
  </si>
  <si>
    <t>temp_humidity_precipitation_wind_pressure</t>
  </si>
  <si>
    <t>FuEtAl2017</t>
  </si>
  <si>
    <t>Air Quality and Manufacturing Firm Productivity: Comprehensive Evidence from China</t>
  </si>
  <si>
    <t>Environmental Science, Economics</t>
  </si>
  <si>
    <t>Snowballing</t>
  </si>
  <si>
    <t>1000 CNY / worker</t>
  </si>
  <si>
    <t>temp_precipitation_humidity_wind-speed</t>
  </si>
  <si>
    <t>Table 3 : colonne 7</t>
  </si>
  <si>
    <t>FuEtAl2017_OLS_PM2.5</t>
  </si>
  <si>
    <t>FuEtAl2017_OLS_SO2</t>
  </si>
  <si>
    <t>FuEtAl2017_IV_PM2.5</t>
  </si>
  <si>
    <t>FuEtAl2017_IV_SO2</t>
  </si>
  <si>
    <t>FuEtAl2017_IV_PM2.5_WeightedVA</t>
  </si>
  <si>
    <t>FuEtAl2017_IV_PM2.5_TwoWayClustering</t>
  </si>
  <si>
    <t>FuEtAl2017_IV_PM2.5_NoWinsorizing</t>
  </si>
  <si>
    <t>FuEtAl2017_IV_PM2.5_AltInstrument</t>
  </si>
  <si>
    <t>FuEtAl2017_IV_SO2_WeightedVA</t>
  </si>
  <si>
    <t>FuEtAl2017_IV_SO2_TwoWayClustering</t>
  </si>
  <si>
    <t>FuEtAl2017_IV_SO2_NoWinsorizing</t>
  </si>
  <si>
    <t>FuEtAl2017_IV_SO2_AltInstrument</t>
  </si>
  <si>
    <t>FuEtAl2017_OLS_PM10_100km</t>
  </si>
  <si>
    <t>FuEtAl2017_OLS_PM10_150km</t>
  </si>
  <si>
    <t>FuEtAl2017_OLS_PM10_200km</t>
  </si>
  <si>
    <t>FuEtAl2017_OLS_PM10_250km</t>
  </si>
  <si>
    <t>FuEtAl2017_IV_PM10_100km</t>
  </si>
  <si>
    <t>FuEtAl2017_IV_PM10_150km</t>
  </si>
  <si>
    <t>FuEtAl2017_IV_PM10_200km</t>
  </si>
  <si>
    <t>FuEtAl2017_IV_PM10_250km</t>
  </si>
  <si>
    <t>FuEtAl2017_IV_PM2.5_log-log</t>
  </si>
  <si>
    <t>FuEtAl2017_IV_SO2_log-log</t>
  </si>
  <si>
    <t>Appendix A : colonne 1</t>
  </si>
  <si>
    <t>HuangEtAl2020</t>
  </si>
  <si>
    <t>Huang, Xu, Yu</t>
  </si>
  <si>
    <t>Pollution and Performance: Do Investors Make Worse Trades on Hazy Days?</t>
  </si>
  <si>
    <t>Management Science</t>
  </si>
  <si>
    <t>abnormal_trade_performance</t>
  </si>
  <si>
    <t>temp_precipitation_humidity_wind-speed_sunshine</t>
  </si>
  <si>
    <t>city, date</t>
  </si>
  <si>
    <t>Table 3A : colonne 1</t>
  </si>
  <si>
    <t>Table 3A : colonne 2</t>
  </si>
  <si>
    <t>Table 3A : colonne 3</t>
  </si>
  <si>
    <t>Table 3A : colonne 4</t>
  </si>
  <si>
    <t>HuangEtAl2020_Y=20days</t>
  </si>
  <si>
    <t>HuangEtAl2020_Y=40days</t>
  </si>
  <si>
    <t>HuangEtAl2020_Y=60days</t>
  </si>
  <si>
    <t>HuangEtAl2020_Y=80days</t>
  </si>
  <si>
    <t>Table 3B : colonne 1</t>
  </si>
  <si>
    <t>Table 3B : colonne 2</t>
  </si>
  <si>
    <t>Table 3B : colonne 3</t>
  </si>
  <si>
    <t>Table 3B : colonne 4</t>
  </si>
  <si>
    <t>HuangEtAl2020_Y=20days_TempControls</t>
  </si>
  <si>
    <t>HuangEtAl2020_Y=40days_TempControls</t>
  </si>
  <si>
    <t>HuangEtAl2020_Y=60days_TempControls</t>
  </si>
  <si>
    <t>HuangEtAl2020_Y=80days_TempControls</t>
  </si>
  <si>
    <t>HuangEtAl2020_Y=20days_ManipAirData</t>
  </si>
  <si>
    <t>HuangEtAl2020_Y=40days_ManipAirData</t>
  </si>
  <si>
    <t>HuangEtAl2020_Y=60days_ManipAirData</t>
  </si>
  <si>
    <t>HuangEtAl2020_Y=80days_ManipAirData</t>
  </si>
  <si>
    <t>HuangEtAl2020_Y=40days_LocalStock</t>
  </si>
  <si>
    <t>HuangEtAl2020_Y=40days_NonLocalStock</t>
  </si>
  <si>
    <t>Kountouris</t>
  </si>
  <si>
    <t>Kountouris2020</t>
  </si>
  <si>
    <t>Ambient PM2.5 influences productive activities in public sector bureaucracies</t>
  </si>
  <si>
    <t>Greece</t>
  </si>
  <si>
    <t>acts_uploaded</t>
  </si>
  <si>
    <t>public_administration</t>
  </si>
  <si>
    <t>Table 1 : colonne 2</t>
  </si>
  <si>
    <t>Table 1 : colonne 3</t>
  </si>
  <si>
    <t>temp_humidity_wind-speed</t>
  </si>
  <si>
    <t>Kountouris2020_OLS_W/Controls</t>
  </si>
  <si>
    <t>Kountouris2020_OLS_W.WeatherControls</t>
  </si>
  <si>
    <t>Kountouris2020_OLS_W.StrikesControls</t>
  </si>
  <si>
    <t>Kountouris2020_IV_W/Controls</t>
  </si>
  <si>
    <t>Kountouris2020_IV_W.WeatherControls</t>
  </si>
  <si>
    <t>Kountouris2020_IV_W.StrikesControls</t>
  </si>
  <si>
    <t>wind_speed</t>
  </si>
  <si>
    <t>Kountouris2020_IV_InverseDistanceWeighted</t>
  </si>
  <si>
    <t>Kountouris2020_IV_Instrument=LaggedWindStrength</t>
  </si>
  <si>
    <t>Kountouris2020_IV_Instrument=WindStrength</t>
  </si>
  <si>
    <t>Kountouris2020_IV_Instrument=log(WindStrength)</t>
  </si>
  <si>
    <t>Kountouris2020_IV_W.WeatherControlsInFlexibleForms</t>
  </si>
  <si>
    <t>Kountouris2020_IV_W.MunicipalityTrends</t>
  </si>
  <si>
    <t>Kountouris2020_IV_W.MunicipalityControls</t>
  </si>
  <si>
    <t>Kountouris2020_IV_W.Year-MonthControls</t>
  </si>
  <si>
    <t>wind_strength</t>
  </si>
  <si>
    <t>Pollution and Labor Productivity: Evidence from Chilean Cities</t>
  </si>
  <si>
    <t>JoosteEtAl2022</t>
  </si>
  <si>
    <t>Jooste, Loch-Temzelides, Sampi, Dudu</t>
  </si>
  <si>
    <t>World Bank</t>
  </si>
  <si>
    <t>Chile</t>
  </si>
  <si>
    <t>output/worker</t>
  </si>
  <si>
    <t>localisation, time, sector</t>
  </si>
  <si>
    <t>building_power_plants</t>
  </si>
  <si>
    <t>JoosteEtAl2022_OLS_CityTimeFE</t>
  </si>
  <si>
    <t>JoosteEtAl2022_OLS_TimeFE</t>
  </si>
  <si>
    <t>JoosteEtAl2022_OLS_SectorTimeProvinceFE</t>
  </si>
  <si>
    <t>JoosteEtAl2022_OLS_Time*Sector*ProvinceFE</t>
  </si>
  <si>
    <t>JoosteEtAl2022_IV_Time*Sector*ProvinceFE</t>
  </si>
  <si>
    <t>JoosteEtAl2022_IV_Time*Sector*CityFE</t>
  </si>
  <si>
    <t>KrebsLuechinger2024</t>
  </si>
  <si>
    <t>Krebs, Luechinger</t>
  </si>
  <si>
    <t>Air Pollution, Cognitive Performance, and the Role of Task Proficiency</t>
  </si>
  <si>
    <t>The University of Chicago Press</t>
  </si>
  <si>
    <t>nb_correct_answers/worker</t>
  </si>
  <si>
    <t>game-level</t>
  </si>
  <si>
    <t>thermal_inversion*emissions</t>
  </si>
  <si>
    <t>temp_dew-point_wind-speed_precipitation_cloud-cover</t>
  </si>
  <si>
    <t>localisation, date</t>
  </si>
  <si>
    <t>Table 1: colonne 1</t>
  </si>
  <si>
    <t>Table 1: colonne 2</t>
  </si>
  <si>
    <t>Table 1: colonne 3</t>
  </si>
  <si>
    <t>KrebsLuechinger2024_OLS_AllIndiv</t>
  </si>
  <si>
    <t>KrebsLuechinger2024_IV_AllIndiv</t>
  </si>
  <si>
    <t>KrebsLuechinger2024_OLS_ProficientIndiv</t>
  </si>
  <si>
    <t>KrebsLuechinger2024_IV_ProficientIndiv</t>
  </si>
  <si>
    <t>KrebsLuechinger2024_OLS_NonProficientIndiv</t>
  </si>
  <si>
    <t>KrebsLuechinger2024_IV_NonProficientIndiv</t>
  </si>
  <si>
    <t>KrebsLuechinger2024_OLS_ProficientIndiv_Threshold=75</t>
  </si>
  <si>
    <t>KrebsLuechinger2024_OLS_ProficientIndiv_Threshold=125</t>
  </si>
  <si>
    <t>KrebsLuechinger2024_OLS_NonProficientIndiv_Threshold=75</t>
  </si>
  <si>
    <t>KrebsLuechinger2024_OLS_NonProficientIndiv_Threshold=125</t>
  </si>
  <si>
    <t>KrebsLuechinger2024_IV_ProficientIndiv_Threshold=75</t>
  </si>
  <si>
    <t>KrebsLuechinger2024_IV_NonProficientIndiv_Threshold=75</t>
  </si>
  <si>
    <t>KrebsLuechinger2024_IV_ProficientIndiv_Threshold=125</t>
  </si>
  <si>
    <t>KrebsLuechinger2024_IV_NonProficientIndiv_Threshol125</t>
  </si>
  <si>
    <t xml:space="preserve">Table A2 : colonne 1 </t>
  </si>
  <si>
    <t>KrebsLuechinger2024_OLS_W/InfluentialObs</t>
  </si>
  <si>
    <t>KrebsLuechinger2024_OLS_Log-Level</t>
  </si>
  <si>
    <t>KrebsLuechinger2024_IV_Log-Level</t>
  </si>
  <si>
    <t>KrebsLuechinger2024_IV_W/InfluentialObs</t>
  </si>
  <si>
    <t>KrebsLuechinger2024_IV_Winsorized</t>
  </si>
  <si>
    <t>KrebsLuechinger2024_OLS_Winsorized</t>
  </si>
  <si>
    <t>Table A6 : colonne 4</t>
  </si>
  <si>
    <t>Table A6 : colonne 5</t>
  </si>
  <si>
    <t>Table A6 : colonne 6</t>
  </si>
  <si>
    <t>KrebsLuechinger2024_OLS_Age&lt;60</t>
  </si>
  <si>
    <t>KrebsLuechinger2024_OLS_Age&gt;60</t>
  </si>
  <si>
    <t>KrebsLuechinger2024_OLS_Women</t>
  </si>
  <si>
    <t>KrebsLuechinger2024_OLS_Men</t>
  </si>
  <si>
    <t>KrebsLuechinger2024_OLS_LowIncome</t>
  </si>
  <si>
    <t>KrebsLuechinger2024_OLS_HighIncome</t>
  </si>
  <si>
    <t>KrebsLuechinger2024_IV_Age&lt;60</t>
  </si>
  <si>
    <t>KrebsLuechinger2024_IV_Age&gt;60</t>
  </si>
  <si>
    <t>KrebsLuechinger2024_IV_Women</t>
  </si>
  <si>
    <t>KrebsLuechinger2024_IV_Men</t>
  </si>
  <si>
    <t>KrebsLuechinger2024_IV_HighIncome</t>
  </si>
  <si>
    <t>KrebsLuechinger2024_IV_LowIncome</t>
  </si>
  <si>
    <t>AliEtAl2025</t>
  </si>
  <si>
    <t>AliEtAl2025_t-6</t>
  </si>
  <si>
    <t>Ali, Fan, Li</t>
  </si>
  <si>
    <t>Air pollution and managers’ forecasting ability</t>
  </si>
  <si>
    <t>Review of Accounting Studies</t>
  </si>
  <si>
    <t>AliEtAl2025_t-12</t>
  </si>
  <si>
    <t>AliEtAl2025_t-18</t>
  </si>
  <si>
    <t>AliEtAl2025_t-24</t>
  </si>
  <si>
    <t>AliEtAl2025_t-30</t>
  </si>
  <si>
    <t>accuracy</t>
  </si>
  <si>
    <t>management</t>
  </si>
  <si>
    <t>manager</t>
  </si>
  <si>
    <t>output-level</t>
  </si>
  <si>
    <t>Table 3 colonne 1</t>
  </si>
  <si>
    <t>Table 3 colonne 2</t>
  </si>
  <si>
    <t>Table 3 colonne 3</t>
  </si>
  <si>
    <t>Table 3 colonne 4</t>
  </si>
  <si>
    <t>Table 3 colonne 5</t>
  </si>
  <si>
    <t>Table 3 colonne 7</t>
  </si>
  <si>
    <t>AliEtAl2025_t-12_IV</t>
  </si>
  <si>
    <t>Table 4 - panel C : colonne 2</t>
  </si>
  <si>
    <t>AliEtAl2025_t-12_1999/2008</t>
  </si>
  <si>
    <t>Table 4 - panel E : colonne 2</t>
  </si>
  <si>
    <t>AliEtAl2025_t-12_OtherForecast</t>
  </si>
  <si>
    <t>AliEtAl2025_t-12_QuaterlyForecast</t>
  </si>
  <si>
    <t>Table 5 - panel B : colonne 2</t>
  </si>
  <si>
    <t>Table 5 - panel B : colonne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</si>
</sst>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"/>
  </numFmts>
  <fonts count="21" x14ac:knownFonts="1">
    <font>
      <sz val="11"/>
      <color theme="1"/>
      <name val="Calibri"/>
      <family val="2"/>
      <scheme val="minor"/>
    </font>
    <font>
      <b/>
      <sz val="10"/>
      <color rgb="FFC00000"/>
      <name val="Arial"/>
    </font>
    <font>
      <b/>
      <sz val="9"/>
      <color rgb="FFFFFFFF"/>
      <name val="Arial"/>
    </font>
    <font>
      <sz val="9"/>
      <name val="Arial"/>
    </font>
    <font>
      <b/>
      <sz val="10"/>
      <color rgb="FF1F3864"/>
      <name val="Arial"/>
    </font>
    <font>
      <b/>
      <sz val="11"/>
      <color rgb="FFC00000"/>
      <name val="Arial"/>
    </font>
    <font>
      <i/>
      <sz val="9"/>
      <color rgb="FF404040"/>
      <name val="Arial"/>
    </font>
    <font>
      <b/>
      <sz val="10"/>
      <color rgb="FFFFFFFF"/>
      <name val="Arial"/>
    </font>
    <font>
      <b/>
      <sz val="9"/>
      <name val="Arial"/>
    </font>
    <font>
      <sz val="8"/>
      <name val="Calibri"/>
      <family val="2"/>
      <scheme val="minor"/>
    </font>
    <font>
      <b/>
      <sz val="10"/>
      <color rgb="FF1F3864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b/>
      <sz val="9"/>
      <name val="Arial"/>
      <family val="2"/>
    </font>
    <font>
      <sz val="11"/>
      <color theme="1"/>
      <name val="Calibri"/>
      <family val="2"/>
    </font>
    <font>
      <sz val="1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8CBAD"/>
      </patternFill>
    </fill>
    <fill>
      <patternFill patternType="solid">
        <fgColor rgb="FFE4DFEC"/>
      </patternFill>
    </fill>
    <fill>
      <patternFill patternType="solid">
        <fgColor rgb="FFEDEDED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3" fillId="0" borderId="1" xfId="0" applyFont="1" applyBorder="1"/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vertical="top" wrapText="1"/>
    </xf>
    <xf numFmtId="0" fontId="3" fillId="8" borderId="1" xfId="0" applyFont="1" applyFill="1" applyBorder="1" applyAlignment="1">
      <alignment vertical="top" wrapText="1"/>
    </xf>
    <xf numFmtId="0" fontId="3" fillId="9" borderId="1" xfId="0" applyFont="1" applyFill="1" applyBorder="1" applyAlignment="1">
      <alignment vertical="top" wrapText="1"/>
    </xf>
    <xf numFmtId="0" fontId="3" fillId="10" borderId="1" xfId="0" applyFont="1" applyFill="1" applyBorder="1" applyAlignment="1">
      <alignment vertical="top" wrapText="1"/>
    </xf>
    <xf numFmtId="0" fontId="3" fillId="0" borderId="2" xfId="0" applyFont="1" applyBorder="1"/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4" fontId="4" fillId="4" borderId="1" xfId="0" applyNumberFormat="1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1" fillId="0" borderId="2" xfId="0" applyFont="1" applyBorder="1"/>
    <xf numFmtId="0" fontId="10" fillId="4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wrapText="1"/>
    </xf>
    <xf numFmtId="0" fontId="11" fillId="0" borderId="1" xfId="0" applyFont="1" applyBorder="1"/>
    <xf numFmtId="0" fontId="13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  <xf numFmtId="0" fontId="0" fillId="11" borderId="0" xfId="0" applyFill="1" applyAlignment="1">
      <alignment horizontal="left"/>
    </xf>
    <xf numFmtId="0" fontId="0" fillId="11" borderId="0" xfId="0" applyFill="1" applyAlignment="1">
      <alignment horizontal="center"/>
    </xf>
    <xf numFmtId="14" fontId="0" fillId="11" borderId="0" xfId="0" applyNumberFormat="1" applyFill="1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left"/>
    </xf>
    <xf numFmtId="0" fontId="0" fillId="12" borderId="0" xfId="0" applyFill="1" applyAlignment="1">
      <alignment horizontal="center"/>
    </xf>
    <xf numFmtId="0" fontId="0" fillId="12" borderId="0" xfId="0" applyFill="1"/>
    <xf numFmtId="1" fontId="0" fillId="12" borderId="0" xfId="0" applyNumberFormat="1" applyFill="1" applyAlignment="1">
      <alignment horizontal="center"/>
    </xf>
    <xf numFmtId="14" fontId="0" fillId="12" borderId="0" xfId="0" applyNumberFormat="1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4" borderId="0" xfId="0" applyFill="1" applyAlignment="1">
      <alignment horizontal="left"/>
    </xf>
    <xf numFmtId="0" fontId="0" fillId="14" borderId="0" xfId="0" applyFill="1" applyAlignment="1">
      <alignment horizontal="center"/>
    </xf>
    <xf numFmtId="14" fontId="0" fillId="14" borderId="0" xfId="0" applyNumberFormat="1" applyFill="1" applyAlignment="1">
      <alignment horizontal="center"/>
    </xf>
    <xf numFmtId="1" fontId="0" fillId="11" borderId="0" xfId="0" applyNumberFormat="1" applyFill="1" applyAlignment="1">
      <alignment horizontal="center"/>
    </xf>
    <xf numFmtId="1" fontId="0" fillId="13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0" fontId="4" fillId="15" borderId="1" xfId="0" applyFont="1" applyFill="1" applyBorder="1" applyAlignment="1">
      <alignment horizontal="center" vertical="center" wrapText="1"/>
    </xf>
    <xf numFmtId="0" fontId="0" fillId="16" borderId="0" xfId="0" applyFill="1" applyAlignment="1">
      <alignment horizontal="center"/>
    </xf>
    <xf numFmtId="0" fontId="0" fillId="17" borderId="0" xfId="0" applyFill="1" applyAlignment="1">
      <alignment horizontal="left"/>
    </xf>
    <xf numFmtId="0" fontId="0" fillId="17" borderId="0" xfId="0" applyFill="1" applyAlignment="1">
      <alignment horizontal="center"/>
    </xf>
    <xf numFmtId="1" fontId="0" fillId="17" borderId="0" xfId="0" applyNumberFormat="1" applyFill="1" applyAlignment="1">
      <alignment horizontal="center"/>
    </xf>
    <xf numFmtId="14" fontId="0" fillId="17" borderId="0" xfId="0" applyNumberFormat="1" applyFill="1" applyAlignment="1">
      <alignment horizontal="center"/>
    </xf>
    <xf numFmtId="0" fontId="3" fillId="11" borderId="1" xfId="0" applyFont="1" applyFill="1" applyBorder="1"/>
    <xf numFmtId="3" fontId="0" fillId="14" borderId="0" xfId="0" applyNumberFormat="1" applyFill="1" applyAlignment="1">
      <alignment horizontal="center"/>
    </xf>
    <xf numFmtId="0" fontId="0" fillId="17" borderId="0" xfId="0" applyFill="1"/>
    <xf numFmtId="17" fontId="0" fillId="11" borderId="0" xfId="0" applyNumberFormat="1" applyFill="1" applyAlignment="1">
      <alignment horizontal="center"/>
    </xf>
    <xf numFmtId="0" fontId="3" fillId="0" borderId="3" xfId="0" applyFont="1" applyBorder="1"/>
    <xf numFmtId="0" fontId="3" fillId="0" borderId="0" xfId="0" applyFont="1"/>
    <xf numFmtId="0" fontId="0" fillId="13" borderId="0" xfId="0" applyFill="1"/>
    <xf numFmtId="17" fontId="0" fillId="13" borderId="0" xfId="0" applyNumberFormat="1" applyFill="1" applyAlignment="1">
      <alignment horizontal="center"/>
    </xf>
    <xf numFmtId="0" fontId="0" fillId="14" borderId="0" xfId="0" applyFill="1"/>
    <xf numFmtId="17" fontId="0" fillId="14" borderId="0" xfId="0" applyNumberFormat="1" applyFill="1" applyAlignment="1">
      <alignment horizontal="center"/>
    </xf>
    <xf numFmtId="0" fontId="14" fillId="12" borderId="0" xfId="0" applyFont="1" applyFill="1" applyAlignment="1">
      <alignment horizontal="center"/>
    </xf>
    <xf numFmtId="14" fontId="15" fillId="12" borderId="0" xfId="0" applyNumberFormat="1" applyFont="1" applyFill="1" applyAlignment="1">
      <alignment horizontal="center"/>
    </xf>
    <xf numFmtId="0" fontId="14" fillId="12" borderId="0" xfId="0" applyFont="1" applyFill="1" applyAlignment="1">
      <alignment horizontal="left"/>
    </xf>
    <xf numFmtId="0" fontId="15" fillId="11" borderId="0" xfId="0" applyFont="1" applyFill="1" applyAlignment="1">
      <alignment horizontal="center"/>
    </xf>
    <xf numFmtId="14" fontId="15" fillId="11" borderId="0" xfId="0" applyNumberFormat="1" applyFont="1" applyFill="1" applyAlignment="1">
      <alignment horizontal="center"/>
    </xf>
    <xf numFmtId="17" fontId="15" fillId="11" borderId="0" xfId="0" applyNumberFormat="1" applyFont="1" applyFill="1" applyAlignment="1">
      <alignment horizontal="center"/>
    </xf>
    <xf numFmtId="0" fontId="15" fillId="11" borderId="0" xfId="0" applyFont="1" applyFill="1" applyAlignment="1">
      <alignment horizontal="left"/>
    </xf>
    <xf numFmtId="17" fontId="0" fillId="12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/>
    </xf>
    <xf numFmtId="0" fontId="0" fillId="19" borderId="0" xfId="0" applyFill="1"/>
    <xf numFmtId="14" fontId="0" fillId="19" borderId="0" xfId="0" applyNumberFormat="1" applyFill="1" applyAlignment="1">
      <alignment horizontal="center"/>
    </xf>
    <xf numFmtId="0" fontId="0" fillId="18" borderId="0" xfId="0" applyFill="1" applyAlignment="1">
      <alignment horizontal="left"/>
    </xf>
    <xf numFmtId="0" fontId="18" fillId="20" borderId="0" xfId="0" applyFont="1" applyFill="1" applyAlignment="1">
      <alignment horizontal="left"/>
    </xf>
    <xf numFmtId="0" fontId="18" fillId="20" borderId="0" xfId="0" applyFont="1" applyFill="1" applyAlignment="1">
      <alignment horizontal="center"/>
    </xf>
    <xf numFmtId="1" fontId="18" fillId="20" borderId="0" xfId="0" applyNumberFormat="1" applyFont="1" applyFill="1" applyAlignment="1">
      <alignment horizontal="center"/>
    </xf>
    <xf numFmtId="0" fontId="18" fillId="19" borderId="0" xfId="0" applyFont="1" applyFill="1"/>
    <xf numFmtId="11" fontId="0" fillId="14" borderId="0" xfId="0" applyNumberFormat="1" applyFill="1" applyAlignment="1">
      <alignment horizontal="center"/>
    </xf>
    <xf numFmtId="0" fontId="4" fillId="18" borderId="1" xfId="0" applyFont="1" applyFill="1" applyBorder="1" applyAlignment="1">
      <alignment horizontal="center" vertical="center" wrapText="1"/>
    </xf>
    <xf numFmtId="165" fontId="0" fillId="17" borderId="0" xfId="0" applyNumberFormat="1" applyFill="1" applyAlignment="1">
      <alignment horizontal="center"/>
    </xf>
    <xf numFmtId="165" fontId="0" fillId="11" borderId="0" xfId="0" applyNumberFormat="1" applyFill="1" applyAlignment="1">
      <alignment horizontal="center"/>
    </xf>
    <xf numFmtId="165" fontId="0" fillId="12" borderId="0" xfId="0" applyNumberFormat="1" applyFill="1" applyAlignment="1">
      <alignment horizontal="center"/>
    </xf>
    <xf numFmtId="165" fontId="0" fillId="13" borderId="0" xfId="0" applyNumberFormat="1" applyFill="1" applyAlignment="1">
      <alignment horizontal="center"/>
    </xf>
    <xf numFmtId="165" fontId="0" fillId="14" borderId="0" xfId="0" applyNumberFormat="1" applyFill="1" applyAlignment="1">
      <alignment horizontal="center"/>
    </xf>
    <xf numFmtId="165" fontId="15" fillId="11" borderId="0" xfId="0" applyNumberFormat="1" applyFont="1" applyFill="1" applyAlignment="1">
      <alignment horizontal="center"/>
    </xf>
    <xf numFmtId="165" fontId="14" fillId="12" borderId="0" xfId="0" applyNumberFormat="1" applyFont="1" applyFill="1" applyAlignment="1">
      <alignment horizontal="center"/>
    </xf>
    <xf numFmtId="165" fontId="0" fillId="19" borderId="0" xfId="0" applyNumberFormat="1" applyFill="1" applyAlignment="1">
      <alignment horizontal="center"/>
    </xf>
    <xf numFmtId="165" fontId="14" fillId="13" borderId="0" xfId="0" applyNumberFormat="1" applyFont="1" applyFill="1" applyAlignment="1">
      <alignment horizontal="center"/>
    </xf>
    <xf numFmtId="165" fontId="14" fillId="14" borderId="0" xfId="0" applyNumberFormat="1" applyFont="1" applyFill="1" applyAlignment="1">
      <alignment horizontal="center"/>
    </xf>
    <xf numFmtId="165" fontId="14" fillId="17" borderId="0" xfId="0" applyNumberFormat="1" applyFont="1" applyFill="1" applyAlignment="1">
      <alignment horizontal="center"/>
    </xf>
    <xf numFmtId="165" fontId="14" fillId="11" borderId="0" xfId="0" applyNumberFormat="1" applyFont="1" applyFill="1" applyAlignment="1">
      <alignment horizontal="center"/>
    </xf>
    <xf numFmtId="1" fontId="14" fillId="12" borderId="0" xfId="0" applyNumberFormat="1" applyFont="1" applyFill="1" applyAlignment="1">
      <alignment horizontal="center"/>
    </xf>
    <xf numFmtId="1" fontId="14" fillId="13" borderId="0" xfId="0" applyNumberFormat="1" applyFont="1" applyFill="1" applyAlignment="1">
      <alignment horizontal="center"/>
    </xf>
    <xf numFmtId="1" fontId="14" fillId="14" borderId="0" xfId="0" applyNumberFormat="1" applyFont="1" applyFill="1" applyAlignment="1">
      <alignment horizontal="center"/>
    </xf>
    <xf numFmtId="1" fontId="14" fillId="17" borderId="0" xfId="0" applyNumberFormat="1" applyFont="1" applyFill="1" applyAlignment="1">
      <alignment horizontal="center"/>
    </xf>
    <xf numFmtId="1" fontId="14" fillId="11" borderId="0" xfId="0" applyNumberFormat="1" applyFont="1" applyFill="1" applyAlignment="1">
      <alignment horizontal="center"/>
    </xf>
    <xf numFmtId="1" fontId="0" fillId="19" borderId="0" xfId="0" applyNumberFormat="1" applyFill="1" applyAlignment="1">
      <alignment horizontal="center"/>
    </xf>
    <xf numFmtId="165" fontId="18" fillId="20" borderId="0" xfId="0" applyNumberFormat="1" applyFont="1" applyFill="1" applyAlignment="1">
      <alignment horizontal="center"/>
    </xf>
    <xf numFmtId="17" fontId="0" fillId="17" borderId="0" xfId="0" applyNumberFormat="1" applyFill="1" applyAlignment="1">
      <alignment horizontal="center"/>
    </xf>
    <xf numFmtId="0" fontId="1" fillId="0" borderId="0" xfId="0" applyFont="1"/>
    <xf numFmtId="0" fontId="0" fillId="0" borderId="0" xfId="0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lara BARBARIT" id="{2D2FC716-E1F2-45AA-9660-ED3479F49EF6}" userId="S::clara.barbarit@sciencespo.fr::1e8b9003-7a8d-4936-810f-e2d9723a5db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66" dT="2026-07-10T13:08:42.32" personId="{2D2FC716-E1F2-45AA-9660-ED3479F49EF6}" id="{66FA46E8-B8EA-4D01-AA04-FA67543849F5}">
    <text xml:space="preserve">Calculé </text>
  </threadedComment>
  <threadedComment ref="AV66" dT="2026-07-10T07:33:18.77" personId="{2D2FC716-E1F2-45AA-9660-ED3479F49EF6}" id="{D87E8D9B-C94A-4982-8A30-EA723783614B}">
    <text xml:space="preserve">Localisé à 2.7miles </text>
  </threadedComment>
  <threadedComment ref="BU66" dT="2026-07-13T08:10:07.56" personId="{2D2FC716-E1F2-45AA-9660-ED3479F49EF6}" id="{C2C836A1-2B05-45A8-B563-B569EBD2CE91}">
    <text>Saison de juillet à novembre</text>
  </threadedComment>
  <threadedComment ref="BW66" dT="2026-07-10T07:35:39.47" personId="{2D2FC716-E1F2-45AA-9660-ED3479F49EF6}" id="{43DF8793-2609-4718-86E2-731BB14B40DB}">
    <text>Every 6 days for X</text>
  </threadedComment>
  <threadedComment ref="BZ66" dT="2026-07-10T08:03:18.86" personId="{2D2FC716-E1F2-45AA-9660-ED3479F49EF6}" id="{7DB6131A-3DE9-40F9-B9E4-980E5D8C519F}">
    <text>Arguments justifiant l’utilisation d’OLS</text>
  </threadedComment>
  <threadedComment ref="CC66" dT="2026-07-10T13:27:22.02" personId="{2D2FC716-E1F2-45AA-9660-ED3479F49EF6}" id="{6F3266FC-A9DF-4CBB-B86C-2CFF47754613}">
    <text>Préciser?</text>
  </threadedComment>
  <threadedComment ref="AN67" dT="2026-07-15T15:23:29.36" personId="{2D2FC716-E1F2-45AA-9660-ED3479F49EF6}" id="{AA402119-3B6D-4ECA-863E-9F031F8180D2}">
    <text>Devrait être plus faible</text>
  </threadedComment>
  <threadedComment ref="AV67" dT="2026-07-10T07:33:18.77" personId="{2D2FC716-E1F2-45AA-9660-ED3479F49EF6}" id="{E0A156DE-6A17-481B-9AB9-CDC28FF004E3}">
    <text xml:space="preserve">Localisé à 2.7miles </text>
  </threadedComment>
  <threadedComment ref="BW67" dT="2026-07-10T07:35:39.47" personId="{2D2FC716-E1F2-45AA-9660-ED3479F49EF6}" id="{27914532-1E5C-4839-8C81-6985652A5FD6}">
    <text>Every 6 days for X</text>
  </threadedComment>
  <threadedComment ref="BZ67" dT="2026-07-10T08:03:18.86" personId="{2D2FC716-E1F2-45AA-9660-ED3479F49EF6}" id="{63061A09-0949-4158-BE45-2E91CF8BFF71}">
    <text>Arguments justifiant l’utilisation d’OLS</text>
  </threadedComment>
  <threadedComment ref="L68" dT="2026-07-10T13:37:30.10" personId="{2D2FC716-E1F2-45AA-9660-ED3479F49EF6}" id="{D3AC3524-91FA-450E-9D45-759CD1A53026}">
    <text>Ok?</text>
  </threadedComment>
  <threadedComment ref="AV68" dT="2026-07-10T07:33:18.77" personId="{2D2FC716-E1F2-45AA-9660-ED3479F49EF6}" id="{96688E9D-FD90-4B4C-BF8C-4BC553551824}">
    <text xml:space="preserve">Localisé à 2.7miles </text>
  </threadedComment>
  <threadedComment ref="BW68" dT="2026-07-10T07:35:39.47" personId="{2D2FC716-E1F2-45AA-9660-ED3479F49EF6}" id="{D72CA262-8F4A-40F7-8A78-850C6753FFA8}">
    <text>Every 6 days for X</text>
  </threadedComment>
  <threadedComment ref="BZ68" dT="2026-07-10T08:03:18.86" personId="{2D2FC716-E1F2-45AA-9660-ED3479F49EF6}" id="{C7F36DCB-E5DC-472B-B44E-ACB914EB6B8C}">
    <text>Arguments justifiant l’utilisation d’OLS</text>
  </threadedComment>
  <threadedComment ref="L69" dT="2026-07-10T13:37:30.10" personId="{2D2FC716-E1F2-45AA-9660-ED3479F49EF6}" id="{2C25D257-D3EE-4E4E-BCBC-851319AEFA9A}">
    <text>Ok?</text>
  </threadedComment>
  <threadedComment ref="AV69" dT="2026-07-10T07:33:18.77" personId="{2D2FC716-E1F2-45AA-9660-ED3479F49EF6}" id="{7E755C5C-864C-467C-8010-9FF59A654A81}">
    <text xml:space="preserve">Localisé à 2.7miles </text>
  </threadedComment>
  <threadedComment ref="BW69" dT="2026-07-10T07:35:39.47" personId="{2D2FC716-E1F2-45AA-9660-ED3479F49EF6}" id="{5FD12EC4-3518-44AD-8268-632A1A7D5E7F}">
    <text>Every 6 days for X</text>
  </threadedComment>
  <threadedComment ref="BZ69" dT="2026-07-10T08:03:18.86" personId="{2D2FC716-E1F2-45AA-9660-ED3479F49EF6}" id="{43831842-E2E3-46F6-8953-85C121A91509}">
    <text>Arguments justifiant l’utilisation d’OLS</text>
  </threadedComment>
  <threadedComment ref="AV70" dT="2026-07-10T07:33:18.77" personId="{2D2FC716-E1F2-45AA-9660-ED3479F49EF6}" id="{E7F13BA6-7795-4200-B1AE-692B92A680A5}">
    <text xml:space="preserve">Localisé à 2.7miles </text>
  </threadedComment>
  <threadedComment ref="BW70" dT="2026-07-10T07:35:39.47" personId="{2D2FC716-E1F2-45AA-9660-ED3479F49EF6}" id="{24A29A96-9752-4FC9-B592-E0474ACF77AD}">
    <text>Every 6 days for X</text>
  </threadedComment>
  <threadedComment ref="BZ70" dT="2026-07-10T08:03:18.86" personId="{2D2FC716-E1F2-45AA-9660-ED3479F49EF6}" id="{3E02B952-0AC6-4501-89BB-173F72E8E21C}">
    <text>Arguments justifiant l’utilisation d’OLS</text>
  </threadedComment>
  <threadedComment ref="AV71" dT="2026-07-10T07:33:18.77" personId="{2D2FC716-E1F2-45AA-9660-ED3479F49EF6}" id="{C4D32BB4-959F-4656-862C-1025F5EA9BF7}">
    <text xml:space="preserve">Localisé à 2.7miles </text>
  </threadedComment>
  <threadedComment ref="BW71" dT="2026-07-10T07:35:39.47" personId="{2D2FC716-E1F2-45AA-9660-ED3479F49EF6}" id="{B153362E-A020-43C1-8743-FDB2C3664F2F}">
    <text>Every 6 days for X</text>
  </threadedComment>
  <threadedComment ref="BZ71" dT="2026-07-10T08:03:18.86" personId="{2D2FC716-E1F2-45AA-9660-ED3479F49EF6}" id="{08E03BDA-D892-4AE8-B77A-62F32C26F511}">
    <text>Arguments justifiant l’utilisation d’OLS</text>
  </threadedComment>
  <threadedComment ref="AV72" dT="2026-07-10T07:33:18.77" personId="{2D2FC716-E1F2-45AA-9660-ED3479F49EF6}" id="{44DAC2C4-D00B-4B7C-9EA9-EA5248BCBA5D}">
    <text xml:space="preserve">Localisé à 2.7miles </text>
  </threadedComment>
  <threadedComment ref="BW72" dT="2026-07-10T07:35:39.47" personId="{2D2FC716-E1F2-45AA-9660-ED3479F49EF6}" id="{71881348-CA59-4E84-9EC9-8FDAD9AA2DB6}">
    <text>Every 6 days for X</text>
  </threadedComment>
  <threadedComment ref="BZ72" dT="2026-07-10T08:03:18.86" personId="{2D2FC716-E1F2-45AA-9660-ED3479F49EF6}" id="{9AA268FF-924B-444A-85E4-6874778A1F16}">
    <text>Arguments justifiant l’utilisation d’OLS</text>
  </threadedComment>
  <threadedComment ref="AV73" dT="2026-07-10T07:33:18.77" personId="{2D2FC716-E1F2-45AA-9660-ED3479F49EF6}" id="{5D54C50B-0FD2-46F2-9875-F99701E3C2EF}">
    <text xml:space="preserve">Localisé à 2.7miles </text>
  </threadedComment>
  <threadedComment ref="BW73" dT="2026-07-10T07:35:39.47" personId="{2D2FC716-E1F2-45AA-9660-ED3479F49EF6}" id="{C9E8F4D3-BAE7-42D7-AD9C-6EF53471637B}">
    <text>Every 6 days for X</text>
  </threadedComment>
  <threadedComment ref="BZ73" dT="2026-07-10T08:03:18.86" personId="{2D2FC716-E1F2-45AA-9660-ED3479F49EF6}" id="{D503EC79-B89D-4E18-BC1D-6ACEB8530909}">
    <text>Arguments justifiant l’utilisation d’OLS</text>
  </threadedComment>
  <threadedComment ref="R74" dT="2026-07-10T13:08:42.32" personId="{2D2FC716-E1F2-45AA-9660-ED3479F49EF6}" id="{40542D17-77EB-44A1-9D96-7795FC075428}">
    <text xml:space="preserve">Calculé </text>
  </threadedComment>
  <threadedComment ref="AV74" dT="2026-07-10T07:33:18.77" personId="{2D2FC716-E1F2-45AA-9660-ED3479F49EF6}" id="{75D9031E-B9F0-4E0A-810F-54BB923F7AB6}">
    <text xml:space="preserve">Localisé à 2.7miles </text>
  </threadedComment>
  <threadedComment ref="BW74" dT="2026-07-10T07:35:39.47" personId="{2D2FC716-E1F2-45AA-9660-ED3479F49EF6}" id="{2DC4D444-0035-425A-A93F-8303468A4103}">
    <text>Every 6 days for X</text>
  </threadedComment>
  <threadedComment ref="BZ74" dT="2026-07-10T08:03:18.86" personId="{2D2FC716-E1F2-45AA-9660-ED3479F49EF6}" id="{D08BD12E-5225-45C3-BEAD-2B9D68EC0271}">
    <text>Arguments justifiant l’utilisation d’OLS</text>
  </threadedComment>
  <threadedComment ref="CC74" dT="2026-07-10T13:27:22.02" personId="{2D2FC716-E1F2-45AA-9660-ED3479F49EF6}" id="{EC1510C6-B2C1-4877-B2AB-2D6D41765773}">
    <text>Préciser?</text>
  </threadedComment>
  <threadedComment ref="R75" dT="2026-07-10T13:08:42.32" personId="{2D2FC716-E1F2-45AA-9660-ED3479F49EF6}" id="{718C3DAD-182D-4B86-8EAB-10D795CDC61F}">
    <text xml:space="preserve">Calculé </text>
  </threadedComment>
  <threadedComment ref="AV75" dT="2026-07-10T07:33:18.77" personId="{2D2FC716-E1F2-45AA-9660-ED3479F49EF6}" id="{53223D82-286B-42E5-AA1E-06BE2CA6B3BA}">
    <text xml:space="preserve">Localisé à 2.7miles </text>
  </threadedComment>
  <threadedComment ref="BW75" dT="2026-07-10T07:35:39.47" personId="{2D2FC716-E1F2-45AA-9660-ED3479F49EF6}" id="{95213E96-D993-4FC8-8EC5-85D5CE32CDAE}">
    <text>Every 6 days for X</text>
  </threadedComment>
  <threadedComment ref="BZ75" dT="2026-07-10T08:03:18.86" personId="{2D2FC716-E1F2-45AA-9660-ED3479F49EF6}" id="{45FF9713-033F-417D-A442-83D193695D6D}">
    <text>Arguments justifiant l’utilisation d’OLS</text>
  </threadedComment>
  <threadedComment ref="CC75" dT="2026-07-10T13:27:22.02" personId="{2D2FC716-E1F2-45AA-9660-ED3479F49EF6}" id="{7BC1BC1E-72E0-466D-AB8D-52DD0CA7880B}">
    <text>Préciser?</text>
  </threadedComment>
  <threadedComment ref="R76" dT="2026-07-10T13:08:42.32" personId="{2D2FC716-E1F2-45AA-9660-ED3479F49EF6}" id="{1518FB96-6306-49C2-A176-AFA44BA963A7}">
    <text xml:space="preserve">Calculé </text>
  </threadedComment>
  <threadedComment ref="AV76" dT="2026-07-10T07:33:18.77" personId="{2D2FC716-E1F2-45AA-9660-ED3479F49EF6}" id="{748FA3AF-4BFF-4383-8F14-97F11009465D}">
    <text xml:space="preserve">Localisé à 2.7miles </text>
  </threadedComment>
  <threadedComment ref="BW76" dT="2026-07-10T07:35:39.47" personId="{2D2FC716-E1F2-45AA-9660-ED3479F49EF6}" id="{A9995945-70C4-42E4-9455-420D828EA74E}">
    <text>Every 6 days for X</text>
  </threadedComment>
  <threadedComment ref="BZ76" dT="2026-07-10T08:03:18.86" personId="{2D2FC716-E1F2-45AA-9660-ED3479F49EF6}" id="{2DAE6BE9-EE9C-427C-84FD-0FE5A86B53E0}">
    <text>Arguments justifiant l’utilisation d’OLS</text>
  </threadedComment>
  <threadedComment ref="CC76" dT="2026-07-10T13:27:22.02" personId="{2D2FC716-E1F2-45AA-9660-ED3479F49EF6}" id="{5CC31769-7A3D-430D-B1E8-AE00D582CF3B}">
    <text>Préciser?</text>
  </threadedComment>
  <threadedComment ref="R77" dT="2026-07-10T13:08:42.32" personId="{2D2FC716-E1F2-45AA-9660-ED3479F49EF6}" id="{5A867936-D1E3-4B46-A53E-4976BCD22A87}">
    <text xml:space="preserve">Calculé </text>
  </threadedComment>
  <threadedComment ref="AV77" dT="2026-07-10T07:33:18.77" personId="{2D2FC716-E1F2-45AA-9660-ED3479F49EF6}" id="{8CF51077-E51C-493E-8065-51618F7C98F2}">
    <text xml:space="preserve">Localisé à 2.7miles </text>
  </threadedComment>
  <threadedComment ref="BW77" dT="2026-07-10T07:35:39.47" personId="{2D2FC716-E1F2-45AA-9660-ED3479F49EF6}" id="{9AA6BB33-A72B-4DA1-8E7E-46F166C6C755}">
    <text>Every 6 days for X</text>
  </threadedComment>
  <threadedComment ref="BZ77" dT="2026-07-10T08:03:18.86" personId="{2D2FC716-E1F2-45AA-9660-ED3479F49EF6}" id="{1C2DCF2C-3D09-496F-9184-5B21D86646B4}">
    <text>Arguments justifiant l’utilisation d’OLS</text>
  </threadedComment>
  <threadedComment ref="CC77" dT="2026-07-10T13:27:22.02" personId="{2D2FC716-E1F2-45AA-9660-ED3479F49EF6}" id="{893979EA-1CA0-4459-A3AC-447826D4ADDF}">
    <text>Préciser?</text>
  </threadedComment>
  <threadedComment ref="R78" dT="2026-07-10T13:08:42.32" personId="{2D2FC716-E1F2-45AA-9660-ED3479F49EF6}" id="{B353B919-19F4-4A73-AF0F-B769B9A604FE}">
    <text xml:space="preserve">Calculé </text>
  </threadedComment>
  <threadedComment ref="AV78" dT="2026-07-10T07:33:18.77" personId="{2D2FC716-E1F2-45AA-9660-ED3479F49EF6}" id="{9B8125FA-731B-4DEA-8738-974E2B34410D}">
    <text xml:space="preserve">Localisé à 2.7miles </text>
  </threadedComment>
  <threadedComment ref="BW78" dT="2026-07-10T07:35:39.47" personId="{2D2FC716-E1F2-45AA-9660-ED3479F49EF6}" id="{7E6F8690-85C6-4C3E-BC19-334DB9E1C1C3}">
    <text>Every 6 days for X</text>
  </threadedComment>
  <threadedComment ref="BZ78" dT="2026-07-10T08:03:18.86" personId="{2D2FC716-E1F2-45AA-9660-ED3479F49EF6}" id="{C803DD2D-5D2E-400D-A16F-5EDEAE8C2F95}">
    <text>Arguments justifiant l’utilisation d’OLS</text>
  </threadedComment>
  <threadedComment ref="L79" dT="2026-07-10T13:37:30.10" personId="{2D2FC716-E1F2-45AA-9660-ED3479F49EF6}" id="{384C4C4B-A448-4862-AE29-1D343F958F10}">
    <text>Ok?</text>
  </threadedComment>
  <threadedComment ref="R79" dT="2026-07-10T13:08:42.32" personId="{2D2FC716-E1F2-45AA-9660-ED3479F49EF6}" id="{C0DC678E-C40D-4CFD-B0E2-34A61717D2E8}">
    <text xml:space="preserve">Calculé </text>
  </threadedComment>
  <threadedComment ref="AV79" dT="2026-07-10T07:33:18.77" personId="{2D2FC716-E1F2-45AA-9660-ED3479F49EF6}" id="{5C7BD343-86ED-4FED-B5E6-7A664E486791}">
    <text xml:space="preserve">Localisé à 2.7miles </text>
  </threadedComment>
  <threadedComment ref="BW79" dT="2026-07-10T07:35:39.47" personId="{2D2FC716-E1F2-45AA-9660-ED3479F49EF6}" id="{9F1D131A-9872-4039-9B69-110DE817BF18}">
    <text>Every 6 days for X</text>
  </threadedComment>
  <threadedComment ref="BZ79" dT="2026-07-10T08:03:18.86" personId="{2D2FC716-E1F2-45AA-9660-ED3479F49EF6}" id="{02876DA3-33C5-4369-8F82-E478F1871F47}">
    <text>Arguments justifiant l’utilisation d’OLS</text>
  </threadedComment>
  <threadedComment ref="R80" dT="2026-07-10T13:08:42.32" personId="{2D2FC716-E1F2-45AA-9660-ED3479F49EF6}" id="{32870940-25A4-4A5D-9452-9B6DDAF18ADB}">
    <text xml:space="preserve">Calculé </text>
  </threadedComment>
  <threadedComment ref="AV80" dT="2026-07-10T07:33:18.77" personId="{2D2FC716-E1F2-45AA-9660-ED3479F49EF6}" id="{C9B2256B-9ED2-4CCB-BE3F-C39149195DA8}">
    <text xml:space="preserve">Localisé à 2.7miles </text>
  </threadedComment>
  <threadedComment ref="BW80" dT="2026-07-10T07:35:39.47" personId="{2D2FC716-E1F2-45AA-9660-ED3479F49EF6}" id="{387C46A1-C820-49E9-AB10-73D35FBA2E9B}">
    <text>Every 6 days for X</text>
  </threadedComment>
  <threadedComment ref="BZ80" dT="2026-07-10T08:03:18.86" personId="{2D2FC716-E1F2-45AA-9660-ED3479F49EF6}" id="{5C92F8DB-BE37-4F6E-9A31-C30D06BC45D5}">
    <text>Arguments justifiant l’utilisation d’OLS</text>
  </threadedComment>
  <threadedComment ref="AV81" dT="2026-07-10T07:33:18.77" personId="{2D2FC716-E1F2-45AA-9660-ED3479F49EF6}" id="{8DF65EBC-67E3-4111-B624-AF5115107718}">
    <text xml:space="preserve">Localisé à 2.7miles </text>
  </threadedComment>
  <threadedComment ref="BZ81" dT="2026-07-10T08:03:18.86" personId="{2D2FC716-E1F2-45AA-9660-ED3479F49EF6}" id="{07CE2191-4BFF-4685-AD26-44420BD84CB3}">
    <text>Arguments justifiant l’utilisation d’OLS</text>
  </threadedComment>
  <threadedComment ref="AV82" dT="2026-07-10T07:33:18.77" personId="{2D2FC716-E1F2-45AA-9660-ED3479F49EF6}" id="{0FAD2DBE-7255-489F-9F03-35ACF2BB0C81}">
    <text xml:space="preserve">Localisé à 2.7miles </text>
  </threadedComment>
  <threadedComment ref="BZ82" dT="2026-07-10T08:03:18.86" personId="{2D2FC716-E1F2-45AA-9660-ED3479F49EF6}" id="{067FE7FF-29F9-422C-8915-16F6DB6CE845}">
    <text>Arguments justifiant l’utilisation d’OLS</text>
  </threadedComment>
  <threadedComment ref="AV83" dT="2026-07-10T07:33:18.77" personId="{2D2FC716-E1F2-45AA-9660-ED3479F49EF6}" id="{A009C5F2-1D60-4528-8C19-7B52FB10AE71}">
    <text xml:space="preserve">Localisé à 2.7miles </text>
  </threadedComment>
  <threadedComment ref="BZ83" dT="2026-07-10T08:03:18.86" personId="{2D2FC716-E1F2-45AA-9660-ED3479F49EF6}" id="{41F2C19E-C595-49B3-9D07-DE20250BFF88}">
    <text>Arguments justifiant l’utilisation d’OLS</text>
  </threadedComment>
  <threadedComment ref="R84" dT="2026-07-10T13:08:42.32" personId="{2D2FC716-E1F2-45AA-9660-ED3479F49EF6}" id="{7F044545-3672-4E60-AAEA-1521449F1DEE}">
    <text xml:space="preserve">Calculé </text>
  </threadedComment>
  <threadedComment ref="BZ84" dT="2026-07-10T08:03:18.86" personId="{2D2FC716-E1F2-45AA-9660-ED3479F49EF6}" id="{75F49199-8383-439C-ACA6-38BE70C5C109}">
    <text>Arguments justifiant l’utilisation d’OLS</text>
  </threadedComment>
  <threadedComment ref="R85" dT="2026-07-10T13:08:42.32" personId="{2D2FC716-E1F2-45AA-9660-ED3479F49EF6}" id="{BEC96DF5-917D-422F-8E5B-64C01BF8B013}">
    <text xml:space="preserve">Calculé </text>
  </threadedComment>
  <threadedComment ref="BZ85" dT="2026-07-10T08:03:18.86" personId="{2D2FC716-E1F2-45AA-9660-ED3479F49EF6}" id="{241EB24B-4416-4CF0-AEFE-92E8FC78A804}">
    <text>Arguments justifiant l’utilisation d’OLS</text>
  </threadedComment>
  <threadedComment ref="R86" dT="2026-07-10T13:08:42.32" personId="{2D2FC716-E1F2-45AA-9660-ED3479F49EF6}" id="{D095AA79-A565-4F35-B69B-1B17FED835AA}">
    <text xml:space="preserve">Calculé </text>
  </threadedComment>
  <threadedComment ref="BZ86" dT="2026-07-10T08:03:18.86" personId="{2D2FC716-E1F2-45AA-9660-ED3479F49EF6}" id="{0FE3AF90-04F3-407C-82B3-422D0997CD69}">
    <text>Arguments justifiant l’utilisation d’OLS</text>
  </threadedComment>
  <threadedComment ref="B87" dT="2026-07-27T09:34:08.47" personId="{2D2FC716-E1F2-45AA-9660-ED3479F49EF6}" id="{39E7F77A-4B53-41C1-B383-C3F9E9BA1414}">
    <text>Mesure considérée comme marge extensive dans un autre paper</text>
  </threadedComment>
  <threadedComment ref="R87" dT="2026-07-10T13:08:42.32" personId="{2D2FC716-E1F2-45AA-9660-ED3479F49EF6}" id="{69A3060C-668C-4217-8215-81F1325677CB}">
    <text xml:space="preserve">Calculé </text>
  </threadedComment>
  <threadedComment ref="BZ87" dT="2026-07-10T08:03:18.86" personId="{2D2FC716-E1F2-45AA-9660-ED3479F49EF6}" id="{DCC5AAC5-CA61-4136-97F8-F68C4A9FA9BE}">
    <text>Arguments justifiant l’utilisation d’OLS</text>
  </threadedComment>
  <threadedComment ref="R88" dT="2026-07-10T13:08:42.32" personId="{2D2FC716-E1F2-45AA-9660-ED3479F49EF6}" id="{B6B88F7C-5071-497F-A45C-CDD76B8C21AF}">
    <text xml:space="preserve">Calculé </text>
  </threadedComment>
  <threadedComment ref="BZ88" dT="2026-07-10T08:03:18.86" personId="{2D2FC716-E1F2-45AA-9660-ED3479F49EF6}" id="{4C4A4D2D-67BE-401E-B6D8-4203A88E787E}">
    <text>Arguments justifiant l’utilisation d’OLS</text>
  </threadedComment>
  <threadedComment ref="R89" dT="2026-07-10T13:08:42.32" personId="{2D2FC716-E1F2-45AA-9660-ED3479F49EF6}" id="{ACF334BF-63F0-455D-BE6E-814E7514BD62}">
    <text xml:space="preserve">Calculé </text>
  </threadedComment>
  <threadedComment ref="BZ89" dT="2026-07-10T08:03:18.86" personId="{2D2FC716-E1F2-45AA-9660-ED3479F49EF6}" id="{50C44FAF-A83C-4840-B6B0-6291323167D4}">
    <text>Arguments justifiant l’utilisation d’OLS</text>
  </threadedComment>
  <threadedComment ref="R90" dT="2026-07-10T13:08:42.32" personId="{2D2FC716-E1F2-45AA-9660-ED3479F49EF6}" id="{EFC288EF-3916-4D6C-A0E7-6B6553C88D90}">
    <text xml:space="preserve">Calculé </text>
  </threadedComment>
  <threadedComment ref="BZ90" dT="2026-07-10T08:03:18.86" personId="{2D2FC716-E1F2-45AA-9660-ED3479F49EF6}" id="{D732E357-FC42-4E94-8C22-57B212E2D699}">
    <text>Arguments justifiant l’utilisation d’OLS</text>
  </threadedComment>
  <threadedComment ref="R91" dT="2026-07-10T13:08:42.32" personId="{2D2FC716-E1F2-45AA-9660-ED3479F49EF6}" id="{A78062F4-34D9-4F02-B8AF-DF6282776523}">
    <text xml:space="preserve">Calculé </text>
  </threadedComment>
  <threadedComment ref="BZ91" dT="2026-07-10T08:03:18.86" personId="{2D2FC716-E1F2-45AA-9660-ED3479F49EF6}" id="{D687A026-6D35-4F9A-A3C4-06EE0C3CA052}">
    <text>Arguments justifiant l’utilisation d’OLS</text>
  </threadedComment>
  <threadedComment ref="R92" dT="2026-07-10T13:08:42.32" personId="{2D2FC716-E1F2-45AA-9660-ED3479F49EF6}" id="{023B8E83-9ED5-449A-9F62-47A572E08746}">
    <text xml:space="preserve">Calculé </text>
  </threadedComment>
  <threadedComment ref="BZ92" dT="2026-07-10T08:03:18.86" personId="{2D2FC716-E1F2-45AA-9660-ED3479F49EF6}" id="{71BAF4FE-25E3-4CA2-8A35-1B21CDEB5043}">
    <text>Arguments justifiant l’utilisation d’OLS</text>
  </threadedComment>
  <threadedComment ref="R93" dT="2026-07-10T13:08:42.32" personId="{2D2FC716-E1F2-45AA-9660-ED3479F49EF6}" id="{AB1ADE54-41F0-4D6E-9278-A05D5F2FE861}">
    <text xml:space="preserve">Calculé </text>
  </threadedComment>
  <threadedComment ref="BZ93" dT="2026-07-10T08:03:18.86" personId="{2D2FC716-E1F2-45AA-9660-ED3479F49EF6}" id="{7141DA12-C38F-442F-8479-55138E6E9498}">
    <text>Arguments justifiant l’utilisation d’OLS</text>
  </threadedComment>
  <threadedComment ref="R94" dT="2026-07-10T13:08:42.32" personId="{2D2FC716-E1F2-45AA-9660-ED3479F49EF6}" id="{3E9B4FF7-17C3-4DB9-B288-67052A7B4D80}">
    <text xml:space="preserve">Calculé </text>
  </threadedComment>
  <threadedComment ref="BZ94" dT="2026-07-10T08:03:18.86" personId="{2D2FC716-E1F2-45AA-9660-ED3479F49EF6}" id="{51982BB0-AA3B-4B3A-A741-EBED113784F1}">
    <text>Arguments justifiant l’utilisation d’OLS</text>
  </threadedComment>
  <threadedComment ref="R95" dT="2026-07-10T13:08:42.32" personId="{2D2FC716-E1F2-45AA-9660-ED3479F49EF6}" id="{1B2B0F29-9310-43FF-B427-BE95C2673228}">
    <text xml:space="preserve">Calculé </text>
  </threadedComment>
  <threadedComment ref="BZ95" dT="2026-07-10T08:03:18.86" personId="{2D2FC716-E1F2-45AA-9660-ED3479F49EF6}" id="{E9B333B9-DF24-4690-9196-9F439E39A04D}">
    <text>Arguments justifiant l’utilisation d’OLS</text>
  </threadedComment>
  <threadedComment ref="R96" dT="2026-07-10T13:08:42.32" personId="{2D2FC716-E1F2-45AA-9660-ED3479F49EF6}" id="{6ED53EAA-760D-4622-A694-43BE630BD78E}">
    <text xml:space="preserve">Calculé </text>
  </threadedComment>
  <threadedComment ref="BZ96" dT="2026-07-10T08:03:18.86" personId="{2D2FC716-E1F2-45AA-9660-ED3479F49EF6}" id="{DEBB6771-E68C-4882-A690-86FA343C2CAB}">
    <text>Arguments justifiant l’utilisation d’OLS</text>
  </threadedComment>
  <threadedComment ref="R97" dT="2026-07-10T13:08:42.32" personId="{2D2FC716-E1F2-45AA-9660-ED3479F49EF6}" id="{E9F84AC8-6A80-4240-9E34-1AC55B2A07C0}">
    <text xml:space="preserve">Calculé </text>
  </threadedComment>
  <threadedComment ref="BZ97" dT="2026-07-10T08:03:18.86" personId="{2D2FC716-E1F2-45AA-9660-ED3479F49EF6}" id="{E3FCB5EA-5853-447A-8820-92F0C537DB77}">
    <text>Arguments justifiant l’utilisation d’OLS</text>
  </threadedComment>
  <threadedComment ref="R98" dT="2026-07-10T13:08:42.32" personId="{2D2FC716-E1F2-45AA-9660-ED3479F49EF6}" id="{0A945994-9B33-4ECD-8270-A4BE66031DD8}">
    <text xml:space="preserve">Calculé </text>
  </threadedComment>
  <threadedComment ref="BZ98" dT="2026-07-10T08:03:18.86" personId="{2D2FC716-E1F2-45AA-9660-ED3479F49EF6}" id="{8B27D9C0-84D5-4E23-ACCB-066358838EA4}">
    <text>Arguments justifiant l’utilisation d’OLS</text>
  </threadedComment>
  <threadedComment ref="R99" dT="2026-07-10T13:08:42.32" personId="{2D2FC716-E1F2-45AA-9660-ED3479F49EF6}" id="{37080BA7-C623-4EED-8570-705FA4957555}">
    <text xml:space="preserve">Calculé </text>
  </threadedComment>
  <threadedComment ref="BZ99" dT="2026-07-10T08:03:18.86" personId="{2D2FC716-E1F2-45AA-9660-ED3479F49EF6}" id="{5BE9DBCD-E166-4568-B89F-CB76C1CA07DA}">
    <text>Arguments justifiant l’utilisation d’OLS</text>
  </threadedComment>
  <threadedComment ref="R100" dT="2026-07-10T13:08:42.32" personId="{2D2FC716-E1F2-45AA-9660-ED3479F49EF6}" id="{3D4EEF6D-FF74-4161-972D-4DE201D50BAE}">
    <text xml:space="preserve">Calculé </text>
  </threadedComment>
  <threadedComment ref="BZ100" dT="2026-07-10T08:03:18.86" personId="{2D2FC716-E1F2-45AA-9660-ED3479F49EF6}" id="{F6106282-D179-456B-903E-EAD6E47EDBD6}">
    <text>Arguments justifiant l’utilisation d’OLS</text>
  </threadedComment>
  <threadedComment ref="R101" dT="2026-07-10T13:08:42.32" personId="{2D2FC716-E1F2-45AA-9660-ED3479F49EF6}" id="{418B13E4-729A-4E35-92EF-50331075410E}">
    <text xml:space="preserve">Calculé </text>
  </threadedComment>
  <threadedComment ref="BZ101" dT="2026-07-10T08:03:18.86" personId="{2D2FC716-E1F2-45AA-9660-ED3479F49EF6}" id="{ED14F41C-5EF9-4057-8B1D-B9E3729ED3AB}">
    <text>Arguments justifiant l’utilisation d’OLS</text>
  </threadedComment>
  <threadedComment ref="V102" dT="2026-07-16T09:25:05.50" personId="{2D2FC716-E1F2-45AA-9660-ED3479F49EF6}" id="{480483D1-5DF6-479A-A654-521D441967FD}">
    <text>Indicatrices pour la température notamment -&gt; nous empêche de l’estimer</text>
  </threadedComment>
  <threadedComment ref="W102" dT="2026-07-16T09:25:05.50" personId="{2D2FC716-E1F2-45AA-9660-ED3479F49EF6}" id="{8B484B17-1C0A-4119-8C06-DA7B1DC2779A}">
    <text>Indicatrices pour la température notamment -&gt; nous empêche de l’estimer</text>
  </threadedComment>
  <threadedComment ref="AC102" dT="2026-07-13T14:47:52.92" personId="{2D2FC716-E1F2-45AA-9660-ED3479F49EF6}" id="{DFAE3C6C-0DB9-40B1-9601-AA0E87913995}">
    <text>Calculé à partir de la semi-élasticité de 5,5% indiquée dans le texte</text>
  </threadedComment>
  <threadedComment ref="BU102" dT="2026-07-13T13:47:42.57" personId="{2D2FC716-E1F2-45AA-9660-ED3479F49EF6}" id="{4A34A6FC-615E-4D15-8F90-D89C9FB4D16E}">
    <text>Growing season</text>
  </threadedComment>
  <threadedComment ref="AC103" dT="2026-07-13T14:47:52.92" personId="{2D2FC716-E1F2-45AA-9660-ED3479F49EF6}" id="{3E4D074B-90E5-49A8-B05C-99CDD12C30CB}">
    <text>Calculé à partir de la semi-élasticité de 5,5% indiquée dans le texte</text>
  </threadedComment>
  <threadedComment ref="BU103" dT="2026-07-13T13:47:42.57" personId="{2D2FC716-E1F2-45AA-9660-ED3479F49EF6}" id="{E23C2537-9A4C-4EE1-B949-69C2128DB6B7}">
    <text>Growing season</text>
  </threadedComment>
  <threadedComment ref="AC104" dT="2026-07-13T14:47:52.92" personId="{2D2FC716-E1F2-45AA-9660-ED3479F49EF6}" id="{291807B6-0CB1-4F09-A9F7-74DBCF0D7744}">
    <text>Calculé à partir de la semi-élasticité de 5,5% indiquée dans le texte</text>
  </threadedComment>
  <threadedComment ref="BU104" dT="2026-07-13T13:47:42.57" personId="{2D2FC716-E1F2-45AA-9660-ED3479F49EF6}" id="{F196F438-498F-4F66-A687-2EA8E8A4DBE8}">
    <text>Growing season</text>
  </threadedComment>
  <threadedComment ref="AC105" dT="2026-07-13T14:47:52.92" personId="{2D2FC716-E1F2-45AA-9660-ED3479F49EF6}" id="{8283A944-AEBE-41DD-8BD1-0FC34529C422}">
    <text>Calculé à partir de la semi-élasticité de 5,5% indiquée dans le texte</text>
  </threadedComment>
  <threadedComment ref="BU105" dT="2026-07-13T13:47:42.57" personId="{2D2FC716-E1F2-45AA-9660-ED3479F49EF6}" id="{59F248A8-C744-4217-9EFF-4EFB32C55BDF}">
    <text>Growing season</text>
  </threadedComment>
  <threadedComment ref="AC106" dT="2026-07-13T14:47:52.92" personId="{2D2FC716-E1F2-45AA-9660-ED3479F49EF6}" id="{D99CE8E9-D786-4FB9-A8F4-E995B9AA8172}">
    <text>Calculé à partir de la semi-élasticité de 5,5% indiquée dans le texte</text>
  </threadedComment>
  <threadedComment ref="BU106" dT="2026-07-13T13:47:42.57" personId="{2D2FC716-E1F2-45AA-9660-ED3479F49EF6}" id="{B8D1FB27-2252-4B67-AEF3-C21536611489}">
    <text>Growing season</text>
  </threadedComment>
  <threadedComment ref="N107" dT="2026-07-13T15:32:45.51" personId="{2D2FC716-E1F2-45AA-9660-ED3479F49EF6}" id="{E21E9DCD-EBD3-4D44-B1ED-37F3164D1C39}">
    <text xml:space="preserve">−0,149−0,007*2,78+0,002*(2,78)^2 </text>
  </threadedComment>
  <threadedComment ref="N107" dT="2026-07-13T15:35:02.77" personId="{2D2FC716-E1F2-45AA-9660-ED3479F49EF6}" id="{F5058D83-2A21-4F86-B226-601195B14D54}" parentId="{E21E9DCD-EBD3-4D44-B1ED-37F3164D1C39}">
    <text>Marginal effect at the mean</text>
  </threadedComment>
  <threadedComment ref="AC107" dT="2026-07-13T14:47:52.92" personId="{2D2FC716-E1F2-45AA-9660-ED3479F49EF6}" id="{D6BC6953-D2A0-42AB-8498-6A59543A6571}">
    <text>Calculé à partir de la semi-élasticité de 5,5% indiquée dans le texte</text>
  </threadedComment>
  <threadedComment ref="BU107" dT="2026-07-13T13:47:42.57" personId="{2D2FC716-E1F2-45AA-9660-ED3479F49EF6}" id="{9BD9FFBA-8B15-433C-8878-9CBAB715EE25}">
    <text>Growing season</text>
  </threadedComment>
  <threadedComment ref="AC108" dT="2026-07-13T14:47:52.92" personId="{2D2FC716-E1F2-45AA-9660-ED3479F49EF6}" id="{06572DC8-7EBE-4F27-989A-0317B41381C3}">
    <text>Calculé à partir de la semi-élasticité de 5,5% indiquée dans le texte</text>
  </threadedComment>
  <threadedComment ref="BU108" dT="2026-07-13T13:47:42.57" personId="{2D2FC716-E1F2-45AA-9660-ED3479F49EF6}" id="{08470FB3-5960-4E35-9344-F4BE2346318B}">
    <text>Growing season</text>
  </threadedComment>
  <threadedComment ref="AC109" dT="2026-07-13T14:47:52.92" personId="{2D2FC716-E1F2-45AA-9660-ED3479F49EF6}" id="{2FFE14C4-A1F0-4F6B-9FBE-799C5327C8F7}">
    <text>Calculé à partir de la semi-élasticité de 5,5% indiquée dans le texte</text>
  </threadedComment>
  <threadedComment ref="BU109" dT="2026-07-13T13:47:42.57" personId="{2D2FC716-E1F2-45AA-9660-ED3479F49EF6}" id="{D36CD6DF-3304-452B-A34B-93EB9FFEEEF9}">
    <text>Growing season</text>
  </threadedComment>
  <threadedComment ref="AC110" dT="2026-07-13T14:47:52.92" personId="{2D2FC716-E1F2-45AA-9660-ED3479F49EF6}" id="{9E07C009-8F03-420C-B675-ACE3E5AF6C80}">
    <text>Calculé à partir de la semi-élasticité de 5,5% indiquée dans le texte</text>
  </threadedComment>
  <threadedComment ref="BU110" dT="2026-07-13T13:47:42.57" personId="{2D2FC716-E1F2-45AA-9660-ED3479F49EF6}" id="{792DD640-BD07-4155-B3D4-B1FCCE4E4DEE}">
    <text>Growing season</text>
  </threadedComment>
  <threadedComment ref="AC111" dT="2026-07-13T14:47:52.92" personId="{2D2FC716-E1F2-45AA-9660-ED3479F49EF6}" id="{DCF3968F-788F-46C3-A718-4E031C29DC0E}">
    <text>Calculé à partir de la semi-élasticité de 5,5% indiquée dans le texte</text>
  </threadedComment>
  <threadedComment ref="BU111" dT="2026-07-13T13:47:42.57" personId="{2D2FC716-E1F2-45AA-9660-ED3479F49EF6}" id="{041CBF58-3919-4C33-ADF4-9C1DD1174E2C}">
    <text>Growing season</text>
  </threadedComment>
  <threadedComment ref="AC112" dT="2026-07-13T14:47:52.92" personId="{2D2FC716-E1F2-45AA-9660-ED3479F49EF6}" id="{F4E23FDF-5150-41A3-9F6A-3990072ECE82}">
    <text>Calculé à partir de la semi-élasticité de 5,5% indiquée dans le texte</text>
  </threadedComment>
  <threadedComment ref="BU112" dT="2026-07-13T13:47:42.57" personId="{2D2FC716-E1F2-45AA-9660-ED3479F49EF6}" id="{661A9B80-806A-47C1-BA89-3E1E4D1894B3}">
    <text>Growing season</text>
  </threadedComment>
  <threadedComment ref="AC113" dT="2026-07-13T14:47:52.92" personId="{2D2FC716-E1F2-45AA-9660-ED3479F49EF6}" id="{9EB2289C-990F-410A-9C86-BA0D4885A73A}">
    <text>Calculé à partir de la semi-élasticité de 5,5% indiquée dans le texte</text>
  </threadedComment>
  <threadedComment ref="BU113" dT="2026-07-13T13:47:42.57" personId="{2D2FC716-E1F2-45AA-9660-ED3479F49EF6}" id="{5692B264-7F93-4935-82CC-CA050B2FD937}">
    <text>Growing season</text>
  </threadedComment>
  <threadedComment ref="AC114" dT="2026-07-13T14:47:52.92" personId="{2D2FC716-E1F2-45AA-9660-ED3479F49EF6}" id="{158C023B-21FB-4DA4-8129-DD84AF3A5905}">
    <text>Calculé à partir de la semi-élasticité de 5,5% indiquée dans le texte</text>
  </threadedComment>
  <threadedComment ref="BU114" dT="2026-07-13T13:47:42.57" personId="{2D2FC716-E1F2-45AA-9660-ED3479F49EF6}" id="{B372920A-1431-4CD4-A16A-FA918DC443BF}">
    <text>Growing season</text>
  </threadedComment>
  <threadedComment ref="AC115" dT="2026-07-13T14:47:52.92" personId="{2D2FC716-E1F2-45AA-9660-ED3479F49EF6}" id="{A6A7A899-AEE5-4048-8967-B3A6EB5192D9}">
    <text>Calculé à partir de la semi-élasticité de 5,5% indiquée dans le texte</text>
  </threadedComment>
  <threadedComment ref="BU115" dT="2026-07-13T13:47:42.57" personId="{2D2FC716-E1F2-45AA-9660-ED3479F49EF6}" id="{92FA2EBD-5C3D-4D12-ABA3-A18438CD2177}">
    <text>Growing season</text>
  </threadedComment>
  <threadedComment ref="AC116" dT="2026-07-13T14:47:52.92" personId="{2D2FC716-E1F2-45AA-9660-ED3479F49EF6}" id="{4AAA8CB4-1298-4EB0-BE8D-86272A7B36F5}">
    <text>Calculé à partir de la semi-élasticité de 5,5% indiquée dans le texte</text>
  </threadedComment>
  <threadedComment ref="BU116" dT="2026-07-13T13:47:42.57" personId="{2D2FC716-E1F2-45AA-9660-ED3479F49EF6}" id="{97A14255-3C4A-4578-AE27-16937BDDAC40}">
    <text>Growing season</text>
  </threadedComment>
  <threadedComment ref="AC117" dT="2026-07-13T14:47:52.92" personId="{2D2FC716-E1F2-45AA-9660-ED3479F49EF6}" id="{1E0A0F64-3B16-45E4-9821-FD5B0C26BE95}">
    <text>Calculé à partir de la semi-élasticité de 5,5% indiquée dans le texte</text>
  </threadedComment>
  <threadedComment ref="BU117" dT="2026-07-13T13:47:42.57" personId="{2D2FC716-E1F2-45AA-9660-ED3479F49EF6}" id="{0F35EA5E-05A5-4641-A8F6-6CFEDB40B03B}">
    <text>Growing season</text>
  </threadedComment>
  <threadedComment ref="AC118" dT="2026-07-13T14:47:52.92" personId="{2D2FC716-E1F2-45AA-9660-ED3479F49EF6}" id="{D1513120-EDE7-4B9E-BEBC-AA3D218D99EF}">
    <text>Calculé à partir de la semi-élasticité de 5,5% indiquée dans le texte</text>
  </threadedComment>
  <threadedComment ref="BU118" dT="2026-07-13T13:47:42.57" personId="{2D2FC716-E1F2-45AA-9660-ED3479F49EF6}" id="{3BAB0E7A-6A4D-43B3-8667-EE831F1E3086}">
    <text>Growing season</text>
  </threadedComment>
  <threadedComment ref="BU119" dT="2026-07-16T12:31:04.59" personId="{2D2FC716-E1F2-45AA-9660-ED3479F49EF6}" id="{D9760CE2-1193-4DF0-853D-F652B7560143}">
    <text>Saison</text>
  </threadedComment>
  <threadedComment ref="BU120" dT="2026-07-16T12:31:04.59" personId="{2D2FC716-E1F2-45AA-9660-ED3479F49EF6}" id="{E459726C-D1F3-4FF0-8D2E-525F3DF5CEEE}">
    <text>Saison</text>
  </threadedComment>
  <threadedComment ref="BU121" dT="2026-07-16T12:31:04.59" personId="{2D2FC716-E1F2-45AA-9660-ED3479F49EF6}" id="{8DF90B1B-58A4-4069-A432-5F871404285B}">
    <text>Saison</text>
  </threadedComment>
  <threadedComment ref="BU122" dT="2026-07-16T12:31:04.59" personId="{2D2FC716-E1F2-45AA-9660-ED3479F49EF6}" id="{B6FD537F-3079-4267-B1F3-F5733AD5B107}">
    <text>Saison</text>
  </threadedComment>
  <threadedComment ref="BU123" dT="2026-07-16T12:31:04.59" personId="{2D2FC716-E1F2-45AA-9660-ED3479F49EF6}" id="{00BF41DB-488D-4301-AF98-985F67643B34}">
    <text>Saison</text>
  </threadedComment>
  <threadedComment ref="BU124" dT="2026-07-16T12:31:04.59" personId="{2D2FC716-E1F2-45AA-9660-ED3479F49EF6}" id="{05F43312-5CE7-4B0A-B583-A92C1886B834}">
    <text>Saison</text>
  </threadedComment>
  <threadedComment ref="BU125" dT="2026-07-16T12:31:04.59" personId="{2D2FC716-E1F2-45AA-9660-ED3479F49EF6}" id="{8071E3AA-D856-4973-845A-09AEA66613E6}">
    <text>Saison</text>
  </threadedComment>
  <threadedComment ref="BU126" dT="2026-07-16T12:31:04.59" personId="{2D2FC716-E1F2-45AA-9660-ED3479F49EF6}" id="{797960A1-B4B0-4566-9354-5E45A856A809}">
    <text>Saison</text>
  </threadedComment>
  <threadedComment ref="BU127" dT="2026-07-16T12:31:04.59" personId="{2D2FC716-E1F2-45AA-9660-ED3479F49EF6}" id="{7FC2BA7D-E449-4A2E-9690-8DCB170ADFC4}">
    <text>Saison</text>
  </threadedComment>
  <threadedComment ref="BU128" dT="2026-07-16T12:31:04.59" personId="{2D2FC716-E1F2-45AA-9660-ED3479F49EF6}" id="{9CC3C8E5-14EB-4F8D-AFDC-EF4A2B8BEB93}">
    <text>Saison</text>
  </threadedComment>
  <threadedComment ref="BU129" dT="2026-07-16T12:31:04.59" personId="{2D2FC716-E1F2-45AA-9660-ED3479F49EF6}" id="{5407D924-A404-4172-B9A6-4CFF7BCE1A7F}">
    <text>Saison</text>
  </threadedComment>
  <threadedComment ref="BU130" dT="2026-07-16T12:31:04.59" personId="{2D2FC716-E1F2-45AA-9660-ED3479F49EF6}" id="{CC776AF7-30D8-4641-BF08-2139C9DAC101}">
    <text>Saison</text>
  </threadedComment>
  <threadedComment ref="BU131" dT="2026-07-16T12:31:04.59" personId="{2D2FC716-E1F2-45AA-9660-ED3479F49EF6}" id="{762ED8D4-5B7B-45D3-BDFB-C49CF7C90347}">
    <text>Saison</text>
  </threadedComment>
  <threadedComment ref="BU132" dT="2026-07-16T12:31:04.59" personId="{2D2FC716-E1F2-45AA-9660-ED3479F49EF6}" id="{7416E8CE-F7EC-45EC-90D3-346D86022F09}">
    <text>Saison</text>
  </threadedComment>
  <threadedComment ref="BU133" dT="2026-07-16T12:31:04.59" personId="{2D2FC716-E1F2-45AA-9660-ED3479F49EF6}" id="{228AE9AD-178C-4D54-ABB1-3783340E9713}">
    <text>Saison</text>
  </threadedComment>
  <threadedComment ref="BU134" dT="2026-07-16T12:31:04.59" personId="{2D2FC716-E1F2-45AA-9660-ED3479F49EF6}" id="{1AAE4B9D-D15A-4787-A806-7A8434AE444E}">
    <text>Saison</text>
  </threadedComment>
  <threadedComment ref="BU135" dT="2026-07-16T12:31:04.59" personId="{2D2FC716-E1F2-45AA-9660-ED3479F49EF6}" id="{FDFC6B4A-93E2-4A3E-9EC5-BBB948FBF331}">
    <text>Saison</text>
  </threadedComment>
  <threadedComment ref="BU136" dT="2026-07-16T12:31:04.59" personId="{2D2FC716-E1F2-45AA-9660-ED3479F49EF6}" id="{9CE930C5-0A29-440B-A15C-A577C1CBB2E9}">
    <text>Saison</text>
  </threadedComment>
  <threadedComment ref="BU137" dT="2026-07-16T12:31:04.59" personId="{2D2FC716-E1F2-45AA-9660-ED3479F49EF6}" id="{9EA40FFD-D3CA-4A88-B9AD-A3ACB348F631}">
    <text>Saison</text>
  </threadedComment>
  <threadedComment ref="BU138" dT="2026-07-16T12:31:04.59" personId="{2D2FC716-E1F2-45AA-9660-ED3479F49EF6}" id="{1F2C1F22-3E5C-4276-9FE2-C8C59B9E2515}">
    <text>Saison</text>
  </threadedComment>
  <threadedComment ref="BU139" dT="2026-07-16T12:31:04.59" personId="{2D2FC716-E1F2-45AA-9660-ED3479F49EF6}" id="{8EFC6D0A-1F39-449D-8D07-2539FFD5D7AC}">
    <text>Saison</text>
  </threadedComment>
  <threadedComment ref="BU140" dT="2026-07-16T12:31:04.59" personId="{2D2FC716-E1F2-45AA-9660-ED3479F49EF6}" id="{BC2F19A9-5BB7-4937-B7C5-A1ACFA637D03}">
    <text>Saison</text>
  </threadedComment>
  <threadedComment ref="BU141" dT="2026-07-16T12:31:04.59" personId="{2D2FC716-E1F2-45AA-9660-ED3479F49EF6}" id="{F422A464-1E60-4008-ABF7-DFDE7AEAACD3}">
    <text>Saison</text>
  </threadedComment>
  <threadedComment ref="BU142" dT="2026-07-16T12:31:04.59" personId="{2D2FC716-E1F2-45AA-9660-ED3479F49EF6}" id="{AEF65775-E979-49E4-B778-2826BC4BB0E7}">
    <text>Saison</text>
  </threadedComment>
  <threadedComment ref="BU143" dT="2026-07-16T12:31:04.59" personId="{2D2FC716-E1F2-45AA-9660-ED3479F49EF6}" id="{A2AF3A6C-741A-4071-8679-03D6CCE9EADF}">
    <text>Saison</text>
  </threadedComment>
  <threadedComment ref="BU144" dT="2026-07-16T12:31:04.59" personId="{2D2FC716-E1F2-45AA-9660-ED3479F49EF6}" id="{F936F88B-929A-4ABF-95C9-046152B6BB1A}">
    <text>Saison</text>
  </threadedComment>
  <threadedComment ref="BU145" dT="2026-07-16T12:31:04.59" personId="{2D2FC716-E1F2-45AA-9660-ED3479F49EF6}" id="{E88A495B-A271-4B75-8ABE-593D005489E6}">
    <text>Saison</text>
  </threadedComment>
  <threadedComment ref="BU146" dT="2026-07-16T12:31:04.59" personId="{2D2FC716-E1F2-45AA-9660-ED3479F49EF6}" id="{51657DC2-74EF-4EE0-97B2-EB3CD8350953}">
    <text>Saison</text>
  </threadedComment>
  <threadedComment ref="BU147" dT="2026-07-16T12:31:04.59" personId="{2D2FC716-E1F2-45AA-9660-ED3479F49EF6}" id="{EA4248A8-22B2-4BAE-B211-FC52AE7EDB46}">
    <text>Saison</text>
  </threadedComment>
  <threadedComment ref="BU148" dT="2026-07-16T12:31:04.59" personId="{2D2FC716-E1F2-45AA-9660-ED3479F49EF6}" id="{8A135BCB-29E3-492C-AFE7-48B9869FFA10}">
    <text>Saison</text>
  </threadedComment>
  <threadedComment ref="BU149" dT="2026-07-16T12:31:04.59" personId="{2D2FC716-E1F2-45AA-9660-ED3479F49EF6}" id="{AA5A6089-EB3E-46FB-909F-5B55423AD1D1}">
    <text>Saison</text>
  </threadedComment>
  <threadedComment ref="BU150" dT="2026-07-16T12:31:04.59" personId="{2D2FC716-E1F2-45AA-9660-ED3479F49EF6}" id="{01C809AF-F82B-4E6A-8C18-37DE6662FB5C}">
    <text>Saison</text>
  </threadedComment>
  <threadedComment ref="BU151" dT="2026-07-16T12:31:04.59" personId="{2D2FC716-E1F2-45AA-9660-ED3479F49EF6}" id="{7A43D793-0634-44FC-84B0-6BFDA0A7346D}">
    <text>Saison</text>
  </threadedComment>
  <threadedComment ref="BU152" dT="2026-07-16T12:31:04.59" personId="{2D2FC716-E1F2-45AA-9660-ED3479F49EF6}" id="{9814EFBF-5148-43BD-AEC6-BE09C4BBB975}">
    <text>Saison</text>
  </threadedComment>
  <threadedComment ref="BU153" dT="2026-07-16T12:31:04.59" personId="{2D2FC716-E1F2-45AA-9660-ED3479F49EF6}" id="{63DB5966-EE86-4C5A-B133-26891E48D905}">
    <text>Saison</text>
  </threadedComment>
  <threadedComment ref="BU154" dT="2026-07-16T12:31:04.59" personId="{2D2FC716-E1F2-45AA-9660-ED3479F49EF6}" id="{53A96CEB-E1EA-4BEB-9056-FFC2D7C248A3}">
    <text>Saison</text>
  </threadedComment>
  <threadedComment ref="BU155" dT="2026-07-16T12:31:04.59" personId="{2D2FC716-E1F2-45AA-9660-ED3479F49EF6}" id="{E1DD0006-1567-4AD5-87A6-CE522FD03742}">
    <text>Saison</text>
  </threadedComment>
  <threadedComment ref="BU156" dT="2026-07-16T12:31:04.59" personId="{2D2FC716-E1F2-45AA-9660-ED3479F49EF6}" id="{2EC2CBE9-F344-4679-B60E-D9BA4F9A80B7}">
    <text>Saison</text>
  </threadedComment>
  <threadedComment ref="BU157" dT="2026-07-16T12:31:04.59" personId="{2D2FC716-E1F2-45AA-9660-ED3479F49EF6}" id="{00C0C242-E3F8-4AFD-9D54-7FE65B552B77}">
    <text>Saison</text>
  </threadedComment>
  <threadedComment ref="BU158" dT="2026-07-16T12:31:04.59" personId="{2D2FC716-E1F2-45AA-9660-ED3479F49EF6}" id="{DE928099-1F21-4B70-A155-EE10D66BFE20}">
    <text>Saison</text>
  </threadedComment>
  <threadedComment ref="BU159" dT="2026-07-16T12:31:04.59" personId="{2D2FC716-E1F2-45AA-9660-ED3479F49EF6}" id="{07699AA0-969A-49C7-B01C-8F2D7AE02EC4}">
    <text>Saison</text>
  </threadedComment>
  <threadedComment ref="BU160" dT="2026-07-16T12:31:04.59" personId="{2D2FC716-E1F2-45AA-9660-ED3479F49EF6}" id="{375DDABD-6B05-4AEF-BDF4-4D74CC8CAA94}">
    <text>Saison</text>
  </threadedComment>
  <threadedComment ref="AC161" dT="2026-07-17T09:03:09.48" personId="{2D2FC716-E1F2-45AA-9660-ED3479F49EF6}" id="{BD6C9624-A1F9-4BF9-92F2-059BE42E9DA9}">
    <text>Très faible?</text>
  </threadedComment>
  <threadedComment ref="BU161" dT="2026-07-17T12:19:59.94" personId="{2D2FC716-E1F2-45AA-9660-ED3479F49EF6}" id="{F5171B12-537B-44EE-B0A2-1EF77809DFEF}">
    <text>season</text>
  </threadedComment>
  <threadedComment ref="AC164" dT="2026-07-17T09:03:09.48" personId="{2D2FC716-E1F2-45AA-9660-ED3479F49EF6}" id="{59BCA408-C004-4C2F-96F3-EFA105A854BF}">
    <text>Très faible?</text>
  </threadedComment>
  <threadedComment ref="AC167" dT="2026-07-17T09:03:09.48" personId="{2D2FC716-E1F2-45AA-9660-ED3479F49EF6}" id="{734C959B-7E87-4D94-8FE3-C84F1EB43710}">
    <text>Très faible?</text>
  </threadedComment>
  <threadedComment ref="AC170" dT="2026-07-17T09:03:09.48" personId="{2D2FC716-E1F2-45AA-9660-ED3479F49EF6}" id="{249DC718-4C13-417C-B75F-C5B126B804CC}">
    <text>Très faible?</text>
  </threadedComment>
  <threadedComment ref="AC173" dT="2026-07-17T09:03:09.48" personId="{2D2FC716-E1F2-45AA-9660-ED3479F49EF6}" id="{829DA7BA-5836-411B-B9B7-2D4237E455C1}">
    <text>Très faible?</text>
  </threadedComment>
  <threadedComment ref="AC176" dT="2026-07-17T09:03:09.48" personId="{2D2FC716-E1F2-45AA-9660-ED3479F49EF6}" id="{67865942-4DB1-4699-BABC-C379FFC88D07}">
    <text>Très faible?</text>
  </threadedComment>
  <threadedComment ref="AC179" dT="2026-07-17T09:03:09.48" personId="{2D2FC716-E1F2-45AA-9660-ED3479F49EF6}" id="{6DB61EC2-2CA8-4166-93C4-7A0A72A385AD}">
    <text>Très faible?</text>
  </threadedComment>
  <threadedComment ref="AC182" dT="2026-07-17T09:03:09.48" personId="{2D2FC716-E1F2-45AA-9660-ED3479F49EF6}" id="{4F13D66D-E663-4D9C-AD32-BAFF2F0E77EB}">
    <text>Très faible?</text>
  </threadedComment>
  <threadedComment ref="AC185" dT="2026-07-17T09:03:09.48" personId="{2D2FC716-E1F2-45AA-9660-ED3479F49EF6}" id="{40E7563E-FE1C-435D-8ACB-0EC0628696DC}">
    <text>Très faible?</text>
  </threadedComment>
  <threadedComment ref="AC188" dT="2026-07-17T09:03:09.48" personId="{2D2FC716-E1F2-45AA-9660-ED3479F49EF6}" id="{37D98044-1822-4BFF-8CA7-CE3119D1BE12}">
    <text>Très faible?</text>
  </threadedComment>
  <threadedComment ref="AC191" dT="2026-07-17T09:03:09.48" personId="{2D2FC716-E1F2-45AA-9660-ED3479F49EF6}" id="{CEEC33EC-71FC-4BA2-9FBE-35510D56FBE9}">
    <text>Très faible?</text>
  </threadedComment>
  <threadedComment ref="AC194" dT="2026-07-17T09:03:09.48" personId="{2D2FC716-E1F2-45AA-9660-ED3479F49EF6}" id="{9C105991-D4A7-481E-A849-B30F6F1B5137}">
    <text>Très faible?</text>
  </threadedComment>
  <threadedComment ref="AC197" dT="2026-07-17T09:03:09.48" personId="{2D2FC716-E1F2-45AA-9660-ED3479F49EF6}" id="{7517CF59-5523-41B9-87CD-D2BC3153289E}">
    <text>Très faible?</text>
  </threadedComment>
  <threadedComment ref="AC200" dT="2026-07-17T09:03:09.48" personId="{2D2FC716-E1F2-45AA-9660-ED3479F49EF6}" id="{2873A32E-705E-4DC1-BD82-ABA05337EB74}">
    <text>Très faible?</text>
  </threadedComment>
  <threadedComment ref="AC203" dT="2026-07-17T09:03:09.48" personId="{2D2FC716-E1F2-45AA-9660-ED3479F49EF6}" id="{E2433FF0-1307-4605-BE62-E1C8BA1B66D1}">
    <text>Très faible?</text>
  </threadedComment>
  <threadedComment ref="AC206" dT="2026-07-17T09:03:09.48" personId="{2D2FC716-E1F2-45AA-9660-ED3479F49EF6}" id="{7407A870-6DD2-402D-85CB-8090A743F1F7}">
    <text>Très faible?</text>
  </threadedComment>
  <threadedComment ref="AC209" dT="2026-07-17T09:03:09.48" personId="{2D2FC716-E1F2-45AA-9660-ED3479F49EF6}" id="{966F965E-F7A3-4C16-BAAF-338ADCB254E6}">
    <text>Très faible?</text>
  </threadedComment>
  <threadedComment ref="AC212" dT="2026-07-17T09:03:09.48" personId="{2D2FC716-E1F2-45AA-9660-ED3479F49EF6}" id="{0541163C-147A-484B-AA1A-D09F1CF9A972}">
    <text>Très faible?</text>
  </threadedComment>
  <threadedComment ref="AC215" dT="2026-07-17T09:03:09.48" personId="{2D2FC716-E1F2-45AA-9660-ED3479F49EF6}" id="{9BAC97E5-FA46-43FC-AA6F-A9C6E3E63478}">
    <text>Très faible?</text>
  </threadedComment>
  <threadedComment ref="AC217" dT="2026-07-17T09:03:09.48" personId="{2D2FC716-E1F2-45AA-9660-ED3479F49EF6}" id="{7C136C82-CC4D-4678-9227-2B8E3DE4E1BD}">
    <text>Très faible?</text>
  </threadedComment>
  <threadedComment ref="AC219" dT="2026-07-17T09:03:09.48" personId="{2D2FC716-E1F2-45AA-9660-ED3479F49EF6}" id="{182E456E-DB6B-42E8-91B7-9488CBC8FB9D}">
    <text>Très faible?</text>
  </threadedComment>
  <threadedComment ref="AC221" dT="2026-07-17T09:03:09.48" personId="{2D2FC716-E1F2-45AA-9660-ED3479F49EF6}" id="{D3EBF2DA-7180-40EA-96BD-1C46C0B82713}">
    <text>Très faible?</text>
  </threadedComment>
  <threadedComment ref="BU238" dT="2026-07-20T08:28:14.99" personId="{2D2FC716-E1F2-45AA-9660-ED3479F49EF6}" id="{D1877FDD-5FF0-4F12-9433-45F0E4CCB062}">
    <text>Saison</text>
  </threadedComment>
  <threadedComment ref="BU239" dT="2026-07-20T08:28:14.99" personId="{2D2FC716-E1F2-45AA-9660-ED3479F49EF6}" id="{D1B4B095-8BD8-4F0E-9D7F-6C66AC20E467}">
    <text>Saison</text>
  </threadedComment>
  <threadedComment ref="BU240" dT="2026-07-20T08:28:14.99" personId="{2D2FC716-E1F2-45AA-9660-ED3479F49EF6}" id="{2537E647-A597-4B2C-AA6A-A9CAAD798513}">
    <text>Saison</text>
  </threadedComment>
  <threadedComment ref="AO241" dT="2026-07-21T09:56:42.03" personId="{2D2FC716-E1F2-45AA-9660-ED3479F49EF6}" id="{9E124E2A-1179-49AD-A009-57D31B7BE5F1}">
    <text>Tous les coefs par la suite sont estimés sur un sous-échantillon excluant les mesures de la pollution de l’air considérées comme «excellente»</text>
  </threadedComment>
  <threadedComment ref="BU241" dT="2026-07-20T08:28:14.99" personId="{2D2FC716-E1F2-45AA-9660-ED3479F49EF6}" id="{A67989CA-616B-4968-BDC9-9BB1DD200396}">
    <text>Saison</text>
  </threadedComment>
  <threadedComment ref="BU242" dT="2026-07-20T08:28:14.99" personId="{2D2FC716-E1F2-45AA-9660-ED3479F49EF6}" id="{94280DD6-F3A5-4237-9AEE-2FBAD2F41E56}">
    <text>Saison</text>
  </threadedComment>
  <threadedComment ref="BU243" dT="2026-07-20T08:28:14.99" personId="{2D2FC716-E1F2-45AA-9660-ED3479F49EF6}" id="{2988B262-08D8-4BCC-BC98-34E6FF9C02F4}">
    <text>Saison</text>
  </threadedComment>
  <threadedComment ref="BU244" dT="2026-07-20T08:28:14.99" personId="{2D2FC716-E1F2-45AA-9660-ED3479F49EF6}" id="{C8E1D2DA-8D19-49D1-90BD-62ABCDCD29F0}">
    <text>Saison</text>
  </threadedComment>
  <threadedComment ref="BU245" dT="2026-07-20T08:28:14.99" personId="{2D2FC716-E1F2-45AA-9660-ED3479F49EF6}" id="{20F0CE88-5AB0-4449-A98B-40D4B4BDEF38}">
    <text>Saison</text>
  </threadedComment>
  <threadedComment ref="BU246" dT="2026-07-20T08:28:14.99" personId="{2D2FC716-E1F2-45AA-9660-ED3479F49EF6}" id="{77A51CFE-5F16-437C-88DC-C0FC5844BECE}">
    <text>Saison</text>
  </threadedComment>
  <threadedComment ref="BU247" dT="2026-07-20T08:28:14.99" personId="{2D2FC716-E1F2-45AA-9660-ED3479F49EF6}" id="{DA4F7978-3F5D-41CD-8507-7F06912FB461}">
    <text>Saison</text>
  </threadedComment>
  <threadedComment ref="BU248" dT="2026-07-20T08:28:14.99" personId="{2D2FC716-E1F2-45AA-9660-ED3479F49EF6}" id="{5DDED758-6A0C-4116-A6E1-F068EF6C365E}">
    <text>Saison</text>
  </threadedComment>
  <threadedComment ref="BU249" dT="2026-07-20T08:28:14.99" personId="{2D2FC716-E1F2-45AA-9660-ED3479F49EF6}" id="{30CECCA5-6206-4081-92AB-E804E9536BD5}">
    <text>Saison</text>
  </threadedComment>
  <threadedComment ref="BU250" dT="2026-07-20T08:28:14.99" personId="{2D2FC716-E1F2-45AA-9660-ED3479F49EF6}" id="{F64B9E0C-7147-4F9C-9611-93058329118C}">
    <text>Saison</text>
  </threadedComment>
  <threadedComment ref="BU251" dT="2026-07-20T08:28:14.99" personId="{2D2FC716-E1F2-45AA-9660-ED3479F49EF6}" id="{1FB50556-C8FD-46F2-8C04-E3EEF78BA423}">
    <text>Saison</text>
  </threadedComment>
  <threadedComment ref="BU252" dT="2026-07-20T08:28:14.99" personId="{2D2FC716-E1F2-45AA-9660-ED3479F49EF6}" id="{7BFF74F7-F640-41EE-9453-BF5C51E072B1}">
    <text>Saison</text>
  </threadedComment>
  <threadedComment ref="BU253" dT="2026-07-20T08:28:14.99" personId="{2D2FC716-E1F2-45AA-9660-ED3479F49EF6}" id="{EF5AD22A-EBAC-436F-82AF-5AEF9FC1EDF2}">
    <text>Saison</text>
  </threadedComment>
  <threadedComment ref="BU254" dT="2026-07-20T08:28:14.99" personId="{2D2FC716-E1F2-45AA-9660-ED3479F49EF6}" id="{A3978F3E-25CE-4D3D-AC70-A8502D1DF958}">
    <text>Saison</text>
  </threadedComment>
  <threadedComment ref="BU255" dT="2026-07-20T08:28:14.99" personId="{2D2FC716-E1F2-45AA-9660-ED3479F49EF6}" id="{49372C48-8113-4DE4-8EAE-E243B470A03A}">
    <text>Saison</text>
  </threadedComment>
  <threadedComment ref="BU256" dT="2026-07-20T08:28:14.99" personId="{2D2FC716-E1F2-45AA-9660-ED3479F49EF6}" id="{BBFB3D70-8814-42C8-858D-7A47FC28C1FB}">
    <text>Saison</text>
  </threadedComment>
  <threadedComment ref="BU257" dT="2026-07-20T08:28:14.99" personId="{2D2FC716-E1F2-45AA-9660-ED3479F49EF6}" id="{27CF15A8-6841-400B-BF10-A734BAB1B07F}">
    <text>Saison</text>
  </threadedComment>
  <threadedComment ref="BU258" dT="2026-07-20T08:28:14.99" personId="{2D2FC716-E1F2-45AA-9660-ED3479F49EF6}" id="{27C5DBA8-9A0E-43B1-BE7D-C7945924A567}">
    <text>Saison</text>
  </threadedComment>
  <threadedComment ref="BU259" dT="2026-07-20T08:28:14.99" personId="{2D2FC716-E1F2-45AA-9660-ED3479F49EF6}" id="{54F9F5F0-B820-421E-B91D-F4CC33985378}">
    <text>Saison</text>
  </threadedComment>
  <threadedComment ref="BU260" dT="2026-07-20T08:28:14.99" personId="{2D2FC716-E1F2-45AA-9660-ED3479F49EF6}" id="{5497A553-2E00-4AB8-BD93-497E67FE7EE7}">
    <text>Saison</text>
  </threadedComment>
  <threadedComment ref="BU261" dT="2026-07-20T08:28:14.99" personId="{2D2FC716-E1F2-45AA-9660-ED3479F49EF6}" id="{64751037-B30D-4F66-9BF1-A4CDC953C818}">
    <text>Saison</text>
  </threadedComment>
  <threadedComment ref="BU262" dT="2026-07-20T08:28:14.99" personId="{2D2FC716-E1F2-45AA-9660-ED3479F49EF6}" id="{CA2C63E4-E501-4DA6-BA56-1FC8577A4642}">
    <text>Saison</text>
  </threadedComment>
  <threadedComment ref="BU263" dT="2026-07-20T08:28:14.99" personId="{2D2FC716-E1F2-45AA-9660-ED3479F49EF6}" id="{92AC0A08-F8BA-44F1-BC79-4B5991D59DF2}">
    <text>Saison</text>
  </threadedComment>
  <threadedComment ref="BU264" dT="2026-07-20T08:28:14.99" personId="{2D2FC716-E1F2-45AA-9660-ED3479F49EF6}" id="{1C4D4A74-2287-402C-AFC7-D9963EB3950A}">
    <text>Saison</text>
  </threadedComment>
  <threadedComment ref="BU265" dT="2026-07-20T08:28:14.99" personId="{2D2FC716-E1F2-45AA-9660-ED3479F49EF6}" id="{BCDCB13E-713F-40D9-B8CB-519EA2E7DFE9}">
    <text>Saison</text>
  </threadedComment>
  <threadedComment ref="BU266" dT="2026-07-20T08:28:14.99" personId="{2D2FC716-E1F2-45AA-9660-ED3479F49EF6}" id="{EA54F672-AA52-46FF-A26A-DBE2D9AF1824}">
    <text>Saison</text>
  </threadedComment>
  <threadedComment ref="BU267" dT="2026-07-20T08:28:14.99" personId="{2D2FC716-E1F2-45AA-9660-ED3479F49EF6}" id="{708D6E08-0657-4169-8EEE-6F47456D6996}">
    <text>Saison</text>
  </threadedComment>
  <threadedComment ref="BU268" dT="2026-07-20T08:28:14.99" personId="{2D2FC716-E1F2-45AA-9660-ED3479F49EF6}" id="{776B8666-5ED2-4F03-9F9E-99FA3FB1DDC2}">
    <text>Saison</text>
  </threadedComment>
  <threadedComment ref="BU269" dT="2026-07-20T08:28:14.99" personId="{2D2FC716-E1F2-45AA-9660-ED3479F49EF6}" id="{992E87CD-0C38-4170-B9A8-36159B095F9E}">
    <text>Saison</text>
  </threadedComment>
  <threadedComment ref="BU270" dT="2026-07-20T08:28:14.99" personId="{2D2FC716-E1F2-45AA-9660-ED3479F49EF6}" id="{ECF1866C-F4BB-4EBD-83E9-9BA3C3F324B7}">
    <text>Saison</text>
  </threadedComment>
  <threadedComment ref="BU271" dT="2026-07-20T08:28:14.99" personId="{2D2FC716-E1F2-45AA-9660-ED3479F49EF6}" id="{45B4244E-8CF5-4A6A-B54D-1D419FC3194E}">
    <text>Saison</text>
  </threadedComment>
  <threadedComment ref="BA272" dT="2026-07-20T13:02:42.54" personId="{2D2FC716-E1F2-45AA-9660-ED3479F49EF6}" id="{C74833E1-5FE2-4508-A913-73AAA94562A9}">
    <text>Discutable, le papier parle des deux</text>
  </threadedComment>
  <threadedComment ref="BA273" dT="2026-07-20T13:02:42.54" personId="{2D2FC716-E1F2-45AA-9660-ED3479F49EF6}" id="{57120A45-78F0-46C0-BA87-15DAF43D9FE2}">
    <text>Discutable, le papier parle des deux</text>
  </threadedComment>
  <threadedComment ref="BA274" dT="2026-07-20T13:02:42.54" personId="{2D2FC716-E1F2-45AA-9660-ED3479F49EF6}" id="{5AE6CCD2-FA72-473F-A90A-36F89EA53B58}">
    <text>Discutable, le papier parle des deux</text>
  </threadedComment>
  <threadedComment ref="BA275" dT="2026-07-20T13:02:42.54" personId="{2D2FC716-E1F2-45AA-9660-ED3479F49EF6}" id="{2D272E47-8C53-4B0D-9C35-661B79479C14}">
    <text>Discutable, le papier parle des deux</text>
  </threadedComment>
  <threadedComment ref="BA276" dT="2026-07-20T13:02:42.54" personId="{2D2FC716-E1F2-45AA-9660-ED3479F49EF6}" id="{6D73BA30-0236-43E0-8934-7D0C206CB57F}">
    <text>Discutable, le papier parle des deux</text>
  </threadedComment>
  <threadedComment ref="BA277" dT="2026-07-20T13:02:42.54" personId="{2D2FC716-E1F2-45AA-9660-ED3479F49EF6}" id="{E918D808-9A21-4376-BE50-38A9A548CB7D}">
    <text>Discutable, le papier parle des deux</text>
  </threadedComment>
  <threadedComment ref="BA278" dT="2026-07-20T13:02:42.54" personId="{2D2FC716-E1F2-45AA-9660-ED3479F49EF6}" id="{5342980A-98BF-4E5D-91B5-FA62850BDC53}">
    <text>Discutable, le papier parle des deux</text>
  </threadedComment>
  <threadedComment ref="BA279" dT="2026-07-20T13:02:42.54" personId="{2D2FC716-E1F2-45AA-9660-ED3479F49EF6}" id="{C9114E3C-0669-47FC-B0FA-58B1D5087C3E}">
    <text>Discutable, le papier parle des deux</text>
  </threadedComment>
  <threadedComment ref="BA280" dT="2026-07-20T13:02:42.54" personId="{2D2FC716-E1F2-45AA-9660-ED3479F49EF6}" id="{27287A53-E1E9-4F26-B978-EF288F62C4EF}">
    <text>Discutable, le papier parle des deux</text>
  </threadedComment>
  <threadedComment ref="BA281" dT="2026-07-20T13:02:42.54" personId="{2D2FC716-E1F2-45AA-9660-ED3479F49EF6}" id="{D334F333-0BF6-42BB-80D4-1E447F67C1A5}">
    <text>Discutable, le papier parle des deux</text>
  </threadedComment>
  <threadedComment ref="BA282" dT="2026-07-20T13:02:42.54" personId="{2D2FC716-E1F2-45AA-9660-ED3479F49EF6}" id="{C3508C43-1185-4104-A41D-3909AB21D43F}">
    <text>Discutable, le papier parle des deux</text>
  </threadedComment>
  <threadedComment ref="BA283" dT="2026-07-20T13:02:42.54" personId="{2D2FC716-E1F2-45AA-9660-ED3479F49EF6}" id="{1B6E77F0-26BC-4F65-91F9-3BF3BD57D77C}">
    <text>Discutable, le papier parle des deux</text>
  </threadedComment>
  <threadedComment ref="BA284" dT="2026-07-20T13:02:42.54" personId="{2D2FC716-E1F2-45AA-9660-ED3479F49EF6}" id="{350012A7-FC1D-4F3E-8D63-9113B1C88CB8}">
    <text>Discutable, le papier parle des deux</text>
  </threadedComment>
  <threadedComment ref="BA285" dT="2026-07-20T13:02:42.54" personId="{2D2FC716-E1F2-45AA-9660-ED3479F49EF6}" id="{38F7BE91-6FB1-40CF-967E-88B84171F75F}">
    <text>Discutable, le papier parle des deux</text>
  </threadedComment>
  <threadedComment ref="BA286" dT="2026-07-20T13:02:42.54" personId="{2D2FC716-E1F2-45AA-9660-ED3479F49EF6}" id="{24E0B499-F415-4025-83C0-E4FFC480D2C6}">
    <text>Discutable, le papier parle des deux</text>
  </threadedComment>
  <threadedComment ref="BA287" dT="2026-07-20T13:02:42.54" personId="{2D2FC716-E1F2-45AA-9660-ED3479F49EF6}" id="{86E9AA7E-BFBD-4C20-9FB1-1C761AFAC52C}">
    <text>Discutable, le papier parle des deux</text>
  </threadedComment>
  <threadedComment ref="CO287" dT="2026-07-21T09:58:41.66" personId="{2D2FC716-E1F2-45AA-9660-ED3479F49EF6}" id="{1F2F6D8C-2610-412F-97E7-5B655A9FDAF5}">
    <text>Match à domicile ou à l’extérieur</text>
  </threadedComment>
  <threadedComment ref="BA288" dT="2026-07-20T13:02:42.54" personId="{2D2FC716-E1F2-45AA-9660-ED3479F49EF6}" id="{22B67C70-08DC-44D1-BF02-8BA8A0444F4C}">
    <text>Discutable, le papier parle des deux</text>
  </threadedComment>
  <threadedComment ref="BA289" dT="2026-07-20T13:02:42.54" personId="{2D2FC716-E1F2-45AA-9660-ED3479F49EF6}" id="{F98510EB-E6CD-4968-B374-A9A9D1033EBF}">
    <text>Discutable, le papier parle des deux</text>
  </threadedComment>
  <threadedComment ref="BA290" dT="2026-07-20T13:02:42.54" personId="{2D2FC716-E1F2-45AA-9660-ED3479F49EF6}" id="{BAC2123F-2D63-47DF-81DA-2EA4F6C0B699}">
    <text>Discutable, le papier parle des deux</text>
  </threadedComment>
  <threadedComment ref="BA291" dT="2026-07-20T13:02:42.54" personId="{2D2FC716-E1F2-45AA-9660-ED3479F49EF6}" id="{2E84CA6D-8400-4963-AE6B-1BD09C980E1F}">
    <text>Discutable, le papier parle des deux</text>
  </threadedComment>
  <threadedComment ref="BA292" dT="2026-07-20T13:02:42.54" personId="{2D2FC716-E1F2-45AA-9660-ED3479F49EF6}" id="{20E7B01F-9BBA-4E20-84F3-57040F02CA4D}">
    <text>Discutable, le papier parle des deux</text>
  </threadedComment>
  <threadedComment ref="BA293" dT="2026-07-20T13:02:42.54" personId="{2D2FC716-E1F2-45AA-9660-ED3479F49EF6}" id="{3DD16A15-90AA-4DDC-85AC-BAF8DE904864}">
    <text>Discutable, le papier parle des deux</text>
  </threadedComment>
  <threadedComment ref="BA294" dT="2026-07-20T13:02:42.54" personId="{2D2FC716-E1F2-45AA-9660-ED3479F49EF6}" id="{D0844806-BBB0-466F-A654-24C748DC9366}">
    <text>Discutable, le papier parle des deux</text>
  </threadedComment>
  <threadedComment ref="BA295" dT="2026-07-20T13:02:42.54" personId="{2D2FC716-E1F2-45AA-9660-ED3479F49EF6}" id="{A2835E91-BDC6-4779-937C-D2518E2F7316}">
    <text>Discutable, le papier parle des deux</text>
  </threadedComment>
  <threadedComment ref="BA296" dT="2026-07-20T13:02:42.54" personId="{2D2FC716-E1F2-45AA-9660-ED3479F49EF6}" id="{2CB6D242-665D-4663-892E-F28B0C894856}">
    <text>Discutable, le papier parle des deux</text>
  </threadedComment>
  <threadedComment ref="BA297" dT="2026-07-20T13:02:42.54" personId="{2D2FC716-E1F2-45AA-9660-ED3479F49EF6}" id="{3F0F78DC-7316-423E-BEC0-F0C00E637092}">
    <text>Discutable, le papier parle des deux</text>
  </threadedComment>
  <threadedComment ref="BA298" dT="2026-07-20T13:02:42.54" personId="{2D2FC716-E1F2-45AA-9660-ED3479F49EF6}" id="{5915F9A5-A073-46F4-9334-A53E52B09D2E}">
    <text>Discutable, le papier parle des deux</text>
  </threadedComment>
  <threadedComment ref="BA299" dT="2026-07-20T13:02:42.54" personId="{2D2FC716-E1F2-45AA-9660-ED3479F49EF6}" id="{C7DB0E1C-5FA4-4BDC-84C5-22FAD212C9F3}">
    <text>Discutable, le papier parle des deux</text>
  </threadedComment>
  <threadedComment ref="BA300" dT="2026-07-20T13:02:42.54" personId="{2D2FC716-E1F2-45AA-9660-ED3479F49EF6}" id="{88328D55-E67C-43C8-BE85-CEFC4624815D}">
    <text>Discutable, le papier parle des deux</text>
  </threadedComment>
  <threadedComment ref="BA301" dT="2026-07-20T13:02:42.54" personId="{2D2FC716-E1F2-45AA-9660-ED3479F49EF6}" id="{ACC18328-6CC1-4BA0-B764-256D0220713E}">
    <text>Discutable, le papier parle des deux</text>
  </threadedComment>
  <threadedComment ref="BA302" dT="2026-07-20T13:02:42.54" personId="{2D2FC716-E1F2-45AA-9660-ED3479F49EF6}" id="{B2918E2F-65B1-49FD-AC39-BBF4E2017137}">
    <text>Discutable, le papier parle des deux</text>
  </threadedComment>
  <threadedComment ref="BA303" dT="2026-07-20T13:02:42.54" personId="{2D2FC716-E1F2-45AA-9660-ED3479F49EF6}" id="{4A98A97A-C7C4-43DD-BA33-8A1845D59237}">
    <text>Discutable, le papier parle des deux</text>
  </threadedComment>
  <threadedComment ref="BA304" dT="2026-07-20T13:02:42.54" personId="{2D2FC716-E1F2-45AA-9660-ED3479F49EF6}" id="{9F709F08-BB0C-4C2C-BEA5-DB75FAB168FC}">
    <text>Discutable, le papier parle des deux</text>
  </threadedComment>
  <threadedComment ref="BD305" dT="2026-07-20T15:36:36.40" personId="{2D2FC716-E1F2-45AA-9660-ED3479F49EF6}" id="{462F31DC-E48B-4271-B6DF-C3E73D0229BF}">
    <text>Blue collar</text>
  </threadedComment>
  <threadedComment ref="CB329" dT="2026-07-21T13:12:19.05" personId="{2D2FC716-E1F2-45AA-9660-ED3479F49EF6}" id="{CFBD4C3D-049B-452E-9A4B-A1D941F62D3A}">
    <text>Wind_speed * atmospheric_boundary_layer_height</text>
  </threadedComment>
  <threadedComment ref="AZ331" dT="2026-07-21T09:42:16.66" personId="{2D2FC716-E1F2-45AA-9660-ED3479F49EF6}" id="{E9AAE48E-0BAD-4113-A4E5-496FEA99B3D8}">
    <text>Moyenne de la poll de l’air sur 3 ans</text>
  </threadedComment>
  <threadedComment ref="AL474" dT="2026-07-23T10:13:47.12" personId="{2D2FC716-E1F2-45AA-9660-ED3479F49EF6}" id="{5520C4D0-5E62-4F87-A751-C114B07919BA}">
    <text>Anciennement API</text>
  </threadedComment>
  <threadedComment ref="AN474" dT="2026-08-27T09:56:43.53" personId="{2D2FC716-E1F2-45AA-9660-ED3479F49EF6}" id="{1E302F4F-4B7A-4DA5-9C41-C0844A87D3B7}">
    <text>!!!!ln -&gt; garder ou NA?</text>
  </threadedComment>
  <threadedComment ref="BA474" dT="2026-07-20T13:02:42.54" personId="{2D2FC716-E1F2-45AA-9660-ED3479F49EF6}" id="{FF5C129C-6FBF-4940-AC18-E941255B9044}">
    <text>Discutable, le papier parle des deux</text>
  </threadedComment>
  <threadedComment ref="AL475" dT="2026-07-23T10:13:47.12" personId="{2D2FC716-E1F2-45AA-9660-ED3479F49EF6}" id="{E208540D-9DC0-4830-81BC-61EBF6DE7F29}">
    <text>Anciennement API</text>
  </threadedComment>
  <threadedComment ref="BA475" dT="2026-07-20T13:02:42.54" personId="{2D2FC716-E1F2-45AA-9660-ED3479F49EF6}" id="{918B603D-82E5-4ECB-9793-FE0DDCA5BB90}">
    <text>Discutable, le papier parle des deux</text>
  </threadedComment>
  <threadedComment ref="AL476" dT="2026-07-23T10:13:47.12" personId="{2D2FC716-E1F2-45AA-9660-ED3479F49EF6}" id="{2CC40281-29A4-40EB-BA0D-4EF27D3DCEB8}">
    <text>Anciennement API</text>
  </threadedComment>
  <threadedComment ref="BA476" dT="2026-07-20T13:02:42.54" personId="{2D2FC716-E1F2-45AA-9660-ED3479F49EF6}" id="{A0FBBF9A-D97F-4AF3-A45F-2F06594DA662}">
    <text>Discutable, le papier parle des deux</text>
  </threadedComment>
  <threadedComment ref="AL477" dT="2026-07-23T10:13:47.12" personId="{2D2FC716-E1F2-45AA-9660-ED3479F49EF6}" id="{FBC4727E-B775-45A0-9F11-934B17DDAD14}">
    <text>Anciennement API</text>
  </threadedComment>
  <threadedComment ref="BA477" dT="2026-07-20T13:02:42.54" personId="{2D2FC716-E1F2-45AA-9660-ED3479F49EF6}" id="{05D3835D-07A3-4C86-AC70-0307D8551E49}">
    <text>Discutable, le papier parle des deux</text>
  </threadedComment>
  <threadedComment ref="AL478" dT="2026-07-23T10:13:47.12" personId="{2D2FC716-E1F2-45AA-9660-ED3479F49EF6}" id="{320DB4E1-FA25-4459-AC4C-DD6B4AF78619}">
    <text>Anciennement API</text>
  </threadedComment>
  <threadedComment ref="BA478" dT="2026-07-20T13:02:42.54" personId="{2D2FC716-E1F2-45AA-9660-ED3479F49EF6}" id="{97842633-EB10-49DF-A519-86D77E5783AE}">
    <text>Discutable, le papier parle des deux</text>
  </threadedComment>
  <threadedComment ref="AL479" dT="2026-07-23T10:13:47.12" personId="{2D2FC716-E1F2-45AA-9660-ED3479F49EF6}" id="{85630F7E-A480-45F1-ABF8-83B7600FA5B4}">
    <text>Anciennement API</text>
  </threadedComment>
  <threadedComment ref="BA479" dT="2026-07-20T13:02:42.54" personId="{2D2FC716-E1F2-45AA-9660-ED3479F49EF6}" id="{C08DC9A2-78F4-4461-91C6-B29DA39931CB}">
    <text>Discutable, le papier parle des deux</text>
  </threadedComment>
  <threadedComment ref="BA480" dT="2026-07-20T13:02:42.54" personId="{2D2FC716-E1F2-45AA-9660-ED3479F49EF6}" id="{D3E907CC-91BF-4973-B26C-B7C018FE3189}">
    <text>Discutable, le papier parle des deux</text>
  </threadedComment>
  <threadedComment ref="BA481" dT="2026-07-20T13:02:42.54" personId="{2D2FC716-E1F2-45AA-9660-ED3479F49EF6}" id="{21A2A7E7-857E-451D-BC2C-4443FEE76A8C}">
    <text>Discutable, le papier parle des deux</text>
  </threadedComment>
  <threadedComment ref="BA482" dT="2026-07-20T13:02:42.54" personId="{2D2FC716-E1F2-45AA-9660-ED3479F49EF6}" id="{DF249452-FF07-476F-94AA-4A4EE0608F69}">
    <text>Discutable, le papier parle des deux</text>
  </threadedComment>
  <threadedComment ref="BA483" dT="2026-07-20T13:02:42.54" personId="{2D2FC716-E1F2-45AA-9660-ED3479F49EF6}" id="{6741ABD5-7A52-46F4-98F4-92F514D90A30}">
    <text>Discutable, le papier parle des deux</text>
  </threadedComment>
  <threadedComment ref="BA484" dT="2026-07-20T13:02:42.54" personId="{2D2FC716-E1F2-45AA-9660-ED3479F49EF6}" id="{90BD2591-43AB-4DB8-910E-D9AFCBC8AF2B}">
    <text>Discutable, le papier parle des deux</text>
  </threadedComment>
  <threadedComment ref="BA485" dT="2026-07-20T13:02:42.54" personId="{2D2FC716-E1F2-45AA-9660-ED3479F49EF6}" id="{E4FA46BA-23E7-408C-A6D3-EAA5A6E9A4B2}">
    <text>Discutable, le papier parle des deux</text>
  </threadedComment>
  <threadedComment ref="AL486" dT="2026-07-23T10:13:47.12" personId="{2D2FC716-E1F2-45AA-9660-ED3479F49EF6}" id="{B6B08E94-738C-42EA-B6A2-DCD69CF2FCA7}">
    <text>Anciennement API</text>
  </threadedComment>
  <threadedComment ref="BA486" dT="2026-07-20T13:02:42.54" personId="{2D2FC716-E1F2-45AA-9660-ED3479F49EF6}" id="{F83D0CFE-FC56-4D4D-9EA1-D8CF0E9BDB60}">
    <text>Discutable, le papier parle des deux</text>
  </threadedComment>
  <threadedComment ref="AL487" dT="2026-07-23T10:13:47.12" personId="{2D2FC716-E1F2-45AA-9660-ED3479F49EF6}" id="{3D9F7F3F-B238-4A5D-9DA7-167E1973E21B}">
    <text>Anciennement API</text>
  </threadedComment>
  <threadedComment ref="BA487" dT="2026-07-20T13:02:42.54" personId="{2D2FC716-E1F2-45AA-9660-ED3479F49EF6}" id="{D4B814DE-E65E-4D7C-AD1C-6336B3F5CEBF}">
    <text>Discutable, le papier parle des deux</text>
  </threadedComment>
  <threadedComment ref="AL488" dT="2026-07-23T10:13:47.12" personId="{2D2FC716-E1F2-45AA-9660-ED3479F49EF6}" id="{1CD0A218-10EF-40A2-87AE-2A3BE9C11C1E}">
    <text>Anciennement API</text>
  </threadedComment>
  <threadedComment ref="BA488" dT="2026-07-20T13:02:42.54" personId="{2D2FC716-E1F2-45AA-9660-ED3479F49EF6}" id="{37D09951-E9B3-410E-9DB2-F812818BFB4E}">
    <text>Discutable, le papier parle des deux</text>
  </threadedComment>
  <threadedComment ref="AL489" dT="2026-07-23T10:13:47.12" personId="{2D2FC716-E1F2-45AA-9660-ED3479F49EF6}" id="{84AC1412-6290-452B-BC7E-EFAD276F70CF}">
    <text>Anciennement API</text>
  </threadedComment>
  <threadedComment ref="BA489" dT="2026-07-20T13:02:42.54" personId="{2D2FC716-E1F2-45AA-9660-ED3479F49EF6}" id="{CAD754F0-381F-48C4-8BB8-9D81052DF76A}">
    <text>Discutable, le papier parle des deux</text>
  </threadedComment>
  <threadedComment ref="AL490" dT="2026-07-23T10:13:47.12" personId="{2D2FC716-E1F2-45AA-9660-ED3479F49EF6}" id="{B3726665-0053-4F45-980F-756734D0BFDE}">
    <text>Anciennement API</text>
  </threadedComment>
  <threadedComment ref="BA490" dT="2026-07-20T13:02:42.54" personId="{2D2FC716-E1F2-45AA-9660-ED3479F49EF6}" id="{D74CD00A-9D6F-4020-94AD-4323526DE573}">
    <text>Discutable, le papier parle des deux</text>
  </threadedComment>
  <threadedComment ref="AL491" dT="2026-07-23T10:13:47.12" personId="{2D2FC716-E1F2-45AA-9660-ED3479F49EF6}" id="{305FD282-D95E-4BD8-ACC0-A6DEC203EABC}">
    <text>Anciennement API</text>
  </threadedComment>
  <threadedComment ref="BA491" dT="2026-07-20T13:02:42.54" personId="{2D2FC716-E1F2-45AA-9660-ED3479F49EF6}" id="{EE328A7D-7257-4FC3-8C62-A20AA91990B5}">
    <text>Discutable, le papier parle des deux</text>
  </threadedComment>
  <threadedComment ref="BA492" dT="2026-07-20T13:02:42.54" personId="{2D2FC716-E1F2-45AA-9660-ED3479F49EF6}" id="{5053ADD0-9CCF-42B3-BA6B-48B70FC782DC}">
    <text>Discutable, le papier parle des deux</text>
  </threadedComment>
  <threadedComment ref="BA493" dT="2026-07-20T13:02:42.54" personId="{2D2FC716-E1F2-45AA-9660-ED3479F49EF6}" id="{3FCAA7B9-DB0B-48BE-9DAE-D907A07D7382}">
    <text>Discutable, le papier parle des deux</text>
  </threadedComment>
  <threadedComment ref="BA494" dT="2026-07-20T13:02:42.54" personId="{2D2FC716-E1F2-45AA-9660-ED3479F49EF6}" id="{752DC43E-C7AB-49E6-8611-55A39E70BB59}">
    <text>Discutable, le papier parle des deux</text>
  </threadedComment>
  <threadedComment ref="BA495" dT="2026-07-20T13:02:42.54" personId="{2D2FC716-E1F2-45AA-9660-ED3479F49EF6}" id="{76B06F20-92BD-4915-B1CF-88A8B1F6FA19}">
    <text>Discutable, le papier parle des deux</text>
  </threadedComment>
  <threadedComment ref="BA496" dT="2026-07-20T13:02:42.54" personId="{2D2FC716-E1F2-45AA-9660-ED3479F49EF6}" id="{03DC6973-9D69-4634-814B-ED4D7B40CF5A}">
    <text>Discutable, le papier parle des deux</text>
  </threadedComment>
  <threadedComment ref="BA497" dT="2026-07-20T13:02:42.54" personId="{2D2FC716-E1F2-45AA-9660-ED3479F49EF6}" id="{987D421E-9FB5-4186-BDC9-6DDF39AB217D}">
    <text>Discutable, le papier parle des deux</text>
  </threadedComment>
  <threadedComment ref="BA498" dT="2026-07-20T13:02:42.54" personId="{2D2FC716-E1F2-45AA-9660-ED3479F49EF6}" id="{C70AD02A-5557-48F4-A3F9-AB1A2F8F1B9C}">
    <text>Discutable, le papier parle des deux</text>
  </threadedComment>
  <threadedComment ref="BA499" dT="2026-07-20T13:02:42.54" personId="{2D2FC716-E1F2-45AA-9660-ED3479F49EF6}" id="{B47AC444-F547-44EC-BB98-D7E37720E377}">
    <text>Discutable, le papier parle des deux</text>
  </threadedComment>
  <threadedComment ref="BA500" dT="2026-07-20T13:02:42.54" personId="{2D2FC716-E1F2-45AA-9660-ED3479F49EF6}" id="{8668B9AA-11EF-4C3B-87EB-8C8F0D0FF925}">
    <text>Discutable, le papier parle des deux</text>
  </threadedComment>
  <threadedComment ref="BA501" dT="2026-07-20T13:02:42.54" personId="{2D2FC716-E1F2-45AA-9660-ED3479F49EF6}" id="{814721DC-75C3-410C-AF84-08D0938D378F}">
    <text>Discutable, le papier parle des deux</text>
  </threadedComment>
  <threadedComment ref="BA502" dT="2026-07-20T13:02:42.54" personId="{2D2FC716-E1F2-45AA-9660-ED3479F49EF6}" id="{1332BF00-C51C-4AD9-9AC2-A79C2130760E}">
    <text>Discutable, le papier parle des deux</text>
  </threadedComment>
  <threadedComment ref="BA503" dT="2026-07-20T13:02:42.54" personId="{2D2FC716-E1F2-45AA-9660-ED3479F49EF6}" id="{84EA742A-F3F7-4DDB-B6EE-50C032DA76EC}">
    <text>Discutable, le papier parle des deux</text>
  </threadedComment>
  <threadedComment ref="BA504" dT="2026-07-20T13:02:42.54" personId="{2D2FC716-E1F2-45AA-9660-ED3479F49EF6}" id="{86187B81-2C49-43BB-B9E6-7FDF1A444D10}">
    <text>Discutable, le papier parle des deux</text>
  </threadedComment>
  <threadedComment ref="BA505" dT="2026-07-20T13:02:42.54" personId="{2D2FC716-E1F2-45AA-9660-ED3479F49EF6}" id="{A45C9E56-7807-45DE-9C9D-1CFB6C6136CA}">
    <text>Discutable, le papier parle des deux</text>
  </threadedComment>
  <threadedComment ref="BA506" dT="2026-07-20T13:02:42.54" personId="{2D2FC716-E1F2-45AA-9660-ED3479F49EF6}" id="{0E3024E1-22E7-4A57-BCFC-DC30180B51B5}">
    <text>Discutable, le papier parle des deux</text>
  </threadedComment>
  <threadedComment ref="BA507" dT="2026-07-20T13:02:42.54" personId="{2D2FC716-E1F2-45AA-9660-ED3479F49EF6}" id="{2763F79A-4CFA-4303-9C7B-09B25B7259BA}">
    <text>Discutable, le papier parle des deux</text>
  </threadedComment>
  <threadedComment ref="BA508" dT="2026-07-20T13:02:42.54" personId="{2D2FC716-E1F2-45AA-9660-ED3479F49EF6}" id="{19D9E685-DC4E-407F-8092-2E92332BD68B}">
    <text>Discutable, le papier parle des deux</text>
  </threadedComment>
  <threadedComment ref="BA509" dT="2026-07-20T13:02:42.54" personId="{2D2FC716-E1F2-45AA-9660-ED3479F49EF6}" id="{E36F84E0-AE0A-4473-9508-72DF95749D2E}">
    <text>Discutable, le papier parle des deux</text>
  </threadedComment>
  <threadedComment ref="BA510" dT="2026-07-20T13:02:42.54" personId="{2D2FC716-E1F2-45AA-9660-ED3479F49EF6}" id="{950A7AAD-DEB4-42FF-9304-25621F115306}">
    <text>Discutable, le papier parle des deux</text>
  </threadedComment>
  <threadedComment ref="BA511" dT="2026-07-20T13:02:42.54" personId="{2D2FC716-E1F2-45AA-9660-ED3479F49EF6}" id="{D5B29CFC-E987-4082-A1B1-FA54C7C67582}">
    <text>Discutable, le papier parle des deux</text>
  </threadedComment>
  <threadedComment ref="BA512" dT="2026-07-20T13:02:42.54" personId="{2D2FC716-E1F2-45AA-9660-ED3479F49EF6}" id="{EF1002E6-11DD-421A-9C14-EC46DC2DBB5F}">
    <text>Discutable, le papier parle des deux</text>
  </threadedComment>
  <threadedComment ref="BA513" dT="2026-07-20T13:02:42.54" personId="{2D2FC716-E1F2-45AA-9660-ED3479F49EF6}" id="{69802FAB-F8CC-498B-BFC4-5AE1756D5A98}">
    <text>Discutable, le papier parle des deux</text>
  </threadedComment>
  <threadedComment ref="BA514" dT="2026-07-20T13:02:42.54" personId="{2D2FC716-E1F2-45AA-9660-ED3479F49EF6}" id="{4A72B2C0-8805-4D99-AAF4-CCBC2EEF1038}">
    <text>Discutable, le papier parle des deux</text>
  </threadedComment>
  <threadedComment ref="BA515" dT="2026-07-20T13:02:42.54" personId="{2D2FC716-E1F2-45AA-9660-ED3479F49EF6}" id="{FDA75E7C-D18D-49D1-891E-488FB37D188F}">
    <text>Discutable, le papier parle des deux</text>
  </threadedComment>
  <threadedComment ref="BA516" dT="2026-07-20T13:02:42.54" personId="{2D2FC716-E1F2-45AA-9660-ED3479F49EF6}" id="{F0EFA02B-63C1-417C-A93B-A5BE85C60850}">
    <text>Discutable, le papier parle des deux</text>
  </threadedComment>
  <threadedComment ref="BA517" dT="2026-07-20T13:02:42.54" personId="{2D2FC716-E1F2-45AA-9660-ED3479F49EF6}" id="{EE9BB526-C40E-4BFB-8B91-08ADC34D7E0F}">
    <text>Discutable, le papier parle des deux</text>
  </threadedComment>
  <threadedComment ref="BA518" dT="2026-07-20T13:02:42.54" personId="{2D2FC716-E1F2-45AA-9660-ED3479F49EF6}" id="{A072123B-2413-409E-B900-6DBF66956DCD}">
    <text>Discutable, le papier parle des deux</text>
  </threadedComment>
  <threadedComment ref="BA519" dT="2026-07-20T13:02:42.54" personId="{2D2FC716-E1F2-45AA-9660-ED3479F49EF6}" id="{AB64D994-B780-493A-A45E-80F6E2F12C14}">
    <text>Discutable, le papier parle des deux</text>
  </threadedComment>
  <threadedComment ref="BA520" dT="2026-07-20T13:02:42.54" personId="{2D2FC716-E1F2-45AA-9660-ED3479F49EF6}" id="{D45A88E6-3A1D-475B-B252-F4BA120E89DA}">
    <text>Discutable, le papier parle des deux</text>
  </threadedComment>
  <threadedComment ref="BA521" dT="2026-07-20T13:02:42.54" personId="{2D2FC716-E1F2-45AA-9660-ED3479F49EF6}" id="{21EFECF4-276B-494D-99D5-A088D887E91A}">
    <text>Discutable, le papier parle des deux</text>
  </threadedComment>
  <threadedComment ref="BA522" dT="2026-07-20T13:02:42.54" personId="{2D2FC716-E1F2-45AA-9660-ED3479F49EF6}" id="{66793426-7D6F-46F7-A952-1F56F94E7B8A}">
    <text>Discutable, le papier parle des deux</text>
  </threadedComment>
  <threadedComment ref="BA523" dT="2026-07-20T13:02:42.54" personId="{2D2FC716-E1F2-45AA-9660-ED3479F49EF6}" id="{EA515650-0B96-4422-AD92-1FBB172D8767}">
    <text>Discutable, le papier parle des deux</text>
  </threadedComment>
  <threadedComment ref="BA524" dT="2026-07-20T13:02:42.54" personId="{2D2FC716-E1F2-45AA-9660-ED3479F49EF6}" id="{F785B445-B05C-4975-A85E-8EB54A778C9F}">
    <text>Discutable, le papier parle des deux</text>
  </threadedComment>
  <threadedComment ref="BA525" dT="2026-07-20T13:02:42.54" personId="{2D2FC716-E1F2-45AA-9660-ED3479F49EF6}" id="{A038FD99-C9F8-4B2B-9468-84D771DE3344}">
    <text>Discutable, le papier parle des deux</text>
  </threadedComment>
  <threadedComment ref="BA526" dT="2026-07-20T13:02:42.54" personId="{2D2FC716-E1F2-45AA-9660-ED3479F49EF6}" id="{421CFA30-1EED-440A-B0B7-5A78203BCE2A}">
    <text>Discutable, le papier parle des deux</text>
  </threadedComment>
  <threadedComment ref="BA527" dT="2026-07-20T13:02:42.54" personId="{2D2FC716-E1F2-45AA-9660-ED3479F49EF6}" id="{C1FEC063-17E3-457D-9759-C15669431E22}">
    <text>Discutable, le papier parle des deux</text>
  </threadedComment>
  <threadedComment ref="BA528" dT="2026-07-20T13:02:42.54" personId="{2D2FC716-E1F2-45AA-9660-ED3479F49EF6}" id="{3F7356B6-9141-4B20-A2B6-50B1B670974D}">
    <text>Discutable, le papier parle des deux</text>
  </threadedComment>
  <threadedComment ref="BA529" dT="2026-07-20T13:02:42.54" personId="{2D2FC716-E1F2-45AA-9660-ED3479F49EF6}" id="{1815DB87-C96D-43E0-89E2-1D48EBA96996}">
    <text>Discutable, le papier parle des deux</text>
  </threadedComment>
  <threadedComment ref="BA530" dT="2026-07-20T13:02:42.54" personId="{2D2FC716-E1F2-45AA-9660-ED3479F49EF6}" id="{A834DD14-CC15-432A-A1B0-620E44974094}">
    <text>Discutable, le papier parle des deux</text>
  </threadedComment>
  <threadedComment ref="BA531" dT="2026-07-20T13:02:42.54" personId="{2D2FC716-E1F2-45AA-9660-ED3479F49EF6}" id="{6B0C393E-A623-40A2-B57A-54A2F23A96F1}">
    <text>Discutable, le papier parle des deux</text>
  </threadedComment>
  <threadedComment ref="BA532" dT="2026-07-20T13:02:42.54" personId="{2D2FC716-E1F2-45AA-9660-ED3479F49EF6}" id="{B8A44AFC-5BF4-4367-BA28-EA072D2325B9}">
    <text>Discutable, le papier parle des deux</text>
  </threadedComment>
  <threadedComment ref="BA533" dT="2026-07-20T13:02:42.54" personId="{2D2FC716-E1F2-45AA-9660-ED3479F49EF6}" id="{787CCBE5-33A8-4DA4-862B-DE2D77484F5F}">
    <text>Discutable, le papier parle des deux</text>
  </threadedComment>
  <threadedComment ref="BA534" dT="2026-07-20T13:02:42.54" personId="{2D2FC716-E1F2-45AA-9660-ED3479F49EF6}" id="{916DD342-63E0-42F7-8444-37222EC7B9C3}">
    <text>Discutable, le papier parle des deux</text>
  </threadedComment>
  <threadedComment ref="AC535" dT="2026-07-23T09:27:02.92" personId="{2D2FC716-E1F2-45AA-9660-ED3479F49EF6}" id="{DF03EB6E-A578-4ADD-B2E5-3214D5CE7FC5}">
    <text>Ybarre proche de 0 --&gt; sd?</text>
  </threadedComment>
  <threadedComment ref="CH535" dT="2026-07-23T09:38:33.29" personId="{2D2FC716-E1F2-45AA-9660-ED3479F49EF6}" id="{643062DF-F327-4684-919C-ECBF002F76C7}">
    <text>Pas pertinent ici</text>
  </threadedComment>
  <threadedComment ref="N550" dT="2026-07-23T09:32:28.36" personId="{2D2FC716-E1F2-45AA-9660-ED3479F49EF6}" id="{7B07BF7D-8798-4CFB-8A40-61DCEE629579}">
    <text>Augmentation de l’aversion au risque</text>
  </threadedComment>
  <threadedComment ref="AN579" dT="2026-08-27T10:09:33.71" personId="{2D2FC716-E1F2-45AA-9660-ED3479F49EF6}" id="{DE5AE4CD-DFA6-4DE4-B59D-0AF51B2C8DD2}">
    <text>!!!ln</text>
  </threadedComment>
  <threadedComment ref="AN591" dT="2026-08-27T10:01:42.91" personId="{2D2FC716-E1F2-45AA-9660-ED3479F49EF6}" id="{FD91C649-A034-4BB1-837D-9455EFD1D6B9}">
    <text xml:space="preserve">!!!!ln -&gt; garder ou NA?
</text>
  </threadedComment>
  <threadedComment ref="AZ591" dT="2026-07-29T12:20:05.14" personId="{2D2FC716-E1F2-45AA-9660-ED3479F49EF6}" id="{198FF908-B398-4F61-913A-735CF753C635}">
    <text>Moyenne année précédente</text>
  </threadedComment>
  <threadedComment ref="AZ592" dT="2026-07-29T12:20:05.14" personId="{2D2FC716-E1F2-45AA-9660-ED3479F49EF6}" id="{D3B78BEF-9C81-45DC-B792-FFDA823E5357}">
    <text>Moyenne année précédente</text>
  </threadedComment>
  <threadedComment ref="AZ593" dT="2026-07-29T12:20:05.14" personId="{2D2FC716-E1F2-45AA-9660-ED3479F49EF6}" id="{D8CBD16B-9FEF-4961-A028-4F279B5F869E}">
    <text>Moyenne année précédente</text>
  </threadedComment>
  <threadedComment ref="AZ594" dT="2026-07-29T12:20:05.14" personId="{2D2FC716-E1F2-45AA-9660-ED3479F49EF6}" id="{8971614D-61D9-4CFB-AD26-5B543EADFE0D}">
    <text>Moyenne année précédente</text>
  </threadedComment>
  <threadedComment ref="AZ595" dT="2026-07-29T12:20:05.14" personId="{2D2FC716-E1F2-45AA-9660-ED3479F49EF6}" id="{0DE74242-35D8-44CA-902F-5FF88733B29E}">
    <text>Moyenne année précédente</text>
  </threadedComment>
  <threadedComment ref="AZ596" dT="2026-07-29T12:20:05.14" personId="{2D2FC716-E1F2-45AA-9660-ED3479F49EF6}" id="{406094CA-DD47-464D-A559-1CD4C4F5F5EA}">
    <text>Moyenne année précédente</text>
  </threadedComment>
  <threadedComment ref="AZ597" dT="2026-07-29T12:20:05.14" personId="{2D2FC716-E1F2-45AA-9660-ED3479F49EF6}" id="{372FA5E9-5BFD-4D8A-AE01-24F0668EFEFD}">
    <text>Moyenne année précédente</text>
  </threadedComment>
  <threadedComment ref="AZ598" dT="2026-07-29T12:20:05.14" personId="{2D2FC716-E1F2-45AA-9660-ED3479F49EF6}" id="{201BF037-5A81-41B4-8371-60A267B88156}">
    <text>Moyenne année précédente</text>
  </threadedComment>
  <threadedComment ref="AZ599" dT="2026-07-29T12:20:05.14" personId="{2D2FC716-E1F2-45AA-9660-ED3479F49EF6}" id="{D67DEF50-8281-4FF1-B542-9216E9DF6F9F}">
    <text>Moyenne année précédente</text>
  </threadedComment>
  <threadedComment ref="AZ600" dT="2026-07-29T12:20:05.14" personId="{2D2FC716-E1F2-45AA-9660-ED3479F49EF6}" id="{623C034E-17BE-4136-A4C9-28117DBC2706}">
    <text>Moyenne année précédente</text>
  </threadedComment>
  <threadedComment ref="AZ601" dT="2026-07-29T12:20:05.14" personId="{2D2FC716-E1F2-45AA-9660-ED3479F49EF6}" id="{CDFD8399-34DA-4A0B-B276-8E00EC9BF49A}">
    <text>Moyenne année précédente</text>
  </threadedComment>
  <threadedComment ref="AZ602" dT="2026-07-29T12:20:05.14" personId="{2D2FC716-E1F2-45AA-9660-ED3479F49EF6}" id="{2E885552-B44F-4770-AC14-666EE13A86A8}">
    <text>Moyenne année précédente</text>
  </threadedComment>
  <threadedComment ref="AZ603" dT="2026-07-29T12:20:05.14" personId="{2D2FC716-E1F2-45AA-9660-ED3479F49EF6}" id="{D54E7788-4A4D-47C6-A7A3-707B1E261A8B}">
    <text>Moyenne année précédente</text>
  </threadedComment>
  <threadedComment ref="AZ604" dT="2026-07-29T12:20:05.14" personId="{2D2FC716-E1F2-45AA-9660-ED3479F49EF6}" id="{476043FF-72AF-422E-93D7-132867160169}">
    <text>Moyenne année précédente</text>
  </threadedComment>
  <threadedComment ref="AZ605" dT="2026-07-29T12:20:05.14" personId="{2D2FC716-E1F2-45AA-9660-ED3479F49EF6}" id="{DE865D8E-B7D3-4F21-9DF4-9B270316DCC1}">
    <text>Moyenne année précédente</text>
  </threadedComment>
  <threadedComment ref="AZ606" dT="2026-07-29T12:20:05.14" personId="{2D2FC716-E1F2-45AA-9660-ED3479F49EF6}" id="{EA5DE05D-2A5F-421C-A82C-4B6817B106F9}">
    <text>Moyenne année précédente</text>
  </threadedComment>
  <threadedComment ref="AZ607" dT="2026-07-29T12:20:05.14" personId="{2D2FC716-E1F2-45AA-9660-ED3479F49EF6}" id="{A6452B68-B6C8-4AE8-83AF-DC9D6172A928}">
    <text>Moyenne année précédente</text>
  </threadedComment>
  <threadedComment ref="AZ608" dT="2026-07-29T12:20:05.14" personId="{2D2FC716-E1F2-45AA-9660-ED3479F49EF6}" id="{01F584FD-A2FC-4AB4-B1A6-3402F4DAEE6A}">
    <text>Moyenne année précédente</text>
  </threadedComment>
  <threadedComment ref="AZ609" dT="2026-07-29T12:20:05.14" personId="{2D2FC716-E1F2-45AA-9660-ED3479F49EF6}" id="{9418B592-4613-4345-A799-D6D5D7BD9414}">
    <text>Moyenne année précédente</text>
  </threadedComment>
  <threadedComment ref="AZ610" dT="2026-07-29T12:20:05.14" personId="{2D2FC716-E1F2-45AA-9660-ED3479F49EF6}" id="{0BB66D26-9585-4040-9E39-77FF0B3A100A}">
    <text>Moyenne année précédente</text>
  </threadedComment>
  <threadedComment ref="AZ611" dT="2026-07-29T12:20:05.14" personId="{2D2FC716-E1F2-45AA-9660-ED3479F49EF6}" id="{015C5B40-17D3-490E-8FC9-AA37FADA6521}">
    <text>Moyenne année précédente</text>
  </threadedComment>
  <threadedComment ref="AZ612" dT="2026-07-29T12:20:05.14" personId="{2D2FC716-E1F2-45AA-9660-ED3479F49EF6}" id="{1CB77EEC-2579-4306-9176-4B9A4800BA99}">
    <text>Moyenne année précédente</text>
  </threadedComment>
  <threadedComment ref="AZ613" dT="2026-07-29T12:20:05.14" personId="{2D2FC716-E1F2-45AA-9660-ED3479F49EF6}" id="{42F5832F-CB6B-4121-9F28-179841C8093D}">
    <text>Moyenne année précédente</text>
  </threadedComment>
  <threadedComment ref="AZ614" dT="2026-07-29T12:20:05.14" personId="{2D2FC716-E1F2-45AA-9660-ED3479F49EF6}" id="{650119C6-CD15-4C75-B79F-2127D62DBE7F}">
    <text>Moyenne année précédente</text>
  </threadedComment>
  <threadedComment ref="AZ615" dT="2026-07-29T12:20:05.14" personId="{2D2FC716-E1F2-45AA-9660-ED3479F49EF6}" id="{D4BCC4DC-BF0F-4872-98CE-BCB0C556AF7A}">
    <text>Moyenne année précédente</text>
  </threadedComment>
  <threadedComment ref="AZ616" dT="2026-07-29T12:20:05.14" personId="{2D2FC716-E1F2-45AA-9660-ED3479F49EF6}" id="{893594E7-451E-456D-BC7B-FF6013ECB602}">
    <text>Moyenne année précédente</text>
  </threadedComment>
  <threadedComment ref="AZ617" dT="2026-07-29T12:20:05.14" personId="{2D2FC716-E1F2-45AA-9660-ED3479F49EF6}" id="{8230DA77-D409-4EB2-942E-3BC18CE6A156}">
    <text>Moyenne année précédente</text>
  </threadedComment>
  <threadedComment ref="AZ618" dT="2026-07-29T12:20:05.14" personId="{2D2FC716-E1F2-45AA-9660-ED3479F49EF6}" id="{604D8F71-E13C-492B-9D34-BF3733BC5625}">
    <text>Moyenne année précédente</text>
  </threadedComment>
  <threadedComment ref="AZ619" dT="2026-07-29T12:20:05.14" personId="{2D2FC716-E1F2-45AA-9660-ED3479F49EF6}" id="{BA7661E2-139F-45EE-842D-2F5ED4BA469F}">
    <text>Moyenne année précédente</text>
  </threadedComment>
  <threadedComment ref="AZ620" dT="2026-07-29T12:20:05.14" personId="{2D2FC716-E1F2-45AA-9660-ED3479F49EF6}" id="{DE60D569-C0DC-4B88-BAE6-170B4A86AD5F}">
    <text>Moyenne année précédente</text>
  </threadedComment>
  <threadedComment ref="AZ621" dT="2026-07-29T12:20:05.14" personId="{2D2FC716-E1F2-45AA-9660-ED3479F49EF6}" id="{D2446EED-AD0E-40BA-9F2D-3B113DD19BC7}">
    <text>Moyenne année précédente</text>
  </threadedComment>
  <threadedComment ref="AZ622" dT="2026-07-29T12:20:05.14" personId="{2D2FC716-E1F2-45AA-9660-ED3479F49EF6}" id="{BE409B05-521A-4A37-B46A-2B4B58C38539}">
    <text>Moyenne année précédente</text>
  </threadedComment>
  <threadedComment ref="AZ623" dT="2026-07-29T12:20:05.14" personId="{2D2FC716-E1F2-45AA-9660-ED3479F49EF6}" id="{28DD3E67-79BB-4204-9CCF-0193E3D4E577}">
    <text>Moyenne année précédente</text>
  </threadedComment>
  <threadedComment ref="AZ624" dT="2026-07-29T12:20:05.14" personId="{2D2FC716-E1F2-45AA-9660-ED3479F49EF6}" id="{F2AB458B-0018-49A2-A74F-DD3155E32983}">
    <text>Moyenne année précédente</text>
  </threadedComment>
  <threadedComment ref="AZ625" dT="2026-07-29T12:20:05.14" personId="{2D2FC716-E1F2-45AA-9660-ED3479F49EF6}" id="{8DF6FBDA-65B5-446F-9C83-9ADB041C0DDB}">
    <text>Moyenne année précédente</text>
  </threadedComment>
  <threadedComment ref="AZ626" dT="2026-07-29T12:20:05.14" personId="{2D2FC716-E1F2-45AA-9660-ED3479F49EF6}" id="{010E2F3D-E974-4B2A-98E4-8BA285D718D1}">
    <text>Moyenne année précédente</text>
  </threadedComment>
  <threadedComment ref="AZ627" dT="2026-07-29T12:20:05.14" personId="{2D2FC716-E1F2-45AA-9660-ED3479F49EF6}" id="{457F410A-188D-4347-8DD4-D3808B7DF19B}">
    <text>Moyenne année précédente</text>
  </threadedComment>
  <threadedComment ref="AZ628" dT="2026-07-29T12:20:05.14" personId="{2D2FC716-E1F2-45AA-9660-ED3479F49EF6}" id="{AFDC8399-858B-497C-8610-CC8A3F14B2AB}">
    <text>Moyenne année précédente</text>
  </threadedComment>
  <threadedComment ref="AZ629" dT="2026-07-29T12:20:05.14" personId="{2D2FC716-E1F2-45AA-9660-ED3479F49EF6}" id="{4D9125C1-8A98-4B9D-BAF6-45E116A68351}">
    <text>Moyenne année précédente</text>
  </threadedComment>
  <threadedComment ref="AZ630" dT="2026-07-29T12:20:05.14" personId="{2D2FC716-E1F2-45AA-9660-ED3479F49EF6}" id="{3FB69F3F-96A3-42D8-9D0E-9E45DF42A23C}">
    <text>Moyenne année précédente</text>
  </threadedComment>
  <threadedComment ref="AZ631" dT="2026-07-29T12:20:05.14" personId="{2D2FC716-E1F2-45AA-9660-ED3479F49EF6}" id="{88E0D24C-BECF-48A6-93F6-2D318A44E1ED}">
    <text>Moyenne année précédente</text>
  </threadedComment>
  <threadedComment ref="AZ632" dT="2026-07-29T12:20:05.14" personId="{2D2FC716-E1F2-45AA-9660-ED3479F49EF6}" id="{F52C9334-7749-44D9-834A-62180FECD8A9}">
    <text>Moyenne année précédente</text>
  </threadedComment>
  <threadedComment ref="AZ633" dT="2026-07-29T12:20:05.14" personId="{2D2FC716-E1F2-45AA-9660-ED3479F49EF6}" id="{92E931D1-74A4-4041-AF4C-92151D3C4D71}">
    <text>Moyenne année précédente</text>
  </threadedComment>
  <threadedComment ref="AZ634" dT="2026-07-29T12:20:05.14" personId="{2D2FC716-E1F2-45AA-9660-ED3479F49EF6}" id="{A8334207-B121-4A09-9FEA-3142E9F8038F}">
    <text>Moyenne année précédente</text>
  </threadedComment>
  <threadedComment ref="AZ635" dT="2026-07-29T12:20:05.14" personId="{2D2FC716-E1F2-45AA-9660-ED3479F49EF6}" id="{7EF1C585-69A5-42D8-8613-B15BBA2D040E}">
    <text>Moyenne année précédente</text>
  </threadedComment>
  <threadedComment ref="AZ636" dT="2026-07-29T12:20:05.14" personId="{2D2FC716-E1F2-45AA-9660-ED3479F49EF6}" id="{DE207184-FB1A-430F-B98E-E1AD27D5E73A}">
    <text>Moyenne année précédente</text>
  </threadedComment>
  <threadedComment ref="O795" dT="2026-08-17T13:11:34.88" personId="{2D2FC716-E1F2-45AA-9660-ED3479F49EF6}" id="{DA6A2402-5FE3-419B-B58B-AFD3BC360B9E}">
    <text>Erreur dans la table?</text>
  </threadedComment>
  <threadedComment ref="AL961" dT="2026-08-17T14:54:55.42" personId="{2D2FC716-E1F2-45AA-9660-ED3479F49EF6}" id="{8953A4FC-D5BE-4E3B-8297-527D400EC5F2}">
    <text>Annual average daily maximum 8-hour O3 concentration</text>
  </threadedComment>
  <threadedComment ref="AL962" dT="2026-08-17T14:54:09.56" personId="{2D2FC716-E1F2-45AA-9660-ED3479F49EF6}" id="{4E4C1577-12EE-4131-A9C2-539EBFE077A6}">
    <text>Cumulative O3 exposure exceeding 40 ppb</text>
  </threadedComment>
  <threadedComment ref="AL963" dT="2026-08-17T14:54:23.74" personId="{2D2FC716-E1F2-45AA-9660-ED3479F49EF6}" id="{2DC0253E-E63E-4081-BCA2-DD06D087FEE3}">
    <text xml:space="preserve">Cumulative O3 exposure exceeding 60 ppb </text>
  </threadedComment>
  <threadedComment ref="AL964" dT="2026-08-17T14:54:36.29" personId="{2D2FC716-E1F2-45AA-9660-ED3479F49EF6}" id="{CC44C8EB-E5B4-49DC-9D5D-76BFF262A4E4}">
    <text>Weighted cumulative O3 exposure</text>
  </threadedComment>
  <threadedComment ref="CB997" dT="2026-08-19T09:04:18.16" personId="{2D2FC716-E1F2-45AA-9660-ED3479F49EF6}" id="{2C780ECE-6C14-4D7C-A939-48087D4EB8A1}">
    <text>Proxy for wind (when no wind, no nearby pollution)</text>
  </threadedComment>
  <threadedComment ref="BY1053" dT="2026-08-21T08:46:46.88" personId="{2D2FC716-E1F2-45AA-9660-ED3479F49EF6}" id="{EDD8830B-24D4-4BEE-9E4E-F20C00E87C39}">
    <text>Besoin de préciser?</text>
  </threadedComment>
  <threadedComment ref="BY1053" dT="2026-08-21T08:46:53.41" personId="{2D2FC716-E1F2-45AA-9660-ED3479F49EF6}" id="{B27A2320-AAA5-408E-95C7-EA9AE657B97B}" parentId="{EDD8830B-24D4-4BEE-9E4E-F20C00E87C39}">
    <text>FE ou RE</text>
  </threadedComment>
  <threadedComment ref="BM1097" dT="2026-09-02T09:37:19.73" personId="{2D2FC716-E1F2-45AA-9660-ED3479F49EF6}" id="{D1A7C79E-3D5B-4671-A326-CFD74F421CF9}">
    <text>questionnable</text>
  </threadedComment>
  <threadedComment ref="BM1111" dT="2026-09-02T09:37:19.73" personId="{2D2FC716-E1F2-45AA-9660-ED3479F49EF6}" id="{D1DEC8CD-2348-4EC5-B4B3-85200DDBD3A5}">
    <text>questionnable</text>
  </threadedComment>
</ThreadedComments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ournals.uchicago.edu/toc/jaere/current" TargetMode="External"/><Relationship Id="rId21" Type="http://schemas.openxmlformats.org/officeDocument/2006/relationships/hyperlink" Target="https://www.journals.uchicago.edu/toc/jaere/current" TargetMode="External"/><Relationship Id="rId34" Type="http://schemas.openxmlformats.org/officeDocument/2006/relationships/hyperlink" Target="https://www.journals.uchicago.edu/toc/jaere/current" TargetMode="External"/><Relationship Id="rId42" Type="http://schemas.openxmlformats.org/officeDocument/2006/relationships/hyperlink" Target="https://www.journals.uchicago.edu/toc/jaere/current" TargetMode="External"/><Relationship Id="rId47" Type="http://schemas.openxmlformats.org/officeDocument/2006/relationships/hyperlink" Target="https://www.journals.uchicago.edu/toc/jaere/current" TargetMode="External"/><Relationship Id="rId50" Type="http://schemas.openxmlformats.org/officeDocument/2006/relationships/hyperlink" Target="https://www.journals.uchicago.edu/toc/jaere/current" TargetMode="External"/><Relationship Id="rId55" Type="http://schemas.openxmlformats.org/officeDocument/2006/relationships/hyperlink" Target="https://www.journals.uchicago.edu/toc/jaere/current" TargetMode="External"/><Relationship Id="rId63" Type="http://schemas.openxmlformats.org/officeDocument/2006/relationships/printerSettings" Target="../printerSettings/printerSettings1.bin"/><Relationship Id="rId7" Type="http://schemas.openxmlformats.org/officeDocument/2006/relationships/hyperlink" Target="https://www.journals.uchicago.edu/toc/jaere/current" TargetMode="External"/><Relationship Id="rId2" Type="http://schemas.openxmlformats.org/officeDocument/2006/relationships/hyperlink" Target="https://www.journals.uchicago.edu/toc/jaere/current" TargetMode="External"/><Relationship Id="rId16" Type="http://schemas.openxmlformats.org/officeDocument/2006/relationships/hyperlink" Target="https://www.journals.uchicago.edu/toc/jaere/current" TargetMode="External"/><Relationship Id="rId29" Type="http://schemas.openxmlformats.org/officeDocument/2006/relationships/hyperlink" Target="https://www.journals.uchicago.edu/toc/jaere/current" TargetMode="External"/><Relationship Id="rId11" Type="http://schemas.openxmlformats.org/officeDocument/2006/relationships/hyperlink" Target="https://www.journals.uchicago.edu/toc/jaere/current" TargetMode="External"/><Relationship Id="rId24" Type="http://schemas.openxmlformats.org/officeDocument/2006/relationships/hyperlink" Target="https://www.journals.uchicago.edu/toc/jaere/current" TargetMode="External"/><Relationship Id="rId32" Type="http://schemas.openxmlformats.org/officeDocument/2006/relationships/hyperlink" Target="https://www.journals.uchicago.edu/toc/jaere/current" TargetMode="External"/><Relationship Id="rId37" Type="http://schemas.openxmlformats.org/officeDocument/2006/relationships/hyperlink" Target="https://www.journals.uchicago.edu/toc/jaere/current" TargetMode="External"/><Relationship Id="rId40" Type="http://schemas.openxmlformats.org/officeDocument/2006/relationships/hyperlink" Target="https://www.journals.uchicago.edu/toc/jaere/current" TargetMode="External"/><Relationship Id="rId45" Type="http://schemas.openxmlformats.org/officeDocument/2006/relationships/hyperlink" Target="https://www.journals.uchicago.edu/toc/jaere/current" TargetMode="External"/><Relationship Id="rId53" Type="http://schemas.openxmlformats.org/officeDocument/2006/relationships/hyperlink" Target="https://www.journals.uchicago.edu/toc/jaere/current" TargetMode="External"/><Relationship Id="rId58" Type="http://schemas.openxmlformats.org/officeDocument/2006/relationships/hyperlink" Target="https://www.journals.uchicago.edu/toc/jaere/current" TargetMode="External"/><Relationship Id="rId66" Type="http://schemas.microsoft.com/office/2017/10/relationships/threadedComment" Target="../threadedComments/threadedComment1.xml"/><Relationship Id="rId5" Type="http://schemas.openxmlformats.org/officeDocument/2006/relationships/hyperlink" Target="https://www.journals.uchicago.edu/toc/jaere/current" TargetMode="External"/><Relationship Id="rId61" Type="http://schemas.openxmlformats.org/officeDocument/2006/relationships/hyperlink" Target="https://www.journals.uchicago.edu/toc/jaere/current" TargetMode="External"/><Relationship Id="rId19" Type="http://schemas.openxmlformats.org/officeDocument/2006/relationships/hyperlink" Target="https://www.journals.uchicago.edu/toc/jaere/current" TargetMode="External"/><Relationship Id="rId14" Type="http://schemas.openxmlformats.org/officeDocument/2006/relationships/hyperlink" Target="https://www.journals.uchicago.edu/toc/jaere/current" TargetMode="External"/><Relationship Id="rId22" Type="http://schemas.openxmlformats.org/officeDocument/2006/relationships/hyperlink" Target="https://www.journals.uchicago.edu/toc/jaere/current" TargetMode="External"/><Relationship Id="rId27" Type="http://schemas.openxmlformats.org/officeDocument/2006/relationships/hyperlink" Target="https://www.journals.uchicago.edu/toc/jaere/current" TargetMode="External"/><Relationship Id="rId30" Type="http://schemas.openxmlformats.org/officeDocument/2006/relationships/hyperlink" Target="https://www.journals.uchicago.edu/toc/jaere/current" TargetMode="External"/><Relationship Id="rId35" Type="http://schemas.openxmlformats.org/officeDocument/2006/relationships/hyperlink" Target="https://www.journals.uchicago.edu/toc/jaere/current" TargetMode="External"/><Relationship Id="rId43" Type="http://schemas.openxmlformats.org/officeDocument/2006/relationships/hyperlink" Target="https://www.journals.uchicago.edu/toc/jaere/current" TargetMode="External"/><Relationship Id="rId48" Type="http://schemas.openxmlformats.org/officeDocument/2006/relationships/hyperlink" Target="https://www.journals.uchicago.edu/toc/jaere/current" TargetMode="External"/><Relationship Id="rId56" Type="http://schemas.openxmlformats.org/officeDocument/2006/relationships/hyperlink" Target="https://www.journals.uchicago.edu/toc/jaere/current" TargetMode="External"/><Relationship Id="rId64" Type="http://schemas.openxmlformats.org/officeDocument/2006/relationships/vmlDrawing" Target="../drawings/vmlDrawing1.vml"/><Relationship Id="rId8" Type="http://schemas.openxmlformats.org/officeDocument/2006/relationships/hyperlink" Target="https://www.journals.uchicago.edu/toc/jaere/current" TargetMode="External"/><Relationship Id="rId51" Type="http://schemas.openxmlformats.org/officeDocument/2006/relationships/hyperlink" Target="https://www.journals.uchicago.edu/toc/jaere/current" TargetMode="External"/><Relationship Id="rId3" Type="http://schemas.openxmlformats.org/officeDocument/2006/relationships/hyperlink" Target="https://www.journals.uchicago.edu/toc/jaere/current" TargetMode="External"/><Relationship Id="rId12" Type="http://schemas.openxmlformats.org/officeDocument/2006/relationships/hyperlink" Target="https://www.journals.uchicago.edu/toc/jaere/current" TargetMode="External"/><Relationship Id="rId17" Type="http://schemas.openxmlformats.org/officeDocument/2006/relationships/hyperlink" Target="https://www.journals.uchicago.edu/toc/jaere/current" TargetMode="External"/><Relationship Id="rId25" Type="http://schemas.openxmlformats.org/officeDocument/2006/relationships/hyperlink" Target="https://www.journals.uchicago.edu/toc/jaere/current" TargetMode="External"/><Relationship Id="rId33" Type="http://schemas.openxmlformats.org/officeDocument/2006/relationships/hyperlink" Target="https://www.journals.uchicago.edu/toc/jaere/current" TargetMode="External"/><Relationship Id="rId38" Type="http://schemas.openxmlformats.org/officeDocument/2006/relationships/hyperlink" Target="https://www.journals.uchicago.edu/toc/jaere/current" TargetMode="External"/><Relationship Id="rId46" Type="http://schemas.openxmlformats.org/officeDocument/2006/relationships/hyperlink" Target="https://www.journals.uchicago.edu/toc/jaere/current" TargetMode="External"/><Relationship Id="rId59" Type="http://schemas.openxmlformats.org/officeDocument/2006/relationships/hyperlink" Target="https://www.journals.uchicago.edu/toc/jaere/current" TargetMode="External"/><Relationship Id="rId20" Type="http://schemas.openxmlformats.org/officeDocument/2006/relationships/hyperlink" Target="https://www.journals.uchicago.edu/toc/jaere/current" TargetMode="External"/><Relationship Id="rId41" Type="http://schemas.openxmlformats.org/officeDocument/2006/relationships/hyperlink" Target="https://www.journals.uchicago.edu/toc/jaere/current" TargetMode="External"/><Relationship Id="rId54" Type="http://schemas.openxmlformats.org/officeDocument/2006/relationships/hyperlink" Target="https://www.journals.uchicago.edu/toc/jaere/current" TargetMode="External"/><Relationship Id="rId62" Type="http://schemas.openxmlformats.org/officeDocument/2006/relationships/hyperlink" Target="https://www.journals.uchicago.edu/toc/jaere/current" TargetMode="External"/><Relationship Id="rId1" Type="http://schemas.openxmlformats.org/officeDocument/2006/relationships/hyperlink" Target="https://www.journals.uchicago.edu/toc/jaere/current" TargetMode="External"/><Relationship Id="rId6" Type="http://schemas.openxmlformats.org/officeDocument/2006/relationships/hyperlink" Target="https://www.journals.uchicago.edu/toc/jaere/current" TargetMode="External"/><Relationship Id="rId15" Type="http://schemas.openxmlformats.org/officeDocument/2006/relationships/hyperlink" Target="https://www.journals.uchicago.edu/toc/jaere/current" TargetMode="External"/><Relationship Id="rId23" Type="http://schemas.openxmlformats.org/officeDocument/2006/relationships/hyperlink" Target="https://www.journals.uchicago.edu/toc/jaere/current" TargetMode="External"/><Relationship Id="rId28" Type="http://schemas.openxmlformats.org/officeDocument/2006/relationships/hyperlink" Target="https://www.journals.uchicago.edu/toc/jaere/current" TargetMode="External"/><Relationship Id="rId36" Type="http://schemas.openxmlformats.org/officeDocument/2006/relationships/hyperlink" Target="https://www.journals.uchicago.edu/toc/jaere/current" TargetMode="External"/><Relationship Id="rId49" Type="http://schemas.openxmlformats.org/officeDocument/2006/relationships/hyperlink" Target="https://www.journals.uchicago.edu/toc/jaere/current" TargetMode="External"/><Relationship Id="rId57" Type="http://schemas.openxmlformats.org/officeDocument/2006/relationships/hyperlink" Target="https://www.journals.uchicago.edu/toc/jaere/current" TargetMode="External"/><Relationship Id="rId10" Type="http://schemas.openxmlformats.org/officeDocument/2006/relationships/hyperlink" Target="https://www.journals.uchicago.edu/toc/jaere/current" TargetMode="External"/><Relationship Id="rId31" Type="http://schemas.openxmlformats.org/officeDocument/2006/relationships/hyperlink" Target="https://www.journals.uchicago.edu/toc/jaere/current" TargetMode="External"/><Relationship Id="rId44" Type="http://schemas.openxmlformats.org/officeDocument/2006/relationships/hyperlink" Target="https://www.journals.uchicago.edu/toc/jaere/current" TargetMode="External"/><Relationship Id="rId52" Type="http://schemas.openxmlformats.org/officeDocument/2006/relationships/hyperlink" Target="https://www.journals.uchicago.edu/toc/jaere/current" TargetMode="External"/><Relationship Id="rId60" Type="http://schemas.openxmlformats.org/officeDocument/2006/relationships/hyperlink" Target="https://www.journals.uchicago.edu/toc/jaere/current" TargetMode="External"/><Relationship Id="rId65" Type="http://schemas.openxmlformats.org/officeDocument/2006/relationships/comments" Target="../comments1.xml"/><Relationship Id="rId4" Type="http://schemas.openxmlformats.org/officeDocument/2006/relationships/hyperlink" Target="https://www.journals.uchicago.edu/toc/jaere/current" TargetMode="External"/><Relationship Id="rId9" Type="http://schemas.openxmlformats.org/officeDocument/2006/relationships/hyperlink" Target="https://www.journals.uchicago.edu/toc/jaere/current" TargetMode="External"/><Relationship Id="rId13" Type="http://schemas.openxmlformats.org/officeDocument/2006/relationships/hyperlink" Target="https://www.journals.uchicago.edu/toc/jaere/current" TargetMode="External"/><Relationship Id="rId18" Type="http://schemas.openxmlformats.org/officeDocument/2006/relationships/hyperlink" Target="https://www.journals.uchicago.edu/toc/jaere/current" TargetMode="External"/><Relationship Id="rId39" Type="http://schemas.openxmlformats.org/officeDocument/2006/relationships/hyperlink" Target="https://www.journals.uchicago.edu/toc/jaere/curr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1172"/>
  <sheetViews>
    <sheetView tabSelected="1" zoomScale="94" zoomScaleNormal="85" workbookViewId="0">
      <pane xSplit="2" ySplit="1" topLeftCell="CI200" activePane="bottomRight" state="frozen"/>
      <selection pane="topRight"/>
      <selection pane="bottomLeft"/>
      <selection pane="bottomRight" activeCell="CL1066" sqref="CL1066"/>
    </sheetView>
  </sheetViews>
  <sheetFormatPr baseColWidth="10" defaultColWidth="8.90625" defaultRowHeight="14.5" x14ac:dyDescent="0.35"/>
  <cols>
    <col min="1" max="1" width="21" style="25" bestFit="1" customWidth="1"/>
    <col min="2" max="2" width="69.54296875" style="25" customWidth="1"/>
    <col min="3" max="3" width="49" style="23" bestFit="1" customWidth="1"/>
    <col min="4" max="4" width="12" style="23" customWidth="1"/>
    <col min="5" max="5" width="106.453125" style="25" bestFit="1" customWidth="1"/>
    <col min="6" max="6" width="60.90625" style="25" bestFit="1" customWidth="1"/>
    <col min="7" max="7" width="21.7265625" style="23" bestFit="1" customWidth="1"/>
    <col min="8" max="8" width="17" style="23" customWidth="1"/>
    <col min="9" max="9" width="16" style="23" customWidth="1"/>
    <col min="10" max="10" width="13" style="23" customWidth="1"/>
    <col min="11" max="11" width="15" style="23" customWidth="1"/>
    <col min="12" max="12" width="22.81640625" style="23" bestFit="1" customWidth="1"/>
    <col min="13" max="13" width="19" style="23" customWidth="1"/>
    <col min="14" max="14" width="14" style="23" customWidth="1"/>
    <col min="15" max="15" width="12" style="23" customWidth="1"/>
    <col min="16" max="16" width="17.90625" style="23" customWidth="1"/>
    <col min="17" max="19" width="12" style="23" customWidth="1"/>
    <col min="20" max="20" width="17.1796875" style="23" customWidth="1"/>
    <col min="21" max="21" width="12" style="23" customWidth="1"/>
    <col min="22" max="23" width="14.36328125" style="23" customWidth="1"/>
    <col min="24" max="24" width="12" style="23" customWidth="1"/>
    <col min="25" max="27" width="17.90625" style="23" customWidth="1"/>
    <col min="28" max="28" width="13" style="23" customWidth="1"/>
    <col min="29" max="31" width="22" style="23" customWidth="1"/>
    <col min="32" max="34" width="18" style="23" customWidth="1"/>
    <col min="35" max="37" width="19" style="23" customWidth="1"/>
    <col min="38" max="38" width="33.90625" style="23" bestFit="1" customWidth="1"/>
    <col min="39" max="39" width="18" style="23" customWidth="1"/>
    <col min="40" max="40" width="13" style="23" customWidth="1"/>
    <col min="41" max="42" width="17.81640625" style="23" customWidth="1"/>
    <col min="43" max="45" width="12" style="23" customWidth="1"/>
    <col min="46" max="47" width="20" style="23" customWidth="1"/>
    <col min="48" max="48" width="23" style="23" customWidth="1"/>
    <col min="49" max="49" width="18" style="23" customWidth="1"/>
    <col min="50" max="50" width="17" style="23" customWidth="1"/>
    <col min="51" max="52" width="16" style="23" customWidth="1"/>
    <col min="53" max="53" width="23.81640625" style="23" customWidth="1"/>
    <col min="54" max="54" width="12" style="23" customWidth="1"/>
    <col min="55" max="55" width="13" style="23" customWidth="1"/>
    <col min="56" max="56" width="15" style="23" customWidth="1"/>
    <col min="57" max="57" width="51" style="23" customWidth="1"/>
    <col min="58" max="59" width="16" style="23" customWidth="1"/>
    <col min="60" max="60" width="14" style="23" customWidth="1"/>
    <col min="61" max="62" width="15" style="23" customWidth="1"/>
    <col min="63" max="63" width="21" style="23" customWidth="1"/>
    <col min="64" max="65" width="17" style="23" customWidth="1"/>
    <col min="66" max="66" width="16.81640625" style="23" customWidth="1"/>
    <col min="67" max="67" width="20" style="23" bestFit="1" customWidth="1"/>
    <col min="68" max="68" width="18.81640625" style="23" customWidth="1"/>
    <col min="69" max="70" width="15" style="23" customWidth="1"/>
    <col min="71" max="71" width="12" style="23" customWidth="1"/>
    <col min="72" max="73" width="14" style="23" customWidth="1"/>
    <col min="74" max="74" width="12" style="23" customWidth="1"/>
    <col min="75" max="76" width="18" style="23" customWidth="1"/>
    <col min="77" max="77" width="21.453125" style="23" customWidth="1"/>
    <col min="78" max="78" width="24" style="23" customWidth="1"/>
    <col min="79" max="79" width="19" style="23" customWidth="1"/>
    <col min="80" max="80" width="29.6328125" style="23" bestFit="1" customWidth="1"/>
    <col min="81" max="81" width="34.1796875" style="23" customWidth="1"/>
    <col min="82" max="82" width="20" style="23" customWidth="1"/>
    <col min="83" max="83" width="67.81640625" style="23" bestFit="1" customWidth="1"/>
    <col min="84" max="84" width="24" style="23" customWidth="1"/>
    <col min="85" max="85" width="44.90625" style="23" customWidth="1"/>
    <col min="86" max="86" width="24" style="23" customWidth="1"/>
    <col min="87" max="87" width="25.90625" style="23" customWidth="1"/>
    <col min="88" max="88" width="19" style="23" customWidth="1"/>
    <col min="89" max="89" width="24" style="23" customWidth="1"/>
    <col min="90" max="91" width="20" style="23" customWidth="1"/>
    <col min="92" max="93" width="24" style="23" customWidth="1"/>
    <col min="94" max="94" width="18" style="23" customWidth="1"/>
    <col min="95" max="95" width="18.08984375" style="23" customWidth="1"/>
    <col min="96" max="96" width="15" style="23" customWidth="1"/>
    <col min="97" max="97" width="16" style="23" customWidth="1"/>
    <col min="98" max="98" width="53.90625" style="23" customWidth="1"/>
    <col min="99" max="99" width="28.1796875" style="23" bestFit="1" customWidth="1"/>
    <col min="100" max="16384" width="8.90625" style="23"/>
  </cols>
  <sheetData>
    <row r="1" spans="1:98" ht="40" customHeight="1" x14ac:dyDescent="0.35">
      <c r="A1" s="24" t="s">
        <v>0</v>
      </c>
      <c r="B1" s="2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9" t="s">
        <v>378</v>
      </c>
      <c r="N1" s="2" t="s">
        <v>12</v>
      </c>
      <c r="O1" s="2" t="s">
        <v>13</v>
      </c>
      <c r="P1" s="26" t="s">
        <v>14</v>
      </c>
      <c r="Q1" s="2" t="s">
        <v>15</v>
      </c>
      <c r="R1" s="2" t="s">
        <v>16</v>
      </c>
      <c r="S1" s="2" t="s">
        <v>17</v>
      </c>
      <c r="T1" s="2" t="s">
        <v>501</v>
      </c>
      <c r="U1" s="2" t="s">
        <v>18</v>
      </c>
      <c r="V1" s="2" t="s">
        <v>320</v>
      </c>
      <c r="W1" s="2" t="s">
        <v>517</v>
      </c>
      <c r="X1" s="2" t="s">
        <v>19</v>
      </c>
      <c r="Y1" s="2" t="s">
        <v>322</v>
      </c>
      <c r="Z1" s="2" t="s">
        <v>321</v>
      </c>
      <c r="AA1" s="2" t="s">
        <v>325</v>
      </c>
      <c r="AB1" s="2" t="s">
        <v>20</v>
      </c>
      <c r="AC1" s="2" t="s">
        <v>80</v>
      </c>
      <c r="AD1" s="2" t="s">
        <v>1334</v>
      </c>
      <c r="AE1" s="2" t="s">
        <v>1335</v>
      </c>
      <c r="AF1" s="2" t="s">
        <v>324</v>
      </c>
      <c r="AG1" s="2" t="s">
        <v>1336</v>
      </c>
      <c r="AH1" s="2" t="s">
        <v>1337</v>
      </c>
      <c r="AI1" s="2" t="s">
        <v>323</v>
      </c>
      <c r="AJ1" s="2" t="s">
        <v>524</v>
      </c>
      <c r="AK1" s="52" t="s">
        <v>525</v>
      </c>
      <c r="AL1" s="3" t="s">
        <v>24</v>
      </c>
      <c r="AM1" s="3" t="s">
        <v>25</v>
      </c>
      <c r="AN1" s="3" t="s">
        <v>1338</v>
      </c>
      <c r="AO1" s="3" t="s">
        <v>503</v>
      </c>
      <c r="AP1" s="3" t="s">
        <v>26</v>
      </c>
      <c r="AQ1" s="3" t="s">
        <v>27</v>
      </c>
      <c r="AR1" s="3" t="s">
        <v>28</v>
      </c>
      <c r="AS1" s="3" t="s">
        <v>29</v>
      </c>
      <c r="AT1" s="3" t="s">
        <v>30</v>
      </c>
      <c r="AU1" s="3" t="s">
        <v>506</v>
      </c>
      <c r="AV1" s="3" t="s">
        <v>31</v>
      </c>
      <c r="AW1" s="3" t="s">
        <v>32</v>
      </c>
      <c r="AX1" s="3" t="s">
        <v>33</v>
      </c>
      <c r="AY1" s="3" t="s">
        <v>34</v>
      </c>
      <c r="AZ1" s="3" t="s">
        <v>35</v>
      </c>
      <c r="BA1" s="4" t="s">
        <v>36</v>
      </c>
      <c r="BB1" s="4" t="s">
        <v>37</v>
      </c>
      <c r="BC1" s="4" t="s">
        <v>38</v>
      </c>
      <c r="BD1" s="4" t="s">
        <v>39</v>
      </c>
      <c r="BE1" s="4" t="s">
        <v>40</v>
      </c>
      <c r="BF1" s="4" t="s">
        <v>41</v>
      </c>
      <c r="BG1" s="4" t="s">
        <v>502</v>
      </c>
      <c r="BH1" s="4" t="s">
        <v>42</v>
      </c>
      <c r="BI1" s="4" t="s">
        <v>43</v>
      </c>
      <c r="BJ1" s="4" t="s">
        <v>44</v>
      </c>
      <c r="BK1" s="4" t="s">
        <v>45</v>
      </c>
      <c r="BL1" s="4" t="s">
        <v>46</v>
      </c>
      <c r="BM1" s="4" t="s">
        <v>955</v>
      </c>
      <c r="BN1" s="27" t="s">
        <v>47</v>
      </c>
      <c r="BO1" s="27" t="s">
        <v>374</v>
      </c>
      <c r="BP1" s="5" t="s">
        <v>48</v>
      </c>
      <c r="BQ1" s="5" t="s">
        <v>49</v>
      </c>
      <c r="BR1" s="5" t="s">
        <v>50</v>
      </c>
      <c r="BS1" s="5" t="s">
        <v>51</v>
      </c>
      <c r="BT1" s="5" t="s">
        <v>52</v>
      </c>
      <c r="BU1" s="5" t="s">
        <v>53</v>
      </c>
      <c r="BV1" s="5" t="s">
        <v>54</v>
      </c>
      <c r="BW1" s="5" t="s">
        <v>55</v>
      </c>
      <c r="BX1" s="6" t="s">
        <v>56</v>
      </c>
      <c r="BY1" s="6" t="s">
        <v>57</v>
      </c>
      <c r="BZ1" s="6" t="s">
        <v>58</v>
      </c>
      <c r="CA1" s="6" t="s">
        <v>59</v>
      </c>
      <c r="CB1" s="6" t="s">
        <v>60</v>
      </c>
      <c r="CC1" s="6" t="s">
        <v>61</v>
      </c>
      <c r="CD1" s="6" t="s">
        <v>62</v>
      </c>
      <c r="CE1" s="6" t="s">
        <v>63</v>
      </c>
      <c r="CF1" s="6" t="s">
        <v>64</v>
      </c>
      <c r="CG1" s="6" t="s">
        <v>65</v>
      </c>
      <c r="CH1" s="6" t="s">
        <v>66</v>
      </c>
      <c r="CI1" s="6" t="s">
        <v>67</v>
      </c>
      <c r="CJ1" s="6" t="s">
        <v>68</v>
      </c>
      <c r="CK1" s="7" t="s">
        <v>69</v>
      </c>
      <c r="CL1" s="87" t="s">
        <v>2178</v>
      </c>
      <c r="CM1" s="7" t="s">
        <v>70</v>
      </c>
      <c r="CN1" s="7" t="s">
        <v>71</v>
      </c>
      <c r="CO1" s="7" t="s">
        <v>925</v>
      </c>
      <c r="CP1" s="7" t="s">
        <v>72</v>
      </c>
      <c r="CQ1" s="8" t="s">
        <v>73</v>
      </c>
      <c r="CR1" s="8" t="s">
        <v>74</v>
      </c>
      <c r="CS1" s="8" t="s">
        <v>75</v>
      </c>
      <c r="CT1" s="8" t="s">
        <v>76</v>
      </c>
    </row>
    <row r="2" spans="1:98" s="35" customFormat="1" x14ac:dyDescent="0.35">
      <c r="A2" s="34" t="s">
        <v>293</v>
      </c>
      <c r="B2" s="34" t="s">
        <v>295</v>
      </c>
      <c r="C2" s="35" t="s">
        <v>316</v>
      </c>
      <c r="D2" s="35">
        <v>2019</v>
      </c>
      <c r="E2" s="34" t="s">
        <v>318</v>
      </c>
      <c r="F2" s="34" t="s">
        <v>319</v>
      </c>
      <c r="G2" s="35" t="s">
        <v>78</v>
      </c>
      <c r="H2" s="35">
        <v>1</v>
      </c>
      <c r="I2" s="35" t="s">
        <v>290</v>
      </c>
      <c r="J2" s="35" t="s">
        <v>79</v>
      </c>
      <c r="K2" s="35">
        <v>657</v>
      </c>
      <c r="L2" s="35" t="s">
        <v>129</v>
      </c>
      <c r="M2" s="35" t="s">
        <v>380</v>
      </c>
      <c r="N2" s="35">
        <v>-0.04</v>
      </c>
      <c r="O2" s="35">
        <v>0.05</v>
      </c>
      <c r="P2" s="89">
        <f t="shared" ref="P2:P65" si="0">N2/O2</f>
        <v>-0.79999999999999993</v>
      </c>
      <c r="Q2" s="35" t="s">
        <v>312</v>
      </c>
      <c r="R2" s="89">
        <f t="shared" ref="R2:R65" si="1">N2-1.96*O2</f>
        <v>-0.13800000000000001</v>
      </c>
      <c r="S2" s="89">
        <f t="shared" ref="S2:S65" si="2">N2+1.96*O2</f>
        <v>5.8000000000000003E-2</v>
      </c>
      <c r="T2" s="35">
        <v>1</v>
      </c>
      <c r="U2" s="35">
        <v>524</v>
      </c>
      <c r="V2" s="35">
        <v>23</v>
      </c>
      <c r="W2" s="35">
        <v>0</v>
      </c>
      <c r="X2" s="35">
        <f t="shared" ref="X2:X65" si="3">IF(V2="NA",U2,U2-V2)</f>
        <v>501</v>
      </c>
      <c r="Y2" s="89">
        <f t="shared" ref="Y2:Y65" si="4">P2/(P2^2 + X2)^(1/2)</f>
        <v>-3.5718557161951547E-2</v>
      </c>
      <c r="Z2" s="89">
        <f t="shared" ref="Z2:Z65" si="5">((1-Y2^2)/X2)^(1/2)</f>
        <v>4.4648196452439441E-2</v>
      </c>
      <c r="AA2" s="89">
        <f t="shared" ref="AA2:AA33" si="6">Y2</f>
        <v>-3.5718557161951547E-2</v>
      </c>
      <c r="AB2" s="35" t="s">
        <v>81</v>
      </c>
      <c r="AC2" s="89">
        <f t="shared" ref="AC2:AC17" si="7">(N2*AN2)/BF2</f>
        <v>-2.4721723518850982E-3</v>
      </c>
      <c r="AD2" s="89" cm="1">
        <f t="array" ref="AD2">_xlfn.IFS(
AND(L2="marginal_effect",M2="level"),N2*AN2/BF2,
AND(L2="marginal_effect",M2="sd (Y)"),N2*BH2*AN2/BF2,
AND(L2="marginal_effect",M2="sd (X)"),N2/AQ2*AN2/BF2,
AND(L2="semi_elasticity",M2="level"),N2*AN2,
AND(L2="semi_elasticity",M2="sd (Y)"),N2*AN2*BH2,
AND(L2="semi_elasticity",M2="sd (X)"),N2*AN2/AQ2,
AND(L2="level-log",M2="level"),N2/BF2,
AND(L2="level-log",M2="sd (X)"),N2/BF2/AQ2,
AND(L2="level-log",M2="sd (Y)"),N2/BF2*BH2,
AND(L2="elasticity",M2="level"),N2,
AND(L2="elasticity",M2="sd (X)"),N2/AQ2,
AND(L2="elasticity",M2="sd (Y)"),N2*BH2,
AND(L2="marginal_effect",M2="percent_of_mean"),N2*AN2/BF2/10)</f>
        <v>-2.4721723518850982E-3</v>
      </c>
      <c r="AE2" s="49">
        <f t="shared" ref="AE2:AE65" si="8">IF(AC2=AD2,1,0)</f>
        <v>1</v>
      </c>
      <c r="AF2" s="89">
        <f t="shared" ref="AF2:AF17" si="9">O2*AN2/BF2</f>
        <v>3.0902154398563734E-3</v>
      </c>
      <c r="AG2" s="89" cm="1">
        <f t="array" ref="AG2">_xlfn.IFS(
AND(L2="marginal_effect",M2="level"),O2*AN2/BF2,
AND(L2="marginal_effect",M2="sd (Y)"),O2*BH2*AN2/BF2,
AND(L2="marginal_effect",M2="sd (X)"),O2/AQ2*AN2/BF2,
AND(L2="semi_elasticity",M2="level"),O2*AN2,
AND(L2="semi_elasticity",M2="sd (Y)"),O2*AN2*BH2,
AND(L2="semi_elasticity",M2="sd (X)"),O2*AN2/AQ2,
AND(L2="level-log",M2="level"),O2/BF2,
AND(L2="level-log",M2="sd (X)"),O2/BF2/AQ2,
AND(L2="level-log",M2="sd (Y)"),O2/BF2*BH2,
AND(L2="elasticity",M2="level"),O2,
AND(L2="elasticity",M2="sd (X)"),O2/AQ2,
AND(L2="elasticity",M2="sd (Y)"),O2*BH2,
AND(L2="marginal_effect",M2="percent_of_mean"),O2*AN2/BF2/10)</f>
        <v>3.0902154398563734E-3</v>
      </c>
      <c r="AH2" s="49">
        <f t="shared" ref="AH2:AH65" si="10">IF(AF2=AG2,1,0)</f>
        <v>1</v>
      </c>
      <c r="AI2" s="89">
        <f t="shared" ref="AI2:AI33" si="11">AC2</f>
        <v>-2.4721723518850982E-3</v>
      </c>
      <c r="AJ2" s="49">
        <v>0</v>
      </c>
      <c r="AK2" s="49">
        <f t="shared" ref="AK2:AK65" si="12">IF(P2=(AC2/AF2),1,0)</f>
        <v>1</v>
      </c>
      <c r="AL2" s="35" t="s">
        <v>82</v>
      </c>
      <c r="AM2" s="35" t="s">
        <v>296</v>
      </c>
      <c r="AN2" s="35">
        <v>6.8849999999999998</v>
      </c>
      <c r="AO2" s="35">
        <v>0</v>
      </c>
      <c r="AP2" s="35">
        <f>AN2*10</f>
        <v>68.849999999999994</v>
      </c>
      <c r="AQ2" s="35">
        <v>35.299999999999997</v>
      </c>
      <c r="AR2" s="35">
        <v>15.39</v>
      </c>
      <c r="AS2" s="35">
        <v>224.67</v>
      </c>
      <c r="AT2" s="35" t="s">
        <v>83</v>
      </c>
      <c r="AV2" s="35" t="s">
        <v>133</v>
      </c>
      <c r="AW2" s="35" t="s">
        <v>85</v>
      </c>
      <c r="AX2" s="35" t="s">
        <v>86</v>
      </c>
      <c r="AY2" s="35">
        <v>0</v>
      </c>
      <c r="AZ2" s="35">
        <v>0</v>
      </c>
      <c r="BA2" s="35" t="s">
        <v>87</v>
      </c>
      <c r="BB2" s="35" t="s">
        <v>88</v>
      </c>
      <c r="BC2" s="35" t="s">
        <v>89</v>
      </c>
      <c r="BD2" s="35" t="s">
        <v>114</v>
      </c>
      <c r="BE2" s="35" t="s">
        <v>291</v>
      </c>
      <c r="BF2" s="35">
        <v>111.4</v>
      </c>
      <c r="BG2" s="35">
        <v>0</v>
      </c>
      <c r="BH2" s="35" t="s">
        <v>312</v>
      </c>
      <c r="BI2" s="35" t="s">
        <v>312</v>
      </c>
      <c r="BJ2" s="35" t="s">
        <v>312</v>
      </c>
      <c r="BK2" s="35" t="s">
        <v>91</v>
      </c>
      <c r="BL2" s="35" t="s">
        <v>137</v>
      </c>
      <c r="BM2" s="35">
        <v>1</v>
      </c>
      <c r="BN2" s="35" t="s">
        <v>2177</v>
      </c>
      <c r="BO2" s="35" t="s">
        <v>289</v>
      </c>
      <c r="BP2" s="35" t="s">
        <v>315</v>
      </c>
      <c r="BQ2" s="35" t="s">
        <v>117</v>
      </c>
      <c r="BR2" s="35" t="s">
        <v>93</v>
      </c>
      <c r="BS2" s="35" t="s">
        <v>312</v>
      </c>
      <c r="BT2" s="35" t="s">
        <v>312</v>
      </c>
      <c r="BU2" s="36">
        <v>41883</v>
      </c>
      <c r="BV2" s="36">
        <v>42155</v>
      </c>
      <c r="BW2" s="35" t="s">
        <v>94</v>
      </c>
      <c r="BX2" s="35" t="s">
        <v>95</v>
      </c>
      <c r="BY2" s="35" t="s">
        <v>96</v>
      </c>
      <c r="BZ2" s="35">
        <v>0</v>
      </c>
      <c r="CA2" s="35">
        <v>0</v>
      </c>
      <c r="CB2" s="35" t="s">
        <v>97</v>
      </c>
      <c r="CC2" s="35" t="s">
        <v>313</v>
      </c>
      <c r="CD2" s="35">
        <v>0</v>
      </c>
      <c r="CE2" s="35" t="s">
        <v>97</v>
      </c>
      <c r="CF2" s="35">
        <v>0</v>
      </c>
      <c r="CG2" s="35" t="s">
        <v>97</v>
      </c>
      <c r="CH2" s="35">
        <v>1</v>
      </c>
      <c r="CI2" s="35" t="s">
        <v>317</v>
      </c>
      <c r="CJ2" s="35" t="s">
        <v>98</v>
      </c>
      <c r="CK2" s="35">
        <v>64</v>
      </c>
      <c r="CL2" s="35">
        <v>0</v>
      </c>
      <c r="CM2" s="35">
        <v>0</v>
      </c>
      <c r="CN2" s="35" t="s">
        <v>99</v>
      </c>
      <c r="CO2" s="35" t="s">
        <v>97</v>
      </c>
      <c r="CP2" s="35" t="s">
        <v>100</v>
      </c>
      <c r="CQ2" s="35" t="s">
        <v>101</v>
      </c>
      <c r="CR2" s="36">
        <v>45847</v>
      </c>
    </row>
    <row r="3" spans="1:98" s="35" customFormat="1" x14ac:dyDescent="0.35">
      <c r="A3" s="34" t="s">
        <v>293</v>
      </c>
      <c r="B3" s="34" t="s">
        <v>297</v>
      </c>
      <c r="C3" s="35" t="s">
        <v>316</v>
      </c>
      <c r="D3" s="35">
        <v>2019</v>
      </c>
      <c r="E3" s="34" t="s">
        <v>318</v>
      </c>
      <c r="F3" s="34" t="s">
        <v>319</v>
      </c>
      <c r="G3" s="35" t="s">
        <v>78</v>
      </c>
      <c r="H3" s="35">
        <v>1</v>
      </c>
      <c r="I3" s="35" t="s">
        <v>290</v>
      </c>
      <c r="J3" s="35" t="s">
        <v>79</v>
      </c>
      <c r="K3" s="35">
        <v>657</v>
      </c>
      <c r="L3" s="35" t="s">
        <v>129</v>
      </c>
      <c r="M3" s="35" t="s">
        <v>380</v>
      </c>
      <c r="N3" s="35">
        <v>-0.18</v>
      </c>
      <c r="O3" s="35">
        <v>0.15</v>
      </c>
      <c r="P3" s="89">
        <f t="shared" si="0"/>
        <v>-1.2</v>
      </c>
      <c r="Q3" s="35" t="s">
        <v>312</v>
      </c>
      <c r="R3" s="89">
        <f t="shared" si="1"/>
        <v>-0.47399999999999998</v>
      </c>
      <c r="S3" s="89">
        <f t="shared" si="2"/>
        <v>0.11399999999999999</v>
      </c>
      <c r="T3" s="35">
        <v>1</v>
      </c>
      <c r="U3" s="35">
        <v>524</v>
      </c>
      <c r="V3" s="35">
        <v>23</v>
      </c>
      <c r="W3" s="35">
        <v>0</v>
      </c>
      <c r="X3" s="35">
        <f t="shared" si="3"/>
        <v>501</v>
      </c>
      <c r="Y3" s="89">
        <f t="shared" si="4"/>
        <v>-5.3535164634100886E-2</v>
      </c>
      <c r="Z3" s="89">
        <f t="shared" si="5"/>
        <v>4.4612637195084071E-2</v>
      </c>
      <c r="AA3" s="89">
        <f t="shared" si="6"/>
        <v>-5.3535164634100886E-2</v>
      </c>
      <c r="AB3" s="35" t="s">
        <v>81</v>
      </c>
      <c r="AC3" s="89">
        <f t="shared" si="7"/>
        <v>-4.9766606822262112E-3</v>
      </c>
      <c r="AD3" s="89" cm="1">
        <f t="array" ref="AD3">_xlfn.IFS(
AND(L3="marginal_effect",M3="level"),N3*AN3/BF3,
AND(L3="marginal_effect",M3="sd (Y)"),N3*BH3*AN3/BF3,
AND(L3="marginal_effect",M3="sd (X)"),N3/AQ3*AN3/BF3,
AND(L3="semi_elasticity",M3="level"),N3*AN3,
AND(L3="semi_elasticity",M3="sd (Y)"),N3*AN3*BH3,
AND(L3="semi_elasticity",M3="sd (X)"),N3*AN3/AQ3,
AND(L3="level-log",M3="level"),N3/BF3,
AND(L3="level-log",M3="sd (X)"),N3/BF3/AQ3,
AND(L3="level-log",M3="sd (Y)"),N3/BF3*BH3,
AND(L3="elasticity",M3="level"),N3,
AND(L3="elasticity",M3="sd (X)"),N3/AQ3,
AND(L3="elasticity",M3="sd (Y)"),N3*BH3,
AND(L3="marginal_effect",M3="percent_of_mean"),N3*AN3/BF3/10)</f>
        <v>-4.9766606822262112E-3</v>
      </c>
      <c r="AE3" s="49">
        <f t="shared" si="8"/>
        <v>1</v>
      </c>
      <c r="AF3" s="89">
        <f t="shared" si="9"/>
        <v>4.1472172351885092E-3</v>
      </c>
      <c r="AG3" s="89" cm="1">
        <f t="array" ref="AG3">_xlfn.IFS(
AND(L3="marginal_effect",M3="level"),O3*AN3/BF3,
AND(L3="marginal_effect",M3="sd (Y)"),O3*BH3*AN3/BF3,
AND(L3="marginal_effect",M3="sd (X)"),O3/AQ3*AN3/BF3,
AND(L3="semi_elasticity",M3="level"),O3*AN3,
AND(L3="semi_elasticity",M3="sd (Y)"),O3*AN3*BH3,
AND(L3="semi_elasticity",M3="sd (X)"),O3*AN3/AQ3,
AND(L3="level-log",M3="level"),O3/BF3,
AND(L3="level-log",M3="sd (X)"),O3/BF3/AQ3,
AND(L3="level-log",M3="sd (Y)"),O3/BF3*BH3,
AND(L3="elasticity",M3="level"),O3,
AND(L3="elasticity",M3="sd (X)"),O3/AQ3,
AND(L3="elasticity",M3="sd (Y)"),O3*BH3,
AND(L3="marginal_effect",M3="percent_of_mean"),O3*AN3/BF3/10)</f>
        <v>4.1472172351885092E-3</v>
      </c>
      <c r="AH3" s="49">
        <f t="shared" si="10"/>
        <v>1</v>
      </c>
      <c r="AI3" s="89">
        <f t="shared" si="11"/>
        <v>-4.9766606822262112E-3</v>
      </c>
      <c r="AJ3" s="49">
        <v>0</v>
      </c>
      <c r="AK3" s="49">
        <f t="shared" si="12"/>
        <v>1</v>
      </c>
      <c r="AL3" s="35" t="s">
        <v>159</v>
      </c>
      <c r="AM3" s="35" t="s">
        <v>296</v>
      </c>
      <c r="AN3" s="35">
        <v>3.08</v>
      </c>
      <c r="AO3" s="35">
        <v>0</v>
      </c>
      <c r="AP3" s="35">
        <f t="shared" ref="AP3:AP65" si="13">AN3*10</f>
        <v>30.8</v>
      </c>
      <c r="AQ3" s="35">
        <v>13.83</v>
      </c>
      <c r="AR3" s="35">
        <v>9.52</v>
      </c>
      <c r="AS3" s="35">
        <v>80.8</v>
      </c>
      <c r="AT3" s="35" t="s">
        <v>83</v>
      </c>
      <c r="AV3" s="35" t="s">
        <v>133</v>
      </c>
      <c r="AW3" s="35" t="s">
        <v>85</v>
      </c>
      <c r="AX3" s="35" t="s">
        <v>86</v>
      </c>
      <c r="AY3" s="35">
        <v>0</v>
      </c>
      <c r="AZ3" s="35">
        <v>0</v>
      </c>
      <c r="BA3" s="35" t="s">
        <v>87</v>
      </c>
      <c r="BB3" s="35" t="s">
        <v>88</v>
      </c>
      <c r="BC3" s="35" t="s">
        <v>89</v>
      </c>
      <c r="BD3" s="35" t="s">
        <v>114</v>
      </c>
      <c r="BE3" s="35" t="s">
        <v>291</v>
      </c>
      <c r="BF3" s="35">
        <v>111.4</v>
      </c>
      <c r="BG3" s="35">
        <v>0</v>
      </c>
      <c r="BH3" s="35" t="s">
        <v>312</v>
      </c>
      <c r="BI3" s="35" t="s">
        <v>312</v>
      </c>
      <c r="BJ3" s="35" t="s">
        <v>312</v>
      </c>
      <c r="BK3" s="35" t="s">
        <v>91</v>
      </c>
      <c r="BL3" s="35" t="s">
        <v>137</v>
      </c>
      <c r="BM3" s="35">
        <v>1</v>
      </c>
      <c r="BN3" s="35" t="s">
        <v>2177</v>
      </c>
      <c r="BO3" s="35" t="s">
        <v>289</v>
      </c>
      <c r="BP3" s="35" t="s">
        <v>315</v>
      </c>
      <c r="BQ3" s="35" t="s">
        <v>117</v>
      </c>
      <c r="BR3" s="35" t="s">
        <v>93</v>
      </c>
      <c r="BS3" s="35" t="s">
        <v>312</v>
      </c>
      <c r="BT3" s="35" t="s">
        <v>312</v>
      </c>
      <c r="BU3" s="36">
        <v>41883</v>
      </c>
      <c r="BV3" s="36">
        <v>42155</v>
      </c>
      <c r="BW3" s="35" t="s">
        <v>94</v>
      </c>
      <c r="BX3" s="35" t="s">
        <v>95</v>
      </c>
      <c r="BY3" s="35" t="s">
        <v>96</v>
      </c>
      <c r="BZ3" s="35">
        <v>0</v>
      </c>
      <c r="CA3" s="35">
        <v>0</v>
      </c>
      <c r="CB3" s="35" t="s">
        <v>97</v>
      </c>
      <c r="CC3" s="35" t="s">
        <v>313</v>
      </c>
      <c r="CD3" s="35">
        <v>0</v>
      </c>
      <c r="CE3" s="35" t="s">
        <v>97</v>
      </c>
      <c r="CF3" s="35">
        <v>0</v>
      </c>
      <c r="CG3" s="35" t="s">
        <v>97</v>
      </c>
      <c r="CH3" s="35">
        <v>1</v>
      </c>
      <c r="CI3" s="35" t="s">
        <v>317</v>
      </c>
      <c r="CJ3" s="35" t="s">
        <v>98</v>
      </c>
      <c r="CK3" s="35">
        <v>64</v>
      </c>
      <c r="CL3" s="35">
        <v>0</v>
      </c>
      <c r="CM3" s="35">
        <v>0</v>
      </c>
      <c r="CN3" s="35" t="s">
        <v>99</v>
      </c>
      <c r="CO3" s="35" t="s">
        <v>97</v>
      </c>
      <c r="CP3" s="35" t="s">
        <v>100</v>
      </c>
      <c r="CQ3" s="35" t="s">
        <v>101</v>
      </c>
      <c r="CR3" s="36">
        <v>45847</v>
      </c>
    </row>
    <row r="4" spans="1:98" s="35" customFormat="1" x14ac:dyDescent="0.35">
      <c r="A4" s="34" t="s">
        <v>293</v>
      </c>
      <c r="B4" s="34" t="s">
        <v>298</v>
      </c>
      <c r="C4" s="35" t="s">
        <v>316</v>
      </c>
      <c r="D4" s="35">
        <v>2019</v>
      </c>
      <c r="E4" s="34" t="s">
        <v>318</v>
      </c>
      <c r="F4" s="34" t="s">
        <v>319</v>
      </c>
      <c r="G4" s="35" t="s">
        <v>78</v>
      </c>
      <c r="H4" s="35">
        <v>1</v>
      </c>
      <c r="I4" s="35" t="s">
        <v>290</v>
      </c>
      <c r="J4" s="35" t="s">
        <v>79</v>
      </c>
      <c r="K4" s="35">
        <v>657</v>
      </c>
      <c r="L4" s="35" t="s">
        <v>129</v>
      </c>
      <c r="M4" s="35" t="s">
        <v>380</v>
      </c>
      <c r="N4" s="35">
        <v>-0.05</v>
      </c>
      <c r="O4" s="35">
        <v>0.06</v>
      </c>
      <c r="P4" s="89">
        <f t="shared" si="0"/>
        <v>-0.83333333333333337</v>
      </c>
      <c r="Q4" s="35" t="s">
        <v>312</v>
      </c>
      <c r="R4" s="89">
        <f t="shared" si="1"/>
        <v>-0.1676</v>
      </c>
      <c r="S4" s="89">
        <f t="shared" si="2"/>
        <v>6.7599999999999993E-2</v>
      </c>
      <c r="T4" s="35">
        <v>1</v>
      </c>
      <c r="U4" s="35">
        <v>524</v>
      </c>
      <c r="V4" s="35">
        <v>23</v>
      </c>
      <c r="W4" s="35">
        <v>0</v>
      </c>
      <c r="X4" s="35">
        <f t="shared" si="3"/>
        <v>501</v>
      </c>
      <c r="Y4" s="89">
        <f t="shared" si="4"/>
        <v>-3.7204811458752242E-2</v>
      </c>
      <c r="Z4" s="89">
        <f t="shared" si="5"/>
        <v>4.4645773750502687E-2</v>
      </c>
      <c r="AA4" s="89">
        <f t="shared" si="6"/>
        <v>-3.7204811458752242E-2</v>
      </c>
      <c r="AB4" s="35" t="s">
        <v>81</v>
      </c>
      <c r="AC4" s="89">
        <f t="shared" si="7"/>
        <v>-3.0902154398563734E-3</v>
      </c>
      <c r="AD4" s="89" cm="1">
        <f t="array" ref="AD4">_xlfn.IFS(
AND(L4="marginal_effect",M4="level"),N4*AN4/BF4,
AND(L4="marginal_effect",M4="sd (Y)"),N4*BH4*AN4/BF4,
AND(L4="marginal_effect",M4="sd (X)"),N4/AQ4*AN4/BF4,
AND(L4="semi_elasticity",M4="level"),N4*AN4,
AND(L4="semi_elasticity",M4="sd (Y)"),N4*AN4*BH4,
AND(L4="semi_elasticity",M4="sd (X)"),N4*AN4/AQ4,
AND(L4="level-log",M4="level"),N4/BF4,
AND(L4="level-log",M4="sd (X)"),N4/BF4/AQ4,
AND(L4="level-log",M4="sd (Y)"),N4/BF4*BH4,
AND(L4="elasticity",M4="level"),N4,
AND(L4="elasticity",M4="sd (X)"),N4/AQ4,
AND(L4="elasticity",M4="sd (Y)"),N4*BH4,
AND(L4="marginal_effect",M4="percent_of_mean"),N4*AN4/BF4/10)</f>
        <v>-3.0902154398563734E-3</v>
      </c>
      <c r="AE4" s="49">
        <f t="shared" si="8"/>
        <v>1</v>
      </c>
      <c r="AF4" s="89">
        <f t="shared" si="9"/>
        <v>3.7082585278276478E-3</v>
      </c>
      <c r="AG4" s="89" cm="1">
        <f t="array" ref="AG4">_xlfn.IFS(
AND(L4="marginal_effect",M4="level"),O4*AN4/BF4,
AND(L4="marginal_effect",M4="sd (Y)"),O4*BH4*AN4/BF4,
AND(L4="marginal_effect",M4="sd (X)"),O4/AQ4*AN4/BF4,
AND(L4="semi_elasticity",M4="level"),O4*AN4,
AND(L4="semi_elasticity",M4="sd (Y)"),O4*AN4*BH4,
AND(L4="semi_elasticity",M4="sd (X)"),O4*AN4/AQ4,
AND(L4="level-log",M4="level"),O4/BF4,
AND(L4="level-log",M4="sd (X)"),O4/BF4/AQ4,
AND(L4="level-log",M4="sd (Y)"),O4/BF4*BH4,
AND(L4="elasticity",M4="level"),O4,
AND(L4="elasticity",M4="sd (X)"),O4/AQ4,
AND(L4="elasticity",M4="sd (Y)"),O4*BH4,
AND(L4="marginal_effect",M4="percent_of_mean"),O4*AN4/BF4/10)</f>
        <v>3.7082585278276478E-3</v>
      </c>
      <c r="AH4" s="49">
        <f t="shared" si="10"/>
        <v>1</v>
      </c>
      <c r="AI4" s="89">
        <f t="shared" si="11"/>
        <v>-3.0902154398563734E-3</v>
      </c>
      <c r="AJ4" s="49">
        <v>0</v>
      </c>
      <c r="AK4" s="49">
        <f t="shared" si="12"/>
        <v>1</v>
      </c>
      <c r="AL4" s="35" t="s">
        <v>82</v>
      </c>
      <c r="AM4" s="35" t="s">
        <v>296</v>
      </c>
      <c r="AN4" s="35">
        <v>6.8849999999999998</v>
      </c>
      <c r="AO4" s="35">
        <v>0</v>
      </c>
      <c r="AP4" s="35">
        <f t="shared" si="13"/>
        <v>68.849999999999994</v>
      </c>
      <c r="AQ4" s="35">
        <v>35.299999999999997</v>
      </c>
      <c r="AR4" s="35">
        <v>15.39</v>
      </c>
      <c r="AS4" s="35">
        <v>224.67</v>
      </c>
      <c r="AT4" s="35" t="s">
        <v>83</v>
      </c>
      <c r="AV4" s="35" t="s">
        <v>133</v>
      </c>
      <c r="AW4" s="35" t="s">
        <v>85</v>
      </c>
      <c r="AX4" s="35" t="s">
        <v>86</v>
      </c>
      <c r="AY4" s="35">
        <v>0</v>
      </c>
      <c r="AZ4" s="35">
        <v>0</v>
      </c>
      <c r="BA4" s="35" t="s">
        <v>87</v>
      </c>
      <c r="BB4" s="35" t="s">
        <v>88</v>
      </c>
      <c r="BC4" s="35" t="s">
        <v>89</v>
      </c>
      <c r="BD4" s="35" t="s">
        <v>114</v>
      </c>
      <c r="BE4" s="35" t="s">
        <v>291</v>
      </c>
      <c r="BF4" s="35">
        <v>111.4</v>
      </c>
      <c r="BG4" s="35">
        <v>0</v>
      </c>
      <c r="BH4" s="35" t="s">
        <v>312</v>
      </c>
      <c r="BI4" s="35" t="s">
        <v>312</v>
      </c>
      <c r="BJ4" s="35" t="s">
        <v>312</v>
      </c>
      <c r="BK4" s="35" t="s">
        <v>91</v>
      </c>
      <c r="BL4" s="35" t="s">
        <v>137</v>
      </c>
      <c r="BM4" s="35">
        <v>1</v>
      </c>
      <c r="BN4" s="35" t="s">
        <v>2177</v>
      </c>
      <c r="BO4" s="35" t="s">
        <v>289</v>
      </c>
      <c r="BP4" s="35" t="s">
        <v>315</v>
      </c>
      <c r="BQ4" s="35" t="s">
        <v>117</v>
      </c>
      <c r="BR4" s="35" t="s">
        <v>93</v>
      </c>
      <c r="BS4" s="35" t="s">
        <v>312</v>
      </c>
      <c r="BT4" s="35" t="s">
        <v>312</v>
      </c>
      <c r="BU4" s="36">
        <v>41883</v>
      </c>
      <c r="BV4" s="36">
        <v>42155</v>
      </c>
      <c r="BW4" s="35" t="s">
        <v>94</v>
      </c>
      <c r="BX4" s="35" t="s">
        <v>95</v>
      </c>
      <c r="BY4" s="35" t="s">
        <v>140</v>
      </c>
      <c r="BZ4" s="35">
        <v>1</v>
      </c>
      <c r="CA4" s="35">
        <v>1</v>
      </c>
      <c r="CB4" s="35" t="s">
        <v>303</v>
      </c>
      <c r="CC4" s="35" t="s">
        <v>313</v>
      </c>
      <c r="CD4" s="35">
        <v>0</v>
      </c>
      <c r="CE4" s="35" t="s">
        <v>97</v>
      </c>
      <c r="CF4" s="35">
        <v>0</v>
      </c>
      <c r="CG4" s="35" t="s">
        <v>97</v>
      </c>
      <c r="CH4" s="35">
        <v>1</v>
      </c>
      <c r="CI4" s="35" t="s">
        <v>317</v>
      </c>
      <c r="CJ4" s="35" t="s">
        <v>98</v>
      </c>
      <c r="CK4" s="35">
        <v>64</v>
      </c>
      <c r="CL4" s="35">
        <v>0</v>
      </c>
      <c r="CM4" s="35">
        <v>0</v>
      </c>
      <c r="CN4" s="35" t="s">
        <v>99</v>
      </c>
      <c r="CO4" s="35" t="s">
        <v>97</v>
      </c>
      <c r="CP4" s="35" t="s">
        <v>100</v>
      </c>
      <c r="CQ4" s="35" t="s">
        <v>101</v>
      </c>
      <c r="CR4" s="36">
        <v>45847</v>
      </c>
    </row>
    <row r="5" spans="1:98" s="35" customFormat="1" x14ac:dyDescent="0.35">
      <c r="A5" s="34" t="s">
        <v>293</v>
      </c>
      <c r="B5" s="34" t="s">
        <v>299</v>
      </c>
      <c r="C5" s="35" t="s">
        <v>316</v>
      </c>
      <c r="D5" s="35">
        <v>2019</v>
      </c>
      <c r="E5" s="34" t="s">
        <v>318</v>
      </c>
      <c r="F5" s="34" t="s">
        <v>319</v>
      </c>
      <c r="G5" s="35" t="s">
        <v>78</v>
      </c>
      <c r="H5" s="35">
        <v>1</v>
      </c>
      <c r="I5" s="35" t="s">
        <v>290</v>
      </c>
      <c r="J5" s="35" t="s">
        <v>79</v>
      </c>
      <c r="K5" s="35">
        <v>657</v>
      </c>
      <c r="L5" s="35" t="s">
        <v>129</v>
      </c>
      <c r="M5" s="35" t="s">
        <v>380</v>
      </c>
      <c r="N5" s="35">
        <v>-0.33</v>
      </c>
      <c r="O5" s="35">
        <v>0.28000000000000003</v>
      </c>
      <c r="P5" s="89">
        <f t="shared" si="0"/>
        <v>-1.1785714285714286</v>
      </c>
      <c r="Q5" s="35" t="s">
        <v>312</v>
      </c>
      <c r="R5" s="89">
        <f t="shared" si="1"/>
        <v>-0.87880000000000003</v>
      </c>
      <c r="S5" s="89">
        <f t="shared" si="2"/>
        <v>0.21880000000000005</v>
      </c>
      <c r="T5" s="35">
        <v>1</v>
      </c>
      <c r="U5" s="35">
        <v>524</v>
      </c>
      <c r="V5" s="35">
        <v>23</v>
      </c>
      <c r="W5" s="35">
        <v>0</v>
      </c>
      <c r="X5" s="35">
        <f t="shared" si="3"/>
        <v>501</v>
      </c>
      <c r="Y5" s="89">
        <f t="shared" si="4"/>
        <v>-5.2581846668322357E-2</v>
      </c>
      <c r="Z5" s="89">
        <f t="shared" si="5"/>
        <v>4.4614900203425033E-2</v>
      </c>
      <c r="AA5" s="89">
        <f t="shared" si="6"/>
        <v>-5.2581846668322357E-2</v>
      </c>
      <c r="AB5" s="35" t="s">
        <v>81</v>
      </c>
      <c r="AC5" s="89">
        <f t="shared" si="7"/>
        <v>-9.1238779174147213E-3</v>
      </c>
      <c r="AD5" s="89" cm="1">
        <f t="array" ref="AD5">_xlfn.IFS(
AND(L5="marginal_effect",M5="level"),N5*AN5/BF5,
AND(L5="marginal_effect",M5="sd (Y)"),N5*BH5*AN5/BF5,
AND(L5="marginal_effect",M5="sd (X)"),N5/AQ5*AN5/BF5,
AND(L5="semi_elasticity",M5="level"),N5*AN5,
AND(L5="semi_elasticity",M5="sd (Y)"),N5*AN5*BH5,
AND(L5="semi_elasticity",M5="sd (X)"),N5*AN5/AQ5,
AND(L5="level-log",M5="level"),N5/BF5,
AND(L5="level-log",M5="sd (X)"),N5/BF5/AQ5,
AND(L5="level-log",M5="sd (Y)"),N5/BF5*BH5,
AND(L5="elasticity",M5="level"),N5,
AND(L5="elasticity",M5="sd (X)"),N5/AQ5,
AND(L5="elasticity",M5="sd (Y)"),N5*BH5,
AND(L5="marginal_effect",M5="percent_of_mean"),N5*AN5/BF5/10)</f>
        <v>-9.1238779174147213E-3</v>
      </c>
      <c r="AE5" s="49">
        <f t="shared" si="8"/>
        <v>1</v>
      </c>
      <c r="AF5" s="89">
        <f t="shared" si="9"/>
        <v>7.7414721723518855E-3</v>
      </c>
      <c r="AG5" s="89" cm="1">
        <f t="array" ref="AG5">_xlfn.IFS(
AND(L5="marginal_effect",M5="level"),O5*AN5/BF5,
AND(L5="marginal_effect",M5="sd (Y)"),O5*BH5*AN5/BF5,
AND(L5="marginal_effect",M5="sd (X)"),O5/AQ5*AN5/BF5,
AND(L5="semi_elasticity",M5="level"),O5*AN5,
AND(L5="semi_elasticity",M5="sd (Y)"),O5*AN5*BH5,
AND(L5="semi_elasticity",M5="sd (X)"),O5*AN5/AQ5,
AND(L5="level-log",M5="level"),O5/BF5,
AND(L5="level-log",M5="sd (X)"),O5/BF5/AQ5,
AND(L5="level-log",M5="sd (Y)"),O5/BF5*BH5,
AND(L5="elasticity",M5="level"),O5,
AND(L5="elasticity",M5="sd (X)"),O5/AQ5,
AND(L5="elasticity",M5="sd (Y)"),O5*BH5,
AND(L5="marginal_effect",M5="percent_of_mean"),O5*AN5/BF5/10)</f>
        <v>7.7414721723518855E-3</v>
      </c>
      <c r="AH5" s="49">
        <f t="shared" si="10"/>
        <v>1</v>
      </c>
      <c r="AI5" s="89">
        <f t="shared" si="11"/>
        <v>-9.1238779174147213E-3</v>
      </c>
      <c r="AJ5" s="49">
        <v>0</v>
      </c>
      <c r="AK5" s="49">
        <f t="shared" si="12"/>
        <v>1</v>
      </c>
      <c r="AL5" s="35" t="s">
        <v>159</v>
      </c>
      <c r="AM5" s="35" t="s">
        <v>296</v>
      </c>
      <c r="AN5" s="35">
        <v>3.08</v>
      </c>
      <c r="AO5" s="35">
        <v>0</v>
      </c>
      <c r="AP5" s="35">
        <f t="shared" si="13"/>
        <v>30.8</v>
      </c>
      <c r="AQ5" s="35">
        <v>13.83</v>
      </c>
      <c r="AR5" s="35">
        <v>9.52</v>
      </c>
      <c r="AS5" s="35">
        <v>80.8</v>
      </c>
      <c r="AT5" s="35" t="s">
        <v>83</v>
      </c>
      <c r="AV5" s="35" t="s">
        <v>133</v>
      </c>
      <c r="AW5" s="35" t="s">
        <v>85</v>
      </c>
      <c r="AX5" s="35" t="s">
        <v>86</v>
      </c>
      <c r="AY5" s="35">
        <v>0</v>
      </c>
      <c r="AZ5" s="35">
        <v>0</v>
      </c>
      <c r="BA5" s="35" t="s">
        <v>87</v>
      </c>
      <c r="BB5" s="35" t="s">
        <v>88</v>
      </c>
      <c r="BC5" s="35" t="s">
        <v>89</v>
      </c>
      <c r="BD5" s="35" t="s">
        <v>114</v>
      </c>
      <c r="BE5" s="35" t="s">
        <v>291</v>
      </c>
      <c r="BF5" s="35">
        <v>111.4</v>
      </c>
      <c r="BG5" s="35">
        <v>0</v>
      </c>
      <c r="BH5" s="35" t="s">
        <v>312</v>
      </c>
      <c r="BI5" s="35" t="s">
        <v>312</v>
      </c>
      <c r="BJ5" s="35" t="s">
        <v>312</v>
      </c>
      <c r="BK5" s="35" t="s">
        <v>91</v>
      </c>
      <c r="BL5" s="35" t="s">
        <v>137</v>
      </c>
      <c r="BM5" s="35">
        <v>1</v>
      </c>
      <c r="BN5" s="35" t="s">
        <v>2177</v>
      </c>
      <c r="BO5" s="35" t="s">
        <v>289</v>
      </c>
      <c r="BP5" s="35" t="s">
        <v>315</v>
      </c>
      <c r="BQ5" s="35" t="s">
        <v>117</v>
      </c>
      <c r="BR5" s="35" t="s">
        <v>93</v>
      </c>
      <c r="BS5" s="35" t="s">
        <v>312</v>
      </c>
      <c r="BT5" s="35" t="s">
        <v>312</v>
      </c>
      <c r="BU5" s="36">
        <v>41883</v>
      </c>
      <c r="BV5" s="36">
        <v>42155</v>
      </c>
      <c r="BW5" s="35" t="s">
        <v>94</v>
      </c>
      <c r="BX5" s="35" t="s">
        <v>95</v>
      </c>
      <c r="BY5" s="35" t="s">
        <v>140</v>
      </c>
      <c r="BZ5" s="35">
        <v>1</v>
      </c>
      <c r="CA5" s="35">
        <v>1</v>
      </c>
      <c r="CB5" s="35" t="s">
        <v>303</v>
      </c>
      <c r="CC5" s="35" t="s">
        <v>313</v>
      </c>
      <c r="CD5" s="35">
        <v>0</v>
      </c>
      <c r="CE5" s="35" t="s">
        <v>97</v>
      </c>
      <c r="CF5" s="35">
        <v>0</v>
      </c>
      <c r="CG5" s="35" t="s">
        <v>97</v>
      </c>
      <c r="CH5" s="35">
        <v>1</v>
      </c>
      <c r="CI5" s="35" t="s">
        <v>317</v>
      </c>
      <c r="CJ5" s="35" t="s">
        <v>98</v>
      </c>
      <c r="CK5" s="35">
        <v>64</v>
      </c>
      <c r="CL5" s="35">
        <v>0</v>
      </c>
      <c r="CM5" s="35">
        <v>0</v>
      </c>
      <c r="CN5" s="35" t="s">
        <v>99</v>
      </c>
      <c r="CO5" s="35" t="s">
        <v>97</v>
      </c>
      <c r="CP5" s="35" t="s">
        <v>100</v>
      </c>
      <c r="CQ5" s="35" t="s">
        <v>101</v>
      </c>
      <c r="CR5" s="36">
        <v>45847</v>
      </c>
    </row>
    <row r="6" spans="1:98" s="35" customFormat="1" x14ac:dyDescent="0.35">
      <c r="A6" s="34" t="s">
        <v>293</v>
      </c>
      <c r="B6" s="34" t="s">
        <v>300</v>
      </c>
      <c r="C6" s="35" t="s">
        <v>316</v>
      </c>
      <c r="D6" s="35">
        <v>2019</v>
      </c>
      <c r="E6" s="34" t="s">
        <v>318</v>
      </c>
      <c r="F6" s="34" t="s">
        <v>319</v>
      </c>
      <c r="G6" s="35" t="s">
        <v>78</v>
      </c>
      <c r="H6" s="35">
        <v>1</v>
      </c>
      <c r="I6" s="35" t="s">
        <v>290</v>
      </c>
      <c r="J6" s="35" t="s">
        <v>79</v>
      </c>
      <c r="K6" s="35">
        <v>657</v>
      </c>
      <c r="L6" s="35" t="s">
        <v>129</v>
      </c>
      <c r="M6" s="35" t="s">
        <v>380</v>
      </c>
      <c r="N6" s="35">
        <v>0</v>
      </c>
      <c r="O6" s="35">
        <v>0.04</v>
      </c>
      <c r="P6" s="89">
        <f t="shared" si="0"/>
        <v>0</v>
      </c>
      <c r="Q6" s="35" t="s">
        <v>312</v>
      </c>
      <c r="R6" s="89">
        <f t="shared" si="1"/>
        <v>-7.8399999999999997E-2</v>
      </c>
      <c r="S6" s="89">
        <f t="shared" si="2"/>
        <v>7.8399999999999997E-2</v>
      </c>
      <c r="T6" s="35">
        <v>1</v>
      </c>
      <c r="U6" s="35">
        <v>4443</v>
      </c>
      <c r="V6" s="35">
        <v>69</v>
      </c>
      <c r="W6" s="35">
        <v>0</v>
      </c>
      <c r="X6" s="35">
        <f t="shared" si="3"/>
        <v>4374</v>
      </c>
      <c r="Y6" s="89">
        <f t="shared" si="4"/>
        <v>0</v>
      </c>
      <c r="Z6" s="89">
        <f t="shared" si="5"/>
        <v>1.5120307054217149E-2</v>
      </c>
      <c r="AA6" s="89">
        <f t="shared" si="6"/>
        <v>0</v>
      </c>
      <c r="AB6" s="35" t="s">
        <v>81</v>
      </c>
      <c r="AC6" s="89">
        <f t="shared" si="7"/>
        <v>0</v>
      </c>
      <c r="AD6" s="89" cm="1">
        <f t="array" ref="AD6">_xlfn.IFS(
AND(L6="marginal_effect",M6="level"),N6*AN6/BF6,
AND(L6="marginal_effect",M6="sd (Y)"),N6*BH6*AN6/BF6,
AND(L6="marginal_effect",M6="sd (X)"),N6/AQ6*AN6/BF6,
AND(L6="semi_elasticity",M6="level"),N6*AN6,
AND(L6="semi_elasticity",M6="sd (Y)"),N6*AN6*BH6,
AND(L6="semi_elasticity",M6="sd (X)"),N6*AN6/AQ6,
AND(L6="level-log",M6="level"),N6/BF6,
AND(L6="level-log",M6="sd (X)"),N6/BF6/AQ6,
AND(L6="level-log",M6="sd (Y)"),N6/BF6*BH6,
AND(L6="elasticity",M6="level"),N6,
AND(L6="elasticity",M6="sd (X)"),N6/AQ6,
AND(L6="elasticity",M6="sd (Y)"),N6*BH6,
AND(L6="marginal_effect",M6="percent_of_mean"),N6*AN6/BF6/10)</f>
        <v>0</v>
      </c>
      <c r="AE6" s="49">
        <f t="shared" si="8"/>
        <v>1</v>
      </c>
      <c r="AF6" s="89">
        <f t="shared" si="9"/>
        <v>2.45017793594306E-3</v>
      </c>
      <c r="AG6" s="89" cm="1">
        <f t="array" ref="AG6">_xlfn.IFS(
AND(L6="marginal_effect",M6="level"),O6*AN6/BF6,
AND(L6="marginal_effect",M6="sd (Y)"),O6*BH6*AN6/BF6,
AND(L6="marginal_effect",M6="sd (X)"),O6/AQ6*AN6/BF6,
AND(L6="semi_elasticity",M6="level"),O6*AN6,
AND(L6="semi_elasticity",M6="sd (Y)"),O6*AN6*BH6,
AND(L6="semi_elasticity",M6="sd (X)"),O6*AN6/AQ6,
AND(L6="level-log",M6="level"),O6/BF6,
AND(L6="level-log",M6="sd (X)"),O6/BF6/AQ6,
AND(L6="level-log",M6="sd (Y)"),O6/BF6*BH6,
AND(L6="elasticity",M6="level"),O6,
AND(L6="elasticity",M6="sd (X)"),O6/AQ6,
AND(L6="elasticity",M6="sd (Y)"),O6*BH6,
AND(L6="marginal_effect",M6="percent_of_mean"),O6*AN6/BF6/10)</f>
        <v>2.45017793594306E-3</v>
      </c>
      <c r="AH6" s="49">
        <f t="shared" si="10"/>
        <v>1</v>
      </c>
      <c r="AI6" s="89">
        <f t="shared" si="11"/>
        <v>0</v>
      </c>
      <c r="AJ6" s="49">
        <v>0</v>
      </c>
      <c r="AK6" s="49">
        <f t="shared" si="12"/>
        <v>1</v>
      </c>
      <c r="AL6" s="35" t="s">
        <v>82</v>
      </c>
      <c r="AM6" s="35" t="s">
        <v>296</v>
      </c>
      <c r="AN6" s="35">
        <v>6.8849999999999998</v>
      </c>
      <c r="AO6" s="35">
        <v>0</v>
      </c>
      <c r="AP6" s="35">
        <f t="shared" si="13"/>
        <v>68.849999999999994</v>
      </c>
      <c r="AQ6" s="35">
        <v>35.299999999999997</v>
      </c>
      <c r="AR6" s="35">
        <v>15.39</v>
      </c>
      <c r="AS6" s="35">
        <v>224.67</v>
      </c>
      <c r="AT6" s="35" t="s">
        <v>83</v>
      </c>
      <c r="AV6" s="35" t="s">
        <v>133</v>
      </c>
      <c r="AW6" s="35" t="s">
        <v>85</v>
      </c>
      <c r="AX6" s="35" t="s">
        <v>86</v>
      </c>
      <c r="AY6" s="35">
        <v>0</v>
      </c>
      <c r="AZ6" s="35">
        <v>0</v>
      </c>
      <c r="BA6" s="35" t="s">
        <v>87</v>
      </c>
      <c r="BB6" s="35" t="s">
        <v>88</v>
      </c>
      <c r="BC6" s="35" t="s">
        <v>89</v>
      </c>
      <c r="BD6" s="35" t="s">
        <v>114</v>
      </c>
      <c r="BE6" s="35" t="s">
        <v>291</v>
      </c>
      <c r="BF6" s="35">
        <v>112.4</v>
      </c>
      <c r="BG6" s="35">
        <v>0</v>
      </c>
      <c r="BH6" s="35" t="s">
        <v>312</v>
      </c>
      <c r="BI6" s="35" t="s">
        <v>312</v>
      </c>
      <c r="BJ6" s="35" t="s">
        <v>312</v>
      </c>
      <c r="BK6" s="35" t="s">
        <v>91</v>
      </c>
      <c r="BL6" s="35" t="s">
        <v>84</v>
      </c>
      <c r="BM6" s="35">
        <v>1</v>
      </c>
      <c r="BN6" s="35" t="s">
        <v>2177</v>
      </c>
      <c r="BO6" s="35" t="s">
        <v>289</v>
      </c>
      <c r="BP6" s="35" t="s">
        <v>315</v>
      </c>
      <c r="BQ6" s="35" t="s">
        <v>117</v>
      </c>
      <c r="BR6" s="35" t="s">
        <v>93</v>
      </c>
      <c r="BS6" s="35" t="s">
        <v>312</v>
      </c>
      <c r="BT6" s="35" t="s">
        <v>312</v>
      </c>
      <c r="BU6" s="36">
        <v>41883</v>
      </c>
      <c r="BV6" s="36">
        <v>42155</v>
      </c>
      <c r="BW6" s="35" t="s">
        <v>94</v>
      </c>
      <c r="BX6" s="35" t="s">
        <v>95</v>
      </c>
      <c r="BY6" s="35" t="s">
        <v>96</v>
      </c>
      <c r="BZ6" s="35">
        <v>0</v>
      </c>
      <c r="CA6" s="35">
        <v>0</v>
      </c>
      <c r="CB6" s="35" t="s">
        <v>97</v>
      </c>
      <c r="CC6" s="35" t="s">
        <v>314</v>
      </c>
      <c r="CD6" s="35">
        <v>0</v>
      </c>
      <c r="CE6" s="35" t="s">
        <v>97</v>
      </c>
      <c r="CF6" s="35">
        <v>0</v>
      </c>
      <c r="CG6" s="35" t="s">
        <v>97</v>
      </c>
      <c r="CH6" s="35">
        <v>1</v>
      </c>
      <c r="CI6" s="35" t="s">
        <v>376</v>
      </c>
      <c r="CJ6" s="35" t="s">
        <v>98</v>
      </c>
      <c r="CK6" s="35">
        <v>64</v>
      </c>
      <c r="CL6" s="35">
        <v>0</v>
      </c>
      <c r="CM6" s="35">
        <v>0</v>
      </c>
      <c r="CN6" s="35" t="s">
        <v>99</v>
      </c>
      <c r="CO6" s="35" t="s">
        <v>97</v>
      </c>
      <c r="CP6" s="35" t="s">
        <v>100</v>
      </c>
      <c r="CQ6" s="35" t="s">
        <v>101</v>
      </c>
      <c r="CR6" s="36">
        <v>45847</v>
      </c>
    </row>
    <row r="7" spans="1:98" s="35" customFormat="1" x14ac:dyDescent="0.35">
      <c r="A7" s="34" t="s">
        <v>293</v>
      </c>
      <c r="B7" s="34" t="s">
        <v>301</v>
      </c>
      <c r="C7" s="35" t="s">
        <v>316</v>
      </c>
      <c r="D7" s="35">
        <v>2019</v>
      </c>
      <c r="E7" s="34" t="s">
        <v>318</v>
      </c>
      <c r="F7" s="34" t="s">
        <v>319</v>
      </c>
      <c r="G7" s="35" t="s">
        <v>78</v>
      </c>
      <c r="H7" s="35">
        <v>1</v>
      </c>
      <c r="I7" s="35" t="s">
        <v>290</v>
      </c>
      <c r="J7" s="35" t="s">
        <v>79</v>
      </c>
      <c r="K7" s="35">
        <v>657</v>
      </c>
      <c r="L7" s="35" t="s">
        <v>129</v>
      </c>
      <c r="M7" s="35" t="s">
        <v>380</v>
      </c>
      <c r="N7" s="35">
        <v>-0.05</v>
      </c>
      <c r="O7" s="35">
        <v>0.11</v>
      </c>
      <c r="P7" s="89">
        <f t="shared" si="0"/>
        <v>-0.45454545454545459</v>
      </c>
      <c r="Q7" s="35" t="s">
        <v>312</v>
      </c>
      <c r="R7" s="89">
        <f t="shared" si="1"/>
        <v>-0.2656</v>
      </c>
      <c r="S7" s="89">
        <f t="shared" si="2"/>
        <v>0.16559999999999997</v>
      </c>
      <c r="T7" s="35">
        <v>1</v>
      </c>
      <c r="U7" s="35">
        <v>4443</v>
      </c>
      <c r="V7" s="35">
        <v>69</v>
      </c>
      <c r="W7" s="35">
        <v>0</v>
      </c>
      <c r="X7" s="35">
        <f t="shared" si="3"/>
        <v>4374</v>
      </c>
      <c r="Y7" s="89">
        <f t="shared" si="4"/>
        <v>-6.872704524181106E-3</v>
      </c>
      <c r="Z7" s="89">
        <f t="shared" si="5"/>
        <v>1.511994995319843E-2</v>
      </c>
      <c r="AA7" s="89">
        <f t="shared" si="6"/>
        <v>-6.872704524181106E-3</v>
      </c>
      <c r="AB7" s="35" t="s">
        <v>81</v>
      </c>
      <c r="AC7" s="89">
        <f t="shared" si="7"/>
        <v>-1.3701067615658365E-3</v>
      </c>
      <c r="AD7" s="89" cm="1">
        <f t="array" ref="AD7">_xlfn.IFS(
AND(L7="marginal_effect",M7="level"),N7*AN7/BF7,
AND(L7="marginal_effect",M7="sd (Y)"),N7*BH7*AN7/BF7,
AND(L7="marginal_effect",M7="sd (X)"),N7/AQ7*AN7/BF7,
AND(L7="semi_elasticity",M7="level"),N7*AN7,
AND(L7="semi_elasticity",M7="sd (Y)"),N7*AN7*BH7,
AND(L7="semi_elasticity",M7="sd (X)"),N7*AN7/AQ7,
AND(L7="level-log",M7="level"),N7/BF7,
AND(L7="level-log",M7="sd (X)"),N7/BF7/AQ7,
AND(L7="level-log",M7="sd (Y)"),N7/BF7*BH7,
AND(L7="elasticity",M7="level"),N7,
AND(L7="elasticity",M7="sd (X)"),N7/AQ7,
AND(L7="elasticity",M7="sd (Y)"),N7*BH7,
AND(L7="marginal_effect",M7="percent_of_mean"),N7*AN7/BF7/10)</f>
        <v>-1.3701067615658365E-3</v>
      </c>
      <c r="AE7" s="49">
        <f t="shared" si="8"/>
        <v>1</v>
      </c>
      <c r="AF7" s="89">
        <f t="shared" si="9"/>
        <v>3.0142348754448396E-3</v>
      </c>
      <c r="AG7" s="89" cm="1">
        <f t="array" ref="AG7">_xlfn.IFS(
AND(L7="marginal_effect",M7="level"),O7*AN7/BF7,
AND(L7="marginal_effect",M7="sd (Y)"),O7*BH7*AN7/BF7,
AND(L7="marginal_effect",M7="sd (X)"),O7/AQ7*AN7/BF7,
AND(L7="semi_elasticity",M7="level"),O7*AN7,
AND(L7="semi_elasticity",M7="sd (Y)"),O7*AN7*BH7,
AND(L7="semi_elasticity",M7="sd (X)"),O7*AN7/AQ7,
AND(L7="level-log",M7="level"),O7/BF7,
AND(L7="level-log",M7="sd (X)"),O7/BF7/AQ7,
AND(L7="level-log",M7="sd (Y)"),O7/BF7*BH7,
AND(L7="elasticity",M7="level"),O7,
AND(L7="elasticity",M7="sd (X)"),O7/AQ7,
AND(L7="elasticity",M7="sd (Y)"),O7*BH7,
AND(L7="marginal_effect",M7="percent_of_mean"),O7*AN7/BF7/10)</f>
        <v>3.0142348754448396E-3</v>
      </c>
      <c r="AH7" s="49">
        <f t="shared" si="10"/>
        <v>1</v>
      </c>
      <c r="AI7" s="89">
        <f t="shared" si="11"/>
        <v>-1.3701067615658365E-3</v>
      </c>
      <c r="AJ7" s="49">
        <v>0</v>
      </c>
      <c r="AK7" s="49">
        <f t="shared" si="12"/>
        <v>1</v>
      </c>
      <c r="AL7" s="35" t="s">
        <v>159</v>
      </c>
      <c r="AM7" s="35" t="s">
        <v>296</v>
      </c>
      <c r="AN7" s="35">
        <v>3.08</v>
      </c>
      <c r="AO7" s="35">
        <v>0</v>
      </c>
      <c r="AP7" s="35">
        <f t="shared" si="13"/>
        <v>30.8</v>
      </c>
      <c r="AQ7" s="35">
        <v>13.83</v>
      </c>
      <c r="AR7" s="35">
        <v>9.52</v>
      </c>
      <c r="AS7" s="35">
        <v>80.8</v>
      </c>
      <c r="AT7" s="35" t="s">
        <v>83</v>
      </c>
      <c r="AV7" s="35" t="s">
        <v>133</v>
      </c>
      <c r="AW7" s="35" t="s">
        <v>85</v>
      </c>
      <c r="AX7" s="35" t="s">
        <v>86</v>
      </c>
      <c r="AY7" s="35">
        <v>0</v>
      </c>
      <c r="AZ7" s="35">
        <v>0</v>
      </c>
      <c r="BA7" s="35" t="s">
        <v>87</v>
      </c>
      <c r="BB7" s="35" t="s">
        <v>88</v>
      </c>
      <c r="BC7" s="35" t="s">
        <v>89</v>
      </c>
      <c r="BD7" s="35" t="s">
        <v>114</v>
      </c>
      <c r="BE7" s="35" t="s">
        <v>291</v>
      </c>
      <c r="BF7" s="35">
        <v>112.4</v>
      </c>
      <c r="BG7" s="35">
        <v>0</v>
      </c>
      <c r="BH7" s="35" t="s">
        <v>312</v>
      </c>
      <c r="BI7" s="35" t="s">
        <v>312</v>
      </c>
      <c r="BJ7" s="35" t="s">
        <v>312</v>
      </c>
      <c r="BK7" s="35" t="s">
        <v>91</v>
      </c>
      <c r="BL7" s="35" t="s">
        <v>84</v>
      </c>
      <c r="BM7" s="35">
        <v>1</v>
      </c>
      <c r="BN7" s="35" t="s">
        <v>2177</v>
      </c>
      <c r="BO7" s="35" t="s">
        <v>289</v>
      </c>
      <c r="BP7" s="35" t="s">
        <v>315</v>
      </c>
      <c r="BQ7" s="35" t="s">
        <v>117</v>
      </c>
      <c r="BR7" s="35" t="s">
        <v>93</v>
      </c>
      <c r="BS7" s="35" t="s">
        <v>312</v>
      </c>
      <c r="BT7" s="35" t="s">
        <v>312</v>
      </c>
      <c r="BU7" s="36">
        <v>41883</v>
      </c>
      <c r="BV7" s="36">
        <v>42155</v>
      </c>
      <c r="BW7" s="35" t="s">
        <v>94</v>
      </c>
      <c r="BX7" s="35" t="s">
        <v>95</v>
      </c>
      <c r="BY7" s="35" t="s">
        <v>96</v>
      </c>
      <c r="BZ7" s="35">
        <v>0</v>
      </c>
      <c r="CA7" s="35">
        <v>0</v>
      </c>
      <c r="CB7" s="35" t="s">
        <v>97</v>
      </c>
      <c r="CC7" s="35" t="s">
        <v>314</v>
      </c>
      <c r="CD7" s="35">
        <v>0</v>
      </c>
      <c r="CE7" s="35" t="s">
        <v>97</v>
      </c>
      <c r="CF7" s="35">
        <v>0</v>
      </c>
      <c r="CG7" s="35" t="s">
        <v>97</v>
      </c>
      <c r="CH7" s="35">
        <v>1</v>
      </c>
      <c r="CI7" s="35" t="s">
        <v>376</v>
      </c>
      <c r="CJ7" s="35" t="s">
        <v>98</v>
      </c>
      <c r="CK7" s="35">
        <v>64</v>
      </c>
      <c r="CL7" s="35">
        <v>0</v>
      </c>
      <c r="CM7" s="35">
        <v>0</v>
      </c>
      <c r="CN7" s="35" t="s">
        <v>99</v>
      </c>
      <c r="CO7" s="35" t="s">
        <v>97</v>
      </c>
      <c r="CP7" s="35" t="s">
        <v>100</v>
      </c>
      <c r="CQ7" s="35" t="s">
        <v>101</v>
      </c>
      <c r="CR7" s="36">
        <v>45847</v>
      </c>
    </row>
    <row r="8" spans="1:98" s="35" customFormat="1" x14ac:dyDescent="0.35">
      <c r="A8" s="34" t="s">
        <v>293</v>
      </c>
      <c r="B8" s="34" t="s">
        <v>294</v>
      </c>
      <c r="C8" s="35" t="s">
        <v>316</v>
      </c>
      <c r="D8" s="35">
        <v>2019</v>
      </c>
      <c r="E8" s="34" t="s">
        <v>318</v>
      </c>
      <c r="F8" s="34" t="s">
        <v>319</v>
      </c>
      <c r="G8" s="35" t="s">
        <v>78</v>
      </c>
      <c r="H8" s="35">
        <v>1</v>
      </c>
      <c r="I8" s="35" t="s">
        <v>290</v>
      </c>
      <c r="J8" s="35" t="s">
        <v>79</v>
      </c>
      <c r="K8" s="35">
        <v>657</v>
      </c>
      <c r="L8" s="35" t="s">
        <v>129</v>
      </c>
      <c r="M8" s="35" t="s">
        <v>380</v>
      </c>
      <c r="N8" s="35">
        <v>0.01</v>
      </c>
      <c r="O8" s="35">
        <v>0.06</v>
      </c>
      <c r="P8" s="89">
        <f t="shared" si="0"/>
        <v>0.16666666666666669</v>
      </c>
      <c r="Q8" s="35" t="s">
        <v>312</v>
      </c>
      <c r="R8" s="89">
        <f t="shared" si="1"/>
        <v>-0.1076</v>
      </c>
      <c r="S8" s="89">
        <f t="shared" si="2"/>
        <v>0.12759999999999999</v>
      </c>
      <c r="T8" s="35">
        <v>1</v>
      </c>
      <c r="U8" s="35">
        <v>4443</v>
      </c>
      <c r="V8" s="35">
        <v>69</v>
      </c>
      <c r="W8" s="35">
        <v>0</v>
      </c>
      <c r="X8" s="35">
        <f t="shared" si="3"/>
        <v>4374</v>
      </c>
      <c r="Y8" s="89">
        <f t="shared" si="4"/>
        <v>2.5200431737494823E-3</v>
      </c>
      <c r="Z8" s="89">
        <f t="shared" si="5"/>
        <v>1.5120259042496892E-2</v>
      </c>
      <c r="AA8" s="89">
        <f t="shared" si="6"/>
        <v>2.5200431737494823E-3</v>
      </c>
      <c r="AB8" s="35" t="s">
        <v>81</v>
      </c>
      <c r="AC8" s="89">
        <f t="shared" si="7"/>
        <v>6.1254448398576501E-4</v>
      </c>
      <c r="AD8" s="89" cm="1">
        <f t="array" ref="AD8">_xlfn.IFS(
AND(L8="marginal_effect",M8="level"),N8*AN8/BF8,
AND(L8="marginal_effect",M8="sd (Y)"),N8*BH8*AN8/BF8,
AND(L8="marginal_effect",M8="sd (X)"),N8/AQ8*AN8/BF8,
AND(L8="semi_elasticity",M8="level"),N8*AN8,
AND(L8="semi_elasticity",M8="sd (Y)"),N8*AN8*BH8,
AND(L8="semi_elasticity",M8="sd (X)"),N8*AN8/AQ8,
AND(L8="level-log",M8="level"),N8/BF8,
AND(L8="level-log",M8="sd (X)"),N8/BF8/AQ8,
AND(L8="level-log",M8="sd (Y)"),N8/BF8*BH8,
AND(L8="elasticity",M8="level"),N8,
AND(L8="elasticity",M8="sd (X)"),N8/AQ8,
AND(L8="elasticity",M8="sd (Y)"),N8*BH8,
AND(L8="marginal_effect",M8="percent_of_mean"),N8*AN8/BF8/10)</f>
        <v>6.1254448398576501E-4</v>
      </c>
      <c r="AE8" s="49">
        <f t="shared" si="8"/>
        <v>1</v>
      </c>
      <c r="AF8" s="89">
        <f t="shared" si="9"/>
        <v>3.6752669039145903E-3</v>
      </c>
      <c r="AG8" s="89" cm="1">
        <f t="array" ref="AG8">_xlfn.IFS(
AND(L8="marginal_effect",M8="level"),O8*AN8/BF8,
AND(L8="marginal_effect",M8="sd (Y)"),O8*BH8*AN8/BF8,
AND(L8="marginal_effect",M8="sd (X)"),O8/AQ8*AN8/BF8,
AND(L8="semi_elasticity",M8="level"),O8*AN8,
AND(L8="semi_elasticity",M8="sd (Y)"),O8*AN8*BH8,
AND(L8="semi_elasticity",M8="sd (X)"),O8*AN8/AQ8,
AND(L8="level-log",M8="level"),O8/BF8,
AND(L8="level-log",M8="sd (X)"),O8/BF8/AQ8,
AND(L8="level-log",M8="sd (Y)"),O8/BF8*BH8,
AND(L8="elasticity",M8="level"),O8,
AND(L8="elasticity",M8="sd (X)"),O8/AQ8,
AND(L8="elasticity",M8="sd (Y)"),O8*BH8,
AND(L8="marginal_effect",M8="percent_of_mean"),O8*AN8/BF8/10)</f>
        <v>3.6752669039145903E-3</v>
      </c>
      <c r="AH8" s="49">
        <f t="shared" si="10"/>
        <v>1</v>
      </c>
      <c r="AI8" s="89">
        <f t="shared" si="11"/>
        <v>6.1254448398576501E-4</v>
      </c>
      <c r="AJ8" s="49">
        <v>0</v>
      </c>
      <c r="AK8" s="49">
        <f t="shared" si="12"/>
        <v>1</v>
      </c>
      <c r="AL8" s="35" t="s">
        <v>82</v>
      </c>
      <c r="AM8" s="35" t="s">
        <v>296</v>
      </c>
      <c r="AN8" s="35">
        <v>6.8849999999999998</v>
      </c>
      <c r="AO8" s="35">
        <v>0</v>
      </c>
      <c r="AP8" s="35">
        <f t="shared" si="13"/>
        <v>68.849999999999994</v>
      </c>
      <c r="AQ8" s="35">
        <v>35.299999999999997</v>
      </c>
      <c r="AR8" s="35">
        <v>15.39</v>
      </c>
      <c r="AS8" s="35">
        <v>224.67</v>
      </c>
      <c r="AT8" s="35" t="s">
        <v>83</v>
      </c>
      <c r="AV8" s="35" t="s">
        <v>133</v>
      </c>
      <c r="AW8" s="35" t="s">
        <v>85</v>
      </c>
      <c r="AX8" s="35" t="s">
        <v>86</v>
      </c>
      <c r="AY8" s="35">
        <v>0</v>
      </c>
      <c r="AZ8" s="35">
        <v>0</v>
      </c>
      <c r="BA8" s="35" t="s">
        <v>87</v>
      </c>
      <c r="BB8" s="35" t="s">
        <v>88</v>
      </c>
      <c r="BC8" s="35" t="s">
        <v>89</v>
      </c>
      <c r="BD8" s="35" t="s">
        <v>114</v>
      </c>
      <c r="BE8" s="35" t="s">
        <v>291</v>
      </c>
      <c r="BF8" s="35">
        <v>112.4</v>
      </c>
      <c r="BG8" s="35">
        <v>0</v>
      </c>
      <c r="BH8" s="35" t="s">
        <v>312</v>
      </c>
      <c r="BI8" s="35" t="s">
        <v>312</v>
      </c>
      <c r="BJ8" s="35" t="s">
        <v>312</v>
      </c>
      <c r="BK8" s="35" t="s">
        <v>91</v>
      </c>
      <c r="BL8" s="35" t="s">
        <v>84</v>
      </c>
      <c r="BM8" s="35">
        <v>1</v>
      </c>
      <c r="BN8" s="35" t="s">
        <v>2177</v>
      </c>
      <c r="BO8" s="35" t="s">
        <v>289</v>
      </c>
      <c r="BP8" s="35" t="s">
        <v>315</v>
      </c>
      <c r="BQ8" s="35" t="s">
        <v>117</v>
      </c>
      <c r="BR8" s="35" t="s">
        <v>93</v>
      </c>
      <c r="BS8" s="35" t="s">
        <v>312</v>
      </c>
      <c r="BT8" s="35" t="s">
        <v>312</v>
      </c>
      <c r="BU8" s="36">
        <v>41883</v>
      </c>
      <c r="BV8" s="36">
        <v>42155</v>
      </c>
      <c r="BW8" s="35" t="s">
        <v>94</v>
      </c>
      <c r="BX8" s="35" t="s">
        <v>95</v>
      </c>
      <c r="BY8" s="35" t="s">
        <v>140</v>
      </c>
      <c r="BZ8" s="35">
        <v>1</v>
      </c>
      <c r="CA8" s="35">
        <v>1</v>
      </c>
      <c r="CB8" s="35" t="s">
        <v>303</v>
      </c>
      <c r="CC8" s="35" t="s">
        <v>314</v>
      </c>
      <c r="CD8" s="35">
        <v>0</v>
      </c>
      <c r="CE8" s="35" t="s">
        <v>97</v>
      </c>
      <c r="CF8" s="35">
        <v>0</v>
      </c>
      <c r="CG8" s="35" t="s">
        <v>97</v>
      </c>
      <c r="CH8" s="35">
        <v>1</v>
      </c>
      <c r="CI8" s="35" t="s">
        <v>376</v>
      </c>
      <c r="CJ8" s="35" t="s">
        <v>98</v>
      </c>
      <c r="CK8" s="35">
        <v>64</v>
      </c>
      <c r="CL8" s="35">
        <v>0</v>
      </c>
      <c r="CM8" s="35">
        <v>0</v>
      </c>
      <c r="CN8" s="35" t="s">
        <v>99</v>
      </c>
      <c r="CO8" s="35" t="s">
        <v>97</v>
      </c>
      <c r="CP8" s="35" t="s">
        <v>100</v>
      </c>
      <c r="CQ8" s="35" t="s">
        <v>101</v>
      </c>
      <c r="CR8" s="36">
        <v>45847</v>
      </c>
    </row>
    <row r="9" spans="1:98" s="35" customFormat="1" x14ac:dyDescent="0.35">
      <c r="A9" s="34" t="s">
        <v>293</v>
      </c>
      <c r="B9" s="34" t="s">
        <v>302</v>
      </c>
      <c r="C9" s="35" t="s">
        <v>316</v>
      </c>
      <c r="D9" s="35">
        <v>2019</v>
      </c>
      <c r="E9" s="34" t="s">
        <v>318</v>
      </c>
      <c r="F9" s="34" t="s">
        <v>319</v>
      </c>
      <c r="G9" s="35" t="s">
        <v>78</v>
      </c>
      <c r="H9" s="35">
        <v>1</v>
      </c>
      <c r="I9" s="35" t="s">
        <v>290</v>
      </c>
      <c r="J9" s="35" t="s">
        <v>79</v>
      </c>
      <c r="K9" s="35">
        <v>657</v>
      </c>
      <c r="L9" s="35" t="s">
        <v>129</v>
      </c>
      <c r="M9" s="35" t="s">
        <v>380</v>
      </c>
      <c r="N9" s="35">
        <v>-0.22</v>
      </c>
      <c r="O9" s="35">
        <v>0.27</v>
      </c>
      <c r="P9" s="89">
        <f t="shared" si="0"/>
        <v>-0.81481481481481477</v>
      </c>
      <c r="Q9" s="35" t="s">
        <v>312</v>
      </c>
      <c r="R9" s="89">
        <f t="shared" si="1"/>
        <v>-0.74919999999999998</v>
      </c>
      <c r="S9" s="89">
        <f t="shared" si="2"/>
        <v>0.30920000000000003</v>
      </c>
      <c r="T9" s="35">
        <v>1</v>
      </c>
      <c r="U9" s="35">
        <v>4443</v>
      </c>
      <c r="V9" s="35">
        <v>69</v>
      </c>
      <c r="W9" s="35">
        <v>0</v>
      </c>
      <c r="X9" s="35">
        <f t="shared" si="3"/>
        <v>4374</v>
      </c>
      <c r="Y9" s="89">
        <f t="shared" si="4"/>
        <v>-1.2319315262210168E-2</v>
      </c>
      <c r="Z9" s="89">
        <f t="shared" si="5"/>
        <v>1.5119159639985207E-2</v>
      </c>
      <c r="AA9" s="89">
        <f t="shared" si="6"/>
        <v>-1.2319315262210168E-2</v>
      </c>
      <c r="AB9" s="35" t="s">
        <v>81</v>
      </c>
      <c r="AC9" s="89">
        <f t="shared" si="7"/>
        <v>-6.0284697508896793E-3</v>
      </c>
      <c r="AD9" s="89" cm="1">
        <f t="array" ref="AD9">_xlfn.IFS(
AND(L9="marginal_effect",M9="level"),N9*AN9/BF9,
AND(L9="marginal_effect",M9="sd (Y)"),N9*BH9*AN9/BF9,
AND(L9="marginal_effect",M9="sd (X)"),N9/AQ9*AN9/BF9,
AND(L9="semi_elasticity",M9="level"),N9*AN9,
AND(L9="semi_elasticity",M9="sd (Y)"),N9*AN9*BH9,
AND(L9="semi_elasticity",M9="sd (X)"),N9*AN9/AQ9,
AND(L9="level-log",M9="level"),N9/BF9,
AND(L9="level-log",M9="sd (X)"),N9/BF9/AQ9,
AND(L9="level-log",M9="sd (Y)"),N9/BF9*BH9,
AND(L9="elasticity",M9="level"),N9,
AND(L9="elasticity",M9="sd (X)"),N9/AQ9,
AND(L9="elasticity",M9="sd (Y)"),N9*BH9,
AND(L9="marginal_effect",M9="percent_of_mean"),N9*AN9/BF9/10)</f>
        <v>-6.0284697508896793E-3</v>
      </c>
      <c r="AE9" s="49">
        <f t="shared" si="8"/>
        <v>1</v>
      </c>
      <c r="AF9" s="89">
        <f t="shared" si="9"/>
        <v>7.3985765124555168E-3</v>
      </c>
      <c r="AG9" s="89" cm="1">
        <f t="array" ref="AG9">_xlfn.IFS(
AND(L9="marginal_effect",M9="level"),O9*AN9/BF9,
AND(L9="marginal_effect",M9="sd (Y)"),O9*BH9*AN9/BF9,
AND(L9="marginal_effect",M9="sd (X)"),O9/AQ9*AN9/BF9,
AND(L9="semi_elasticity",M9="level"),O9*AN9,
AND(L9="semi_elasticity",M9="sd (Y)"),O9*AN9*BH9,
AND(L9="semi_elasticity",M9="sd (X)"),O9*AN9/AQ9,
AND(L9="level-log",M9="level"),O9/BF9,
AND(L9="level-log",M9="sd (X)"),O9/BF9/AQ9,
AND(L9="level-log",M9="sd (Y)"),O9/BF9*BH9,
AND(L9="elasticity",M9="level"),O9,
AND(L9="elasticity",M9="sd (X)"),O9/AQ9,
AND(L9="elasticity",M9="sd (Y)"),O9*BH9,
AND(L9="marginal_effect",M9="percent_of_mean"),O9*AN9/BF9/10)</f>
        <v>7.3985765124555168E-3</v>
      </c>
      <c r="AH9" s="49">
        <f t="shared" si="10"/>
        <v>1</v>
      </c>
      <c r="AI9" s="89">
        <f t="shared" si="11"/>
        <v>-6.0284697508896793E-3</v>
      </c>
      <c r="AJ9" s="49">
        <v>0</v>
      </c>
      <c r="AK9" s="49">
        <f t="shared" si="12"/>
        <v>1</v>
      </c>
      <c r="AL9" s="35" t="s">
        <v>159</v>
      </c>
      <c r="AM9" s="35" t="s">
        <v>296</v>
      </c>
      <c r="AN9" s="35">
        <v>3.08</v>
      </c>
      <c r="AO9" s="35">
        <v>0</v>
      </c>
      <c r="AP9" s="35">
        <f t="shared" si="13"/>
        <v>30.8</v>
      </c>
      <c r="AQ9" s="35">
        <v>13.83</v>
      </c>
      <c r="AR9" s="35">
        <v>9.52</v>
      </c>
      <c r="AS9" s="35">
        <v>80.8</v>
      </c>
      <c r="AT9" s="35" t="s">
        <v>83</v>
      </c>
      <c r="AV9" s="35" t="s">
        <v>133</v>
      </c>
      <c r="AW9" s="35" t="s">
        <v>85</v>
      </c>
      <c r="AX9" s="35" t="s">
        <v>86</v>
      </c>
      <c r="AY9" s="35">
        <v>0</v>
      </c>
      <c r="AZ9" s="35">
        <v>0</v>
      </c>
      <c r="BA9" s="35" t="s">
        <v>87</v>
      </c>
      <c r="BB9" s="35" t="s">
        <v>88</v>
      </c>
      <c r="BC9" s="35" t="s">
        <v>89</v>
      </c>
      <c r="BD9" s="35" t="s">
        <v>114</v>
      </c>
      <c r="BE9" s="35" t="s">
        <v>291</v>
      </c>
      <c r="BF9" s="35">
        <v>112.4</v>
      </c>
      <c r="BG9" s="35">
        <v>0</v>
      </c>
      <c r="BH9" s="35" t="s">
        <v>312</v>
      </c>
      <c r="BI9" s="35" t="s">
        <v>312</v>
      </c>
      <c r="BJ9" s="35" t="s">
        <v>312</v>
      </c>
      <c r="BK9" s="35" t="s">
        <v>91</v>
      </c>
      <c r="BL9" s="35" t="s">
        <v>84</v>
      </c>
      <c r="BM9" s="35">
        <v>1</v>
      </c>
      <c r="BN9" s="35" t="s">
        <v>2177</v>
      </c>
      <c r="BO9" s="35" t="s">
        <v>289</v>
      </c>
      <c r="BP9" s="35" t="s">
        <v>315</v>
      </c>
      <c r="BQ9" s="35" t="s">
        <v>117</v>
      </c>
      <c r="BR9" s="35" t="s">
        <v>93</v>
      </c>
      <c r="BS9" s="35" t="s">
        <v>312</v>
      </c>
      <c r="BT9" s="35" t="s">
        <v>312</v>
      </c>
      <c r="BU9" s="36">
        <v>41883</v>
      </c>
      <c r="BV9" s="36">
        <v>42155</v>
      </c>
      <c r="BW9" s="35" t="s">
        <v>94</v>
      </c>
      <c r="BX9" s="35" t="s">
        <v>95</v>
      </c>
      <c r="BY9" s="35" t="s">
        <v>140</v>
      </c>
      <c r="BZ9" s="35">
        <v>1</v>
      </c>
      <c r="CA9" s="35">
        <v>1</v>
      </c>
      <c r="CB9" s="35" t="s">
        <v>303</v>
      </c>
      <c r="CC9" s="35" t="s">
        <v>314</v>
      </c>
      <c r="CD9" s="35">
        <v>0</v>
      </c>
      <c r="CE9" s="35" t="s">
        <v>97</v>
      </c>
      <c r="CF9" s="35">
        <v>0</v>
      </c>
      <c r="CG9" s="35" t="s">
        <v>97</v>
      </c>
      <c r="CH9" s="35">
        <v>1</v>
      </c>
      <c r="CI9" s="35" t="s">
        <v>376</v>
      </c>
      <c r="CJ9" s="35" t="s">
        <v>98</v>
      </c>
      <c r="CK9" s="35">
        <v>64</v>
      </c>
      <c r="CL9" s="35">
        <v>0</v>
      </c>
      <c r="CM9" s="35">
        <v>0</v>
      </c>
      <c r="CN9" s="35" t="s">
        <v>99</v>
      </c>
      <c r="CO9" s="35" t="s">
        <v>97</v>
      </c>
      <c r="CP9" s="35" t="s">
        <v>100</v>
      </c>
      <c r="CQ9" s="35" t="s">
        <v>101</v>
      </c>
      <c r="CR9" s="36">
        <v>45847</v>
      </c>
    </row>
    <row r="10" spans="1:98" s="35" customFormat="1" x14ac:dyDescent="0.35">
      <c r="A10" s="34" t="s">
        <v>293</v>
      </c>
      <c r="B10" s="34" t="s">
        <v>304</v>
      </c>
      <c r="C10" s="35" t="s">
        <v>316</v>
      </c>
      <c r="D10" s="35">
        <v>2019</v>
      </c>
      <c r="E10" s="34" t="s">
        <v>318</v>
      </c>
      <c r="F10" s="34" t="s">
        <v>319</v>
      </c>
      <c r="G10" s="35" t="s">
        <v>78</v>
      </c>
      <c r="H10" s="35">
        <v>1</v>
      </c>
      <c r="I10" s="35" t="s">
        <v>290</v>
      </c>
      <c r="J10" s="35" t="s">
        <v>79</v>
      </c>
      <c r="K10" s="35">
        <v>657</v>
      </c>
      <c r="L10" s="35" t="s">
        <v>129</v>
      </c>
      <c r="M10" s="35" t="s">
        <v>380</v>
      </c>
      <c r="N10" s="35">
        <v>0.01</v>
      </c>
      <c r="O10" s="35">
        <v>0.1</v>
      </c>
      <c r="P10" s="89">
        <f t="shared" si="0"/>
        <v>9.9999999999999992E-2</v>
      </c>
      <c r="Q10" s="35" t="s">
        <v>312</v>
      </c>
      <c r="R10" s="89">
        <f t="shared" si="1"/>
        <v>-0.186</v>
      </c>
      <c r="S10" s="89">
        <f t="shared" si="2"/>
        <v>0.20600000000000002</v>
      </c>
      <c r="T10" s="35">
        <v>1</v>
      </c>
      <c r="U10" s="35">
        <v>258</v>
      </c>
      <c r="V10" s="35">
        <v>20</v>
      </c>
      <c r="W10" s="35">
        <v>0</v>
      </c>
      <c r="X10" s="35">
        <f t="shared" si="3"/>
        <v>238</v>
      </c>
      <c r="Y10" s="89">
        <f t="shared" si="4"/>
        <v>6.4819010625599459E-3</v>
      </c>
      <c r="Z10" s="89">
        <f t="shared" si="5"/>
        <v>6.4819010625599471E-2</v>
      </c>
      <c r="AA10" s="89">
        <f t="shared" si="6"/>
        <v>6.4819010625599459E-3</v>
      </c>
      <c r="AB10" s="35" t="s">
        <v>81</v>
      </c>
      <c r="AC10" s="89">
        <f t="shared" si="7"/>
        <v>8.2826086956521751E-4</v>
      </c>
      <c r="AD10" s="89" cm="1">
        <f t="array" ref="AD10">_xlfn.IFS(
AND(L10="marginal_effect",M10="level"),N10*AN10/BF10,
AND(L10="marginal_effect",M10="sd (Y)"),N10*BH10*AN10/BF10,
AND(L10="marginal_effect",M10="sd (X)"),N10/AQ10*AN10/BF10,
AND(L10="semi_elasticity",M10="level"),N10*AN10,
AND(L10="semi_elasticity",M10="sd (Y)"),N10*AN10*BH10,
AND(L10="semi_elasticity",M10="sd (X)"),N10*AN10/AQ10,
AND(L10="level-log",M10="level"),N10/BF10,
AND(L10="level-log",M10="sd (X)"),N10/BF10/AQ10,
AND(L10="level-log",M10="sd (Y)"),N10/BF10*BH10,
AND(L10="elasticity",M10="level"),N10,
AND(L10="elasticity",M10="sd (X)"),N10/AQ10,
AND(L10="elasticity",M10="sd (Y)"),N10*BH10,
AND(L10="marginal_effect",M10="percent_of_mean"),N10*AN10/BF10/10)</f>
        <v>8.2826086956521751E-4</v>
      </c>
      <c r="AE10" s="49">
        <f t="shared" si="8"/>
        <v>1</v>
      </c>
      <c r="AF10" s="89">
        <f t="shared" si="9"/>
        <v>8.2826086956521751E-3</v>
      </c>
      <c r="AG10" s="89" cm="1">
        <f t="array" ref="AG10">_xlfn.IFS(
AND(L10="marginal_effect",M10="level"),O10*AN10/BF10,
AND(L10="marginal_effect",M10="sd (Y)"),O10*BH10*AN10/BF10,
AND(L10="marginal_effect",M10="sd (X)"),O10/AQ10*AN10/BF10,
AND(L10="semi_elasticity",M10="level"),O10*AN10,
AND(L10="semi_elasticity",M10="sd (Y)"),O10*AN10*BH10,
AND(L10="semi_elasticity",M10="sd (X)"),O10*AN10/AQ10,
AND(L10="level-log",M10="level"),O10/BF10,
AND(L10="level-log",M10="sd (X)"),O10/BF10/AQ10,
AND(L10="level-log",M10="sd (Y)"),O10/BF10*BH10,
AND(L10="elasticity",M10="level"),O10,
AND(L10="elasticity",M10="sd (X)"),O10/AQ10,
AND(L10="elasticity",M10="sd (Y)"),O10*BH10,
AND(L10="marginal_effect",M10="percent_of_mean"),O10*AN10/BF10/10)</f>
        <v>8.2826086956521751E-3</v>
      </c>
      <c r="AH10" s="49">
        <f t="shared" si="10"/>
        <v>1</v>
      </c>
      <c r="AI10" s="89">
        <f t="shared" si="11"/>
        <v>8.2826086956521751E-4</v>
      </c>
      <c r="AJ10" s="49">
        <v>0</v>
      </c>
      <c r="AK10" s="49">
        <f t="shared" si="12"/>
        <v>1</v>
      </c>
      <c r="AL10" s="35" t="s">
        <v>82</v>
      </c>
      <c r="AM10" s="35" t="s">
        <v>296</v>
      </c>
      <c r="AN10" s="35">
        <v>9.9060000000000006</v>
      </c>
      <c r="AO10" s="35">
        <v>0</v>
      </c>
      <c r="AP10" s="35">
        <f t="shared" si="13"/>
        <v>99.06</v>
      </c>
      <c r="AQ10" s="35">
        <v>49.79</v>
      </c>
      <c r="AR10" s="35">
        <v>23.55</v>
      </c>
      <c r="AS10" s="35">
        <v>342.58</v>
      </c>
      <c r="AT10" s="35" t="s">
        <v>83</v>
      </c>
      <c r="AV10" s="35" t="s">
        <v>133</v>
      </c>
      <c r="AW10" s="35" t="s">
        <v>85</v>
      </c>
      <c r="AX10" s="35" t="s">
        <v>86</v>
      </c>
      <c r="AY10" s="35">
        <v>0</v>
      </c>
      <c r="AZ10" s="35">
        <v>0</v>
      </c>
      <c r="BA10" s="35" t="s">
        <v>87</v>
      </c>
      <c r="BB10" s="35" t="s">
        <v>88</v>
      </c>
      <c r="BC10" s="35" t="s">
        <v>89</v>
      </c>
      <c r="BD10" s="35" t="s">
        <v>114</v>
      </c>
      <c r="BE10" s="35" t="s">
        <v>292</v>
      </c>
      <c r="BF10" s="35">
        <v>119.6</v>
      </c>
      <c r="BG10" s="35">
        <v>0</v>
      </c>
      <c r="BH10" s="35" t="s">
        <v>312</v>
      </c>
      <c r="BI10" s="35" t="s">
        <v>312</v>
      </c>
      <c r="BJ10" s="35" t="s">
        <v>312</v>
      </c>
      <c r="BK10" s="35" t="s">
        <v>91</v>
      </c>
      <c r="BL10" s="35" t="s">
        <v>137</v>
      </c>
      <c r="BM10" s="35">
        <v>1</v>
      </c>
      <c r="BN10" s="35" t="s">
        <v>2177</v>
      </c>
      <c r="BO10" s="35" t="s">
        <v>289</v>
      </c>
      <c r="BP10" s="35" t="s">
        <v>315</v>
      </c>
      <c r="BQ10" s="35" t="s">
        <v>117</v>
      </c>
      <c r="BR10" s="35" t="s">
        <v>93</v>
      </c>
      <c r="BS10" s="35" t="s">
        <v>312</v>
      </c>
      <c r="BT10" s="35" t="s">
        <v>312</v>
      </c>
      <c r="BU10" s="36">
        <v>42005</v>
      </c>
      <c r="BV10" s="36">
        <v>42155</v>
      </c>
      <c r="BW10" s="35" t="s">
        <v>94</v>
      </c>
      <c r="BX10" s="35" t="s">
        <v>95</v>
      </c>
      <c r="BY10" s="35" t="s">
        <v>96</v>
      </c>
      <c r="BZ10" s="35">
        <v>0</v>
      </c>
      <c r="CA10" s="35">
        <v>0</v>
      </c>
      <c r="CB10" s="35" t="s">
        <v>97</v>
      </c>
      <c r="CC10" s="35" t="s">
        <v>313</v>
      </c>
      <c r="CD10" s="35">
        <v>0</v>
      </c>
      <c r="CE10" s="35" t="s">
        <v>97</v>
      </c>
      <c r="CF10" s="35">
        <v>0</v>
      </c>
      <c r="CG10" s="35" t="s">
        <v>97</v>
      </c>
      <c r="CH10" s="35">
        <v>1</v>
      </c>
      <c r="CI10" s="35" t="s">
        <v>317</v>
      </c>
      <c r="CJ10" s="35" t="s">
        <v>98</v>
      </c>
      <c r="CK10" s="35">
        <v>64</v>
      </c>
      <c r="CL10" s="35">
        <v>0</v>
      </c>
      <c r="CM10" s="35">
        <v>0</v>
      </c>
      <c r="CN10" s="35" t="s">
        <v>99</v>
      </c>
      <c r="CO10" s="35" t="s">
        <v>97</v>
      </c>
      <c r="CP10" s="35" t="s">
        <v>100</v>
      </c>
      <c r="CQ10" s="35" t="s">
        <v>101</v>
      </c>
      <c r="CR10" s="36">
        <v>45847</v>
      </c>
    </row>
    <row r="11" spans="1:98" s="35" customFormat="1" x14ac:dyDescent="0.35">
      <c r="A11" s="34" t="s">
        <v>293</v>
      </c>
      <c r="B11" s="34" t="s">
        <v>305</v>
      </c>
      <c r="C11" s="35" t="s">
        <v>316</v>
      </c>
      <c r="D11" s="35">
        <v>2019</v>
      </c>
      <c r="E11" s="34" t="s">
        <v>318</v>
      </c>
      <c r="F11" s="34" t="s">
        <v>319</v>
      </c>
      <c r="G11" s="35" t="s">
        <v>78</v>
      </c>
      <c r="H11" s="35">
        <v>1</v>
      </c>
      <c r="I11" s="35" t="s">
        <v>290</v>
      </c>
      <c r="J11" s="35" t="s">
        <v>79</v>
      </c>
      <c r="K11" s="35">
        <v>657</v>
      </c>
      <c r="L11" s="35" t="s">
        <v>129</v>
      </c>
      <c r="M11" s="35" t="s">
        <v>380</v>
      </c>
      <c r="N11" s="35">
        <v>0.12</v>
      </c>
      <c r="O11" s="35">
        <v>0.11</v>
      </c>
      <c r="P11" s="89">
        <f t="shared" si="0"/>
        <v>1.0909090909090908</v>
      </c>
      <c r="Q11" s="35" t="s">
        <v>312</v>
      </c>
      <c r="R11" s="89">
        <f t="shared" si="1"/>
        <v>-9.5599999999999991E-2</v>
      </c>
      <c r="S11" s="89">
        <f t="shared" si="2"/>
        <v>0.33560000000000001</v>
      </c>
      <c r="T11" s="35">
        <v>1</v>
      </c>
      <c r="U11" s="35">
        <v>258</v>
      </c>
      <c r="V11" s="35">
        <v>20</v>
      </c>
      <c r="W11" s="35">
        <v>0</v>
      </c>
      <c r="X11" s="35">
        <f t="shared" si="3"/>
        <v>238</v>
      </c>
      <c r="Y11" s="89">
        <f t="shared" si="4"/>
        <v>7.0536998644220611E-2</v>
      </c>
      <c r="Z11" s="89">
        <f t="shared" si="5"/>
        <v>6.4658915423868896E-2</v>
      </c>
      <c r="AA11" s="89">
        <f t="shared" si="6"/>
        <v>7.0536998644220611E-2</v>
      </c>
      <c r="AB11" s="35" t="s">
        <v>81</v>
      </c>
      <c r="AC11" s="89">
        <f t="shared" si="7"/>
        <v>6.1173913043478271E-3</v>
      </c>
      <c r="AD11" s="89" cm="1">
        <f t="array" ref="AD11">_xlfn.IFS(
AND(L11="marginal_effect",M11="level"),N11*AN11/BF11,
AND(L11="marginal_effect",M11="sd (Y)"),N11*BH11*AN11/BF11,
AND(L11="marginal_effect",M11="sd (X)"),N11/AQ11*AN11/BF11,
AND(L11="semi_elasticity",M11="level"),N11*AN11,
AND(L11="semi_elasticity",M11="sd (Y)"),N11*AN11*BH11,
AND(L11="semi_elasticity",M11="sd (X)"),N11*AN11/AQ11,
AND(L11="level-log",M11="level"),N11/BF11,
AND(L11="level-log",M11="sd (X)"),N11/BF11/AQ11,
AND(L11="level-log",M11="sd (Y)"),N11/BF11*BH11,
AND(L11="elasticity",M11="level"),N11,
AND(L11="elasticity",M11="sd (X)"),N11/AQ11,
AND(L11="elasticity",M11="sd (Y)"),N11*BH11,
AND(L11="marginal_effect",M11="percent_of_mean"),N11*AN11/BF11/10)</f>
        <v>6.1173913043478271E-3</v>
      </c>
      <c r="AE11" s="49">
        <f t="shared" si="8"/>
        <v>1</v>
      </c>
      <c r="AF11" s="89">
        <f t="shared" si="9"/>
        <v>5.6076086956521748E-3</v>
      </c>
      <c r="AG11" s="89" cm="1">
        <f t="array" ref="AG11">_xlfn.IFS(
AND(L11="marginal_effect",M11="level"),O11*AN11/BF11,
AND(L11="marginal_effect",M11="sd (Y)"),O11*BH11*AN11/BF11,
AND(L11="marginal_effect",M11="sd (X)"),O11/AQ11*AN11/BF11,
AND(L11="semi_elasticity",M11="level"),O11*AN11,
AND(L11="semi_elasticity",M11="sd (Y)"),O11*AN11*BH11,
AND(L11="semi_elasticity",M11="sd (X)"),O11*AN11/AQ11,
AND(L11="level-log",M11="level"),O11/BF11,
AND(L11="level-log",M11="sd (X)"),O11/BF11/AQ11,
AND(L11="level-log",M11="sd (Y)"),O11/BF11*BH11,
AND(L11="elasticity",M11="level"),O11,
AND(L11="elasticity",M11="sd (X)"),O11/AQ11,
AND(L11="elasticity",M11="sd (Y)"),O11*BH11,
AND(L11="marginal_effect",M11="percent_of_mean"),O11*AN11/BF11/10)</f>
        <v>5.6076086956521748E-3</v>
      </c>
      <c r="AH11" s="49">
        <f t="shared" si="10"/>
        <v>1</v>
      </c>
      <c r="AI11" s="89">
        <f t="shared" si="11"/>
        <v>6.1173913043478271E-3</v>
      </c>
      <c r="AJ11" s="49">
        <v>0</v>
      </c>
      <c r="AK11" s="49">
        <f t="shared" si="12"/>
        <v>1</v>
      </c>
      <c r="AL11" s="35" t="s">
        <v>159</v>
      </c>
      <c r="AM11" s="35" t="s">
        <v>296</v>
      </c>
      <c r="AN11" s="35">
        <v>6.0970000000000004</v>
      </c>
      <c r="AO11" s="35">
        <v>0</v>
      </c>
      <c r="AP11" s="35">
        <f t="shared" si="13"/>
        <v>60.970000000000006</v>
      </c>
      <c r="AQ11" s="35">
        <v>40.840000000000003</v>
      </c>
      <c r="AR11" s="35">
        <v>8.33</v>
      </c>
      <c r="AS11" s="35">
        <v>293.10000000000002</v>
      </c>
      <c r="AT11" s="35" t="s">
        <v>83</v>
      </c>
      <c r="AV11" s="35" t="s">
        <v>133</v>
      </c>
      <c r="AW11" s="35" t="s">
        <v>85</v>
      </c>
      <c r="AX11" s="35" t="s">
        <v>86</v>
      </c>
      <c r="AY11" s="35">
        <v>0</v>
      </c>
      <c r="AZ11" s="35">
        <v>0</v>
      </c>
      <c r="BA11" s="35" t="s">
        <v>87</v>
      </c>
      <c r="BB11" s="35" t="s">
        <v>88</v>
      </c>
      <c r="BC11" s="35" t="s">
        <v>89</v>
      </c>
      <c r="BD11" s="35" t="s">
        <v>114</v>
      </c>
      <c r="BE11" s="35" t="s">
        <v>292</v>
      </c>
      <c r="BF11" s="35">
        <v>119.6</v>
      </c>
      <c r="BG11" s="35">
        <v>0</v>
      </c>
      <c r="BH11" s="35" t="s">
        <v>312</v>
      </c>
      <c r="BI11" s="35" t="s">
        <v>312</v>
      </c>
      <c r="BJ11" s="35" t="s">
        <v>312</v>
      </c>
      <c r="BK11" s="35" t="s">
        <v>91</v>
      </c>
      <c r="BL11" s="35" t="s">
        <v>137</v>
      </c>
      <c r="BM11" s="35">
        <v>1</v>
      </c>
      <c r="BN11" s="35" t="s">
        <v>2177</v>
      </c>
      <c r="BO11" s="35" t="s">
        <v>289</v>
      </c>
      <c r="BP11" s="35" t="s">
        <v>315</v>
      </c>
      <c r="BQ11" s="35" t="s">
        <v>117</v>
      </c>
      <c r="BR11" s="35" t="s">
        <v>93</v>
      </c>
      <c r="BS11" s="35" t="s">
        <v>312</v>
      </c>
      <c r="BT11" s="35" t="s">
        <v>312</v>
      </c>
      <c r="BU11" s="36">
        <v>42005</v>
      </c>
      <c r="BV11" s="36">
        <v>42155</v>
      </c>
      <c r="BW11" s="35" t="s">
        <v>94</v>
      </c>
      <c r="BX11" s="35" t="s">
        <v>95</v>
      </c>
      <c r="BY11" s="35" t="s">
        <v>96</v>
      </c>
      <c r="BZ11" s="35">
        <v>0</v>
      </c>
      <c r="CA11" s="35">
        <v>0</v>
      </c>
      <c r="CB11" s="35" t="s">
        <v>97</v>
      </c>
      <c r="CC11" s="35" t="s">
        <v>313</v>
      </c>
      <c r="CD11" s="35">
        <v>0</v>
      </c>
      <c r="CE11" s="35" t="s">
        <v>97</v>
      </c>
      <c r="CF11" s="35">
        <v>0</v>
      </c>
      <c r="CG11" s="35" t="s">
        <v>97</v>
      </c>
      <c r="CH11" s="35">
        <v>1</v>
      </c>
      <c r="CI11" s="35" t="s">
        <v>317</v>
      </c>
      <c r="CJ11" s="35" t="s">
        <v>98</v>
      </c>
      <c r="CK11" s="35">
        <v>64</v>
      </c>
      <c r="CL11" s="35">
        <v>0</v>
      </c>
      <c r="CM11" s="35">
        <v>0</v>
      </c>
      <c r="CN11" s="35" t="s">
        <v>99</v>
      </c>
      <c r="CO11" s="35" t="s">
        <v>97</v>
      </c>
      <c r="CP11" s="35" t="s">
        <v>100</v>
      </c>
      <c r="CQ11" s="35" t="s">
        <v>101</v>
      </c>
      <c r="CR11" s="36">
        <v>45847</v>
      </c>
    </row>
    <row r="12" spans="1:98" s="35" customFormat="1" x14ac:dyDescent="0.35">
      <c r="A12" s="34" t="s">
        <v>293</v>
      </c>
      <c r="B12" s="34" t="s">
        <v>306</v>
      </c>
      <c r="C12" s="35" t="s">
        <v>316</v>
      </c>
      <c r="D12" s="35">
        <v>2019</v>
      </c>
      <c r="E12" s="34" t="s">
        <v>318</v>
      </c>
      <c r="F12" s="34" t="s">
        <v>319</v>
      </c>
      <c r="G12" s="35" t="s">
        <v>78</v>
      </c>
      <c r="H12" s="35">
        <v>1</v>
      </c>
      <c r="I12" s="35" t="s">
        <v>290</v>
      </c>
      <c r="J12" s="35" t="s">
        <v>79</v>
      </c>
      <c r="K12" s="35">
        <v>657</v>
      </c>
      <c r="L12" s="35" t="s">
        <v>129</v>
      </c>
      <c r="M12" s="35" t="s">
        <v>380</v>
      </c>
      <c r="N12" s="35">
        <v>-0.04</v>
      </c>
      <c r="O12" s="35">
        <v>0.12</v>
      </c>
      <c r="P12" s="89">
        <f t="shared" si="0"/>
        <v>-0.33333333333333337</v>
      </c>
      <c r="Q12" s="35" t="s">
        <v>312</v>
      </c>
      <c r="R12" s="89">
        <f t="shared" si="1"/>
        <v>-0.2752</v>
      </c>
      <c r="S12" s="89">
        <f t="shared" si="2"/>
        <v>0.19519999999999998</v>
      </c>
      <c r="T12" s="35">
        <v>1</v>
      </c>
      <c r="U12" s="35">
        <v>258</v>
      </c>
      <c r="V12" s="35">
        <v>20</v>
      </c>
      <c r="W12" s="35">
        <v>0</v>
      </c>
      <c r="X12" s="35">
        <f t="shared" si="3"/>
        <v>238</v>
      </c>
      <c r="Y12" s="89">
        <f t="shared" si="4"/>
        <v>-2.1601748948395161E-2</v>
      </c>
      <c r="Z12" s="89">
        <f t="shared" si="5"/>
        <v>6.4805246845185474E-2</v>
      </c>
      <c r="AA12" s="89">
        <f t="shared" si="6"/>
        <v>-2.1601748948395161E-2</v>
      </c>
      <c r="AB12" s="35" t="s">
        <v>81</v>
      </c>
      <c r="AC12" s="89">
        <f t="shared" si="7"/>
        <v>-3.31304347826087E-3</v>
      </c>
      <c r="AD12" s="89" cm="1">
        <f t="array" ref="AD12">_xlfn.IFS(
AND(L12="marginal_effect",M12="level"),N12*AN12/BF12,
AND(L12="marginal_effect",M12="sd (Y)"),N12*BH12*AN12/BF12,
AND(L12="marginal_effect",M12="sd (X)"),N12/AQ12*AN12/BF12,
AND(L12="semi_elasticity",M12="level"),N12*AN12,
AND(L12="semi_elasticity",M12="sd (Y)"),N12*AN12*BH12,
AND(L12="semi_elasticity",M12="sd (X)"),N12*AN12/AQ12,
AND(L12="level-log",M12="level"),N12/BF12,
AND(L12="level-log",M12="sd (X)"),N12/BF12/AQ12,
AND(L12="level-log",M12="sd (Y)"),N12/BF12*BH12,
AND(L12="elasticity",M12="level"),N12,
AND(L12="elasticity",M12="sd (X)"),N12/AQ12,
AND(L12="elasticity",M12="sd (Y)"),N12*BH12,
AND(L12="marginal_effect",M12="percent_of_mean"),N12*AN12/BF12/10)</f>
        <v>-3.31304347826087E-3</v>
      </c>
      <c r="AE12" s="49">
        <f t="shared" si="8"/>
        <v>1</v>
      </c>
      <c r="AF12" s="89">
        <f t="shared" si="9"/>
        <v>9.9391304347826084E-3</v>
      </c>
      <c r="AG12" s="89" cm="1">
        <f t="array" ref="AG12">_xlfn.IFS(
AND(L12="marginal_effect",M12="level"),O12*AN12/BF12,
AND(L12="marginal_effect",M12="sd (Y)"),O12*BH12*AN12/BF12,
AND(L12="marginal_effect",M12="sd (X)"),O12/AQ12*AN12/BF12,
AND(L12="semi_elasticity",M12="level"),O12*AN12,
AND(L12="semi_elasticity",M12="sd (Y)"),O12*AN12*BH12,
AND(L12="semi_elasticity",M12="sd (X)"),O12*AN12/AQ12,
AND(L12="level-log",M12="level"),O12/BF12,
AND(L12="level-log",M12="sd (X)"),O12/BF12/AQ12,
AND(L12="level-log",M12="sd (Y)"),O12/BF12*BH12,
AND(L12="elasticity",M12="level"),O12,
AND(L12="elasticity",M12="sd (X)"),O12/AQ12,
AND(L12="elasticity",M12="sd (Y)"),O12*BH12,
AND(L12="marginal_effect",M12="percent_of_mean"),O12*AN12/BF12/10)</f>
        <v>9.9391304347826084E-3</v>
      </c>
      <c r="AH12" s="49">
        <f t="shared" si="10"/>
        <v>1</v>
      </c>
      <c r="AI12" s="89">
        <f t="shared" si="11"/>
        <v>-3.31304347826087E-3</v>
      </c>
      <c r="AJ12" s="49">
        <v>0</v>
      </c>
      <c r="AK12" s="49">
        <f t="shared" si="12"/>
        <v>1</v>
      </c>
      <c r="AL12" s="35" t="s">
        <v>82</v>
      </c>
      <c r="AM12" s="35" t="s">
        <v>296</v>
      </c>
      <c r="AN12" s="35">
        <v>9.9060000000000006</v>
      </c>
      <c r="AO12" s="35">
        <v>0</v>
      </c>
      <c r="AP12" s="35">
        <f t="shared" si="13"/>
        <v>99.06</v>
      </c>
      <c r="AQ12" s="35">
        <v>49.79</v>
      </c>
      <c r="AR12" s="35">
        <v>23.55</v>
      </c>
      <c r="AS12" s="35">
        <v>342.58</v>
      </c>
      <c r="AT12" s="35" t="s">
        <v>83</v>
      </c>
      <c r="AV12" s="35" t="s">
        <v>133</v>
      </c>
      <c r="AW12" s="35" t="s">
        <v>85</v>
      </c>
      <c r="AX12" s="35" t="s">
        <v>86</v>
      </c>
      <c r="AY12" s="35">
        <v>0</v>
      </c>
      <c r="AZ12" s="35">
        <v>0</v>
      </c>
      <c r="BA12" s="35" t="s">
        <v>87</v>
      </c>
      <c r="BB12" s="35" t="s">
        <v>88</v>
      </c>
      <c r="BC12" s="35" t="s">
        <v>89</v>
      </c>
      <c r="BD12" s="35" t="s">
        <v>114</v>
      </c>
      <c r="BE12" s="35" t="s">
        <v>292</v>
      </c>
      <c r="BF12" s="35">
        <v>119.6</v>
      </c>
      <c r="BG12" s="35">
        <v>0</v>
      </c>
      <c r="BH12" s="35" t="s">
        <v>312</v>
      </c>
      <c r="BI12" s="35" t="s">
        <v>312</v>
      </c>
      <c r="BJ12" s="35" t="s">
        <v>312</v>
      </c>
      <c r="BK12" s="35" t="s">
        <v>91</v>
      </c>
      <c r="BL12" s="35" t="s">
        <v>137</v>
      </c>
      <c r="BM12" s="35">
        <v>1</v>
      </c>
      <c r="BN12" s="35" t="s">
        <v>2177</v>
      </c>
      <c r="BO12" s="35" t="s">
        <v>289</v>
      </c>
      <c r="BP12" s="35" t="s">
        <v>315</v>
      </c>
      <c r="BQ12" s="35" t="s">
        <v>117</v>
      </c>
      <c r="BR12" s="35" t="s">
        <v>93</v>
      </c>
      <c r="BS12" s="35" t="s">
        <v>312</v>
      </c>
      <c r="BT12" s="35" t="s">
        <v>312</v>
      </c>
      <c r="BU12" s="36">
        <v>42005</v>
      </c>
      <c r="BV12" s="36">
        <v>42155</v>
      </c>
      <c r="BW12" s="35" t="s">
        <v>94</v>
      </c>
      <c r="BX12" s="35" t="s">
        <v>95</v>
      </c>
      <c r="BY12" s="35" t="s">
        <v>140</v>
      </c>
      <c r="BZ12" s="35">
        <v>1</v>
      </c>
      <c r="CA12" s="35">
        <v>1</v>
      </c>
      <c r="CB12" s="35" t="s">
        <v>303</v>
      </c>
      <c r="CC12" s="35" t="s">
        <v>313</v>
      </c>
      <c r="CD12" s="35">
        <v>0</v>
      </c>
      <c r="CE12" s="35" t="s">
        <v>97</v>
      </c>
      <c r="CF12" s="35">
        <v>0</v>
      </c>
      <c r="CG12" s="35" t="s">
        <v>97</v>
      </c>
      <c r="CH12" s="35">
        <v>1</v>
      </c>
      <c r="CI12" s="35" t="s">
        <v>317</v>
      </c>
      <c r="CJ12" s="35" t="s">
        <v>98</v>
      </c>
      <c r="CK12" s="35">
        <v>64</v>
      </c>
      <c r="CL12" s="35">
        <v>0</v>
      </c>
      <c r="CM12" s="35">
        <v>0</v>
      </c>
      <c r="CN12" s="35" t="s">
        <v>99</v>
      </c>
      <c r="CO12" s="35" t="s">
        <v>97</v>
      </c>
      <c r="CP12" s="35" t="s">
        <v>100</v>
      </c>
      <c r="CQ12" s="35" t="s">
        <v>101</v>
      </c>
      <c r="CR12" s="36">
        <v>45847</v>
      </c>
    </row>
    <row r="13" spans="1:98" s="35" customFormat="1" x14ac:dyDescent="0.35">
      <c r="A13" s="34" t="s">
        <v>293</v>
      </c>
      <c r="B13" s="34" t="s">
        <v>307</v>
      </c>
      <c r="C13" s="35" t="s">
        <v>316</v>
      </c>
      <c r="D13" s="35">
        <v>2019</v>
      </c>
      <c r="E13" s="34" t="s">
        <v>318</v>
      </c>
      <c r="F13" s="34" t="s">
        <v>319</v>
      </c>
      <c r="G13" s="35" t="s">
        <v>78</v>
      </c>
      <c r="H13" s="35">
        <v>1</v>
      </c>
      <c r="I13" s="35" t="s">
        <v>290</v>
      </c>
      <c r="J13" s="35" t="s">
        <v>79</v>
      </c>
      <c r="K13" s="35">
        <v>657</v>
      </c>
      <c r="L13" s="35" t="s">
        <v>129</v>
      </c>
      <c r="M13" s="35" t="s">
        <v>380</v>
      </c>
      <c r="N13" s="35">
        <v>0.17</v>
      </c>
      <c r="O13" s="35">
        <v>0.11</v>
      </c>
      <c r="P13" s="89">
        <f t="shared" si="0"/>
        <v>1.5454545454545456</v>
      </c>
      <c r="Q13" s="35" t="s">
        <v>312</v>
      </c>
      <c r="R13" s="89">
        <f t="shared" si="1"/>
        <v>-4.5599999999999974E-2</v>
      </c>
      <c r="S13" s="89">
        <f t="shared" si="2"/>
        <v>0.3856</v>
      </c>
      <c r="T13" s="35">
        <v>1</v>
      </c>
      <c r="U13" s="35">
        <v>258</v>
      </c>
      <c r="V13" s="35">
        <v>20</v>
      </c>
      <c r="W13" s="35">
        <v>0</v>
      </c>
      <c r="X13" s="35">
        <f t="shared" si="3"/>
        <v>238</v>
      </c>
      <c r="Y13" s="89">
        <f t="shared" si="4"/>
        <v>9.9678032239035361E-2</v>
      </c>
      <c r="Z13" s="89">
        <f t="shared" si="5"/>
        <v>6.4497550272316989E-2</v>
      </c>
      <c r="AA13" s="89">
        <f t="shared" si="6"/>
        <v>9.9678032239035361E-2</v>
      </c>
      <c r="AB13" s="35" t="s">
        <v>81</v>
      </c>
      <c r="AC13" s="89">
        <f t="shared" si="7"/>
        <v>8.6663043478260888E-3</v>
      </c>
      <c r="AD13" s="89" cm="1">
        <f t="array" ref="AD13">_xlfn.IFS(
AND(L13="marginal_effect",M13="level"),N13*AN13/BF13,
AND(L13="marginal_effect",M13="sd (Y)"),N13*BH13*AN13/BF13,
AND(L13="marginal_effect",M13="sd (X)"),N13/AQ13*AN13/BF13,
AND(L13="semi_elasticity",M13="level"),N13*AN13,
AND(L13="semi_elasticity",M13="sd (Y)"),N13*AN13*BH13,
AND(L13="semi_elasticity",M13="sd (X)"),N13*AN13/AQ13,
AND(L13="level-log",M13="level"),N13/BF13,
AND(L13="level-log",M13="sd (X)"),N13/BF13/AQ13,
AND(L13="level-log",M13="sd (Y)"),N13/BF13*BH13,
AND(L13="elasticity",M13="level"),N13,
AND(L13="elasticity",M13="sd (X)"),N13/AQ13,
AND(L13="elasticity",M13="sd (Y)"),N13*BH13,
AND(L13="marginal_effect",M13="percent_of_mean"),N13*AN13/BF13/10)</f>
        <v>8.6663043478260888E-3</v>
      </c>
      <c r="AE13" s="49">
        <f t="shared" si="8"/>
        <v>1</v>
      </c>
      <c r="AF13" s="89">
        <f t="shared" si="9"/>
        <v>5.6076086956521748E-3</v>
      </c>
      <c r="AG13" s="89" cm="1">
        <f t="array" ref="AG13">_xlfn.IFS(
AND(L13="marginal_effect",M13="level"),O13*AN13/BF13,
AND(L13="marginal_effect",M13="sd (Y)"),O13*BH13*AN13/BF13,
AND(L13="marginal_effect",M13="sd (X)"),O13/AQ13*AN13/BF13,
AND(L13="semi_elasticity",M13="level"),O13*AN13,
AND(L13="semi_elasticity",M13="sd (Y)"),O13*AN13*BH13,
AND(L13="semi_elasticity",M13="sd (X)"),O13*AN13/AQ13,
AND(L13="level-log",M13="level"),O13/BF13,
AND(L13="level-log",M13="sd (X)"),O13/BF13/AQ13,
AND(L13="level-log",M13="sd (Y)"),O13/BF13*BH13,
AND(L13="elasticity",M13="level"),O13,
AND(L13="elasticity",M13="sd (X)"),O13/AQ13,
AND(L13="elasticity",M13="sd (Y)"),O13*BH13,
AND(L13="marginal_effect",M13="percent_of_mean"),O13*AN13/BF13/10)</f>
        <v>5.6076086956521748E-3</v>
      </c>
      <c r="AH13" s="49">
        <f t="shared" si="10"/>
        <v>1</v>
      </c>
      <c r="AI13" s="89">
        <f t="shared" si="11"/>
        <v>8.6663043478260888E-3</v>
      </c>
      <c r="AJ13" s="49">
        <v>0</v>
      </c>
      <c r="AK13" s="49">
        <f t="shared" si="12"/>
        <v>1</v>
      </c>
      <c r="AL13" s="35" t="s">
        <v>159</v>
      </c>
      <c r="AM13" s="35" t="s">
        <v>296</v>
      </c>
      <c r="AN13" s="35">
        <v>6.0970000000000004</v>
      </c>
      <c r="AO13" s="35">
        <v>0</v>
      </c>
      <c r="AP13" s="35">
        <f t="shared" si="13"/>
        <v>60.970000000000006</v>
      </c>
      <c r="AQ13" s="35">
        <v>40.840000000000003</v>
      </c>
      <c r="AR13" s="35">
        <v>8.33</v>
      </c>
      <c r="AS13" s="35">
        <v>293.10000000000002</v>
      </c>
      <c r="AT13" s="35" t="s">
        <v>83</v>
      </c>
      <c r="AV13" s="35" t="s">
        <v>133</v>
      </c>
      <c r="AW13" s="35" t="s">
        <v>85</v>
      </c>
      <c r="AX13" s="35" t="s">
        <v>86</v>
      </c>
      <c r="AY13" s="35">
        <v>0</v>
      </c>
      <c r="AZ13" s="35">
        <v>0</v>
      </c>
      <c r="BA13" s="35" t="s">
        <v>87</v>
      </c>
      <c r="BB13" s="35" t="s">
        <v>88</v>
      </c>
      <c r="BC13" s="35" t="s">
        <v>89</v>
      </c>
      <c r="BD13" s="35" t="s">
        <v>114</v>
      </c>
      <c r="BE13" s="35" t="s">
        <v>292</v>
      </c>
      <c r="BF13" s="35">
        <v>119.6</v>
      </c>
      <c r="BG13" s="35">
        <v>0</v>
      </c>
      <c r="BH13" s="35" t="s">
        <v>312</v>
      </c>
      <c r="BI13" s="35" t="s">
        <v>312</v>
      </c>
      <c r="BJ13" s="35" t="s">
        <v>312</v>
      </c>
      <c r="BK13" s="35" t="s">
        <v>91</v>
      </c>
      <c r="BL13" s="35" t="s">
        <v>137</v>
      </c>
      <c r="BM13" s="35">
        <v>1</v>
      </c>
      <c r="BN13" s="35" t="s">
        <v>2177</v>
      </c>
      <c r="BO13" s="35" t="s">
        <v>289</v>
      </c>
      <c r="BP13" s="35" t="s">
        <v>315</v>
      </c>
      <c r="BQ13" s="35" t="s">
        <v>117</v>
      </c>
      <c r="BR13" s="35" t="s">
        <v>93</v>
      </c>
      <c r="BS13" s="35" t="s">
        <v>312</v>
      </c>
      <c r="BT13" s="35" t="s">
        <v>312</v>
      </c>
      <c r="BU13" s="36">
        <v>42005</v>
      </c>
      <c r="BV13" s="36">
        <v>42155</v>
      </c>
      <c r="BW13" s="35" t="s">
        <v>94</v>
      </c>
      <c r="BX13" s="35" t="s">
        <v>95</v>
      </c>
      <c r="BY13" s="35" t="s">
        <v>140</v>
      </c>
      <c r="BZ13" s="35">
        <v>1</v>
      </c>
      <c r="CA13" s="35">
        <v>1</v>
      </c>
      <c r="CB13" s="35" t="s">
        <v>303</v>
      </c>
      <c r="CC13" s="35" t="s">
        <v>313</v>
      </c>
      <c r="CD13" s="35">
        <v>0</v>
      </c>
      <c r="CE13" s="35" t="s">
        <v>97</v>
      </c>
      <c r="CF13" s="35">
        <v>0</v>
      </c>
      <c r="CG13" s="35" t="s">
        <v>97</v>
      </c>
      <c r="CH13" s="35">
        <v>1</v>
      </c>
      <c r="CI13" s="35" t="s">
        <v>317</v>
      </c>
      <c r="CJ13" s="35" t="s">
        <v>98</v>
      </c>
      <c r="CK13" s="35">
        <v>64</v>
      </c>
      <c r="CL13" s="35">
        <v>0</v>
      </c>
      <c r="CM13" s="35">
        <v>0</v>
      </c>
      <c r="CN13" s="35" t="s">
        <v>99</v>
      </c>
      <c r="CO13" s="35" t="s">
        <v>97</v>
      </c>
      <c r="CP13" s="35" t="s">
        <v>100</v>
      </c>
      <c r="CQ13" s="35" t="s">
        <v>101</v>
      </c>
      <c r="CR13" s="36">
        <v>45847</v>
      </c>
    </row>
    <row r="14" spans="1:98" s="35" customFormat="1" x14ac:dyDescent="0.35">
      <c r="A14" s="34" t="s">
        <v>293</v>
      </c>
      <c r="B14" s="34" t="s">
        <v>308</v>
      </c>
      <c r="C14" s="35" t="s">
        <v>316</v>
      </c>
      <c r="D14" s="35">
        <v>2019</v>
      </c>
      <c r="E14" s="34" t="s">
        <v>318</v>
      </c>
      <c r="F14" s="34" t="s">
        <v>319</v>
      </c>
      <c r="G14" s="35" t="s">
        <v>78</v>
      </c>
      <c r="H14" s="35">
        <v>1</v>
      </c>
      <c r="I14" s="35" t="s">
        <v>290</v>
      </c>
      <c r="J14" s="35" t="s">
        <v>79</v>
      </c>
      <c r="K14" s="35">
        <v>657</v>
      </c>
      <c r="L14" s="35" t="s">
        <v>129</v>
      </c>
      <c r="M14" s="35" t="s">
        <v>380</v>
      </c>
      <c r="N14" s="35">
        <v>-0.04</v>
      </c>
      <c r="O14" s="35">
        <v>0.11</v>
      </c>
      <c r="P14" s="89">
        <f t="shared" si="0"/>
        <v>-0.36363636363636365</v>
      </c>
      <c r="Q14" s="35" t="s">
        <v>312</v>
      </c>
      <c r="R14" s="89">
        <f t="shared" si="1"/>
        <v>-0.25559999999999999</v>
      </c>
      <c r="S14" s="89">
        <f t="shared" si="2"/>
        <v>0.17559999999999998</v>
      </c>
      <c r="T14" s="35">
        <v>1</v>
      </c>
      <c r="U14" s="35">
        <v>2085</v>
      </c>
      <c r="V14" s="35">
        <v>65</v>
      </c>
      <c r="W14" s="35">
        <v>0</v>
      </c>
      <c r="X14" s="35">
        <f t="shared" si="3"/>
        <v>2020</v>
      </c>
      <c r="Y14" s="89">
        <f t="shared" si="4"/>
        <v>-8.0905380964238494E-3</v>
      </c>
      <c r="Z14" s="89">
        <f t="shared" si="5"/>
        <v>2.2248979765165586E-2</v>
      </c>
      <c r="AA14" s="89">
        <f t="shared" si="6"/>
        <v>-8.0905380964238494E-3</v>
      </c>
      <c r="AB14" s="35" t="s">
        <v>81</v>
      </c>
      <c r="AC14" s="89">
        <f t="shared" si="7"/>
        <v>-3.31304347826087E-3</v>
      </c>
      <c r="AD14" s="89" cm="1">
        <f t="array" ref="AD14">_xlfn.IFS(
AND(L14="marginal_effect",M14="level"),N14*AN14/BF14,
AND(L14="marginal_effect",M14="sd (Y)"),N14*BH14*AN14/BF14,
AND(L14="marginal_effect",M14="sd (X)"),N14/AQ14*AN14/BF14,
AND(L14="semi_elasticity",M14="level"),N14*AN14,
AND(L14="semi_elasticity",M14="sd (Y)"),N14*AN14*BH14,
AND(L14="semi_elasticity",M14="sd (X)"),N14*AN14/AQ14,
AND(L14="level-log",M14="level"),N14/BF14,
AND(L14="level-log",M14="sd (X)"),N14/BF14/AQ14,
AND(L14="level-log",M14="sd (Y)"),N14/BF14*BH14,
AND(L14="elasticity",M14="level"),N14,
AND(L14="elasticity",M14="sd (X)"),N14/AQ14,
AND(L14="elasticity",M14="sd (Y)"),N14*BH14,
AND(L14="marginal_effect",M14="percent_of_mean"),N14*AN14/BF14/10)</f>
        <v>-3.31304347826087E-3</v>
      </c>
      <c r="AE14" s="49">
        <f t="shared" si="8"/>
        <v>1</v>
      </c>
      <c r="AF14" s="89">
        <f t="shared" si="9"/>
        <v>9.1108695652173926E-3</v>
      </c>
      <c r="AG14" s="89" cm="1">
        <f t="array" ref="AG14">_xlfn.IFS(
AND(L14="marginal_effect",M14="level"),O14*AN14/BF14,
AND(L14="marginal_effect",M14="sd (Y)"),O14*BH14*AN14/BF14,
AND(L14="marginal_effect",M14="sd (X)"),O14/AQ14*AN14/BF14,
AND(L14="semi_elasticity",M14="level"),O14*AN14,
AND(L14="semi_elasticity",M14="sd (Y)"),O14*AN14*BH14,
AND(L14="semi_elasticity",M14="sd (X)"),O14*AN14/AQ14,
AND(L14="level-log",M14="level"),O14/BF14,
AND(L14="level-log",M14="sd (X)"),O14/BF14/AQ14,
AND(L14="level-log",M14="sd (Y)"),O14/BF14*BH14,
AND(L14="elasticity",M14="level"),O14,
AND(L14="elasticity",M14="sd (X)"),O14/AQ14,
AND(L14="elasticity",M14="sd (Y)"),O14*BH14,
AND(L14="marginal_effect",M14="percent_of_mean"),O14*AN14/BF14/10)</f>
        <v>9.1108695652173926E-3</v>
      </c>
      <c r="AH14" s="49">
        <f t="shared" si="10"/>
        <v>1</v>
      </c>
      <c r="AI14" s="89">
        <f t="shared" si="11"/>
        <v>-3.31304347826087E-3</v>
      </c>
      <c r="AJ14" s="49">
        <v>0</v>
      </c>
      <c r="AK14" s="49">
        <f t="shared" si="12"/>
        <v>1</v>
      </c>
      <c r="AL14" s="35" t="s">
        <v>82</v>
      </c>
      <c r="AM14" s="35" t="s">
        <v>296</v>
      </c>
      <c r="AN14" s="35">
        <v>9.9060000000000006</v>
      </c>
      <c r="AO14" s="35">
        <v>0</v>
      </c>
      <c r="AP14" s="35">
        <f t="shared" si="13"/>
        <v>99.06</v>
      </c>
      <c r="AQ14" s="35">
        <v>49.79</v>
      </c>
      <c r="AR14" s="35">
        <v>23.55</v>
      </c>
      <c r="AS14" s="35">
        <v>342.58</v>
      </c>
      <c r="AT14" s="35" t="s">
        <v>83</v>
      </c>
      <c r="AV14" s="35" t="s">
        <v>133</v>
      </c>
      <c r="AW14" s="35" t="s">
        <v>85</v>
      </c>
      <c r="AX14" s="35" t="s">
        <v>86</v>
      </c>
      <c r="AY14" s="35">
        <v>0</v>
      </c>
      <c r="AZ14" s="35">
        <v>0</v>
      </c>
      <c r="BA14" s="35" t="s">
        <v>87</v>
      </c>
      <c r="BB14" s="35" t="s">
        <v>88</v>
      </c>
      <c r="BC14" s="35" t="s">
        <v>89</v>
      </c>
      <c r="BD14" s="35" t="s">
        <v>114</v>
      </c>
      <c r="BE14" s="35" t="s">
        <v>292</v>
      </c>
      <c r="BF14" s="35">
        <v>119.6</v>
      </c>
      <c r="BG14" s="35">
        <v>0</v>
      </c>
      <c r="BH14" s="35" t="s">
        <v>312</v>
      </c>
      <c r="BI14" s="35" t="s">
        <v>312</v>
      </c>
      <c r="BJ14" s="35" t="s">
        <v>312</v>
      </c>
      <c r="BK14" s="35" t="s">
        <v>91</v>
      </c>
      <c r="BL14" s="35" t="s">
        <v>84</v>
      </c>
      <c r="BM14" s="35">
        <v>1</v>
      </c>
      <c r="BN14" s="35" t="s">
        <v>2177</v>
      </c>
      <c r="BO14" s="35" t="s">
        <v>289</v>
      </c>
      <c r="BP14" s="35" t="s">
        <v>315</v>
      </c>
      <c r="BQ14" s="35" t="s">
        <v>117</v>
      </c>
      <c r="BR14" s="35" t="s">
        <v>93</v>
      </c>
      <c r="BS14" s="35" t="s">
        <v>312</v>
      </c>
      <c r="BT14" s="35" t="s">
        <v>312</v>
      </c>
      <c r="BU14" s="36">
        <v>42005</v>
      </c>
      <c r="BV14" s="36">
        <v>42155</v>
      </c>
      <c r="BW14" s="35" t="s">
        <v>94</v>
      </c>
      <c r="BX14" s="35" t="s">
        <v>95</v>
      </c>
      <c r="BY14" s="35" t="s">
        <v>96</v>
      </c>
      <c r="BZ14" s="35">
        <v>0</v>
      </c>
      <c r="CA14" s="35">
        <v>0</v>
      </c>
      <c r="CB14" s="35" t="s">
        <v>97</v>
      </c>
      <c r="CC14" s="35" t="s">
        <v>314</v>
      </c>
      <c r="CD14" s="35">
        <v>0</v>
      </c>
      <c r="CE14" s="35" t="s">
        <v>97</v>
      </c>
      <c r="CF14" s="35">
        <v>0</v>
      </c>
      <c r="CG14" s="35" t="s">
        <v>97</v>
      </c>
      <c r="CH14" s="35">
        <v>1</v>
      </c>
      <c r="CI14" s="35" t="s">
        <v>376</v>
      </c>
      <c r="CJ14" s="35" t="s">
        <v>98</v>
      </c>
      <c r="CK14" s="35">
        <v>64</v>
      </c>
      <c r="CL14" s="35">
        <v>0</v>
      </c>
      <c r="CM14" s="35">
        <v>0</v>
      </c>
      <c r="CN14" s="35" t="s">
        <v>99</v>
      </c>
      <c r="CO14" s="35" t="s">
        <v>97</v>
      </c>
      <c r="CP14" s="35" t="s">
        <v>100</v>
      </c>
      <c r="CQ14" s="35" t="s">
        <v>101</v>
      </c>
      <c r="CR14" s="36">
        <v>45847</v>
      </c>
    </row>
    <row r="15" spans="1:98" s="35" customFormat="1" x14ac:dyDescent="0.35">
      <c r="A15" s="34" t="s">
        <v>293</v>
      </c>
      <c r="B15" s="34" t="s">
        <v>309</v>
      </c>
      <c r="C15" s="35" t="s">
        <v>316</v>
      </c>
      <c r="D15" s="35">
        <v>2019</v>
      </c>
      <c r="E15" s="34" t="s">
        <v>318</v>
      </c>
      <c r="F15" s="34" t="s">
        <v>319</v>
      </c>
      <c r="G15" s="35" t="s">
        <v>78</v>
      </c>
      <c r="H15" s="35">
        <v>1</v>
      </c>
      <c r="I15" s="35" t="s">
        <v>290</v>
      </c>
      <c r="J15" s="35" t="s">
        <v>79</v>
      </c>
      <c r="K15" s="35">
        <v>657</v>
      </c>
      <c r="L15" s="35" t="s">
        <v>129</v>
      </c>
      <c r="M15" s="35" t="s">
        <v>380</v>
      </c>
      <c r="N15" s="35">
        <v>0.1</v>
      </c>
      <c r="O15" s="35">
        <v>0.1</v>
      </c>
      <c r="P15" s="89">
        <f t="shared" si="0"/>
        <v>1</v>
      </c>
      <c r="Q15" s="35" t="s">
        <v>312</v>
      </c>
      <c r="R15" s="89">
        <f t="shared" si="1"/>
        <v>-9.6000000000000002E-2</v>
      </c>
      <c r="S15" s="89">
        <f t="shared" si="2"/>
        <v>0.29600000000000004</v>
      </c>
      <c r="T15" s="35">
        <v>1</v>
      </c>
      <c r="U15" s="35">
        <v>2085</v>
      </c>
      <c r="V15" s="35">
        <v>65</v>
      </c>
      <c r="W15" s="35">
        <v>0</v>
      </c>
      <c r="X15" s="35">
        <f t="shared" si="3"/>
        <v>2020</v>
      </c>
      <c r="Y15" s="89">
        <f t="shared" si="4"/>
        <v>2.2244202665006454E-2</v>
      </c>
      <c r="Z15" s="89">
        <f t="shared" si="5"/>
        <v>2.2244202665006457E-2</v>
      </c>
      <c r="AA15" s="89">
        <f t="shared" si="6"/>
        <v>2.2244202665006454E-2</v>
      </c>
      <c r="AB15" s="35" t="s">
        <v>81</v>
      </c>
      <c r="AC15" s="89">
        <f t="shared" si="7"/>
        <v>5.0978260869565233E-3</v>
      </c>
      <c r="AD15" s="89" cm="1">
        <f t="array" ref="AD15">_xlfn.IFS(
AND(L15="marginal_effect",M15="level"),N15*AN15/BF15,
AND(L15="marginal_effect",M15="sd (Y)"),N15*BH15*AN15/BF15,
AND(L15="marginal_effect",M15="sd (X)"),N15/AQ15*AN15/BF15,
AND(L15="semi_elasticity",M15="level"),N15*AN15,
AND(L15="semi_elasticity",M15="sd (Y)"),N15*AN15*BH15,
AND(L15="semi_elasticity",M15="sd (X)"),N15*AN15/AQ15,
AND(L15="level-log",M15="level"),N15/BF15,
AND(L15="level-log",M15="sd (X)"),N15/BF15/AQ15,
AND(L15="level-log",M15="sd (Y)"),N15/BF15*BH15,
AND(L15="elasticity",M15="level"),N15,
AND(L15="elasticity",M15="sd (X)"),N15/AQ15,
AND(L15="elasticity",M15="sd (Y)"),N15*BH15,
AND(L15="marginal_effect",M15="percent_of_mean"),N15*AN15/BF15/10)</f>
        <v>5.0978260869565233E-3</v>
      </c>
      <c r="AE15" s="49">
        <f t="shared" si="8"/>
        <v>1</v>
      </c>
      <c r="AF15" s="89">
        <f t="shared" si="9"/>
        <v>5.0978260869565233E-3</v>
      </c>
      <c r="AG15" s="89" cm="1">
        <f t="array" ref="AG15">_xlfn.IFS(
AND(L15="marginal_effect",M15="level"),O15*AN15/BF15,
AND(L15="marginal_effect",M15="sd (Y)"),O15*BH15*AN15/BF15,
AND(L15="marginal_effect",M15="sd (X)"),O15/AQ15*AN15/BF15,
AND(L15="semi_elasticity",M15="level"),O15*AN15,
AND(L15="semi_elasticity",M15="sd (Y)"),O15*AN15*BH15,
AND(L15="semi_elasticity",M15="sd (X)"),O15*AN15/AQ15,
AND(L15="level-log",M15="level"),O15/BF15,
AND(L15="level-log",M15="sd (X)"),O15/BF15/AQ15,
AND(L15="level-log",M15="sd (Y)"),O15/BF15*BH15,
AND(L15="elasticity",M15="level"),O15,
AND(L15="elasticity",M15="sd (X)"),O15/AQ15,
AND(L15="elasticity",M15="sd (Y)"),O15*BH15,
AND(L15="marginal_effect",M15="percent_of_mean"),O15*AN15/BF15/10)</f>
        <v>5.0978260869565233E-3</v>
      </c>
      <c r="AH15" s="49">
        <f t="shared" si="10"/>
        <v>1</v>
      </c>
      <c r="AI15" s="89">
        <f t="shared" si="11"/>
        <v>5.0978260869565233E-3</v>
      </c>
      <c r="AJ15" s="49">
        <v>0</v>
      </c>
      <c r="AK15" s="49">
        <f t="shared" si="12"/>
        <v>1</v>
      </c>
      <c r="AL15" s="35" t="s">
        <v>159</v>
      </c>
      <c r="AM15" s="35" t="s">
        <v>296</v>
      </c>
      <c r="AN15" s="35">
        <v>6.0970000000000004</v>
      </c>
      <c r="AO15" s="35">
        <v>0</v>
      </c>
      <c r="AP15" s="35">
        <f t="shared" si="13"/>
        <v>60.970000000000006</v>
      </c>
      <c r="AQ15" s="35">
        <v>40.840000000000003</v>
      </c>
      <c r="AR15" s="35">
        <v>8.33</v>
      </c>
      <c r="AS15" s="35">
        <v>293.10000000000002</v>
      </c>
      <c r="AT15" s="35" t="s">
        <v>83</v>
      </c>
      <c r="AV15" s="35" t="s">
        <v>133</v>
      </c>
      <c r="AW15" s="35" t="s">
        <v>85</v>
      </c>
      <c r="AX15" s="35" t="s">
        <v>86</v>
      </c>
      <c r="AY15" s="35">
        <v>0</v>
      </c>
      <c r="AZ15" s="35">
        <v>0</v>
      </c>
      <c r="BA15" s="35" t="s">
        <v>87</v>
      </c>
      <c r="BB15" s="35" t="s">
        <v>88</v>
      </c>
      <c r="BC15" s="35" t="s">
        <v>89</v>
      </c>
      <c r="BD15" s="35" t="s">
        <v>114</v>
      </c>
      <c r="BE15" s="35" t="s">
        <v>292</v>
      </c>
      <c r="BF15" s="35">
        <v>119.6</v>
      </c>
      <c r="BG15" s="35">
        <v>0</v>
      </c>
      <c r="BH15" s="35" t="s">
        <v>312</v>
      </c>
      <c r="BI15" s="35" t="s">
        <v>312</v>
      </c>
      <c r="BJ15" s="35" t="s">
        <v>312</v>
      </c>
      <c r="BK15" s="35" t="s">
        <v>91</v>
      </c>
      <c r="BL15" s="35" t="s">
        <v>84</v>
      </c>
      <c r="BM15" s="35">
        <v>1</v>
      </c>
      <c r="BN15" s="35" t="s">
        <v>2177</v>
      </c>
      <c r="BO15" s="35" t="s">
        <v>289</v>
      </c>
      <c r="BP15" s="35" t="s">
        <v>315</v>
      </c>
      <c r="BQ15" s="35" t="s">
        <v>117</v>
      </c>
      <c r="BR15" s="35" t="s">
        <v>93</v>
      </c>
      <c r="BS15" s="35" t="s">
        <v>312</v>
      </c>
      <c r="BT15" s="35" t="s">
        <v>312</v>
      </c>
      <c r="BU15" s="36">
        <v>42005</v>
      </c>
      <c r="BV15" s="36">
        <v>42155</v>
      </c>
      <c r="BW15" s="35" t="s">
        <v>94</v>
      </c>
      <c r="BX15" s="35" t="s">
        <v>95</v>
      </c>
      <c r="BY15" s="35" t="s">
        <v>96</v>
      </c>
      <c r="BZ15" s="35">
        <v>0</v>
      </c>
      <c r="CA15" s="35">
        <v>0</v>
      </c>
      <c r="CB15" s="35" t="s">
        <v>97</v>
      </c>
      <c r="CC15" s="35" t="s">
        <v>314</v>
      </c>
      <c r="CD15" s="35">
        <v>0</v>
      </c>
      <c r="CE15" s="35" t="s">
        <v>97</v>
      </c>
      <c r="CF15" s="35">
        <v>0</v>
      </c>
      <c r="CG15" s="35" t="s">
        <v>97</v>
      </c>
      <c r="CH15" s="35">
        <v>1</v>
      </c>
      <c r="CI15" s="35" t="s">
        <v>376</v>
      </c>
      <c r="CJ15" s="35" t="s">
        <v>98</v>
      </c>
      <c r="CK15" s="35">
        <v>64</v>
      </c>
      <c r="CL15" s="35">
        <v>0</v>
      </c>
      <c r="CM15" s="35">
        <v>0</v>
      </c>
      <c r="CN15" s="35" t="s">
        <v>99</v>
      </c>
      <c r="CO15" s="35" t="s">
        <v>97</v>
      </c>
      <c r="CP15" s="35" t="s">
        <v>100</v>
      </c>
      <c r="CQ15" s="35" t="s">
        <v>101</v>
      </c>
      <c r="CR15" s="36">
        <v>45847</v>
      </c>
    </row>
    <row r="16" spans="1:98" s="35" customFormat="1" x14ac:dyDescent="0.35">
      <c r="A16" s="34" t="s">
        <v>293</v>
      </c>
      <c r="B16" s="34" t="s">
        <v>310</v>
      </c>
      <c r="C16" s="35" t="s">
        <v>316</v>
      </c>
      <c r="D16" s="35">
        <v>2019</v>
      </c>
      <c r="E16" s="34" t="s">
        <v>318</v>
      </c>
      <c r="F16" s="34" t="s">
        <v>319</v>
      </c>
      <c r="G16" s="35" t="s">
        <v>78</v>
      </c>
      <c r="H16" s="35">
        <v>1</v>
      </c>
      <c r="I16" s="35" t="s">
        <v>290</v>
      </c>
      <c r="J16" s="35" t="s">
        <v>79</v>
      </c>
      <c r="K16" s="35">
        <v>657</v>
      </c>
      <c r="L16" s="35" t="s">
        <v>129</v>
      </c>
      <c r="M16" s="35" t="s">
        <v>380</v>
      </c>
      <c r="N16" s="35">
        <v>-0.14000000000000001</v>
      </c>
      <c r="O16" s="35">
        <v>0.12</v>
      </c>
      <c r="P16" s="89">
        <f t="shared" si="0"/>
        <v>-1.1666666666666667</v>
      </c>
      <c r="Q16" s="35" t="s">
        <v>312</v>
      </c>
      <c r="R16" s="89">
        <f t="shared" si="1"/>
        <v>-0.37519999999999998</v>
      </c>
      <c r="S16" s="89">
        <f t="shared" si="2"/>
        <v>9.5199999999999979E-2</v>
      </c>
      <c r="T16" s="35">
        <v>1</v>
      </c>
      <c r="U16" s="35">
        <v>2085</v>
      </c>
      <c r="V16" s="35">
        <v>65</v>
      </c>
      <c r="W16" s="35">
        <v>0</v>
      </c>
      <c r="X16" s="35">
        <f t="shared" si="3"/>
        <v>2020</v>
      </c>
      <c r="Y16" s="89">
        <f t="shared" si="4"/>
        <v>-2.5949251580757608E-2</v>
      </c>
      <c r="Z16" s="89">
        <f t="shared" si="5"/>
        <v>2.224221564064938E-2</v>
      </c>
      <c r="AA16" s="89">
        <f t="shared" si="6"/>
        <v>-2.5949251580757608E-2</v>
      </c>
      <c r="AB16" s="35" t="s">
        <v>81</v>
      </c>
      <c r="AC16" s="89">
        <f t="shared" si="7"/>
        <v>-1.1595652173913047E-2</v>
      </c>
      <c r="AD16" s="89" cm="1">
        <f t="array" ref="AD16">_xlfn.IFS(
AND(L16="marginal_effect",M16="level"),N16*AN16/BF16,
AND(L16="marginal_effect",M16="sd (Y)"),N16*BH16*AN16/BF16,
AND(L16="marginal_effect",M16="sd (X)"),N16/AQ16*AN16/BF16,
AND(L16="semi_elasticity",M16="level"),N16*AN16,
AND(L16="semi_elasticity",M16="sd (Y)"),N16*AN16*BH16,
AND(L16="semi_elasticity",M16="sd (X)"),N16*AN16/AQ16,
AND(L16="level-log",M16="level"),N16/BF16,
AND(L16="level-log",M16="sd (X)"),N16/BF16/AQ16,
AND(L16="level-log",M16="sd (Y)"),N16/BF16*BH16,
AND(L16="elasticity",M16="level"),N16,
AND(L16="elasticity",M16="sd (X)"),N16/AQ16,
AND(L16="elasticity",M16="sd (Y)"),N16*BH16,
AND(L16="marginal_effect",M16="percent_of_mean"),N16*AN16/BF16/10)</f>
        <v>-1.1595652173913047E-2</v>
      </c>
      <c r="AE16" s="49">
        <f t="shared" si="8"/>
        <v>1</v>
      </c>
      <c r="AF16" s="89">
        <f t="shared" si="9"/>
        <v>9.9391304347826084E-3</v>
      </c>
      <c r="AG16" s="89" cm="1">
        <f t="array" ref="AG16">_xlfn.IFS(
AND(L16="marginal_effect",M16="level"),O16*AN16/BF16,
AND(L16="marginal_effect",M16="sd (Y)"),O16*BH16*AN16/BF16,
AND(L16="marginal_effect",M16="sd (X)"),O16/AQ16*AN16/BF16,
AND(L16="semi_elasticity",M16="level"),O16*AN16,
AND(L16="semi_elasticity",M16="sd (Y)"),O16*AN16*BH16,
AND(L16="semi_elasticity",M16="sd (X)"),O16*AN16/AQ16,
AND(L16="level-log",M16="level"),O16/BF16,
AND(L16="level-log",M16="sd (X)"),O16/BF16/AQ16,
AND(L16="level-log",M16="sd (Y)"),O16/BF16*BH16,
AND(L16="elasticity",M16="level"),O16,
AND(L16="elasticity",M16="sd (X)"),O16/AQ16,
AND(L16="elasticity",M16="sd (Y)"),O16*BH16,
AND(L16="marginal_effect",M16="percent_of_mean"),O16*AN16/BF16/10)</f>
        <v>9.9391304347826084E-3</v>
      </c>
      <c r="AH16" s="49">
        <f t="shared" si="10"/>
        <v>1</v>
      </c>
      <c r="AI16" s="89">
        <f t="shared" si="11"/>
        <v>-1.1595652173913047E-2</v>
      </c>
      <c r="AJ16" s="49">
        <v>0</v>
      </c>
      <c r="AK16" s="49">
        <f t="shared" si="12"/>
        <v>1</v>
      </c>
      <c r="AL16" s="35" t="s">
        <v>82</v>
      </c>
      <c r="AM16" s="35" t="s">
        <v>296</v>
      </c>
      <c r="AN16" s="35">
        <v>9.9060000000000006</v>
      </c>
      <c r="AO16" s="35">
        <v>0</v>
      </c>
      <c r="AP16" s="35">
        <f t="shared" si="13"/>
        <v>99.06</v>
      </c>
      <c r="AQ16" s="35">
        <v>49.79</v>
      </c>
      <c r="AR16" s="35">
        <v>23.55</v>
      </c>
      <c r="AS16" s="35">
        <v>342.58</v>
      </c>
      <c r="AT16" s="35" t="s">
        <v>83</v>
      </c>
      <c r="AV16" s="35" t="s">
        <v>133</v>
      </c>
      <c r="AW16" s="35" t="s">
        <v>85</v>
      </c>
      <c r="AX16" s="35" t="s">
        <v>86</v>
      </c>
      <c r="AY16" s="35">
        <v>0</v>
      </c>
      <c r="AZ16" s="35">
        <v>0</v>
      </c>
      <c r="BA16" s="35" t="s">
        <v>87</v>
      </c>
      <c r="BB16" s="35" t="s">
        <v>88</v>
      </c>
      <c r="BC16" s="35" t="s">
        <v>89</v>
      </c>
      <c r="BD16" s="35" t="s">
        <v>114</v>
      </c>
      <c r="BE16" s="35" t="s">
        <v>292</v>
      </c>
      <c r="BF16" s="35">
        <v>119.6</v>
      </c>
      <c r="BG16" s="35">
        <v>0</v>
      </c>
      <c r="BH16" s="35" t="s">
        <v>312</v>
      </c>
      <c r="BI16" s="35" t="s">
        <v>312</v>
      </c>
      <c r="BJ16" s="35" t="s">
        <v>312</v>
      </c>
      <c r="BK16" s="35" t="s">
        <v>91</v>
      </c>
      <c r="BL16" s="35" t="s">
        <v>84</v>
      </c>
      <c r="BM16" s="35">
        <v>1</v>
      </c>
      <c r="BN16" s="35" t="s">
        <v>2177</v>
      </c>
      <c r="BO16" s="35" t="s">
        <v>289</v>
      </c>
      <c r="BP16" s="35" t="s">
        <v>315</v>
      </c>
      <c r="BQ16" s="35" t="s">
        <v>117</v>
      </c>
      <c r="BR16" s="35" t="s">
        <v>93</v>
      </c>
      <c r="BS16" s="35" t="s">
        <v>312</v>
      </c>
      <c r="BT16" s="35" t="s">
        <v>312</v>
      </c>
      <c r="BU16" s="36">
        <v>42005</v>
      </c>
      <c r="BV16" s="36">
        <v>42155</v>
      </c>
      <c r="BW16" s="35" t="s">
        <v>94</v>
      </c>
      <c r="BX16" s="35" t="s">
        <v>95</v>
      </c>
      <c r="BY16" s="35" t="s">
        <v>140</v>
      </c>
      <c r="BZ16" s="35">
        <v>1</v>
      </c>
      <c r="CA16" s="35">
        <v>1</v>
      </c>
      <c r="CB16" s="35" t="s">
        <v>303</v>
      </c>
      <c r="CC16" s="35" t="s">
        <v>314</v>
      </c>
      <c r="CD16" s="35">
        <v>0</v>
      </c>
      <c r="CE16" s="35" t="s">
        <v>97</v>
      </c>
      <c r="CF16" s="35">
        <v>0</v>
      </c>
      <c r="CG16" s="35" t="s">
        <v>97</v>
      </c>
      <c r="CH16" s="35">
        <v>1</v>
      </c>
      <c r="CI16" s="35" t="s">
        <v>376</v>
      </c>
      <c r="CJ16" s="35" t="s">
        <v>98</v>
      </c>
      <c r="CK16" s="35">
        <v>64</v>
      </c>
      <c r="CL16" s="35">
        <v>0</v>
      </c>
      <c r="CM16" s="35">
        <v>0</v>
      </c>
      <c r="CN16" s="35" t="s">
        <v>99</v>
      </c>
      <c r="CO16" s="35" t="s">
        <v>97</v>
      </c>
      <c r="CP16" s="35" t="s">
        <v>100</v>
      </c>
      <c r="CQ16" s="35" t="s">
        <v>101</v>
      </c>
      <c r="CR16" s="36">
        <v>45847</v>
      </c>
    </row>
    <row r="17" spans="1:98" s="35" customFormat="1" x14ac:dyDescent="0.35">
      <c r="A17" s="34" t="s">
        <v>293</v>
      </c>
      <c r="B17" s="34" t="s">
        <v>311</v>
      </c>
      <c r="C17" s="35" t="s">
        <v>316</v>
      </c>
      <c r="D17" s="35">
        <v>2019</v>
      </c>
      <c r="E17" s="34" t="s">
        <v>318</v>
      </c>
      <c r="F17" s="34" t="s">
        <v>319</v>
      </c>
      <c r="G17" s="35" t="s">
        <v>78</v>
      </c>
      <c r="H17" s="35">
        <v>1</v>
      </c>
      <c r="I17" s="35" t="s">
        <v>290</v>
      </c>
      <c r="J17" s="35" t="s">
        <v>79</v>
      </c>
      <c r="K17" s="35">
        <v>657</v>
      </c>
      <c r="L17" s="35" t="s">
        <v>129</v>
      </c>
      <c r="M17" s="35" t="s">
        <v>380</v>
      </c>
      <c r="N17" s="35">
        <v>0.03</v>
      </c>
      <c r="O17" s="35">
        <v>0.13</v>
      </c>
      <c r="P17" s="89">
        <f t="shared" si="0"/>
        <v>0.23076923076923075</v>
      </c>
      <c r="Q17" s="35" t="s">
        <v>312</v>
      </c>
      <c r="R17" s="89">
        <f t="shared" si="1"/>
        <v>-0.22480000000000003</v>
      </c>
      <c r="S17" s="89">
        <f t="shared" si="2"/>
        <v>0.28480000000000005</v>
      </c>
      <c r="T17" s="35">
        <v>1</v>
      </c>
      <c r="U17" s="35">
        <v>2085</v>
      </c>
      <c r="V17" s="35">
        <v>65</v>
      </c>
      <c r="W17" s="35">
        <v>0</v>
      </c>
      <c r="X17" s="35">
        <f t="shared" si="3"/>
        <v>2020</v>
      </c>
      <c r="Y17" s="89">
        <f t="shared" si="4"/>
        <v>5.1344803129120733E-3</v>
      </c>
      <c r="Z17" s="89">
        <f t="shared" si="5"/>
        <v>2.2249414689285651E-2</v>
      </c>
      <c r="AA17" s="89">
        <f t="shared" si="6"/>
        <v>5.1344803129120733E-3</v>
      </c>
      <c r="AB17" s="35" t="s">
        <v>81</v>
      </c>
      <c r="AC17" s="89">
        <f t="shared" si="7"/>
        <v>1.5293478260869568E-3</v>
      </c>
      <c r="AD17" s="89" cm="1">
        <f t="array" ref="AD17">_xlfn.IFS(
AND(L17="marginal_effect",M17="level"),N17*AN17/BF17,
AND(L17="marginal_effect",M17="sd (Y)"),N17*BH17*AN17/BF17,
AND(L17="marginal_effect",M17="sd (X)"),N17/AQ17*AN17/BF17,
AND(L17="semi_elasticity",M17="level"),N17*AN17,
AND(L17="semi_elasticity",M17="sd (Y)"),N17*AN17*BH17,
AND(L17="semi_elasticity",M17="sd (X)"),N17*AN17/AQ17,
AND(L17="level-log",M17="level"),N17/BF17,
AND(L17="level-log",M17="sd (X)"),N17/BF17/AQ17,
AND(L17="level-log",M17="sd (Y)"),N17/BF17*BH17,
AND(L17="elasticity",M17="level"),N17,
AND(L17="elasticity",M17="sd (X)"),N17/AQ17,
AND(L17="elasticity",M17="sd (Y)"),N17*BH17,
AND(L17="marginal_effect",M17="percent_of_mean"),N17*AN17/BF17/10)</f>
        <v>1.5293478260869568E-3</v>
      </c>
      <c r="AE17" s="49">
        <f t="shared" si="8"/>
        <v>1</v>
      </c>
      <c r="AF17" s="89">
        <f t="shared" si="9"/>
        <v>6.6271739130434786E-3</v>
      </c>
      <c r="AG17" s="89" cm="1">
        <f t="array" ref="AG17">_xlfn.IFS(
AND(L17="marginal_effect",M17="level"),O17*AN17/BF17,
AND(L17="marginal_effect",M17="sd (Y)"),O17*BH17*AN17/BF17,
AND(L17="marginal_effect",M17="sd (X)"),O17/AQ17*AN17/BF17,
AND(L17="semi_elasticity",M17="level"),O17*AN17,
AND(L17="semi_elasticity",M17="sd (Y)"),O17*AN17*BH17,
AND(L17="semi_elasticity",M17="sd (X)"),O17*AN17/AQ17,
AND(L17="level-log",M17="level"),O17/BF17,
AND(L17="level-log",M17="sd (X)"),O17/BF17/AQ17,
AND(L17="level-log",M17="sd (Y)"),O17/BF17*BH17,
AND(L17="elasticity",M17="level"),O17,
AND(L17="elasticity",M17="sd (X)"),O17/AQ17,
AND(L17="elasticity",M17="sd (Y)"),O17*BH17,
AND(L17="marginal_effect",M17="percent_of_mean"),O17*AN17/BF17/10)</f>
        <v>6.6271739130434786E-3</v>
      </c>
      <c r="AH17" s="49">
        <f t="shared" si="10"/>
        <v>1</v>
      </c>
      <c r="AI17" s="89">
        <f t="shared" si="11"/>
        <v>1.5293478260869568E-3</v>
      </c>
      <c r="AJ17" s="49">
        <v>0</v>
      </c>
      <c r="AK17" s="49">
        <f t="shared" si="12"/>
        <v>1</v>
      </c>
      <c r="AL17" s="35" t="s">
        <v>159</v>
      </c>
      <c r="AM17" s="35" t="s">
        <v>296</v>
      </c>
      <c r="AN17" s="35">
        <v>6.0970000000000004</v>
      </c>
      <c r="AO17" s="35">
        <v>0</v>
      </c>
      <c r="AP17" s="35">
        <f t="shared" si="13"/>
        <v>60.970000000000006</v>
      </c>
      <c r="AQ17" s="35">
        <v>40.840000000000003</v>
      </c>
      <c r="AR17" s="35">
        <v>8.33</v>
      </c>
      <c r="AS17" s="35">
        <v>293.10000000000002</v>
      </c>
      <c r="AT17" s="35" t="s">
        <v>83</v>
      </c>
      <c r="AV17" s="35" t="s">
        <v>133</v>
      </c>
      <c r="AW17" s="35" t="s">
        <v>85</v>
      </c>
      <c r="AX17" s="35" t="s">
        <v>86</v>
      </c>
      <c r="AY17" s="35">
        <v>0</v>
      </c>
      <c r="AZ17" s="35">
        <v>0</v>
      </c>
      <c r="BA17" s="35" t="s">
        <v>87</v>
      </c>
      <c r="BB17" s="35" t="s">
        <v>88</v>
      </c>
      <c r="BC17" s="35" t="s">
        <v>89</v>
      </c>
      <c r="BD17" s="35" t="s">
        <v>114</v>
      </c>
      <c r="BE17" s="35" t="s">
        <v>292</v>
      </c>
      <c r="BF17" s="35">
        <v>119.6</v>
      </c>
      <c r="BG17" s="35">
        <v>0</v>
      </c>
      <c r="BH17" s="35" t="s">
        <v>312</v>
      </c>
      <c r="BI17" s="35" t="s">
        <v>312</v>
      </c>
      <c r="BJ17" s="35" t="s">
        <v>312</v>
      </c>
      <c r="BK17" s="35" t="s">
        <v>91</v>
      </c>
      <c r="BL17" s="35" t="s">
        <v>84</v>
      </c>
      <c r="BM17" s="35">
        <v>1</v>
      </c>
      <c r="BN17" s="35" t="s">
        <v>2177</v>
      </c>
      <c r="BO17" s="35" t="s">
        <v>289</v>
      </c>
      <c r="BP17" s="35" t="s">
        <v>315</v>
      </c>
      <c r="BQ17" s="35" t="s">
        <v>117</v>
      </c>
      <c r="BR17" s="35" t="s">
        <v>93</v>
      </c>
      <c r="BS17" s="35" t="s">
        <v>312</v>
      </c>
      <c r="BT17" s="35" t="s">
        <v>312</v>
      </c>
      <c r="BU17" s="36">
        <v>42005</v>
      </c>
      <c r="BV17" s="36">
        <v>42155</v>
      </c>
      <c r="BW17" s="35" t="s">
        <v>94</v>
      </c>
      <c r="BX17" s="35" t="s">
        <v>95</v>
      </c>
      <c r="BY17" s="35" t="s">
        <v>140</v>
      </c>
      <c r="BZ17" s="35">
        <v>1</v>
      </c>
      <c r="CA17" s="35">
        <v>1</v>
      </c>
      <c r="CB17" s="35" t="s">
        <v>303</v>
      </c>
      <c r="CC17" s="35" t="s">
        <v>314</v>
      </c>
      <c r="CD17" s="35">
        <v>0</v>
      </c>
      <c r="CE17" s="35" t="s">
        <v>97</v>
      </c>
      <c r="CF17" s="35">
        <v>0</v>
      </c>
      <c r="CG17" s="35" t="s">
        <v>97</v>
      </c>
      <c r="CH17" s="35">
        <v>1</v>
      </c>
      <c r="CI17" s="35" t="s">
        <v>376</v>
      </c>
      <c r="CJ17" s="35" t="s">
        <v>98</v>
      </c>
      <c r="CK17" s="35">
        <v>64</v>
      </c>
      <c r="CL17" s="35">
        <v>0</v>
      </c>
      <c r="CM17" s="35">
        <v>0</v>
      </c>
      <c r="CN17" s="35" t="s">
        <v>99</v>
      </c>
      <c r="CO17" s="35" t="s">
        <v>97</v>
      </c>
      <c r="CP17" s="35" t="s">
        <v>100</v>
      </c>
      <c r="CQ17" s="35" t="s">
        <v>101</v>
      </c>
      <c r="CR17" s="36">
        <v>45847</v>
      </c>
    </row>
    <row r="18" spans="1:98" s="35" customFormat="1" x14ac:dyDescent="0.35">
      <c r="A18" s="34" t="s">
        <v>293</v>
      </c>
      <c r="B18" s="34" t="s">
        <v>350</v>
      </c>
      <c r="C18" s="35" t="s">
        <v>316</v>
      </c>
      <c r="D18" s="35">
        <v>2019</v>
      </c>
      <c r="E18" s="34" t="s">
        <v>318</v>
      </c>
      <c r="F18" s="34" t="s">
        <v>319</v>
      </c>
      <c r="G18" s="35" t="s">
        <v>78</v>
      </c>
      <c r="H18" s="35">
        <v>1</v>
      </c>
      <c r="I18" s="35" t="s">
        <v>290</v>
      </c>
      <c r="J18" s="35" t="s">
        <v>79</v>
      </c>
      <c r="K18" s="35">
        <v>657</v>
      </c>
      <c r="L18" s="35" t="s">
        <v>129</v>
      </c>
      <c r="M18" s="35" t="s">
        <v>381</v>
      </c>
      <c r="N18" s="35">
        <v>-0.02</v>
      </c>
      <c r="O18" s="35">
        <v>0.09</v>
      </c>
      <c r="P18" s="89">
        <f t="shared" si="0"/>
        <v>-0.22222222222222224</v>
      </c>
      <c r="Q18" s="35" t="s">
        <v>312</v>
      </c>
      <c r="R18" s="89">
        <f t="shared" si="1"/>
        <v>-0.19639999999999999</v>
      </c>
      <c r="S18" s="89">
        <f t="shared" si="2"/>
        <v>0.15640000000000001</v>
      </c>
      <c r="T18" s="35">
        <v>1</v>
      </c>
      <c r="U18" s="35">
        <v>4443</v>
      </c>
      <c r="V18" s="35" t="s">
        <v>312</v>
      </c>
      <c r="W18" s="35">
        <v>0</v>
      </c>
      <c r="X18" s="35">
        <f t="shared" si="3"/>
        <v>4443</v>
      </c>
      <c r="Y18" s="89">
        <f t="shared" si="4"/>
        <v>-3.3338566046714987E-3</v>
      </c>
      <c r="Z18" s="89">
        <f t="shared" si="5"/>
        <v>1.5002354721021743E-2</v>
      </c>
      <c r="AA18" s="89">
        <f t="shared" si="6"/>
        <v>-3.3338566046714987E-3</v>
      </c>
      <c r="AB18" s="35" t="s">
        <v>81</v>
      </c>
      <c r="AC18" s="89">
        <f t="shared" ref="AC18:AC65" si="14">(N18/100)*AN18</f>
        <v>-1.377E-3</v>
      </c>
      <c r="AD18" s="89" cm="1">
        <f t="array" ref="AD18">_xlfn.IFS(
AND(L18="marginal_effect",M18="level"),N18*AN18/BF18, AND(L18="marginal_effect",M18="percent_of_mean"),N18*AN18/100,
AND(L18="marginal_effect",M18="sd (Y)"),N18*BH18*AN18/BF18,
AND(L18="marginal_effect",M18="sd (X)"),N18/AQ18*AN18/BF18,
AND(L18="semi_elasticity",M18="level"),N18*AN18,
AND(L18="semi_elasticity",M18="sd (Y)"),N18*AN18*BH18,
AND(L18="semi_elasticity",M18="sd (X)"),N18*AN18/AQ18,
AND(L18="level-log",M18="level"),N18/BF18,
AND(L18="level-log",M18="sd (X)"),N18/BF18/AQ18,
AND(L18="level-log",M18="sd (Y)"),N18/BF18*BH18,
AND(L18="elasticity",M18="level"),N18,
AND(L18="elasticity",M18="sd (X)"),N18/AQ18,
AND(L18="elasticity",M18="sd (Y)"),N18*BH18,
AND(L18="marginal_effect",M18="percent_of_mean"),N18*AN18/BF18/10)</f>
        <v>-1.377E-3</v>
      </c>
      <c r="AE18" s="49">
        <f t="shared" si="8"/>
        <v>1</v>
      </c>
      <c r="AF18" s="89">
        <f t="shared" ref="AF18:AF65" si="15">O18*AN18/100</f>
        <v>6.1964999999999989E-3</v>
      </c>
      <c r="AG18" s="89" cm="1">
        <f t="array" ref="AG18">_xlfn.IFS(
AND(L18="marginal_effect",M18="level"),O18*AN18/BF18,
AND(L18="marginal_effect",M18="sd (Y)"),O18*BH18*AN18/BF18,
AND(L18="marginal_effect",M18="sd (X)"),O18/AQ18*AN18/BF18,
AND(L18="semi_elasticity",M18="level"),O18*AN18,
AND(L18="semi_elasticity",M18="sd (Y)"),O18*AN18*BH18,
AND(L18="semi_elasticity",M18="sd (X)"),O18*AN18/AQ18,
AND(L18="level-log",M18="level"),O18/BF18,
AND(L18="level-log",M18="sd (X)"),O18/BF18/AQ18,
AND(L18="level-log",M18="sd (Y)"),O18/BF18*BH18,
AND(L18="elasticity",M18="level"),O18,
AND(L18="elasticity",M18="sd (X)"),O18/AQ18,
AND(L18="elasticity",M18="sd (Y)"),O18*BH18,
AND(L18="marginal_effect",M18="percent_of_mean"),O18*AN18/BF18/10)</f>
        <v>5.5129003558718854E-4</v>
      </c>
      <c r="AH18" s="49">
        <f t="shared" si="10"/>
        <v>0</v>
      </c>
      <c r="AI18" s="89">
        <f t="shared" si="11"/>
        <v>-1.377E-3</v>
      </c>
      <c r="AJ18" s="49">
        <v>0</v>
      </c>
      <c r="AK18" s="49">
        <f t="shared" si="12"/>
        <v>1</v>
      </c>
      <c r="AL18" s="35" t="s">
        <v>82</v>
      </c>
      <c r="AM18" s="35" t="s">
        <v>296</v>
      </c>
      <c r="AN18" s="35">
        <v>6.8849999999999998</v>
      </c>
      <c r="AO18" s="35">
        <v>0</v>
      </c>
      <c r="AP18" s="35">
        <f t="shared" si="13"/>
        <v>68.849999999999994</v>
      </c>
      <c r="AQ18" s="35">
        <v>35.299999999999997</v>
      </c>
      <c r="AR18" s="35">
        <v>15.39</v>
      </c>
      <c r="AS18" s="35">
        <v>224.67</v>
      </c>
      <c r="AT18" s="35" t="s">
        <v>83</v>
      </c>
      <c r="AV18" s="35" t="s">
        <v>133</v>
      </c>
      <c r="AW18" s="35" t="s">
        <v>85</v>
      </c>
      <c r="AX18" s="35" t="s">
        <v>110</v>
      </c>
      <c r="AY18" s="35">
        <v>0</v>
      </c>
      <c r="AZ18" s="35">
        <v>5</v>
      </c>
      <c r="BA18" s="35" t="s">
        <v>87</v>
      </c>
      <c r="BB18" s="35" t="s">
        <v>88</v>
      </c>
      <c r="BC18" s="35" t="s">
        <v>89</v>
      </c>
      <c r="BD18" s="35" t="s">
        <v>114</v>
      </c>
      <c r="BE18" s="35" t="s">
        <v>291</v>
      </c>
      <c r="BF18" s="35">
        <v>112.4</v>
      </c>
      <c r="BG18" s="35">
        <v>0</v>
      </c>
      <c r="BH18" s="35" t="s">
        <v>312</v>
      </c>
      <c r="BI18" s="35" t="s">
        <v>312</v>
      </c>
      <c r="BJ18" s="35" t="s">
        <v>312</v>
      </c>
      <c r="BK18" s="35" t="s">
        <v>91</v>
      </c>
      <c r="BL18" s="35" t="s">
        <v>84</v>
      </c>
      <c r="BM18" s="35">
        <v>1</v>
      </c>
      <c r="BN18" s="35" t="s">
        <v>2177</v>
      </c>
      <c r="BO18" s="35" t="s">
        <v>289</v>
      </c>
      <c r="BP18" s="35" t="s">
        <v>315</v>
      </c>
      <c r="BQ18" s="35" t="s">
        <v>117</v>
      </c>
      <c r="BR18" s="35" t="s">
        <v>93</v>
      </c>
      <c r="BS18" s="35" t="s">
        <v>312</v>
      </c>
      <c r="BT18" s="35" t="s">
        <v>312</v>
      </c>
      <c r="BU18" s="36">
        <v>41883</v>
      </c>
      <c r="BV18" s="36">
        <v>42155</v>
      </c>
      <c r="BW18" s="35" t="s">
        <v>94</v>
      </c>
      <c r="BX18" s="35" t="s">
        <v>95</v>
      </c>
      <c r="BY18" s="35" t="s">
        <v>96</v>
      </c>
      <c r="BZ18" s="35">
        <v>0</v>
      </c>
      <c r="CA18" s="35">
        <v>0</v>
      </c>
      <c r="CB18" s="35" t="s">
        <v>97</v>
      </c>
      <c r="CC18" s="35" t="s">
        <v>314</v>
      </c>
      <c r="CD18" s="35">
        <v>0</v>
      </c>
      <c r="CE18" s="35" t="s">
        <v>97</v>
      </c>
      <c r="CF18" s="35">
        <v>0</v>
      </c>
      <c r="CG18" s="35" t="s">
        <v>97</v>
      </c>
      <c r="CH18" s="35">
        <v>1</v>
      </c>
      <c r="CI18" s="35" t="s">
        <v>376</v>
      </c>
      <c r="CJ18" s="35" t="s">
        <v>377</v>
      </c>
      <c r="CK18" s="35">
        <v>64</v>
      </c>
      <c r="CL18" s="35">
        <v>0</v>
      </c>
      <c r="CM18" s="35">
        <v>0</v>
      </c>
      <c r="CN18" s="35" t="s">
        <v>99</v>
      </c>
      <c r="CO18" s="35" t="s">
        <v>97</v>
      </c>
      <c r="CP18" s="35" t="s">
        <v>100</v>
      </c>
      <c r="CQ18" s="35" t="s">
        <v>101</v>
      </c>
      <c r="CR18" s="36">
        <v>45847</v>
      </c>
      <c r="CT18" s="37" t="s">
        <v>384</v>
      </c>
    </row>
    <row r="19" spans="1:98" s="35" customFormat="1" x14ac:dyDescent="0.35">
      <c r="A19" s="34" t="s">
        <v>293</v>
      </c>
      <c r="B19" s="34" t="s">
        <v>351</v>
      </c>
      <c r="C19" s="35" t="s">
        <v>316</v>
      </c>
      <c r="D19" s="35">
        <v>2019</v>
      </c>
      <c r="E19" s="34" t="s">
        <v>318</v>
      </c>
      <c r="F19" s="34" t="s">
        <v>319</v>
      </c>
      <c r="G19" s="35" t="s">
        <v>78</v>
      </c>
      <c r="H19" s="35">
        <v>1</v>
      </c>
      <c r="I19" s="35" t="s">
        <v>290</v>
      </c>
      <c r="J19" s="35" t="s">
        <v>79</v>
      </c>
      <c r="K19" s="35">
        <v>657</v>
      </c>
      <c r="L19" s="35" t="s">
        <v>129</v>
      </c>
      <c r="M19" s="35" t="s">
        <v>381</v>
      </c>
      <c r="N19" s="35">
        <v>-7.0000000000000007E-2</v>
      </c>
      <c r="O19" s="35">
        <v>0.14000000000000001</v>
      </c>
      <c r="P19" s="89">
        <f t="shared" si="0"/>
        <v>-0.5</v>
      </c>
      <c r="Q19" s="35" t="s">
        <v>312</v>
      </c>
      <c r="R19" s="89">
        <f t="shared" si="1"/>
        <v>-0.34440000000000004</v>
      </c>
      <c r="S19" s="89">
        <f t="shared" si="2"/>
        <v>0.20440000000000003</v>
      </c>
      <c r="T19" s="35">
        <v>1</v>
      </c>
      <c r="U19" s="35">
        <v>4443</v>
      </c>
      <c r="V19" s="35" t="s">
        <v>312</v>
      </c>
      <c r="W19" s="35">
        <v>0</v>
      </c>
      <c r="X19" s="35">
        <f t="shared" si="3"/>
        <v>4443</v>
      </c>
      <c r="Y19" s="89">
        <f t="shared" si="4"/>
        <v>-7.5010080156827112E-3</v>
      </c>
      <c r="Z19" s="89">
        <f t="shared" si="5"/>
        <v>1.5002016031365424E-2</v>
      </c>
      <c r="AA19" s="89">
        <f t="shared" si="6"/>
        <v>-7.5010080156827112E-3</v>
      </c>
      <c r="AB19" s="35" t="s">
        <v>81</v>
      </c>
      <c r="AC19" s="89">
        <f t="shared" si="14"/>
        <v>-4.8195000000000009E-3</v>
      </c>
      <c r="AD19" s="89" cm="1">
        <f t="array" ref="AD19">_xlfn.IFS(
AND(L19="marginal_effect",M19="level"),N19*AN19/BF19, AND(L19="marginal_effect",M19="percent_of_mean"),N19*AN19/100,
AND(L19="marginal_effect",M19="sd (Y)"),N19*BH19*AN19/BF19,
AND(L19="marginal_effect",M19="sd (X)"),N19/AQ19*AN19/BF19,
AND(L19="semi_elasticity",M19="level"),N19*AN19,
AND(L19="semi_elasticity",M19="sd (Y)"),N19*AN19*BH19,
AND(L19="semi_elasticity",M19="sd (X)"),N19*AN19/AQ19,
AND(L19="level-log",M19="level"),N19/BF19,
AND(L19="level-log",M19="sd (X)"),N19/BF19/AQ19,
AND(L19="level-log",M19="sd (Y)"),N19/BF19*BH19,
AND(L19="elasticity",M19="level"),N19,
AND(L19="elasticity",M19="sd (X)"),N19/AQ19,
AND(L19="elasticity",M19="sd (Y)"),N19*BH19,
AND(L19="marginal_effect",M19="percent_of_mean"),N19*AN19/BF19/10)</f>
        <v>-4.8195000000000009E-3</v>
      </c>
      <c r="AE19" s="49">
        <f t="shared" si="8"/>
        <v>1</v>
      </c>
      <c r="AF19" s="89">
        <f t="shared" si="15"/>
        <v>9.6390000000000017E-3</v>
      </c>
      <c r="AG19" s="89" cm="1">
        <f t="array" ref="AG19">_xlfn.IFS(
AND(L19="marginal_effect",M19="level"),O19*AN19/BF19,
AND(L19="marginal_effect",M19="sd (Y)"),O19*BH19*AN19/BF19,
AND(L19="marginal_effect",M19="sd (X)"),O19/AQ19*AN19/BF19,
AND(L19="semi_elasticity",M19="level"),O19*AN19,
AND(L19="semi_elasticity",M19="sd (Y)"),O19*AN19*BH19,
AND(L19="semi_elasticity",M19="sd (X)"),O19*AN19/AQ19,
AND(L19="level-log",M19="level"),O19/BF19,
AND(L19="level-log",M19="sd (X)"),O19/BF19/AQ19,
AND(L19="level-log",M19="sd (Y)"),O19/BF19*BH19,
AND(L19="elasticity",M19="level"),O19,
AND(L19="elasticity",M19="sd (X)"),O19/AQ19,
AND(L19="elasticity",M19="sd (Y)"),O19*BH19,
AND(L19="marginal_effect",M19="percent_of_mean"),O19*AN19/BF19/10)</f>
        <v>8.5756227758007121E-4</v>
      </c>
      <c r="AH19" s="49">
        <f t="shared" si="10"/>
        <v>0</v>
      </c>
      <c r="AI19" s="89">
        <f t="shared" si="11"/>
        <v>-4.8195000000000009E-3</v>
      </c>
      <c r="AJ19" s="49">
        <v>0</v>
      </c>
      <c r="AK19" s="49">
        <f t="shared" si="12"/>
        <v>1</v>
      </c>
      <c r="AL19" s="35" t="s">
        <v>82</v>
      </c>
      <c r="AM19" s="35" t="s">
        <v>296</v>
      </c>
      <c r="AN19" s="35">
        <v>6.8849999999999998</v>
      </c>
      <c r="AO19" s="35">
        <v>0</v>
      </c>
      <c r="AP19" s="35">
        <f t="shared" si="13"/>
        <v>68.849999999999994</v>
      </c>
      <c r="AQ19" s="35">
        <v>35.299999999999997</v>
      </c>
      <c r="AR19" s="35">
        <v>15.39</v>
      </c>
      <c r="AS19" s="35">
        <v>224.67</v>
      </c>
      <c r="AT19" s="35" t="s">
        <v>83</v>
      </c>
      <c r="AV19" s="35" t="s">
        <v>133</v>
      </c>
      <c r="AW19" s="35" t="s">
        <v>85</v>
      </c>
      <c r="AX19" s="35" t="s">
        <v>110</v>
      </c>
      <c r="AY19" s="35">
        <v>0</v>
      </c>
      <c r="AZ19" s="35">
        <v>10</v>
      </c>
      <c r="BA19" s="35" t="s">
        <v>87</v>
      </c>
      <c r="BB19" s="35" t="s">
        <v>88</v>
      </c>
      <c r="BC19" s="35" t="s">
        <v>89</v>
      </c>
      <c r="BD19" s="35" t="s">
        <v>114</v>
      </c>
      <c r="BE19" s="35" t="s">
        <v>291</v>
      </c>
      <c r="BF19" s="35">
        <v>112.4</v>
      </c>
      <c r="BG19" s="35">
        <v>0</v>
      </c>
      <c r="BH19" s="35" t="s">
        <v>312</v>
      </c>
      <c r="BI19" s="35" t="s">
        <v>312</v>
      </c>
      <c r="BJ19" s="35" t="s">
        <v>312</v>
      </c>
      <c r="BK19" s="35" t="s">
        <v>91</v>
      </c>
      <c r="BL19" s="35" t="s">
        <v>84</v>
      </c>
      <c r="BM19" s="35">
        <v>1</v>
      </c>
      <c r="BN19" s="35" t="s">
        <v>2177</v>
      </c>
      <c r="BO19" s="35" t="s">
        <v>289</v>
      </c>
      <c r="BP19" s="35" t="s">
        <v>315</v>
      </c>
      <c r="BQ19" s="35" t="s">
        <v>117</v>
      </c>
      <c r="BR19" s="35" t="s">
        <v>93</v>
      </c>
      <c r="BS19" s="35" t="s">
        <v>312</v>
      </c>
      <c r="BT19" s="35" t="s">
        <v>312</v>
      </c>
      <c r="BU19" s="36">
        <v>41883</v>
      </c>
      <c r="BV19" s="36">
        <v>42155</v>
      </c>
      <c r="BW19" s="35" t="s">
        <v>94</v>
      </c>
      <c r="BX19" s="35" t="s">
        <v>95</v>
      </c>
      <c r="BY19" s="35" t="s">
        <v>96</v>
      </c>
      <c r="BZ19" s="35">
        <v>0</v>
      </c>
      <c r="CA19" s="35">
        <v>0</v>
      </c>
      <c r="CB19" s="35" t="s">
        <v>97</v>
      </c>
      <c r="CC19" s="35" t="s">
        <v>314</v>
      </c>
      <c r="CD19" s="35">
        <v>0</v>
      </c>
      <c r="CE19" s="35" t="s">
        <v>97</v>
      </c>
      <c r="CF19" s="35">
        <v>0</v>
      </c>
      <c r="CG19" s="35" t="s">
        <v>97</v>
      </c>
      <c r="CH19" s="35">
        <v>1</v>
      </c>
      <c r="CI19" s="35" t="s">
        <v>376</v>
      </c>
      <c r="CJ19" s="35" t="s">
        <v>377</v>
      </c>
      <c r="CK19" s="35">
        <v>64</v>
      </c>
      <c r="CL19" s="35">
        <v>0</v>
      </c>
      <c r="CM19" s="35">
        <v>0</v>
      </c>
      <c r="CN19" s="35" t="s">
        <v>99</v>
      </c>
      <c r="CO19" s="35" t="s">
        <v>97</v>
      </c>
      <c r="CP19" s="35" t="s">
        <v>100</v>
      </c>
      <c r="CQ19" s="35" t="s">
        <v>101</v>
      </c>
      <c r="CR19" s="36">
        <v>45847</v>
      </c>
      <c r="CT19" s="37" t="s">
        <v>384</v>
      </c>
    </row>
    <row r="20" spans="1:98" s="35" customFormat="1" x14ac:dyDescent="0.35">
      <c r="A20" s="34" t="s">
        <v>293</v>
      </c>
      <c r="B20" s="34" t="s">
        <v>352</v>
      </c>
      <c r="C20" s="35" t="s">
        <v>316</v>
      </c>
      <c r="D20" s="35">
        <v>2019</v>
      </c>
      <c r="E20" s="34" t="s">
        <v>318</v>
      </c>
      <c r="F20" s="34" t="s">
        <v>319</v>
      </c>
      <c r="G20" s="35" t="s">
        <v>78</v>
      </c>
      <c r="H20" s="35">
        <v>1</v>
      </c>
      <c r="I20" s="35" t="s">
        <v>290</v>
      </c>
      <c r="J20" s="35" t="s">
        <v>79</v>
      </c>
      <c r="K20" s="35">
        <v>657</v>
      </c>
      <c r="L20" s="35" t="s">
        <v>129</v>
      </c>
      <c r="M20" s="35" t="s">
        <v>381</v>
      </c>
      <c r="N20" s="35">
        <v>-0.16</v>
      </c>
      <c r="O20" s="35">
        <v>0.17</v>
      </c>
      <c r="P20" s="89">
        <f t="shared" si="0"/>
        <v>-0.94117647058823528</v>
      </c>
      <c r="Q20" s="35" t="s">
        <v>312</v>
      </c>
      <c r="R20" s="89">
        <f t="shared" si="1"/>
        <v>-0.49319999999999997</v>
      </c>
      <c r="S20" s="89">
        <f t="shared" si="2"/>
        <v>0.17319999999999999</v>
      </c>
      <c r="T20" s="35">
        <v>1</v>
      </c>
      <c r="U20" s="35">
        <v>4443</v>
      </c>
      <c r="V20" s="35" t="s">
        <v>312</v>
      </c>
      <c r="W20" s="35">
        <v>0</v>
      </c>
      <c r="X20" s="35">
        <f t="shared" si="3"/>
        <v>4443</v>
      </c>
      <c r="Y20" s="89">
        <f t="shared" si="4"/>
        <v>-1.4118534380411512E-2</v>
      </c>
      <c r="Z20" s="89">
        <f t="shared" si="5"/>
        <v>1.500094277918723E-2</v>
      </c>
      <c r="AA20" s="89">
        <f t="shared" si="6"/>
        <v>-1.4118534380411512E-2</v>
      </c>
      <c r="AB20" s="35" t="s">
        <v>81</v>
      </c>
      <c r="AC20" s="89">
        <f t="shared" si="14"/>
        <v>-1.1016E-2</v>
      </c>
      <c r="AD20" s="89" cm="1">
        <f t="array" ref="AD20">_xlfn.IFS(
AND(L20="marginal_effect",M20="level"),N20*AN20/BF20, AND(L20="marginal_effect",M20="percent_of_mean"),N20*AN20/100,
AND(L20="marginal_effect",M20="sd (Y)"),N20*BH20*AN20/BF20,
AND(L20="marginal_effect",M20="sd (X)"),N20/AQ20*AN20/BF20,
AND(L20="semi_elasticity",M20="level"),N20*AN20,
AND(L20="semi_elasticity",M20="sd (Y)"),N20*AN20*BH20,
AND(L20="semi_elasticity",M20="sd (X)"),N20*AN20/AQ20,
AND(L20="level-log",M20="level"),N20/BF20,
AND(L20="level-log",M20="sd (X)"),N20/BF20/AQ20,
AND(L20="level-log",M20="sd (Y)"),N20/BF20*BH20,
AND(L20="elasticity",M20="level"),N20,
AND(L20="elasticity",M20="sd (X)"),N20/AQ20,
AND(L20="elasticity",M20="sd (Y)"),N20*BH20,
AND(L20="marginal_effect",M20="percent_of_mean"),N20*AN20/BF20/10)</f>
        <v>-1.1016E-2</v>
      </c>
      <c r="AE20" s="49">
        <f t="shared" si="8"/>
        <v>1</v>
      </c>
      <c r="AF20" s="89">
        <f t="shared" si="15"/>
        <v>1.17045E-2</v>
      </c>
      <c r="AG20" s="89" cm="1">
        <f t="array" ref="AG20">_xlfn.IFS(
AND(L20="marginal_effect",M20="level"),O20*AN20/BF20,
AND(L20="marginal_effect",M20="sd (Y)"),O20*BH20*AN20/BF20,
AND(L20="marginal_effect",M20="sd (X)"),O20/AQ20*AN20/BF20,
AND(L20="semi_elasticity",M20="level"),O20*AN20,
AND(L20="semi_elasticity",M20="sd (Y)"),O20*AN20*BH20,
AND(L20="semi_elasticity",M20="sd (X)"),O20*AN20/AQ20,
AND(L20="level-log",M20="level"),O20/BF20,
AND(L20="level-log",M20="sd (X)"),O20/BF20/AQ20,
AND(L20="level-log",M20="sd (Y)"),O20/BF20*BH20,
AND(L20="elasticity",M20="level"),O20,
AND(L20="elasticity",M20="sd (X)"),O20/AQ20,
AND(L20="elasticity",M20="sd (Y)"),O20*BH20,
AND(L20="marginal_effect",M20="percent_of_mean"),O20*AN20/BF20/10)</f>
        <v>1.0413256227758006E-3</v>
      </c>
      <c r="AH20" s="49">
        <f t="shared" si="10"/>
        <v>0</v>
      </c>
      <c r="AI20" s="89">
        <f t="shared" si="11"/>
        <v>-1.1016E-2</v>
      </c>
      <c r="AJ20" s="49">
        <v>0</v>
      </c>
      <c r="AK20" s="49">
        <f t="shared" si="12"/>
        <v>1</v>
      </c>
      <c r="AL20" s="35" t="s">
        <v>82</v>
      </c>
      <c r="AM20" s="35" t="s">
        <v>296</v>
      </c>
      <c r="AN20" s="35">
        <v>6.8849999999999998</v>
      </c>
      <c r="AO20" s="35">
        <v>0</v>
      </c>
      <c r="AP20" s="35">
        <f t="shared" si="13"/>
        <v>68.849999999999994</v>
      </c>
      <c r="AQ20" s="35">
        <v>35.299999999999997</v>
      </c>
      <c r="AR20" s="35">
        <v>15.39</v>
      </c>
      <c r="AS20" s="35">
        <v>224.67</v>
      </c>
      <c r="AT20" s="35" t="s">
        <v>83</v>
      </c>
      <c r="AV20" s="35" t="s">
        <v>133</v>
      </c>
      <c r="AW20" s="35" t="s">
        <v>85</v>
      </c>
      <c r="AX20" s="35" t="s">
        <v>110</v>
      </c>
      <c r="AY20" s="35">
        <v>0</v>
      </c>
      <c r="AZ20" s="35">
        <v>15</v>
      </c>
      <c r="BA20" s="35" t="s">
        <v>87</v>
      </c>
      <c r="BB20" s="35" t="s">
        <v>88</v>
      </c>
      <c r="BC20" s="35" t="s">
        <v>89</v>
      </c>
      <c r="BD20" s="35" t="s">
        <v>114</v>
      </c>
      <c r="BE20" s="35" t="s">
        <v>291</v>
      </c>
      <c r="BF20" s="35">
        <v>112.4</v>
      </c>
      <c r="BG20" s="35">
        <v>0</v>
      </c>
      <c r="BH20" s="35" t="s">
        <v>312</v>
      </c>
      <c r="BI20" s="35" t="s">
        <v>312</v>
      </c>
      <c r="BJ20" s="35" t="s">
        <v>312</v>
      </c>
      <c r="BK20" s="35" t="s">
        <v>91</v>
      </c>
      <c r="BL20" s="35" t="s">
        <v>84</v>
      </c>
      <c r="BM20" s="35">
        <v>1</v>
      </c>
      <c r="BN20" s="35" t="s">
        <v>2177</v>
      </c>
      <c r="BO20" s="35" t="s">
        <v>289</v>
      </c>
      <c r="BP20" s="35" t="s">
        <v>315</v>
      </c>
      <c r="BQ20" s="35" t="s">
        <v>117</v>
      </c>
      <c r="BR20" s="35" t="s">
        <v>93</v>
      </c>
      <c r="BS20" s="35" t="s">
        <v>312</v>
      </c>
      <c r="BT20" s="35" t="s">
        <v>312</v>
      </c>
      <c r="BU20" s="36">
        <v>41883</v>
      </c>
      <c r="BV20" s="36">
        <v>42155</v>
      </c>
      <c r="BW20" s="35" t="s">
        <v>94</v>
      </c>
      <c r="BX20" s="35" t="s">
        <v>95</v>
      </c>
      <c r="BY20" s="35" t="s">
        <v>96</v>
      </c>
      <c r="BZ20" s="35">
        <v>0</v>
      </c>
      <c r="CA20" s="35">
        <v>0</v>
      </c>
      <c r="CB20" s="35" t="s">
        <v>97</v>
      </c>
      <c r="CC20" s="35" t="s">
        <v>314</v>
      </c>
      <c r="CD20" s="35">
        <v>0</v>
      </c>
      <c r="CE20" s="35" t="s">
        <v>97</v>
      </c>
      <c r="CF20" s="35">
        <v>0</v>
      </c>
      <c r="CG20" s="35" t="s">
        <v>97</v>
      </c>
      <c r="CH20" s="35">
        <v>1</v>
      </c>
      <c r="CI20" s="35" t="s">
        <v>376</v>
      </c>
      <c r="CJ20" s="35" t="s">
        <v>377</v>
      </c>
      <c r="CK20" s="35">
        <v>64</v>
      </c>
      <c r="CL20" s="35">
        <v>0</v>
      </c>
      <c r="CM20" s="35">
        <v>0</v>
      </c>
      <c r="CN20" s="35" t="s">
        <v>99</v>
      </c>
      <c r="CO20" s="35" t="s">
        <v>97</v>
      </c>
      <c r="CP20" s="35" t="s">
        <v>100</v>
      </c>
      <c r="CQ20" s="35" t="s">
        <v>101</v>
      </c>
      <c r="CR20" s="36">
        <v>45847</v>
      </c>
      <c r="CT20" s="37" t="s">
        <v>384</v>
      </c>
    </row>
    <row r="21" spans="1:98" s="35" customFormat="1" x14ac:dyDescent="0.35">
      <c r="A21" s="34" t="s">
        <v>293</v>
      </c>
      <c r="B21" s="34" t="s">
        <v>353</v>
      </c>
      <c r="C21" s="35" t="s">
        <v>316</v>
      </c>
      <c r="D21" s="35">
        <v>2019</v>
      </c>
      <c r="E21" s="34" t="s">
        <v>318</v>
      </c>
      <c r="F21" s="34" t="s">
        <v>319</v>
      </c>
      <c r="G21" s="35" t="s">
        <v>78</v>
      </c>
      <c r="H21" s="35">
        <v>1</v>
      </c>
      <c r="I21" s="35" t="s">
        <v>290</v>
      </c>
      <c r="J21" s="35" t="s">
        <v>79</v>
      </c>
      <c r="K21" s="35">
        <v>657</v>
      </c>
      <c r="L21" s="35" t="s">
        <v>129</v>
      </c>
      <c r="M21" s="35" t="s">
        <v>381</v>
      </c>
      <c r="N21" s="35">
        <v>-0.37</v>
      </c>
      <c r="O21" s="35">
        <v>0.18</v>
      </c>
      <c r="P21" s="89">
        <f t="shared" si="0"/>
        <v>-2.0555555555555558</v>
      </c>
      <c r="Q21" s="35" t="s">
        <v>312</v>
      </c>
      <c r="R21" s="89">
        <f t="shared" si="1"/>
        <v>-0.7228</v>
      </c>
      <c r="S21" s="89">
        <f t="shared" si="2"/>
        <v>-1.7199999999999993E-2</v>
      </c>
      <c r="T21" s="35">
        <v>1</v>
      </c>
      <c r="U21" s="35">
        <v>4443</v>
      </c>
      <c r="V21" s="35" t="s">
        <v>312</v>
      </c>
      <c r="W21" s="35">
        <v>0</v>
      </c>
      <c r="X21" s="35">
        <f t="shared" si="3"/>
        <v>4443</v>
      </c>
      <c r="Y21" s="89">
        <f t="shared" si="4"/>
        <v>-3.0823691734933229E-2</v>
      </c>
      <c r="Z21" s="89">
        <f t="shared" si="5"/>
        <v>1.4995309492670217E-2</v>
      </c>
      <c r="AA21" s="89">
        <f t="shared" si="6"/>
        <v>-3.0823691734933229E-2</v>
      </c>
      <c r="AB21" s="35" t="s">
        <v>81</v>
      </c>
      <c r="AC21" s="89">
        <f t="shared" si="14"/>
        <v>-2.5474500000000001E-2</v>
      </c>
      <c r="AD21" s="89" cm="1">
        <f t="array" ref="AD21">_xlfn.IFS(
AND(L21="marginal_effect",M21="level"),N21*AN21/BF21, AND(L21="marginal_effect",M21="percent_of_mean"),N21*AN21/100,
AND(L21="marginal_effect",M21="sd (Y)"),N21*BH21*AN21/BF21,
AND(L21="marginal_effect",M21="sd (X)"),N21/AQ21*AN21/BF21,
AND(L21="semi_elasticity",M21="level"),N21*AN21,
AND(L21="semi_elasticity",M21="sd (Y)"),N21*AN21*BH21,
AND(L21="semi_elasticity",M21="sd (X)"),N21*AN21/AQ21,
AND(L21="level-log",M21="level"),N21/BF21,
AND(L21="level-log",M21="sd (X)"),N21/BF21/AQ21,
AND(L21="level-log",M21="sd (Y)"),N21/BF21*BH21,
AND(L21="elasticity",M21="level"),N21,
AND(L21="elasticity",M21="sd (X)"),N21/AQ21,
AND(L21="elasticity",M21="sd (Y)"),N21*BH21,
AND(L21="marginal_effect",M21="percent_of_mean"),N21*AN21/BF21/10)</f>
        <v>-2.5474500000000001E-2</v>
      </c>
      <c r="AE21" s="49">
        <f t="shared" si="8"/>
        <v>1</v>
      </c>
      <c r="AF21" s="89">
        <f t="shared" si="15"/>
        <v>1.2392999999999998E-2</v>
      </c>
      <c r="AG21" s="89" cm="1">
        <f t="array" ref="AG21">_xlfn.IFS(
AND(L21="marginal_effect",M21="level"),O21*AN21/BF21,
AND(L21="marginal_effect",M21="sd (Y)"),O21*BH21*AN21/BF21,
AND(L21="marginal_effect",M21="sd (X)"),O21/AQ21*AN21/BF21,
AND(L21="semi_elasticity",M21="level"),O21*AN21,
AND(L21="semi_elasticity",M21="sd (Y)"),O21*AN21*BH21,
AND(L21="semi_elasticity",M21="sd (X)"),O21*AN21/AQ21,
AND(L21="level-log",M21="level"),O21/BF21,
AND(L21="level-log",M21="sd (X)"),O21/BF21/AQ21,
AND(L21="level-log",M21="sd (Y)"),O21/BF21*BH21,
AND(L21="elasticity",M21="level"),O21,
AND(L21="elasticity",M21="sd (X)"),O21/AQ21,
AND(L21="elasticity",M21="sd (Y)"),O21*BH21,
AND(L21="marginal_effect",M21="percent_of_mean"),O21*AN21/BF21/10)</f>
        <v>1.1025800711743771E-3</v>
      </c>
      <c r="AH21" s="49">
        <f t="shared" si="10"/>
        <v>0</v>
      </c>
      <c r="AI21" s="89">
        <f t="shared" si="11"/>
        <v>-2.5474500000000001E-2</v>
      </c>
      <c r="AJ21" s="49">
        <v>0</v>
      </c>
      <c r="AK21" s="49">
        <f t="shared" si="12"/>
        <v>1</v>
      </c>
      <c r="AL21" s="35" t="s">
        <v>82</v>
      </c>
      <c r="AM21" s="35" t="s">
        <v>296</v>
      </c>
      <c r="AN21" s="35">
        <v>6.8849999999999998</v>
      </c>
      <c r="AO21" s="35">
        <v>0</v>
      </c>
      <c r="AP21" s="35">
        <f t="shared" si="13"/>
        <v>68.849999999999994</v>
      </c>
      <c r="AQ21" s="35">
        <v>35.299999999999997</v>
      </c>
      <c r="AR21" s="35">
        <v>15.39</v>
      </c>
      <c r="AS21" s="35">
        <v>224.67</v>
      </c>
      <c r="AT21" s="35" t="s">
        <v>83</v>
      </c>
      <c r="AV21" s="35" t="s">
        <v>133</v>
      </c>
      <c r="AW21" s="35" t="s">
        <v>85</v>
      </c>
      <c r="AX21" s="35" t="s">
        <v>110</v>
      </c>
      <c r="AY21" s="35">
        <v>0</v>
      </c>
      <c r="AZ21" s="35">
        <v>20</v>
      </c>
      <c r="BA21" s="35" t="s">
        <v>87</v>
      </c>
      <c r="BB21" s="35" t="s">
        <v>88</v>
      </c>
      <c r="BC21" s="35" t="s">
        <v>89</v>
      </c>
      <c r="BD21" s="35" t="s">
        <v>114</v>
      </c>
      <c r="BE21" s="35" t="s">
        <v>291</v>
      </c>
      <c r="BF21" s="35">
        <v>112.4</v>
      </c>
      <c r="BG21" s="35">
        <v>0</v>
      </c>
      <c r="BH21" s="35" t="s">
        <v>312</v>
      </c>
      <c r="BI21" s="35" t="s">
        <v>312</v>
      </c>
      <c r="BJ21" s="35" t="s">
        <v>312</v>
      </c>
      <c r="BK21" s="35" t="s">
        <v>91</v>
      </c>
      <c r="BL21" s="35" t="s">
        <v>84</v>
      </c>
      <c r="BM21" s="35">
        <v>1</v>
      </c>
      <c r="BN21" s="35" t="s">
        <v>2177</v>
      </c>
      <c r="BO21" s="35" t="s">
        <v>289</v>
      </c>
      <c r="BP21" s="35" t="s">
        <v>315</v>
      </c>
      <c r="BQ21" s="35" t="s">
        <v>117</v>
      </c>
      <c r="BR21" s="35" t="s">
        <v>93</v>
      </c>
      <c r="BS21" s="35" t="s">
        <v>312</v>
      </c>
      <c r="BT21" s="35" t="s">
        <v>312</v>
      </c>
      <c r="BU21" s="36">
        <v>41883</v>
      </c>
      <c r="BV21" s="36">
        <v>42155</v>
      </c>
      <c r="BW21" s="35" t="s">
        <v>94</v>
      </c>
      <c r="BX21" s="35" t="s">
        <v>95</v>
      </c>
      <c r="BY21" s="35" t="s">
        <v>96</v>
      </c>
      <c r="BZ21" s="35">
        <v>0</v>
      </c>
      <c r="CA21" s="35">
        <v>0</v>
      </c>
      <c r="CB21" s="35" t="s">
        <v>97</v>
      </c>
      <c r="CC21" s="35" t="s">
        <v>314</v>
      </c>
      <c r="CD21" s="35">
        <v>0</v>
      </c>
      <c r="CE21" s="35" t="s">
        <v>97</v>
      </c>
      <c r="CF21" s="35">
        <v>0</v>
      </c>
      <c r="CG21" s="35" t="s">
        <v>97</v>
      </c>
      <c r="CH21" s="35">
        <v>1</v>
      </c>
      <c r="CI21" s="35" t="s">
        <v>376</v>
      </c>
      <c r="CJ21" s="35" t="s">
        <v>377</v>
      </c>
      <c r="CK21" s="35">
        <v>64</v>
      </c>
      <c r="CL21" s="35">
        <v>0</v>
      </c>
      <c r="CM21" s="35">
        <v>0</v>
      </c>
      <c r="CN21" s="35" t="s">
        <v>99</v>
      </c>
      <c r="CO21" s="35" t="s">
        <v>97</v>
      </c>
      <c r="CP21" s="35" t="s">
        <v>100</v>
      </c>
      <c r="CQ21" s="35" t="s">
        <v>101</v>
      </c>
      <c r="CR21" s="36">
        <v>45847</v>
      </c>
      <c r="CT21" s="37" t="s">
        <v>384</v>
      </c>
    </row>
    <row r="22" spans="1:98" s="35" customFormat="1" x14ac:dyDescent="0.35">
      <c r="A22" s="34" t="s">
        <v>293</v>
      </c>
      <c r="B22" s="34" t="s">
        <v>354</v>
      </c>
      <c r="C22" s="35" t="s">
        <v>316</v>
      </c>
      <c r="D22" s="35">
        <v>2019</v>
      </c>
      <c r="E22" s="34" t="s">
        <v>318</v>
      </c>
      <c r="F22" s="34" t="s">
        <v>319</v>
      </c>
      <c r="G22" s="35" t="s">
        <v>78</v>
      </c>
      <c r="H22" s="35">
        <v>1</v>
      </c>
      <c r="I22" s="35" t="s">
        <v>290</v>
      </c>
      <c r="J22" s="35" t="s">
        <v>79</v>
      </c>
      <c r="K22" s="35">
        <v>657</v>
      </c>
      <c r="L22" s="35" t="s">
        <v>129</v>
      </c>
      <c r="M22" s="35" t="s">
        <v>381</v>
      </c>
      <c r="N22" s="35">
        <v>-0.56999999999999995</v>
      </c>
      <c r="O22" s="35">
        <v>0.19</v>
      </c>
      <c r="P22" s="89">
        <f t="shared" si="0"/>
        <v>-2.9999999999999996</v>
      </c>
      <c r="Q22" s="35" t="s">
        <v>312</v>
      </c>
      <c r="R22" s="89">
        <f t="shared" si="1"/>
        <v>-0.9423999999999999</v>
      </c>
      <c r="S22" s="89">
        <f t="shared" si="2"/>
        <v>-0.19759999999999994</v>
      </c>
      <c r="T22" s="35">
        <v>1</v>
      </c>
      <c r="U22" s="35">
        <v>4443</v>
      </c>
      <c r="V22" s="35" t="s">
        <v>312</v>
      </c>
      <c r="W22" s="35">
        <v>0</v>
      </c>
      <c r="X22" s="35">
        <f t="shared" si="3"/>
        <v>4443</v>
      </c>
      <c r="Y22" s="89">
        <f t="shared" si="4"/>
        <v>-4.4961798699763543E-2</v>
      </c>
      <c r="Z22" s="89">
        <f t="shared" si="5"/>
        <v>1.4987266233254515E-2</v>
      </c>
      <c r="AA22" s="89">
        <f t="shared" si="6"/>
        <v>-4.4961798699763543E-2</v>
      </c>
      <c r="AB22" s="35" t="s">
        <v>81</v>
      </c>
      <c r="AC22" s="89">
        <f t="shared" si="14"/>
        <v>-3.9244499999999995E-2</v>
      </c>
      <c r="AD22" s="89" cm="1">
        <f t="array" ref="AD22">_xlfn.IFS(
AND(L22="marginal_effect",M22="level"),N22*AN22/BF22, AND(L22="marginal_effect",M22="percent_of_mean"),N22*AN22/100,
AND(L22="marginal_effect",M22="sd (Y)"),N22*BH22*AN22/BF22,
AND(L22="marginal_effect",M22="sd (X)"),N22/AQ22*AN22/BF22,
AND(L22="semi_elasticity",M22="level"),N22*AN22,
AND(L22="semi_elasticity",M22="sd (Y)"),N22*AN22*BH22,
AND(L22="semi_elasticity",M22="sd (X)"),N22*AN22/AQ22,
AND(L22="level-log",M22="level"),N22/BF22,
AND(L22="level-log",M22="sd (X)"),N22/BF22/AQ22,
AND(L22="level-log",M22="sd (Y)"),N22/BF22*BH22,
AND(L22="elasticity",M22="level"),N22,
AND(L22="elasticity",M22="sd (X)"),N22/AQ22,
AND(L22="elasticity",M22="sd (Y)"),N22*BH22,
AND(L22="marginal_effect",M22="percent_of_mean"),N22*AN22/BF22/10)</f>
        <v>-3.9244499999999995E-2</v>
      </c>
      <c r="AE22" s="49">
        <f t="shared" si="8"/>
        <v>1</v>
      </c>
      <c r="AF22" s="89">
        <f t="shared" si="15"/>
        <v>1.3081499999999999E-2</v>
      </c>
      <c r="AG22" s="89" cm="1">
        <f t="array" ref="AG22">_xlfn.IFS(
AND(L22="marginal_effect",M22="level"),O22*AN22/BF22,
AND(L22="marginal_effect",M22="sd (Y)"),O22*BH22*AN22/BF22,
AND(L22="marginal_effect",M22="sd (X)"),O22/AQ22*AN22/BF22,
AND(L22="semi_elasticity",M22="level"),O22*AN22,
AND(L22="semi_elasticity",M22="sd (Y)"),O22*AN22*BH22,
AND(L22="semi_elasticity",M22="sd (X)"),O22*AN22/AQ22,
AND(L22="level-log",M22="level"),O22/BF22,
AND(L22="level-log",M22="sd (X)"),O22/BF22/AQ22,
AND(L22="level-log",M22="sd (Y)"),O22/BF22*BH22,
AND(L22="elasticity",M22="level"),O22,
AND(L22="elasticity",M22="sd (X)"),O22/AQ22,
AND(L22="elasticity",M22="sd (Y)"),O22*BH22,
AND(L22="marginal_effect",M22="percent_of_mean"),O22*AN22/BF22/10)</f>
        <v>1.1638345195729535E-3</v>
      </c>
      <c r="AH22" s="49">
        <f t="shared" si="10"/>
        <v>0</v>
      </c>
      <c r="AI22" s="89">
        <f t="shared" si="11"/>
        <v>-3.9244499999999995E-2</v>
      </c>
      <c r="AJ22" s="49">
        <v>0</v>
      </c>
      <c r="AK22" s="49">
        <f t="shared" si="12"/>
        <v>1</v>
      </c>
      <c r="AL22" s="35" t="s">
        <v>82</v>
      </c>
      <c r="AM22" s="35" t="s">
        <v>296</v>
      </c>
      <c r="AN22" s="35">
        <v>6.8849999999999998</v>
      </c>
      <c r="AO22" s="35">
        <v>0</v>
      </c>
      <c r="AP22" s="35">
        <f t="shared" si="13"/>
        <v>68.849999999999994</v>
      </c>
      <c r="AQ22" s="35">
        <v>35.299999999999997</v>
      </c>
      <c r="AR22" s="35">
        <v>15.39</v>
      </c>
      <c r="AS22" s="35">
        <v>224.67</v>
      </c>
      <c r="AT22" s="35" t="s">
        <v>83</v>
      </c>
      <c r="AV22" s="35" t="s">
        <v>133</v>
      </c>
      <c r="AW22" s="35" t="s">
        <v>85</v>
      </c>
      <c r="AX22" s="35" t="s">
        <v>110</v>
      </c>
      <c r="AY22" s="35">
        <v>0</v>
      </c>
      <c r="AZ22" s="35">
        <v>25</v>
      </c>
      <c r="BA22" s="35" t="s">
        <v>87</v>
      </c>
      <c r="BB22" s="35" t="s">
        <v>88</v>
      </c>
      <c r="BC22" s="35" t="s">
        <v>89</v>
      </c>
      <c r="BD22" s="35" t="s">
        <v>114</v>
      </c>
      <c r="BE22" s="35" t="s">
        <v>291</v>
      </c>
      <c r="BF22" s="35">
        <v>112.4</v>
      </c>
      <c r="BG22" s="35">
        <v>0</v>
      </c>
      <c r="BH22" s="35" t="s">
        <v>312</v>
      </c>
      <c r="BI22" s="35" t="s">
        <v>312</v>
      </c>
      <c r="BJ22" s="35" t="s">
        <v>312</v>
      </c>
      <c r="BK22" s="35" t="s">
        <v>91</v>
      </c>
      <c r="BL22" s="35" t="s">
        <v>84</v>
      </c>
      <c r="BM22" s="35">
        <v>1</v>
      </c>
      <c r="BN22" s="35" t="s">
        <v>2177</v>
      </c>
      <c r="BO22" s="35" t="s">
        <v>289</v>
      </c>
      <c r="BP22" s="35" t="s">
        <v>315</v>
      </c>
      <c r="BQ22" s="35" t="s">
        <v>117</v>
      </c>
      <c r="BR22" s="35" t="s">
        <v>93</v>
      </c>
      <c r="BS22" s="35" t="s">
        <v>312</v>
      </c>
      <c r="BT22" s="35" t="s">
        <v>312</v>
      </c>
      <c r="BU22" s="36">
        <v>41883</v>
      </c>
      <c r="BV22" s="36">
        <v>42155</v>
      </c>
      <c r="BW22" s="35" t="s">
        <v>94</v>
      </c>
      <c r="BX22" s="35" t="s">
        <v>95</v>
      </c>
      <c r="BY22" s="35" t="s">
        <v>96</v>
      </c>
      <c r="BZ22" s="35">
        <v>0</v>
      </c>
      <c r="CA22" s="35">
        <v>0</v>
      </c>
      <c r="CB22" s="35" t="s">
        <v>97</v>
      </c>
      <c r="CC22" s="35" t="s">
        <v>314</v>
      </c>
      <c r="CD22" s="35">
        <v>0</v>
      </c>
      <c r="CE22" s="35" t="s">
        <v>97</v>
      </c>
      <c r="CF22" s="35">
        <v>0</v>
      </c>
      <c r="CG22" s="35" t="s">
        <v>97</v>
      </c>
      <c r="CH22" s="35">
        <v>1</v>
      </c>
      <c r="CI22" s="35" t="s">
        <v>376</v>
      </c>
      <c r="CJ22" s="35" t="s">
        <v>377</v>
      </c>
      <c r="CK22" s="35">
        <v>64</v>
      </c>
      <c r="CL22" s="35">
        <v>0</v>
      </c>
      <c r="CM22" s="35">
        <v>0</v>
      </c>
      <c r="CN22" s="35" t="s">
        <v>99</v>
      </c>
      <c r="CO22" s="35" t="s">
        <v>97</v>
      </c>
      <c r="CP22" s="35" t="s">
        <v>100</v>
      </c>
      <c r="CQ22" s="35" t="s">
        <v>101</v>
      </c>
      <c r="CR22" s="36">
        <v>45847</v>
      </c>
      <c r="CT22" s="37" t="s">
        <v>384</v>
      </c>
    </row>
    <row r="23" spans="1:98" s="35" customFormat="1" x14ac:dyDescent="0.35">
      <c r="A23" s="34" t="s">
        <v>293</v>
      </c>
      <c r="B23" s="34" t="s">
        <v>355</v>
      </c>
      <c r="C23" s="35" t="s">
        <v>316</v>
      </c>
      <c r="D23" s="35">
        <v>2019</v>
      </c>
      <c r="E23" s="34" t="s">
        <v>318</v>
      </c>
      <c r="F23" s="34" t="s">
        <v>319</v>
      </c>
      <c r="G23" s="35" t="s">
        <v>78</v>
      </c>
      <c r="H23" s="35">
        <v>1</v>
      </c>
      <c r="I23" s="35" t="s">
        <v>290</v>
      </c>
      <c r="J23" s="35" t="s">
        <v>79</v>
      </c>
      <c r="K23" s="35">
        <v>657</v>
      </c>
      <c r="L23" s="35" t="s">
        <v>129</v>
      </c>
      <c r="M23" s="35" t="s">
        <v>381</v>
      </c>
      <c r="N23" s="35">
        <v>-0.47</v>
      </c>
      <c r="O23" s="35">
        <v>0.18</v>
      </c>
      <c r="P23" s="89">
        <f t="shared" si="0"/>
        <v>-2.6111111111111112</v>
      </c>
      <c r="Q23" s="35" t="s">
        <v>312</v>
      </c>
      <c r="R23" s="89">
        <f t="shared" si="1"/>
        <v>-0.82279999999999998</v>
      </c>
      <c r="S23" s="89">
        <f t="shared" si="2"/>
        <v>-0.11719999999999997</v>
      </c>
      <c r="T23" s="35">
        <v>1</v>
      </c>
      <c r="U23" s="35">
        <v>4443</v>
      </c>
      <c r="V23" s="35" t="s">
        <v>312</v>
      </c>
      <c r="W23" s="35">
        <v>0</v>
      </c>
      <c r="X23" s="35">
        <f t="shared" si="3"/>
        <v>4443</v>
      </c>
      <c r="Y23" s="89">
        <f t="shared" si="4"/>
        <v>-3.914301132050331E-2</v>
      </c>
      <c r="Z23" s="89">
        <f t="shared" si="5"/>
        <v>1.4990940505724672E-2</v>
      </c>
      <c r="AA23" s="89">
        <f t="shared" si="6"/>
        <v>-3.914301132050331E-2</v>
      </c>
      <c r="AB23" s="35" t="s">
        <v>81</v>
      </c>
      <c r="AC23" s="89">
        <f t="shared" si="14"/>
        <v>-3.2359499999999992E-2</v>
      </c>
      <c r="AD23" s="89" cm="1">
        <f t="array" ref="AD23">_xlfn.IFS(
AND(L23="marginal_effect",M23="level"),N23*AN23/BF23, AND(L23="marginal_effect",M23="percent_of_mean"),N23*AN23/100,
AND(L23="marginal_effect",M23="sd (Y)"),N23*BH23*AN23/BF23,
AND(L23="marginal_effect",M23="sd (X)"),N23/AQ23*AN23/BF23,
AND(L23="semi_elasticity",M23="level"),N23*AN23,
AND(L23="semi_elasticity",M23="sd (Y)"),N23*AN23*BH23,
AND(L23="semi_elasticity",M23="sd (X)"),N23*AN23/AQ23,
AND(L23="level-log",M23="level"),N23/BF23,
AND(L23="level-log",M23="sd (X)"),N23/BF23/AQ23,
AND(L23="level-log",M23="sd (Y)"),N23/BF23*BH23,
AND(L23="elasticity",M23="level"),N23,
AND(L23="elasticity",M23="sd (X)"),N23/AQ23,
AND(L23="elasticity",M23="sd (Y)"),N23*BH23,
AND(L23="marginal_effect",M23="percent_of_mean"),N23*AN23/BF23/10)</f>
        <v>-3.2359499999999999E-2</v>
      </c>
      <c r="AE23" s="49">
        <f t="shared" si="8"/>
        <v>1</v>
      </c>
      <c r="AF23" s="89">
        <f t="shared" si="15"/>
        <v>1.2392999999999998E-2</v>
      </c>
      <c r="AG23" s="89" cm="1">
        <f t="array" ref="AG23">_xlfn.IFS(
AND(L23="marginal_effect",M23="level"),O23*AN23/BF23,
AND(L23="marginal_effect",M23="sd (Y)"),O23*BH23*AN23/BF23,
AND(L23="marginal_effect",M23="sd (X)"),O23/AQ23*AN23/BF23,
AND(L23="semi_elasticity",M23="level"),O23*AN23,
AND(L23="semi_elasticity",M23="sd (Y)"),O23*AN23*BH23,
AND(L23="semi_elasticity",M23="sd (X)"),O23*AN23/AQ23,
AND(L23="level-log",M23="level"),O23/BF23,
AND(L23="level-log",M23="sd (X)"),O23/BF23/AQ23,
AND(L23="level-log",M23="sd (Y)"),O23/BF23*BH23,
AND(L23="elasticity",M23="level"),O23,
AND(L23="elasticity",M23="sd (X)"),O23/AQ23,
AND(L23="elasticity",M23="sd (Y)"),O23*BH23,
AND(L23="marginal_effect",M23="percent_of_mean"),O23*AN23/BF23/10)</f>
        <v>1.1025800711743771E-3</v>
      </c>
      <c r="AH23" s="49">
        <f t="shared" si="10"/>
        <v>0</v>
      </c>
      <c r="AI23" s="89">
        <f t="shared" si="11"/>
        <v>-3.2359499999999992E-2</v>
      </c>
      <c r="AJ23" s="49">
        <v>0</v>
      </c>
      <c r="AK23" s="49">
        <f t="shared" si="12"/>
        <v>1</v>
      </c>
      <c r="AL23" s="35" t="s">
        <v>82</v>
      </c>
      <c r="AM23" s="35" t="s">
        <v>296</v>
      </c>
      <c r="AN23" s="35">
        <v>6.8849999999999998</v>
      </c>
      <c r="AO23" s="35">
        <v>0</v>
      </c>
      <c r="AP23" s="35">
        <f t="shared" si="13"/>
        <v>68.849999999999994</v>
      </c>
      <c r="AQ23" s="35">
        <v>35.299999999999997</v>
      </c>
      <c r="AR23" s="35">
        <v>15.39</v>
      </c>
      <c r="AS23" s="35">
        <v>224.67</v>
      </c>
      <c r="AT23" s="35" t="s">
        <v>83</v>
      </c>
      <c r="AV23" s="35" t="s">
        <v>133</v>
      </c>
      <c r="AW23" s="35" t="s">
        <v>85</v>
      </c>
      <c r="AX23" s="35" t="s">
        <v>110</v>
      </c>
      <c r="AY23" s="35">
        <v>0</v>
      </c>
      <c r="AZ23" s="35">
        <v>30</v>
      </c>
      <c r="BA23" s="35" t="s">
        <v>87</v>
      </c>
      <c r="BB23" s="35" t="s">
        <v>88</v>
      </c>
      <c r="BC23" s="35" t="s">
        <v>89</v>
      </c>
      <c r="BD23" s="35" t="s">
        <v>114</v>
      </c>
      <c r="BE23" s="35" t="s">
        <v>291</v>
      </c>
      <c r="BF23" s="35">
        <v>112.4</v>
      </c>
      <c r="BG23" s="35">
        <v>0</v>
      </c>
      <c r="BH23" s="35" t="s">
        <v>312</v>
      </c>
      <c r="BI23" s="35" t="s">
        <v>312</v>
      </c>
      <c r="BJ23" s="35" t="s">
        <v>312</v>
      </c>
      <c r="BK23" s="35" t="s">
        <v>91</v>
      </c>
      <c r="BL23" s="35" t="s">
        <v>84</v>
      </c>
      <c r="BM23" s="35">
        <v>1</v>
      </c>
      <c r="BN23" s="35" t="s">
        <v>2177</v>
      </c>
      <c r="BO23" s="35" t="s">
        <v>289</v>
      </c>
      <c r="BP23" s="35" t="s">
        <v>315</v>
      </c>
      <c r="BQ23" s="35" t="s">
        <v>117</v>
      </c>
      <c r="BR23" s="35" t="s">
        <v>93</v>
      </c>
      <c r="BS23" s="35" t="s">
        <v>312</v>
      </c>
      <c r="BT23" s="35" t="s">
        <v>312</v>
      </c>
      <c r="BU23" s="36">
        <v>41883</v>
      </c>
      <c r="BV23" s="36">
        <v>42155</v>
      </c>
      <c r="BW23" s="35" t="s">
        <v>94</v>
      </c>
      <c r="BX23" s="35" t="s">
        <v>95</v>
      </c>
      <c r="BY23" s="35" t="s">
        <v>96</v>
      </c>
      <c r="BZ23" s="35">
        <v>0</v>
      </c>
      <c r="CA23" s="35">
        <v>0</v>
      </c>
      <c r="CB23" s="35" t="s">
        <v>97</v>
      </c>
      <c r="CC23" s="35" t="s">
        <v>314</v>
      </c>
      <c r="CD23" s="35">
        <v>0</v>
      </c>
      <c r="CE23" s="35" t="s">
        <v>97</v>
      </c>
      <c r="CF23" s="35">
        <v>0</v>
      </c>
      <c r="CG23" s="35" t="s">
        <v>97</v>
      </c>
      <c r="CH23" s="35">
        <v>1</v>
      </c>
      <c r="CI23" s="35" t="s">
        <v>376</v>
      </c>
      <c r="CJ23" s="35" t="s">
        <v>377</v>
      </c>
      <c r="CK23" s="35">
        <v>64</v>
      </c>
      <c r="CL23" s="35">
        <v>0</v>
      </c>
      <c r="CM23" s="35">
        <v>0</v>
      </c>
      <c r="CN23" s="35" t="s">
        <v>99</v>
      </c>
      <c r="CO23" s="35" t="s">
        <v>97</v>
      </c>
      <c r="CP23" s="35" t="s">
        <v>100</v>
      </c>
      <c r="CQ23" s="35" t="s">
        <v>101</v>
      </c>
      <c r="CR23" s="36">
        <v>45847</v>
      </c>
      <c r="CT23" s="37" t="s">
        <v>384</v>
      </c>
    </row>
    <row r="24" spans="1:98" s="35" customFormat="1" x14ac:dyDescent="0.35">
      <c r="A24" s="34" t="s">
        <v>293</v>
      </c>
      <c r="B24" s="34" t="s">
        <v>356</v>
      </c>
      <c r="C24" s="35" t="s">
        <v>316</v>
      </c>
      <c r="D24" s="35">
        <v>2019</v>
      </c>
      <c r="E24" s="34" t="s">
        <v>318</v>
      </c>
      <c r="F24" s="34" t="s">
        <v>319</v>
      </c>
      <c r="G24" s="35" t="s">
        <v>78</v>
      </c>
      <c r="H24" s="35">
        <v>1</v>
      </c>
      <c r="I24" s="35" t="s">
        <v>290</v>
      </c>
      <c r="J24" s="35" t="s">
        <v>79</v>
      </c>
      <c r="K24" s="35">
        <v>657</v>
      </c>
      <c r="L24" s="35" t="s">
        <v>129</v>
      </c>
      <c r="M24" s="35" t="s">
        <v>381</v>
      </c>
      <c r="N24" s="35">
        <v>-0.15</v>
      </c>
      <c r="O24" s="35">
        <v>0.18</v>
      </c>
      <c r="P24" s="89">
        <f t="shared" si="0"/>
        <v>-0.83333333333333337</v>
      </c>
      <c r="Q24" s="35" t="s">
        <v>312</v>
      </c>
      <c r="R24" s="89">
        <f t="shared" si="1"/>
        <v>-0.50280000000000002</v>
      </c>
      <c r="S24" s="89">
        <f t="shared" si="2"/>
        <v>0.20280000000000001</v>
      </c>
      <c r="T24" s="35">
        <v>1</v>
      </c>
      <c r="U24" s="35">
        <v>4443</v>
      </c>
      <c r="V24" s="35" t="s">
        <v>312</v>
      </c>
      <c r="W24" s="35">
        <v>0</v>
      </c>
      <c r="X24" s="35">
        <f t="shared" si="3"/>
        <v>4443</v>
      </c>
      <c r="Y24" s="89">
        <f t="shared" si="4"/>
        <v>-1.2501054821002663E-2</v>
      </c>
      <c r="Z24" s="89">
        <f t="shared" si="5"/>
        <v>1.5001265785203192E-2</v>
      </c>
      <c r="AA24" s="89">
        <f t="shared" si="6"/>
        <v>-1.2501054821002663E-2</v>
      </c>
      <c r="AB24" s="35" t="s">
        <v>81</v>
      </c>
      <c r="AC24" s="89">
        <f t="shared" si="14"/>
        <v>-4.62E-3</v>
      </c>
      <c r="AD24" s="89" cm="1">
        <f t="array" ref="AD24">_xlfn.IFS(
AND(L24="marginal_effect",M24="level"),N24*AN24/BF24, AND(L24="marginal_effect",M24="percent_of_mean"),N24*AN24/100,
AND(L24="marginal_effect",M24="sd (Y)"),N24*BH24*AN24/BF24,
AND(L24="marginal_effect",M24="sd (X)"),N24/AQ24*AN24/BF24,
AND(L24="semi_elasticity",M24="level"),N24*AN24,
AND(L24="semi_elasticity",M24="sd (Y)"),N24*AN24*BH24,
AND(L24="semi_elasticity",M24="sd (X)"),N24*AN24/AQ24,
AND(L24="level-log",M24="level"),N24/BF24,
AND(L24="level-log",M24="sd (X)"),N24/BF24/AQ24,
AND(L24="level-log",M24="sd (Y)"),N24/BF24*BH24,
AND(L24="elasticity",M24="level"),N24,
AND(L24="elasticity",M24="sd (X)"),N24/AQ24,
AND(L24="elasticity",M24="sd (Y)"),N24*BH24,
AND(L24="marginal_effect",M24="percent_of_mean"),N24*AN24/BF24/10)</f>
        <v>-4.62E-3</v>
      </c>
      <c r="AE24" s="49">
        <f t="shared" si="8"/>
        <v>1</v>
      </c>
      <c r="AF24" s="89">
        <f t="shared" si="15"/>
        <v>5.5440000000000003E-3</v>
      </c>
      <c r="AG24" s="89" cm="1">
        <f t="array" ref="AG24">_xlfn.IFS(
AND(L24="marginal_effect",M24="level"),O24*AN24/BF24,
AND(L24="marginal_effect",M24="sd (Y)"),O24*BH24*AN24/BF24,
AND(L24="marginal_effect",M24="sd (X)"),O24/AQ24*AN24/BF24,
AND(L24="semi_elasticity",M24="level"),O24*AN24,
AND(L24="semi_elasticity",M24="sd (Y)"),O24*AN24*BH24,
AND(L24="semi_elasticity",M24="sd (X)"),O24*AN24/AQ24,
AND(L24="level-log",M24="level"),O24/BF24,
AND(L24="level-log",M24="sd (X)"),O24/BF24/AQ24,
AND(L24="level-log",M24="sd (Y)"),O24/BF24*BH24,
AND(L24="elasticity",M24="level"),O24,
AND(L24="elasticity",M24="sd (X)"),O24/AQ24,
AND(L24="elasticity",M24="sd (Y)"),O24*BH24,
AND(L24="marginal_effect",M24="percent_of_mean"),O24*AN24/BF24/10)</f>
        <v>4.9323843416370099E-4</v>
      </c>
      <c r="AH24" s="49">
        <f t="shared" si="10"/>
        <v>0</v>
      </c>
      <c r="AI24" s="89">
        <f t="shared" si="11"/>
        <v>-4.62E-3</v>
      </c>
      <c r="AJ24" s="49">
        <v>0</v>
      </c>
      <c r="AK24" s="49">
        <f t="shared" si="12"/>
        <v>1</v>
      </c>
      <c r="AL24" s="35" t="s">
        <v>159</v>
      </c>
      <c r="AM24" s="35" t="s">
        <v>296</v>
      </c>
      <c r="AN24" s="35">
        <v>3.08</v>
      </c>
      <c r="AO24" s="35">
        <v>0</v>
      </c>
      <c r="AP24" s="35">
        <f t="shared" si="13"/>
        <v>30.8</v>
      </c>
      <c r="AQ24" s="35">
        <v>13.83</v>
      </c>
      <c r="AR24" s="35">
        <v>9.52</v>
      </c>
      <c r="AS24" s="35">
        <v>80.8</v>
      </c>
      <c r="AT24" s="35" t="s">
        <v>83</v>
      </c>
      <c r="AV24" s="35" t="s">
        <v>133</v>
      </c>
      <c r="AW24" s="35" t="s">
        <v>85</v>
      </c>
      <c r="AX24" s="35" t="s">
        <v>110</v>
      </c>
      <c r="AY24" s="35">
        <v>0</v>
      </c>
      <c r="AZ24" s="35">
        <v>5</v>
      </c>
      <c r="BA24" s="35" t="s">
        <v>87</v>
      </c>
      <c r="BB24" s="35" t="s">
        <v>88</v>
      </c>
      <c r="BC24" s="35" t="s">
        <v>89</v>
      </c>
      <c r="BD24" s="35" t="s">
        <v>114</v>
      </c>
      <c r="BE24" s="35" t="s">
        <v>291</v>
      </c>
      <c r="BF24" s="35">
        <v>112.4</v>
      </c>
      <c r="BG24" s="35">
        <v>0</v>
      </c>
      <c r="BH24" s="35" t="s">
        <v>312</v>
      </c>
      <c r="BI24" s="35" t="s">
        <v>312</v>
      </c>
      <c r="BJ24" s="35" t="s">
        <v>312</v>
      </c>
      <c r="BK24" s="35" t="s">
        <v>91</v>
      </c>
      <c r="BL24" s="35" t="s">
        <v>84</v>
      </c>
      <c r="BM24" s="35">
        <v>1</v>
      </c>
      <c r="BN24" s="35" t="s">
        <v>2177</v>
      </c>
      <c r="BO24" s="35" t="s">
        <v>289</v>
      </c>
      <c r="BP24" s="35" t="s">
        <v>315</v>
      </c>
      <c r="BQ24" s="35" t="s">
        <v>117</v>
      </c>
      <c r="BR24" s="35" t="s">
        <v>93</v>
      </c>
      <c r="BS24" s="35" t="s">
        <v>312</v>
      </c>
      <c r="BT24" s="35" t="s">
        <v>312</v>
      </c>
      <c r="BU24" s="36">
        <v>41883</v>
      </c>
      <c r="BV24" s="36">
        <v>42155</v>
      </c>
      <c r="BW24" s="35" t="s">
        <v>94</v>
      </c>
      <c r="BX24" s="35" t="s">
        <v>95</v>
      </c>
      <c r="BY24" s="35" t="s">
        <v>96</v>
      </c>
      <c r="BZ24" s="35">
        <v>0</v>
      </c>
      <c r="CA24" s="35">
        <v>0</v>
      </c>
      <c r="CB24" s="35" t="s">
        <v>97</v>
      </c>
      <c r="CC24" s="35" t="s">
        <v>314</v>
      </c>
      <c r="CD24" s="35">
        <v>0</v>
      </c>
      <c r="CE24" s="35" t="s">
        <v>97</v>
      </c>
      <c r="CF24" s="35">
        <v>0</v>
      </c>
      <c r="CG24" s="35" t="s">
        <v>97</v>
      </c>
      <c r="CH24" s="35">
        <v>1</v>
      </c>
      <c r="CI24" s="35" t="s">
        <v>376</v>
      </c>
      <c r="CJ24" s="35" t="s">
        <v>377</v>
      </c>
      <c r="CK24" s="35">
        <v>64</v>
      </c>
      <c r="CL24" s="35">
        <v>0</v>
      </c>
      <c r="CM24" s="35">
        <v>0</v>
      </c>
      <c r="CN24" s="35" t="s">
        <v>99</v>
      </c>
      <c r="CO24" s="35" t="s">
        <v>97</v>
      </c>
      <c r="CP24" s="35" t="s">
        <v>100</v>
      </c>
      <c r="CQ24" s="35" t="s">
        <v>101</v>
      </c>
      <c r="CR24" s="36">
        <v>45847</v>
      </c>
      <c r="CT24" s="37" t="s">
        <v>384</v>
      </c>
    </row>
    <row r="25" spans="1:98" s="35" customFormat="1" x14ac:dyDescent="0.35">
      <c r="A25" s="34" t="s">
        <v>293</v>
      </c>
      <c r="B25" s="34" t="s">
        <v>357</v>
      </c>
      <c r="C25" s="35" t="s">
        <v>316</v>
      </c>
      <c r="D25" s="35">
        <v>2019</v>
      </c>
      <c r="E25" s="34" t="s">
        <v>318</v>
      </c>
      <c r="F25" s="34" t="s">
        <v>319</v>
      </c>
      <c r="G25" s="35" t="s">
        <v>78</v>
      </c>
      <c r="H25" s="35">
        <v>1</v>
      </c>
      <c r="I25" s="35" t="s">
        <v>290</v>
      </c>
      <c r="J25" s="35" t="s">
        <v>79</v>
      </c>
      <c r="K25" s="35">
        <v>657</v>
      </c>
      <c r="L25" s="35" t="s">
        <v>129</v>
      </c>
      <c r="M25" s="35" t="s">
        <v>381</v>
      </c>
      <c r="N25" s="35">
        <v>-0.06</v>
      </c>
      <c r="O25" s="35">
        <v>0.22</v>
      </c>
      <c r="P25" s="89">
        <f t="shared" si="0"/>
        <v>-0.27272727272727271</v>
      </c>
      <c r="Q25" s="35" t="s">
        <v>312</v>
      </c>
      <c r="R25" s="89">
        <f t="shared" si="1"/>
        <v>-0.49119999999999997</v>
      </c>
      <c r="S25" s="89">
        <f t="shared" si="2"/>
        <v>0.37119999999999997</v>
      </c>
      <c r="T25" s="35">
        <v>1</v>
      </c>
      <c r="U25" s="35">
        <v>4443</v>
      </c>
      <c r="V25" s="35" t="s">
        <v>312</v>
      </c>
      <c r="W25" s="35">
        <v>0</v>
      </c>
      <c r="X25" s="35">
        <f t="shared" si="3"/>
        <v>4443</v>
      </c>
      <c r="Y25" s="89">
        <f t="shared" si="4"/>
        <v>-4.0915397776732313E-3</v>
      </c>
      <c r="Z25" s="89">
        <f t="shared" si="5"/>
        <v>1.5002312518135183E-2</v>
      </c>
      <c r="AA25" s="89">
        <f t="shared" si="6"/>
        <v>-4.0915397776732313E-3</v>
      </c>
      <c r="AB25" s="35" t="s">
        <v>81</v>
      </c>
      <c r="AC25" s="89">
        <f t="shared" si="14"/>
        <v>-1.8479999999999998E-3</v>
      </c>
      <c r="AD25" s="89" cm="1">
        <f t="array" ref="AD25">_xlfn.IFS(
AND(L25="marginal_effect",M25="level"),N25*AN25/BF25, AND(L25="marginal_effect",M25="percent_of_mean"),N25*AN25/100,
AND(L25="marginal_effect",M25="sd (Y)"),N25*BH25*AN25/BF25,
AND(L25="marginal_effect",M25="sd (X)"),N25/AQ25*AN25/BF25,
AND(L25="semi_elasticity",M25="level"),N25*AN25,
AND(L25="semi_elasticity",M25="sd (Y)"),N25*AN25*BH25,
AND(L25="semi_elasticity",M25="sd (X)"),N25*AN25/AQ25,
AND(L25="level-log",M25="level"),N25/BF25,
AND(L25="level-log",M25="sd (X)"),N25/BF25/AQ25,
AND(L25="level-log",M25="sd (Y)"),N25/BF25*BH25,
AND(L25="elasticity",M25="level"),N25,
AND(L25="elasticity",M25="sd (X)"),N25/AQ25,
AND(L25="elasticity",M25="sd (Y)"),N25*BH25,
AND(L25="marginal_effect",M25="percent_of_mean"),N25*AN25/BF25/10)</f>
        <v>-1.8479999999999998E-3</v>
      </c>
      <c r="AE25" s="49">
        <f t="shared" si="8"/>
        <v>1</v>
      </c>
      <c r="AF25" s="89">
        <f t="shared" si="15"/>
        <v>6.7759999999999999E-3</v>
      </c>
      <c r="AG25" s="89" cm="1">
        <f t="array" ref="AG25">_xlfn.IFS(
AND(L25="marginal_effect",M25="level"),O25*AN25/BF25,
AND(L25="marginal_effect",M25="sd (Y)"),O25*BH25*AN25/BF25,
AND(L25="marginal_effect",M25="sd (X)"),O25/AQ25*AN25/BF25,
AND(L25="semi_elasticity",M25="level"),O25*AN25,
AND(L25="semi_elasticity",M25="sd (Y)"),O25*AN25*BH25,
AND(L25="semi_elasticity",M25="sd (X)"),O25*AN25/AQ25,
AND(L25="level-log",M25="level"),O25/BF25,
AND(L25="level-log",M25="sd (X)"),O25/BF25/AQ25,
AND(L25="level-log",M25="sd (Y)"),O25/BF25*BH25,
AND(L25="elasticity",M25="level"),O25,
AND(L25="elasticity",M25="sd (X)"),O25/AQ25,
AND(L25="elasticity",M25="sd (Y)"),O25*BH25,
AND(L25="marginal_effect",M25="percent_of_mean"),O25*AN25/BF25/10)</f>
        <v>6.0284697508896788E-4</v>
      </c>
      <c r="AH25" s="49">
        <f t="shared" si="10"/>
        <v>0</v>
      </c>
      <c r="AI25" s="89">
        <f t="shared" si="11"/>
        <v>-1.8479999999999998E-3</v>
      </c>
      <c r="AJ25" s="49">
        <v>0</v>
      </c>
      <c r="AK25" s="49">
        <f t="shared" si="12"/>
        <v>1</v>
      </c>
      <c r="AL25" s="35" t="s">
        <v>159</v>
      </c>
      <c r="AM25" s="35" t="s">
        <v>296</v>
      </c>
      <c r="AN25" s="35">
        <v>3.08</v>
      </c>
      <c r="AO25" s="35">
        <v>0</v>
      </c>
      <c r="AP25" s="35">
        <f t="shared" si="13"/>
        <v>30.8</v>
      </c>
      <c r="AQ25" s="35">
        <v>13.83</v>
      </c>
      <c r="AR25" s="35">
        <v>9.52</v>
      </c>
      <c r="AS25" s="35">
        <v>80.8</v>
      </c>
      <c r="AT25" s="35" t="s">
        <v>83</v>
      </c>
      <c r="AV25" s="35" t="s">
        <v>133</v>
      </c>
      <c r="AW25" s="35" t="s">
        <v>85</v>
      </c>
      <c r="AX25" s="35" t="s">
        <v>110</v>
      </c>
      <c r="AY25" s="35">
        <v>0</v>
      </c>
      <c r="AZ25" s="35">
        <v>10</v>
      </c>
      <c r="BA25" s="35" t="s">
        <v>87</v>
      </c>
      <c r="BB25" s="35" t="s">
        <v>88</v>
      </c>
      <c r="BC25" s="35" t="s">
        <v>89</v>
      </c>
      <c r="BD25" s="35" t="s">
        <v>114</v>
      </c>
      <c r="BE25" s="35" t="s">
        <v>291</v>
      </c>
      <c r="BF25" s="35">
        <v>112.4</v>
      </c>
      <c r="BG25" s="35">
        <v>0</v>
      </c>
      <c r="BH25" s="35" t="s">
        <v>312</v>
      </c>
      <c r="BI25" s="35" t="s">
        <v>312</v>
      </c>
      <c r="BJ25" s="35" t="s">
        <v>312</v>
      </c>
      <c r="BK25" s="35" t="s">
        <v>91</v>
      </c>
      <c r="BL25" s="35" t="s">
        <v>84</v>
      </c>
      <c r="BM25" s="35">
        <v>1</v>
      </c>
      <c r="BN25" s="35" t="s">
        <v>2177</v>
      </c>
      <c r="BO25" s="35" t="s">
        <v>289</v>
      </c>
      <c r="BP25" s="35" t="s">
        <v>315</v>
      </c>
      <c r="BQ25" s="35" t="s">
        <v>117</v>
      </c>
      <c r="BR25" s="35" t="s">
        <v>93</v>
      </c>
      <c r="BS25" s="35" t="s">
        <v>312</v>
      </c>
      <c r="BT25" s="35" t="s">
        <v>312</v>
      </c>
      <c r="BU25" s="36">
        <v>41883</v>
      </c>
      <c r="BV25" s="36">
        <v>42155</v>
      </c>
      <c r="BW25" s="35" t="s">
        <v>94</v>
      </c>
      <c r="BX25" s="35" t="s">
        <v>95</v>
      </c>
      <c r="BY25" s="35" t="s">
        <v>96</v>
      </c>
      <c r="BZ25" s="35">
        <v>0</v>
      </c>
      <c r="CA25" s="35">
        <v>0</v>
      </c>
      <c r="CB25" s="35" t="s">
        <v>97</v>
      </c>
      <c r="CC25" s="35" t="s">
        <v>314</v>
      </c>
      <c r="CD25" s="35">
        <v>0</v>
      </c>
      <c r="CE25" s="35" t="s">
        <v>97</v>
      </c>
      <c r="CF25" s="35">
        <v>0</v>
      </c>
      <c r="CG25" s="35" t="s">
        <v>97</v>
      </c>
      <c r="CH25" s="35">
        <v>1</v>
      </c>
      <c r="CI25" s="35" t="s">
        <v>376</v>
      </c>
      <c r="CJ25" s="35" t="s">
        <v>377</v>
      </c>
      <c r="CK25" s="35">
        <v>64</v>
      </c>
      <c r="CL25" s="35">
        <v>0</v>
      </c>
      <c r="CM25" s="35">
        <v>0</v>
      </c>
      <c r="CN25" s="35" t="s">
        <v>99</v>
      </c>
      <c r="CO25" s="35" t="s">
        <v>97</v>
      </c>
      <c r="CP25" s="35" t="s">
        <v>100</v>
      </c>
      <c r="CQ25" s="35" t="s">
        <v>101</v>
      </c>
      <c r="CR25" s="36">
        <v>45847</v>
      </c>
      <c r="CT25" s="37" t="s">
        <v>384</v>
      </c>
    </row>
    <row r="26" spans="1:98" s="35" customFormat="1" x14ac:dyDescent="0.35">
      <c r="A26" s="34" t="s">
        <v>293</v>
      </c>
      <c r="B26" s="34" t="s">
        <v>358</v>
      </c>
      <c r="C26" s="35" t="s">
        <v>316</v>
      </c>
      <c r="D26" s="35">
        <v>2019</v>
      </c>
      <c r="E26" s="34" t="s">
        <v>318</v>
      </c>
      <c r="F26" s="34" t="s">
        <v>319</v>
      </c>
      <c r="G26" s="35" t="s">
        <v>78</v>
      </c>
      <c r="H26" s="35">
        <v>1</v>
      </c>
      <c r="I26" s="35" t="s">
        <v>290</v>
      </c>
      <c r="J26" s="35" t="s">
        <v>79</v>
      </c>
      <c r="K26" s="35">
        <v>657</v>
      </c>
      <c r="L26" s="35" t="s">
        <v>129</v>
      </c>
      <c r="M26" s="35" t="s">
        <v>381</v>
      </c>
      <c r="N26" s="35">
        <v>-0.09</v>
      </c>
      <c r="O26" s="35">
        <v>0.25</v>
      </c>
      <c r="P26" s="89">
        <f t="shared" si="0"/>
        <v>-0.36</v>
      </c>
      <c r="Q26" s="35" t="s">
        <v>312</v>
      </c>
      <c r="R26" s="89">
        <f t="shared" si="1"/>
        <v>-0.57999999999999996</v>
      </c>
      <c r="S26" s="89">
        <f t="shared" si="2"/>
        <v>0.4</v>
      </c>
      <c r="T26" s="35">
        <v>1</v>
      </c>
      <c r="U26" s="35">
        <v>4443</v>
      </c>
      <c r="V26" s="35" t="s">
        <v>312</v>
      </c>
      <c r="W26" s="35">
        <v>0</v>
      </c>
      <c r="X26" s="35">
        <f t="shared" si="3"/>
        <v>4443</v>
      </c>
      <c r="Y26" s="89">
        <f t="shared" si="4"/>
        <v>-5.4007989452743484E-3</v>
      </c>
      <c r="Z26" s="89">
        <f t="shared" si="5"/>
        <v>1.5002219292428745E-2</v>
      </c>
      <c r="AA26" s="89">
        <f t="shared" si="6"/>
        <v>-5.4007989452743484E-3</v>
      </c>
      <c r="AB26" s="35" t="s">
        <v>81</v>
      </c>
      <c r="AC26" s="89">
        <f t="shared" si="14"/>
        <v>-2.7720000000000002E-3</v>
      </c>
      <c r="AD26" s="89" cm="1">
        <f t="array" ref="AD26">_xlfn.IFS(
AND(L26="marginal_effect",M26="level"),N26*AN26/BF26, AND(L26="marginal_effect",M26="percent_of_mean"),N26*AN26/100,
AND(L26="marginal_effect",M26="sd (Y)"),N26*BH26*AN26/BF26,
AND(L26="marginal_effect",M26="sd (X)"),N26/AQ26*AN26/BF26,
AND(L26="semi_elasticity",M26="level"),N26*AN26,
AND(L26="semi_elasticity",M26="sd (Y)"),N26*AN26*BH26,
AND(L26="semi_elasticity",M26="sd (X)"),N26*AN26/AQ26,
AND(L26="level-log",M26="level"),N26/BF26,
AND(L26="level-log",M26="sd (X)"),N26/BF26/AQ26,
AND(L26="level-log",M26="sd (Y)"),N26/BF26*BH26,
AND(L26="elasticity",M26="level"),N26,
AND(L26="elasticity",M26="sd (X)"),N26/AQ26,
AND(L26="elasticity",M26="sd (Y)"),N26*BH26,
AND(L26="marginal_effect",M26="percent_of_mean"),N26*AN26/BF26/10)</f>
        <v>-2.7720000000000002E-3</v>
      </c>
      <c r="AE26" s="49">
        <f t="shared" si="8"/>
        <v>1</v>
      </c>
      <c r="AF26" s="89">
        <f t="shared" si="15"/>
        <v>7.7000000000000002E-3</v>
      </c>
      <c r="AG26" s="89" cm="1">
        <f t="array" ref="AG26">_xlfn.IFS(
AND(L26="marginal_effect",M26="level"),O26*AN26/BF26,
AND(L26="marginal_effect",M26="sd (Y)"),O26*BH26*AN26/BF26,
AND(L26="marginal_effect",M26="sd (X)"),O26/AQ26*AN26/BF26,
AND(L26="semi_elasticity",M26="level"),O26*AN26,
AND(L26="semi_elasticity",M26="sd (Y)"),O26*AN26*BH26,
AND(L26="semi_elasticity",M26="sd (X)"),O26*AN26/AQ26,
AND(L26="level-log",M26="level"),O26/BF26,
AND(L26="level-log",M26="sd (X)"),O26/BF26/AQ26,
AND(L26="level-log",M26="sd (Y)"),O26/BF26*BH26,
AND(L26="elasticity",M26="level"),O26,
AND(L26="elasticity",M26="sd (X)"),O26/AQ26,
AND(L26="elasticity",M26="sd (Y)"),O26*BH26,
AND(L26="marginal_effect",M26="percent_of_mean"),O26*AN26/BF26/10)</f>
        <v>6.8505338078291814E-4</v>
      </c>
      <c r="AH26" s="49">
        <f t="shared" si="10"/>
        <v>0</v>
      </c>
      <c r="AI26" s="89">
        <f t="shared" si="11"/>
        <v>-2.7720000000000002E-3</v>
      </c>
      <c r="AJ26" s="49">
        <v>0</v>
      </c>
      <c r="AK26" s="49">
        <f t="shared" si="12"/>
        <v>1</v>
      </c>
      <c r="AL26" s="35" t="s">
        <v>159</v>
      </c>
      <c r="AM26" s="35" t="s">
        <v>296</v>
      </c>
      <c r="AN26" s="35">
        <v>3.08</v>
      </c>
      <c r="AO26" s="35">
        <v>0</v>
      </c>
      <c r="AP26" s="35">
        <f t="shared" si="13"/>
        <v>30.8</v>
      </c>
      <c r="AQ26" s="35">
        <v>13.83</v>
      </c>
      <c r="AR26" s="35">
        <v>9.52</v>
      </c>
      <c r="AS26" s="35">
        <v>80.8</v>
      </c>
      <c r="AT26" s="35" t="s">
        <v>83</v>
      </c>
      <c r="AV26" s="35" t="s">
        <v>133</v>
      </c>
      <c r="AW26" s="35" t="s">
        <v>85</v>
      </c>
      <c r="AX26" s="35" t="s">
        <v>110</v>
      </c>
      <c r="AY26" s="35">
        <v>0</v>
      </c>
      <c r="AZ26" s="35">
        <v>15</v>
      </c>
      <c r="BA26" s="35" t="s">
        <v>87</v>
      </c>
      <c r="BB26" s="35" t="s">
        <v>88</v>
      </c>
      <c r="BC26" s="35" t="s">
        <v>89</v>
      </c>
      <c r="BD26" s="35" t="s">
        <v>114</v>
      </c>
      <c r="BE26" s="35" t="s">
        <v>291</v>
      </c>
      <c r="BF26" s="35">
        <v>112.4</v>
      </c>
      <c r="BG26" s="35">
        <v>0</v>
      </c>
      <c r="BH26" s="35" t="s">
        <v>312</v>
      </c>
      <c r="BI26" s="35" t="s">
        <v>312</v>
      </c>
      <c r="BJ26" s="35" t="s">
        <v>312</v>
      </c>
      <c r="BK26" s="35" t="s">
        <v>91</v>
      </c>
      <c r="BL26" s="35" t="s">
        <v>84</v>
      </c>
      <c r="BM26" s="35">
        <v>1</v>
      </c>
      <c r="BN26" s="35" t="s">
        <v>2177</v>
      </c>
      <c r="BO26" s="35" t="s">
        <v>289</v>
      </c>
      <c r="BP26" s="35" t="s">
        <v>315</v>
      </c>
      <c r="BQ26" s="35" t="s">
        <v>117</v>
      </c>
      <c r="BR26" s="35" t="s">
        <v>93</v>
      </c>
      <c r="BS26" s="35" t="s">
        <v>312</v>
      </c>
      <c r="BT26" s="35" t="s">
        <v>312</v>
      </c>
      <c r="BU26" s="36">
        <v>41883</v>
      </c>
      <c r="BV26" s="36">
        <v>42155</v>
      </c>
      <c r="BW26" s="35" t="s">
        <v>94</v>
      </c>
      <c r="BX26" s="35" t="s">
        <v>95</v>
      </c>
      <c r="BY26" s="35" t="s">
        <v>96</v>
      </c>
      <c r="BZ26" s="35">
        <v>0</v>
      </c>
      <c r="CA26" s="35">
        <v>0</v>
      </c>
      <c r="CB26" s="35" t="s">
        <v>97</v>
      </c>
      <c r="CC26" s="35" t="s">
        <v>314</v>
      </c>
      <c r="CD26" s="35">
        <v>0</v>
      </c>
      <c r="CE26" s="35" t="s">
        <v>97</v>
      </c>
      <c r="CF26" s="35">
        <v>0</v>
      </c>
      <c r="CG26" s="35" t="s">
        <v>97</v>
      </c>
      <c r="CH26" s="35">
        <v>1</v>
      </c>
      <c r="CI26" s="35" t="s">
        <v>376</v>
      </c>
      <c r="CJ26" s="35" t="s">
        <v>377</v>
      </c>
      <c r="CK26" s="35">
        <v>64</v>
      </c>
      <c r="CL26" s="35">
        <v>0</v>
      </c>
      <c r="CM26" s="35">
        <v>0</v>
      </c>
      <c r="CN26" s="35" t="s">
        <v>99</v>
      </c>
      <c r="CO26" s="35" t="s">
        <v>97</v>
      </c>
      <c r="CP26" s="35" t="s">
        <v>100</v>
      </c>
      <c r="CQ26" s="35" t="s">
        <v>101</v>
      </c>
      <c r="CR26" s="36">
        <v>45847</v>
      </c>
      <c r="CT26" s="37" t="s">
        <v>384</v>
      </c>
    </row>
    <row r="27" spans="1:98" s="35" customFormat="1" x14ac:dyDescent="0.35">
      <c r="A27" s="34" t="s">
        <v>293</v>
      </c>
      <c r="B27" s="34" t="s">
        <v>359</v>
      </c>
      <c r="C27" s="35" t="s">
        <v>316</v>
      </c>
      <c r="D27" s="35">
        <v>2019</v>
      </c>
      <c r="E27" s="34" t="s">
        <v>318</v>
      </c>
      <c r="F27" s="34" t="s">
        <v>319</v>
      </c>
      <c r="G27" s="35" t="s">
        <v>78</v>
      </c>
      <c r="H27" s="35">
        <v>1</v>
      </c>
      <c r="I27" s="35" t="s">
        <v>290</v>
      </c>
      <c r="J27" s="35" t="s">
        <v>79</v>
      </c>
      <c r="K27" s="35">
        <v>657</v>
      </c>
      <c r="L27" s="35" t="s">
        <v>129</v>
      </c>
      <c r="M27" s="35" t="s">
        <v>381</v>
      </c>
      <c r="N27" s="35">
        <v>-0.04</v>
      </c>
      <c r="O27" s="35">
        <v>0.31</v>
      </c>
      <c r="P27" s="89">
        <f t="shared" si="0"/>
        <v>-0.12903225806451613</v>
      </c>
      <c r="Q27" s="35" t="s">
        <v>312</v>
      </c>
      <c r="R27" s="89">
        <f t="shared" si="1"/>
        <v>-0.64760000000000006</v>
      </c>
      <c r="S27" s="89">
        <f t="shared" si="2"/>
        <v>0.56759999999999999</v>
      </c>
      <c r="T27" s="35">
        <v>1</v>
      </c>
      <c r="U27" s="35">
        <v>4443</v>
      </c>
      <c r="V27" s="35" t="s">
        <v>312</v>
      </c>
      <c r="W27" s="35">
        <v>0</v>
      </c>
      <c r="X27" s="35">
        <f t="shared" si="3"/>
        <v>4443</v>
      </c>
      <c r="Y27" s="89">
        <f t="shared" si="4"/>
        <v>-1.935794836767063E-3</v>
      </c>
      <c r="Z27" s="89">
        <f t="shared" si="5"/>
        <v>1.5002409984944736E-2</v>
      </c>
      <c r="AA27" s="89">
        <f t="shared" si="6"/>
        <v>-1.935794836767063E-3</v>
      </c>
      <c r="AB27" s="35" t="s">
        <v>81</v>
      </c>
      <c r="AC27" s="89">
        <f t="shared" si="14"/>
        <v>-1.232E-3</v>
      </c>
      <c r="AD27" s="89" cm="1">
        <f t="array" ref="AD27">_xlfn.IFS(
AND(L27="marginal_effect",M27="level"),N27*AN27/BF27, AND(L27="marginal_effect",M27="percent_of_mean"),N27*AN27/100,
AND(L27="marginal_effect",M27="sd (Y)"),N27*BH27*AN27/BF27,
AND(L27="marginal_effect",M27="sd (X)"),N27/AQ27*AN27/BF27,
AND(L27="semi_elasticity",M27="level"),N27*AN27,
AND(L27="semi_elasticity",M27="sd (Y)"),N27*AN27*BH27,
AND(L27="semi_elasticity",M27="sd (X)"),N27*AN27/AQ27,
AND(L27="level-log",M27="level"),N27/BF27,
AND(L27="level-log",M27="sd (X)"),N27/BF27/AQ27,
AND(L27="level-log",M27="sd (Y)"),N27/BF27*BH27,
AND(L27="elasticity",M27="level"),N27,
AND(L27="elasticity",M27="sd (X)"),N27/AQ27,
AND(L27="elasticity",M27="sd (Y)"),N27*BH27,
AND(L27="marginal_effect",M27="percent_of_mean"),N27*AN27/BF27/10)</f>
        <v>-1.232E-3</v>
      </c>
      <c r="AE27" s="49">
        <f t="shared" si="8"/>
        <v>1</v>
      </c>
      <c r="AF27" s="89">
        <f t="shared" si="15"/>
        <v>9.5479999999999992E-3</v>
      </c>
      <c r="AG27" s="89" cm="1">
        <f t="array" ref="AG27">_xlfn.IFS(
AND(L27="marginal_effect",M27="level"),O27*AN27/BF27,
AND(L27="marginal_effect",M27="sd (Y)"),O27*BH27*AN27/BF27,
AND(L27="marginal_effect",M27="sd (X)"),O27/AQ27*AN27/BF27,
AND(L27="semi_elasticity",M27="level"),O27*AN27,
AND(L27="semi_elasticity",M27="sd (Y)"),O27*AN27*BH27,
AND(L27="semi_elasticity",M27="sd (X)"),O27*AN27/AQ27,
AND(L27="level-log",M27="level"),O27/BF27,
AND(L27="level-log",M27="sd (X)"),O27/BF27/AQ27,
AND(L27="level-log",M27="sd (Y)"),O27/BF27*BH27,
AND(L27="elasticity",M27="level"),O27,
AND(L27="elasticity",M27="sd (X)"),O27/AQ27,
AND(L27="elasticity",M27="sd (Y)"),O27*BH27,
AND(L27="marginal_effect",M27="percent_of_mean"),O27*AN27/BF27/10)</f>
        <v>8.4946619217081843E-4</v>
      </c>
      <c r="AH27" s="49">
        <f t="shared" si="10"/>
        <v>0</v>
      </c>
      <c r="AI27" s="89">
        <f t="shared" si="11"/>
        <v>-1.232E-3</v>
      </c>
      <c r="AJ27" s="49">
        <v>0</v>
      </c>
      <c r="AK27" s="49">
        <f t="shared" si="12"/>
        <v>1</v>
      </c>
      <c r="AL27" s="35" t="s">
        <v>159</v>
      </c>
      <c r="AM27" s="35" t="s">
        <v>296</v>
      </c>
      <c r="AN27" s="35">
        <v>3.08</v>
      </c>
      <c r="AO27" s="35">
        <v>0</v>
      </c>
      <c r="AP27" s="35">
        <f t="shared" si="13"/>
        <v>30.8</v>
      </c>
      <c r="AQ27" s="35">
        <v>13.83</v>
      </c>
      <c r="AR27" s="35">
        <v>9.52</v>
      </c>
      <c r="AS27" s="35">
        <v>80.8</v>
      </c>
      <c r="AT27" s="35" t="s">
        <v>83</v>
      </c>
      <c r="AV27" s="35" t="s">
        <v>133</v>
      </c>
      <c r="AW27" s="35" t="s">
        <v>85</v>
      </c>
      <c r="AX27" s="35" t="s">
        <v>110</v>
      </c>
      <c r="AY27" s="35">
        <v>0</v>
      </c>
      <c r="AZ27" s="35">
        <v>20</v>
      </c>
      <c r="BA27" s="35" t="s">
        <v>87</v>
      </c>
      <c r="BB27" s="35" t="s">
        <v>88</v>
      </c>
      <c r="BC27" s="35" t="s">
        <v>89</v>
      </c>
      <c r="BD27" s="35" t="s">
        <v>114</v>
      </c>
      <c r="BE27" s="35" t="s">
        <v>291</v>
      </c>
      <c r="BF27" s="35">
        <v>112.4</v>
      </c>
      <c r="BG27" s="35">
        <v>0</v>
      </c>
      <c r="BH27" s="35" t="s">
        <v>312</v>
      </c>
      <c r="BI27" s="35" t="s">
        <v>312</v>
      </c>
      <c r="BJ27" s="35" t="s">
        <v>312</v>
      </c>
      <c r="BK27" s="35" t="s">
        <v>91</v>
      </c>
      <c r="BL27" s="35" t="s">
        <v>84</v>
      </c>
      <c r="BM27" s="35">
        <v>1</v>
      </c>
      <c r="BN27" s="35" t="s">
        <v>2177</v>
      </c>
      <c r="BO27" s="35" t="s">
        <v>289</v>
      </c>
      <c r="BP27" s="35" t="s">
        <v>315</v>
      </c>
      <c r="BQ27" s="35" t="s">
        <v>117</v>
      </c>
      <c r="BR27" s="35" t="s">
        <v>93</v>
      </c>
      <c r="BS27" s="35" t="s">
        <v>312</v>
      </c>
      <c r="BT27" s="35" t="s">
        <v>312</v>
      </c>
      <c r="BU27" s="36">
        <v>41883</v>
      </c>
      <c r="BV27" s="36">
        <v>42155</v>
      </c>
      <c r="BW27" s="35" t="s">
        <v>94</v>
      </c>
      <c r="BX27" s="35" t="s">
        <v>95</v>
      </c>
      <c r="BY27" s="35" t="s">
        <v>96</v>
      </c>
      <c r="BZ27" s="35">
        <v>0</v>
      </c>
      <c r="CA27" s="35">
        <v>0</v>
      </c>
      <c r="CB27" s="35" t="s">
        <v>97</v>
      </c>
      <c r="CC27" s="35" t="s">
        <v>314</v>
      </c>
      <c r="CD27" s="35">
        <v>0</v>
      </c>
      <c r="CE27" s="35" t="s">
        <v>97</v>
      </c>
      <c r="CF27" s="35">
        <v>0</v>
      </c>
      <c r="CG27" s="35" t="s">
        <v>97</v>
      </c>
      <c r="CH27" s="35">
        <v>1</v>
      </c>
      <c r="CI27" s="35" t="s">
        <v>376</v>
      </c>
      <c r="CJ27" s="35" t="s">
        <v>377</v>
      </c>
      <c r="CK27" s="35">
        <v>64</v>
      </c>
      <c r="CL27" s="35">
        <v>0</v>
      </c>
      <c r="CM27" s="35">
        <v>0</v>
      </c>
      <c r="CN27" s="35" t="s">
        <v>99</v>
      </c>
      <c r="CO27" s="35" t="s">
        <v>97</v>
      </c>
      <c r="CP27" s="35" t="s">
        <v>100</v>
      </c>
      <c r="CQ27" s="35" t="s">
        <v>101</v>
      </c>
      <c r="CR27" s="36">
        <v>45847</v>
      </c>
      <c r="CT27" s="37" t="s">
        <v>384</v>
      </c>
    </row>
    <row r="28" spans="1:98" s="35" customFormat="1" x14ac:dyDescent="0.35">
      <c r="A28" s="34" t="s">
        <v>293</v>
      </c>
      <c r="B28" s="34" t="s">
        <v>360</v>
      </c>
      <c r="C28" s="35" t="s">
        <v>316</v>
      </c>
      <c r="D28" s="35">
        <v>2019</v>
      </c>
      <c r="E28" s="34" t="s">
        <v>318</v>
      </c>
      <c r="F28" s="34" t="s">
        <v>319</v>
      </c>
      <c r="G28" s="35" t="s">
        <v>78</v>
      </c>
      <c r="H28" s="35">
        <v>1</v>
      </c>
      <c r="I28" s="35" t="s">
        <v>290</v>
      </c>
      <c r="J28" s="35" t="s">
        <v>79</v>
      </c>
      <c r="K28" s="35">
        <v>657</v>
      </c>
      <c r="L28" s="35" t="s">
        <v>129</v>
      </c>
      <c r="M28" s="35" t="s">
        <v>381</v>
      </c>
      <c r="N28" s="35">
        <v>-1.1599999999999999</v>
      </c>
      <c r="O28" s="35">
        <v>0.44</v>
      </c>
      <c r="P28" s="89">
        <f t="shared" si="0"/>
        <v>-2.6363636363636362</v>
      </c>
      <c r="Q28" s="35" t="s">
        <v>312</v>
      </c>
      <c r="R28" s="89">
        <f t="shared" si="1"/>
        <v>-2.0223999999999998</v>
      </c>
      <c r="S28" s="89">
        <f t="shared" si="2"/>
        <v>-0.29759999999999998</v>
      </c>
      <c r="T28" s="35">
        <v>1</v>
      </c>
      <c r="U28" s="35">
        <v>4443</v>
      </c>
      <c r="V28" s="35" t="s">
        <v>312</v>
      </c>
      <c r="W28" s="35">
        <v>0</v>
      </c>
      <c r="X28" s="35">
        <f t="shared" si="3"/>
        <v>4443</v>
      </c>
      <c r="Y28" s="89">
        <f t="shared" si="4"/>
        <v>-3.9520981977078144E-2</v>
      </c>
      <c r="Z28" s="89">
        <f t="shared" si="5"/>
        <v>1.499071730165033E-2</v>
      </c>
      <c r="AA28" s="89">
        <f t="shared" si="6"/>
        <v>-3.9520981977078144E-2</v>
      </c>
      <c r="AB28" s="35" t="s">
        <v>81</v>
      </c>
      <c r="AC28" s="89">
        <f t="shared" si="14"/>
        <v>-3.5727999999999996E-2</v>
      </c>
      <c r="AD28" s="89" cm="1">
        <f t="array" ref="AD28">_xlfn.IFS(
AND(L28="marginal_effect",M28="level"),N28*AN28/BF28, AND(L28="marginal_effect",M28="percent_of_mean"),N28*AN28/100,
AND(L28="marginal_effect",M28="sd (Y)"),N28*BH28*AN28/BF28,
AND(L28="marginal_effect",M28="sd (X)"),N28/AQ28*AN28/BF28,
AND(L28="semi_elasticity",M28="level"),N28*AN28,
AND(L28="semi_elasticity",M28="sd (Y)"),N28*AN28*BH28,
AND(L28="semi_elasticity",M28="sd (X)"),N28*AN28/AQ28,
AND(L28="level-log",M28="level"),N28/BF28,
AND(L28="level-log",M28="sd (X)"),N28/BF28/AQ28,
AND(L28="level-log",M28="sd (Y)"),N28/BF28*BH28,
AND(L28="elasticity",M28="level"),N28,
AND(L28="elasticity",M28="sd (X)"),N28/AQ28,
AND(L28="elasticity",M28="sd (Y)"),N28*BH28,
AND(L28="marginal_effect",M28="percent_of_mean"),N28*AN28/BF28/10)</f>
        <v>-3.5728000000000003E-2</v>
      </c>
      <c r="AE28" s="49">
        <f t="shared" si="8"/>
        <v>1</v>
      </c>
      <c r="AF28" s="89">
        <f t="shared" si="15"/>
        <v>1.3552E-2</v>
      </c>
      <c r="AG28" s="89" cm="1">
        <f t="array" ref="AG28">_xlfn.IFS(
AND(L28="marginal_effect",M28="level"),O28*AN28/BF28,
AND(L28="marginal_effect",M28="sd (Y)"),O28*BH28*AN28/BF28,
AND(L28="marginal_effect",M28="sd (X)"),O28/AQ28*AN28/BF28,
AND(L28="semi_elasticity",M28="level"),O28*AN28,
AND(L28="semi_elasticity",M28="sd (Y)"),O28*AN28*BH28,
AND(L28="semi_elasticity",M28="sd (X)"),O28*AN28/AQ28,
AND(L28="level-log",M28="level"),O28/BF28,
AND(L28="level-log",M28="sd (X)"),O28/BF28/AQ28,
AND(L28="level-log",M28="sd (Y)"),O28/BF28*BH28,
AND(L28="elasticity",M28="level"),O28,
AND(L28="elasticity",M28="sd (X)"),O28/AQ28,
AND(L28="elasticity",M28="sd (Y)"),O28*BH28,
AND(L28="marginal_effect",M28="percent_of_mean"),O28*AN28/BF28/10)</f>
        <v>1.2056939501779358E-3</v>
      </c>
      <c r="AH28" s="49">
        <f t="shared" si="10"/>
        <v>0</v>
      </c>
      <c r="AI28" s="89">
        <f t="shared" si="11"/>
        <v>-3.5727999999999996E-2</v>
      </c>
      <c r="AJ28" s="49">
        <v>0</v>
      </c>
      <c r="AK28" s="49">
        <f t="shared" si="12"/>
        <v>1</v>
      </c>
      <c r="AL28" s="35" t="s">
        <v>159</v>
      </c>
      <c r="AM28" s="35" t="s">
        <v>296</v>
      </c>
      <c r="AN28" s="35">
        <v>3.08</v>
      </c>
      <c r="AO28" s="35">
        <v>0</v>
      </c>
      <c r="AP28" s="35">
        <f t="shared" si="13"/>
        <v>30.8</v>
      </c>
      <c r="AQ28" s="35">
        <v>13.83</v>
      </c>
      <c r="AR28" s="35">
        <v>9.52</v>
      </c>
      <c r="AS28" s="35">
        <v>80.8</v>
      </c>
      <c r="AT28" s="35" t="s">
        <v>83</v>
      </c>
      <c r="AV28" s="35" t="s">
        <v>133</v>
      </c>
      <c r="AW28" s="35" t="s">
        <v>85</v>
      </c>
      <c r="AX28" s="35" t="s">
        <v>110</v>
      </c>
      <c r="AY28" s="35">
        <v>0</v>
      </c>
      <c r="AZ28" s="35">
        <v>25</v>
      </c>
      <c r="BA28" s="35" t="s">
        <v>87</v>
      </c>
      <c r="BB28" s="35" t="s">
        <v>88</v>
      </c>
      <c r="BC28" s="35" t="s">
        <v>89</v>
      </c>
      <c r="BD28" s="35" t="s">
        <v>114</v>
      </c>
      <c r="BE28" s="35" t="s">
        <v>291</v>
      </c>
      <c r="BF28" s="35">
        <v>112.4</v>
      </c>
      <c r="BG28" s="35">
        <v>0</v>
      </c>
      <c r="BH28" s="35" t="s">
        <v>312</v>
      </c>
      <c r="BI28" s="35" t="s">
        <v>312</v>
      </c>
      <c r="BJ28" s="35" t="s">
        <v>312</v>
      </c>
      <c r="BK28" s="35" t="s">
        <v>91</v>
      </c>
      <c r="BL28" s="35" t="s">
        <v>84</v>
      </c>
      <c r="BM28" s="35">
        <v>1</v>
      </c>
      <c r="BN28" s="35" t="s">
        <v>2177</v>
      </c>
      <c r="BO28" s="35" t="s">
        <v>289</v>
      </c>
      <c r="BP28" s="35" t="s">
        <v>315</v>
      </c>
      <c r="BQ28" s="35" t="s">
        <v>117</v>
      </c>
      <c r="BR28" s="35" t="s">
        <v>93</v>
      </c>
      <c r="BS28" s="35" t="s">
        <v>312</v>
      </c>
      <c r="BT28" s="35" t="s">
        <v>312</v>
      </c>
      <c r="BU28" s="36">
        <v>41883</v>
      </c>
      <c r="BV28" s="36">
        <v>42155</v>
      </c>
      <c r="BW28" s="35" t="s">
        <v>94</v>
      </c>
      <c r="BX28" s="35" t="s">
        <v>95</v>
      </c>
      <c r="BY28" s="35" t="s">
        <v>96</v>
      </c>
      <c r="BZ28" s="35">
        <v>0</v>
      </c>
      <c r="CA28" s="35">
        <v>0</v>
      </c>
      <c r="CB28" s="35" t="s">
        <v>97</v>
      </c>
      <c r="CC28" s="35" t="s">
        <v>314</v>
      </c>
      <c r="CD28" s="35">
        <v>0</v>
      </c>
      <c r="CE28" s="35" t="s">
        <v>97</v>
      </c>
      <c r="CF28" s="35">
        <v>0</v>
      </c>
      <c r="CG28" s="35" t="s">
        <v>97</v>
      </c>
      <c r="CH28" s="35">
        <v>1</v>
      </c>
      <c r="CI28" s="35" t="s">
        <v>376</v>
      </c>
      <c r="CJ28" s="35" t="s">
        <v>377</v>
      </c>
      <c r="CK28" s="35">
        <v>64</v>
      </c>
      <c r="CL28" s="35">
        <v>0</v>
      </c>
      <c r="CM28" s="35">
        <v>0</v>
      </c>
      <c r="CN28" s="35" t="s">
        <v>99</v>
      </c>
      <c r="CO28" s="35" t="s">
        <v>97</v>
      </c>
      <c r="CP28" s="35" t="s">
        <v>100</v>
      </c>
      <c r="CQ28" s="35" t="s">
        <v>101</v>
      </c>
      <c r="CR28" s="36">
        <v>45847</v>
      </c>
      <c r="CT28" s="37" t="s">
        <v>384</v>
      </c>
    </row>
    <row r="29" spans="1:98" s="35" customFormat="1" x14ac:dyDescent="0.35">
      <c r="A29" s="34" t="s">
        <v>293</v>
      </c>
      <c r="B29" s="34" t="s">
        <v>361</v>
      </c>
      <c r="C29" s="35" t="s">
        <v>316</v>
      </c>
      <c r="D29" s="35">
        <v>2019</v>
      </c>
      <c r="E29" s="34" t="s">
        <v>318</v>
      </c>
      <c r="F29" s="34" t="s">
        <v>319</v>
      </c>
      <c r="G29" s="35" t="s">
        <v>78</v>
      </c>
      <c r="H29" s="35">
        <v>1</v>
      </c>
      <c r="I29" s="35" t="s">
        <v>290</v>
      </c>
      <c r="J29" s="35" t="s">
        <v>79</v>
      </c>
      <c r="K29" s="35">
        <v>657</v>
      </c>
      <c r="L29" s="35" t="s">
        <v>129</v>
      </c>
      <c r="M29" s="35" t="s">
        <v>381</v>
      </c>
      <c r="N29" s="35">
        <v>-1.1299999999999999</v>
      </c>
      <c r="O29" s="35">
        <v>0.45</v>
      </c>
      <c r="P29" s="89">
        <f t="shared" si="0"/>
        <v>-2.5111111111111106</v>
      </c>
      <c r="Q29" s="35" t="s">
        <v>312</v>
      </c>
      <c r="R29" s="89">
        <f t="shared" si="1"/>
        <v>-2.012</v>
      </c>
      <c r="S29" s="89">
        <f t="shared" si="2"/>
        <v>-0.24799999999999989</v>
      </c>
      <c r="T29" s="35">
        <v>1</v>
      </c>
      <c r="U29" s="35">
        <v>4443</v>
      </c>
      <c r="V29" s="35" t="s">
        <v>312</v>
      </c>
      <c r="W29" s="35">
        <v>0</v>
      </c>
      <c r="X29" s="35">
        <f t="shared" si="3"/>
        <v>4443</v>
      </c>
      <c r="Y29" s="89">
        <f t="shared" si="4"/>
        <v>-3.7646084068238599E-2</v>
      </c>
      <c r="Z29" s="89">
        <f t="shared" si="5"/>
        <v>1.4991803390006523E-2</v>
      </c>
      <c r="AA29" s="89">
        <f t="shared" si="6"/>
        <v>-3.7646084068238599E-2</v>
      </c>
      <c r="AB29" s="35" t="s">
        <v>81</v>
      </c>
      <c r="AC29" s="89">
        <f t="shared" si="14"/>
        <v>-3.4804000000000002E-2</v>
      </c>
      <c r="AD29" s="89" cm="1">
        <f t="array" ref="AD29">_xlfn.IFS(
AND(L29="marginal_effect",M29="level"),N29*AN29/BF29, AND(L29="marginal_effect",M29="percent_of_mean"),N29*AN29/100,
AND(L29="marginal_effect",M29="sd (Y)"),N29*BH29*AN29/BF29,
AND(L29="marginal_effect",M29="sd (X)"),N29/AQ29*AN29/BF29,
AND(L29="semi_elasticity",M29="level"),N29*AN29,
AND(L29="semi_elasticity",M29="sd (Y)"),N29*AN29*BH29,
AND(L29="semi_elasticity",M29="sd (X)"),N29*AN29/AQ29,
AND(L29="level-log",M29="level"),N29/BF29,
AND(L29="level-log",M29="sd (X)"),N29/BF29/AQ29,
AND(L29="level-log",M29="sd (Y)"),N29/BF29*BH29,
AND(L29="elasticity",M29="level"),N29,
AND(L29="elasticity",M29="sd (X)"),N29/AQ29,
AND(L29="elasticity",M29="sd (Y)"),N29*BH29,
AND(L29="marginal_effect",M29="percent_of_mean"),N29*AN29/BF29/10)</f>
        <v>-3.4804000000000002E-2</v>
      </c>
      <c r="AE29" s="49">
        <f t="shared" si="8"/>
        <v>1</v>
      </c>
      <c r="AF29" s="89">
        <f t="shared" si="15"/>
        <v>1.3860000000000001E-2</v>
      </c>
      <c r="AG29" s="89" cm="1">
        <f t="array" ref="AG29">_xlfn.IFS(
AND(L29="marginal_effect",M29="level"),O29*AN29/BF29,
AND(L29="marginal_effect",M29="sd (Y)"),O29*BH29*AN29/BF29,
AND(L29="marginal_effect",M29="sd (X)"),O29/AQ29*AN29/BF29,
AND(L29="semi_elasticity",M29="level"),O29*AN29,
AND(L29="semi_elasticity",M29="sd (Y)"),O29*AN29*BH29,
AND(L29="semi_elasticity",M29="sd (X)"),O29*AN29/AQ29,
AND(L29="level-log",M29="level"),O29/BF29,
AND(L29="level-log",M29="sd (X)"),O29/BF29/AQ29,
AND(L29="level-log",M29="sd (Y)"),O29/BF29*BH29,
AND(L29="elasticity",M29="level"),O29,
AND(L29="elasticity",M29="sd (X)"),O29/AQ29,
AND(L29="elasticity",M29="sd (Y)"),O29*BH29,
AND(L29="marginal_effect",M29="percent_of_mean"),O29*AN29/BF29/10)</f>
        <v>1.2330960854092527E-3</v>
      </c>
      <c r="AH29" s="49">
        <f t="shared" si="10"/>
        <v>0</v>
      </c>
      <c r="AI29" s="89">
        <f t="shared" si="11"/>
        <v>-3.4804000000000002E-2</v>
      </c>
      <c r="AJ29" s="49">
        <v>0</v>
      </c>
      <c r="AK29" s="49">
        <f t="shared" si="12"/>
        <v>1</v>
      </c>
      <c r="AL29" s="35" t="s">
        <v>159</v>
      </c>
      <c r="AM29" s="35" t="s">
        <v>296</v>
      </c>
      <c r="AN29" s="35">
        <v>3.08</v>
      </c>
      <c r="AO29" s="35">
        <v>0</v>
      </c>
      <c r="AP29" s="35">
        <f t="shared" si="13"/>
        <v>30.8</v>
      </c>
      <c r="AQ29" s="35">
        <v>13.83</v>
      </c>
      <c r="AR29" s="35">
        <v>9.52</v>
      </c>
      <c r="AS29" s="35">
        <v>80.8</v>
      </c>
      <c r="AT29" s="35" t="s">
        <v>83</v>
      </c>
      <c r="AV29" s="35" t="s">
        <v>133</v>
      </c>
      <c r="AW29" s="35" t="s">
        <v>85</v>
      </c>
      <c r="AX29" s="35" t="s">
        <v>110</v>
      </c>
      <c r="AY29" s="35">
        <v>0</v>
      </c>
      <c r="AZ29" s="35">
        <v>30</v>
      </c>
      <c r="BA29" s="35" t="s">
        <v>87</v>
      </c>
      <c r="BB29" s="35" t="s">
        <v>88</v>
      </c>
      <c r="BC29" s="35" t="s">
        <v>89</v>
      </c>
      <c r="BD29" s="35" t="s">
        <v>114</v>
      </c>
      <c r="BE29" s="35" t="s">
        <v>291</v>
      </c>
      <c r="BF29" s="35">
        <v>112.4</v>
      </c>
      <c r="BG29" s="35">
        <v>0</v>
      </c>
      <c r="BH29" s="35" t="s">
        <v>312</v>
      </c>
      <c r="BI29" s="35" t="s">
        <v>312</v>
      </c>
      <c r="BJ29" s="35" t="s">
        <v>312</v>
      </c>
      <c r="BK29" s="35" t="s">
        <v>91</v>
      </c>
      <c r="BL29" s="35" t="s">
        <v>84</v>
      </c>
      <c r="BM29" s="35">
        <v>1</v>
      </c>
      <c r="BN29" s="35" t="s">
        <v>2177</v>
      </c>
      <c r="BO29" s="35" t="s">
        <v>289</v>
      </c>
      <c r="BP29" s="35" t="s">
        <v>315</v>
      </c>
      <c r="BQ29" s="35" t="s">
        <v>117</v>
      </c>
      <c r="BR29" s="35" t="s">
        <v>93</v>
      </c>
      <c r="BS29" s="35" t="s">
        <v>312</v>
      </c>
      <c r="BT29" s="35" t="s">
        <v>312</v>
      </c>
      <c r="BU29" s="36">
        <v>41883</v>
      </c>
      <c r="BV29" s="36">
        <v>42155</v>
      </c>
      <c r="BW29" s="35" t="s">
        <v>94</v>
      </c>
      <c r="BX29" s="35" t="s">
        <v>95</v>
      </c>
      <c r="BY29" s="35" t="s">
        <v>96</v>
      </c>
      <c r="BZ29" s="35">
        <v>0</v>
      </c>
      <c r="CA29" s="35">
        <v>0</v>
      </c>
      <c r="CB29" s="35" t="s">
        <v>97</v>
      </c>
      <c r="CC29" s="35" t="s">
        <v>314</v>
      </c>
      <c r="CD29" s="35">
        <v>0</v>
      </c>
      <c r="CE29" s="35" t="s">
        <v>97</v>
      </c>
      <c r="CF29" s="35">
        <v>0</v>
      </c>
      <c r="CG29" s="35" t="s">
        <v>97</v>
      </c>
      <c r="CH29" s="35">
        <v>1</v>
      </c>
      <c r="CI29" s="35" t="s">
        <v>376</v>
      </c>
      <c r="CJ29" s="35" t="s">
        <v>377</v>
      </c>
      <c r="CK29" s="35">
        <v>64</v>
      </c>
      <c r="CL29" s="35">
        <v>0</v>
      </c>
      <c r="CM29" s="35">
        <v>0</v>
      </c>
      <c r="CN29" s="35" t="s">
        <v>99</v>
      </c>
      <c r="CO29" s="35" t="s">
        <v>97</v>
      </c>
      <c r="CP29" s="35" t="s">
        <v>100</v>
      </c>
      <c r="CQ29" s="35" t="s">
        <v>101</v>
      </c>
      <c r="CR29" s="36">
        <v>45847</v>
      </c>
      <c r="CT29" s="37" t="s">
        <v>384</v>
      </c>
    </row>
    <row r="30" spans="1:98" s="35" customFormat="1" x14ac:dyDescent="0.35">
      <c r="A30" s="34" t="s">
        <v>293</v>
      </c>
      <c r="B30" s="34" t="s">
        <v>362</v>
      </c>
      <c r="C30" s="35" t="s">
        <v>316</v>
      </c>
      <c r="D30" s="35">
        <v>2019</v>
      </c>
      <c r="E30" s="34" t="s">
        <v>318</v>
      </c>
      <c r="F30" s="34" t="s">
        <v>319</v>
      </c>
      <c r="G30" s="35" t="s">
        <v>78</v>
      </c>
      <c r="H30" s="35">
        <v>1</v>
      </c>
      <c r="I30" s="35" t="s">
        <v>290</v>
      </c>
      <c r="J30" s="35" t="s">
        <v>79</v>
      </c>
      <c r="K30" s="35">
        <v>657</v>
      </c>
      <c r="L30" s="35" t="s">
        <v>129</v>
      </c>
      <c r="M30" s="35" t="s">
        <v>381</v>
      </c>
      <c r="N30" s="35">
        <v>-0.14000000000000001</v>
      </c>
      <c r="O30" s="35">
        <v>0.09</v>
      </c>
      <c r="P30" s="89">
        <f t="shared" si="0"/>
        <v>-1.5555555555555558</v>
      </c>
      <c r="Q30" s="35" t="s">
        <v>312</v>
      </c>
      <c r="R30" s="89">
        <f t="shared" si="1"/>
        <v>-0.31640000000000001</v>
      </c>
      <c r="S30" s="89">
        <f t="shared" si="2"/>
        <v>3.6399999999999988E-2</v>
      </c>
      <c r="T30" s="35">
        <v>1</v>
      </c>
      <c r="U30" s="35">
        <v>5054</v>
      </c>
      <c r="V30" s="35" t="s">
        <v>312</v>
      </c>
      <c r="W30" s="35">
        <v>0</v>
      </c>
      <c r="X30" s="35">
        <f t="shared" si="3"/>
        <v>5054</v>
      </c>
      <c r="Y30" s="89">
        <f t="shared" si="4"/>
        <v>-2.1875801130433463E-2</v>
      </c>
      <c r="Z30" s="89">
        <f t="shared" si="5"/>
        <v>1.406301501242151E-2</v>
      </c>
      <c r="AA30" s="89">
        <f t="shared" si="6"/>
        <v>-2.1875801130433463E-2</v>
      </c>
      <c r="AB30" s="35" t="s">
        <v>81</v>
      </c>
      <c r="AC30" s="89">
        <f t="shared" si="14"/>
        <v>-1.3868400000000003E-2</v>
      </c>
      <c r="AD30" s="89" cm="1">
        <f t="array" ref="AD30">_xlfn.IFS(
AND(L30="marginal_effect",M30="level"),N30*AN30/BF30, AND(L30="marginal_effect",M30="percent_of_mean"),N30*AN30/100,
AND(L30="marginal_effect",M30="sd (Y)"),N30*BH30*AN30/BF30,
AND(L30="marginal_effect",M30="sd (X)"),N30/AQ30*AN30/BF30,
AND(L30="semi_elasticity",M30="level"),N30*AN30,
AND(L30="semi_elasticity",M30="sd (Y)"),N30*AN30*BH30,
AND(L30="semi_elasticity",M30="sd (X)"),N30*AN30/AQ30,
AND(L30="level-log",M30="level"),N30/BF30,
AND(L30="level-log",M30="sd (X)"),N30/BF30/AQ30,
AND(L30="level-log",M30="sd (Y)"),N30/BF30*BH30,
AND(L30="elasticity",M30="level"),N30,
AND(L30="elasticity",M30="sd (X)"),N30/AQ30,
AND(L30="elasticity",M30="sd (Y)"),N30*BH30,
AND(L30="marginal_effect",M30="percent_of_mean"),N30*AN30/BF30/10)</f>
        <v>-1.3868400000000003E-2</v>
      </c>
      <c r="AE30" s="49">
        <f t="shared" si="8"/>
        <v>1</v>
      </c>
      <c r="AF30" s="89">
        <f t="shared" si="15"/>
        <v>8.9154000000000004E-3</v>
      </c>
      <c r="AG30" s="89" cm="1">
        <f t="array" ref="AG30">_xlfn.IFS(
AND(L30="marginal_effect",M30="level"),O30*AN30/BF30,
AND(L30="marginal_effect",M30="sd (Y)"),O30*BH30*AN30/BF30,
AND(L30="marginal_effect",M30="sd (X)"),O30/AQ30*AN30/BF30,
AND(L30="semi_elasticity",M30="level"),O30*AN30,
AND(L30="semi_elasticity",M30="sd (Y)"),O30*AN30*BH30,
AND(L30="semi_elasticity",M30="sd (X)"),O30*AN30/AQ30,
AND(L30="level-log",M30="level"),O30/BF30,
AND(L30="level-log",M30="sd (X)"),O30/BF30/AQ30,
AND(L30="level-log",M30="sd (Y)"),O30/BF30*BH30,
AND(L30="elasticity",M30="level"),O30,
AND(L30="elasticity",M30="sd (X)"),O30/AQ30,
AND(L30="elasticity",M30="sd (Y)"),O30*BH30,
AND(L30="marginal_effect",M30="percent_of_mean"),O30*AN30/BF30/10)</f>
        <v>7.4543478260869563E-4</v>
      </c>
      <c r="AH30" s="49">
        <f t="shared" si="10"/>
        <v>0</v>
      </c>
      <c r="AI30" s="89">
        <f t="shared" si="11"/>
        <v>-1.3868400000000003E-2</v>
      </c>
      <c r="AJ30" s="49">
        <v>0</v>
      </c>
      <c r="AK30" s="49">
        <f t="shared" si="12"/>
        <v>1</v>
      </c>
      <c r="AL30" s="35" t="s">
        <v>82</v>
      </c>
      <c r="AM30" s="35" t="s">
        <v>296</v>
      </c>
      <c r="AN30" s="35">
        <v>9.9060000000000006</v>
      </c>
      <c r="AO30" s="35">
        <v>0</v>
      </c>
      <c r="AP30" s="35">
        <f t="shared" si="13"/>
        <v>99.06</v>
      </c>
      <c r="AQ30" s="35">
        <v>49.79</v>
      </c>
      <c r="AR30" s="35">
        <v>23.55</v>
      </c>
      <c r="AS30" s="35">
        <v>342.58</v>
      </c>
      <c r="AT30" s="35" t="s">
        <v>83</v>
      </c>
      <c r="AV30" s="35" t="s">
        <v>133</v>
      </c>
      <c r="AW30" s="35" t="s">
        <v>85</v>
      </c>
      <c r="AX30" s="35" t="s">
        <v>110</v>
      </c>
      <c r="AY30" s="35">
        <v>0</v>
      </c>
      <c r="AZ30" s="35">
        <v>5</v>
      </c>
      <c r="BA30" s="35" t="s">
        <v>87</v>
      </c>
      <c r="BB30" s="35" t="s">
        <v>88</v>
      </c>
      <c r="BC30" s="35" t="s">
        <v>89</v>
      </c>
      <c r="BD30" s="35" t="s">
        <v>114</v>
      </c>
      <c r="BE30" s="35" t="s">
        <v>292</v>
      </c>
      <c r="BF30" s="35">
        <v>119.6</v>
      </c>
      <c r="BG30" s="35">
        <v>0</v>
      </c>
      <c r="BH30" s="35" t="s">
        <v>312</v>
      </c>
      <c r="BI30" s="35" t="s">
        <v>312</v>
      </c>
      <c r="BJ30" s="35" t="s">
        <v>312</v>
      </c>
      <c r="BK30" s="35" t="s">
        <v>91</v>
      </c>
      <c r="BL30" s="35" t="s">
        <v>84</v>
      </c>
      <c r="BM30" s="35">
        <v>1</v>
      </c>
      <c r="BN30" s="35" t="s">
        <v>2177</v>
      </c>
      <c r="BO30" s="35" t="s">
        <v>289</v>
      </c>
      <c r="BP30" s="35" t="s">
        <v>315</v>
      </c>
      <c r="BQ30" s="35" t="s">
        <v>117</v>
      </c>
      <c r="BR30" s="35" t="s">
        <v>93</v>
      </c>
      <c r="BS30" s="35" t="s">
        <v>312</v>
      </c>
      <c r="BT30" s="35" t="s">
        <v>312</v>
      </c>
      <c r="BU30" s="36">
        <v>41730</v>
      </c>
      <c r="BV30" s="36">
        <v>42155</v>
      </c>
      <c r="BW30" s="35" t="s">
        <v>94</v>
      </c>
      <c r="BX30" s="35" t="s">
        <v>95</v>
      </c>
      <c r="BY30" s="35" t="s">
        <v>96</v>
      </c>
      <c r="BZ30" s="35">
        <v>0</v>
      </c>
      <c r="CA30" s="35">
        <v>0</v>
      </c>
      <c r="CB30" s="35" t="s">
        <v>97</v>
      </c>
      <c r="CC30" s="35" t="s">
        <v>314</v>
      </c>
      <c r="CD30" s="35">
        <v>0</v>
      </c>
      <c r="CE30" s="35" t="s">
        <v>97</v>
      </c>
      <c r="CF30" s="35">
        <v>0</v>
      </c>
      <c r="CG30" s="35" t="s">
        <v>97</v>
      </c>
      <c r="CH30" s="35">
        <v>1</v>
      </c>
      <c r="CI30" s="35" t="s">
        <v>376</v>
      </c>
      <c r="CJ30" s="35" t="s">
        <v>377</v>
      </c>
      <c r="CK30" s="35">
        <v>64</v>
      </c>
      <c r="CL30" s="35">
        <v>0</v>
      </c>
      <c r="CM30" s="35">
        <v>0</v>
      </c>
      <c r="CN30" s="35" t="s">
        <v>99</v>
      </c>
      <c r="CO30" s="35" t="s">
        <v>97</v>
      </c>
      <c r="CP30" s="35" t="s">
        <v>100</v>
      </c>
      <c r="CQ30" s="35" t="s">
        <v>101</v>
      </c>
      <c r="CR30" s="36">
        <v>45847</v>
      </c>
      <c r="CT30" s="37" t="s">
        <v>384</v>
      </c>
    </row>
    <row r="31" spans="1:98" s="35" customFormat="1" x14ac:dyDescent="0.35">
      <c r="A31" s="34" t="s">
        <v>293</v>
      </c>
      <c r="B31" s="34" t="s">
        <v>363</v>
      </c>
      <c r="C31" s="35" t="s">
        <v>316</v>
      </c>
      <c r="D31" s="35">
        <v>2019</v>
      </c>
      <c r="E31" s="34" t="s">
        <v>318</v>
      </c>
      <c r="F31" s="34" t="s">
        <v>319</v>
      </c>
      <c r="G31" s="35" t="s">
        <v>78</v>
      </c>
      <c r="H31" s="35">
        <v>1</v>
      </c>
      <c r="I31" s="35" t="s">
        <v>290</v>
      </c>
      <c r="J31" s="35" t="s">
        <v>79</v>
      </c>
      <c r="K31" s="35">
        <v>657</v>
      </c>
      <c r="L31" s="35" t="s">
        <v>129</v>
      </c>
      <c r="M31" s="35" t="s">
        <v>381</v>
      </c>
      <c r="N31" s="35">
        <v>-0.27</v>
      </c>
      <c r="O31" s="35">
        <v>0.13</v>
      </c>
      <c r="P31" s="89">
        <f t="shared" si="0"/>
        <v>-2.0769230769230771</v>
      </c>
      <c r="Q31" s="35" t="s">
        <v>312</v>
      </c>
      <c r="R31" s="89">
        <f t="shared" si="1"/>
        <v>-0.52480000000000004</v>
      </c>
      <c r="S31" s="89">
        <f t="shared" si="2"/>
        <v>-1.5199999999999991E-2</v>
      </c>
      <c r="T31" s="35">
        <v>1</v>
      </c>
      <c r="U31" s="35">
        <v>5054</v>
      </c>
      <c r="V31" s="35" t="s">
        <v>312</v>
      </c>
      <c r="W31" s="35">
        <v>0</v>
      </c>
      <c r="X31" s="35">
        <f t="shared" si="3"/>
        <v>5054</v>
      </c>
      <c r="Y31" s="89">
        <f t="shared" si="4"/>
        <v>-2.9202332129677645E-2</v>
      </c>
      <c r="Z31" s="89">
        <f t="shared" si="5"/>
        <v>1.4060382136511458E-2</v>
      </c>
      <c r="AA31" s="89">
        <f t="shared" si="6"/>
        <v>-2.9202332129677645E-2</v>
      </c>
      <c r="AB31" s="35" t="s">
        <v>81</v>
      </c>
      <c r="AC31" s="89">
        <f t="shared" si="14"/>
        <v>-2.6746200000000005E-2</v>
      </c>
      <c r="AD31" s="89" cm="1">
        <f t="array" ref="AD31">_xlfn.IFS(
AND(L31="marginal_effect",M31="level"),N31*AN31/BF31, AND(L31="marginal_effect",M31="percent_of_mean"),N31*AN31/100,
AND(L31="marginal_effect",M31="sd (Y)"),N31*BH31*AN31/BF31,
AND(L31="marginal_effect",M31="sd (X)"),N31/AQ31*AN31/BF31,
AND(L31="semi_elasticity",M31="level"),N31*AN31,
AND(L31="semi_elasticity",M31="sd (Y)"),N31*AN31*BH31,
AND(L31="semi_elasticity",M31="sd (X)"),N31*AN31/AQ31,
AND(L31="level-log",M31="level"),N31/BF31,
AND(L31="level-log",M31="sd (X)"),N31/BF31/AQ31,
AND(L31="level-log",M31="sd (Y)"),N31/BF31*BH31,
AND(L31="elasticity",M31="level"),N31,
AND(L31="elasticity",M31="sd (X)"),N31/AQ31,
AND(L31="elasticity",M31="sd (Y)"),N31*BH31,
AND(L31="marginal_effect",M31="percent_of_mean"),N31*AN31/BF31/10)</f>
        <v>-2.6746200000000005E-2</v>
      </c>
      <c r="AE31" s="49">
        <f t="shared" si="8"/>
        <v>1</v>
      </c>
      <c r="AF31" s="89">
        <f t="shared" si="15"/>
        <v>1.2877800000000002E-2</v>
      </c>
      <c r="AG31" s="89" cm="1">
        <f t="array" ref="AG31">_xlfn.IFS(
AND(L31="marginal_effect",M31="level"),O31*AN31/BF31,
AND(L31="marginal_effect",M31="sd (Y)"),O31*BH31*AN31/BF31,
AND(L31="marginal_effect",M31="sd (X)"),O31/AQ31*AN31/BF31,
AND(L31="semi_elasticity",M31="level"),O31*AN31,
AND(L31="semi_elasticity",M31="sd (Y)"),O31*AN31*BH31,
AND(L31="semi_elasticity",M31="sd (X)"),O31*AN31/AQ31,
AND(L31="level-log",M31="level"),O31/BF31,
AND(L31="level-log",M31="sd (X)"),O31/BF31/AQ31,
AND(L31="level-log",M31="sd (Y)"),O31/BF31*BH31,
AND(L31="elasticity",M31="level"),O31,
AND(L31="elasticity",M31="sd (X)"),O31/AQ31,
AND(L31="elasticity",M31="sd (Y)"),O31*BH31,
AND(L31="marginal_effect",M31="percent_of_mean"),O31*AN31/BF31/10)</f>
        <v>1.0767391304347827E-3</v>
      </c>
      <c r="AH31" s="49">
        <f t="shared" si="10"/>
        <v>0</v>
      </c>
      <c r="AI31" s="89">
        <f t="shared" si="11"/>
        <v>-2.6746200000000005E-2</v>
      </c>
      <c r="AJ31" s="49">
        <v>0</v>
      </c>
      <c r="AK31" s="49">
        <f t="shared" si="12"/>
        <v>1</v>
      </c>
      <c r="AL31" s="35" t="s">
        <v>82</v>
      </c>
      <c r="AM31" s="35" t="s">
        <v>296</v>
      </c>
      <c r="AN31" s="35">
        <v>9.9060000000000006</v>
      </c>
      <c r="AO31" s="35">
        <v>0</v>
      </c>
      <c r="AP31" s="35">
        <f t="shared" si="13"/>
        <v>99.06</v>
      </c>
      <c r="AQ31" s="35">
        <v>49.79</v>
      </c>
      <c r="AR31" s="35">
        <v>23.55</v>
      </c>
      <c r="AS31" s="35">
        <v>342.58</v>
      </c>
      <c r="AT31" s="35" t="s">
        <v>83</v>
      </c>
      <c r="AV31" s="35" t="s">
        <v>133</v>
      </c>
      <c r="AW31" s="35" t="s">
        <v>85</v>
      </c>
      <c r="AX31" s="35" t="s">
        <v>110</v>
      </c>
      <c r="AY31" s="35">
        <v>0</v>
      </c>
      <c r="AZ31" s="35">
        <v>10</v>
      </c>
      <c r="BA31" s="35" t="s">
        <v>87</v>
      </c>
      <c r="BB31" s="35" t="s">
        <v>88</v>
      </c>
      <c r="BC31" s="35" t="s">
        <v>89</v>
      </c>
      <c r="BD31" s="35" t="s">
        <v>114</v>
      </c>
      <c r="BE31" s="35" t="s">
        <v>292</v>
      </c>
      <c r="BF31" s="35">
        <v>119.6</v>
      </c>
      <c r="BG31" s="35">
        <v>0</v>
      </c>
      <c r="BH31" s="35" t="s">
        <v>312</v>
      </c>
      <c r="BI31" s="35" t="s">
        <v>312</v>
      </c>
      <c r="BJ31" s="35" t="s">
        <v>312</v>
      </c>
      <c r="BK31" s="35" t="s">
        <v>91</v>
      </c>
      <c r="BL31" s="35" t="s">
        <v>84</v>
      </c>
      <c r="BM31" s="35">
        <v>1</v>
      </c>
      <c r="BN31" s="35" t="s">
        <v>2177</v>
      </c>
      <c r="BO31" s="35" t="s">
        <v>289</v>
      </c>
      <c r="BP31" s="35" t="s">
        <v>315</v>
      </c>
      <c r="BQ31" s="35" t="s">
        <v>117</v>
      </c>
      <c r="BR31" s="35" t="s">
        <v>93</v>
      </c>
      <c r="BS31" s="35" t="s">
        <v>312</v>
      </c>
      <c r="BT31" s="35" t="s">
        <v>312</v>
      </c>
      <c r="BU31" s="36">
        <v>41730</v>
      </c>
      <c r="BV31" s="36">
        <v>42155</v>
      </c>
      <c r="BW31" s="35" t="s">
        <v>94</v>
      </c>
      <c r="BX31" s="35" t="s">
        <v>95</v>
      </c>
      <c r="BY31" s="35" t="s">
        <v>96</v>
      </c>
      <c r="BZ31" s="35">
        <v>0</v>
      </c>
      <c r="CA31" s="35">
        <v>0</v>
      </c>
      <c r="CB31" s="35" t="s">
        <v>97</v>
      </c>
      <c r="CC31" s="35" t="s">
        <v>314</v>
      </c>
      <c r="CD31" s="35">
        <v>0</v>
      </c>
      <c r="CE31" s="35" t="s">
        <v>97</v>
      </c>
      <c r="CF31" s="35">
        <v>0</v>
      </c>
      <c r="CG31" s="35" t="s">
        <v>97</v>
      </c>
      <c r="CH31" s="35">
        <v>1</v>
      </c>
      <c r="CI31" s="35" t="s">
        <v>376</v>
      </c>
      <c r="CJ31" s="35" t="s">
        <v>377</v>
      </c>
      <c r="CK31" s="35">
        <v>64</v>
      </c>
      <c r="CL31" s="35">
        <v>0</v>
      </c>
      <c r="CM31" s="35">
        <v>0</v>
      </c>
      <c r="CN31" s="35" t="s">
        <v>99</v>
      </c>
      <c r="CO31" s="35" t="s">
        <v>97</v>
      </c>
      <c r="CP31" s="35" t="s">
        <v>100</v>
      </c>
      <c r="CQ31" s="35" t="s">
        <v>101</v>
      </c>
      <c r="CR31" s="36">
        <v>45847</v>
      </c>
      <c r="CT31" s="37" t="s">
        <v>384</v>
      </c>
    </row>
    <row r="32" spans="1:98" s="35" customFormat="1" x14ac:dyDescent="0.35">
      <c r="A32" s="34" t="s">
        <v>293</v>
      </c>
      <c r="B32" s="34" t="s">
        <v>364</v>
      </c>
      <c r="C32" s="35" t="s">
        <v>316</v>
      </c>
      <c r="D32" s="35">
        <v>2019</v>
      </c>
      <c r="E32" s="34" t="s">
        <v>318</v>
      </c>
      <c r="F32" s="34" t="s">
        <v>319</v>
      </c>
      <c r="G32" s="35" t="s">
        <v>78</v>
      </c>
      <c r="H32" s="35">
        <v>1</v>
      </c>
      <c r="I32" s="35" t="s">
        <v>290</v>
      </c>
      <c r="J32" s="35" t="s">
        <v>79</v>
      </c>
      <c r="K32" s="35">
        <v>657</v>
      </c>
      <c r="L32" s="35" t="s">
        <v>129</v>
      </c>
      <c r="M32" s="35" t="s">
        <v>381</v>
      </c>
      <c r="N32" s="35">
        <v>-0.17</v>
      </c>
      <c r="O32" s="35">
        <v>0.17</v>
      </c>
      <c r="P32" s="89">
        <f t="shared" si="0"/>
        <v>-1</v>
      </c>
      <c r="Q32" s="35" t="s">
        <v>312</v>
      </c>
      <c r="R32" s="89">
        <f t="shared" si="1"/>
        <v>-0.50319999999999998</v>
      </c>
      <c r="S32" s="89">
        <f t="shared" si="2"/>
        <v>0.16319999999999998</v>
      </c>
      <c r="T32" s="35">
        <v>1</v>
      </c>
      <c r="U32" s="35">
        <v>5054</v>
      </c>
      <c r="V32" s="35" t="s">
        <v>312</v>
      </c>
      <c r="W32" s="35">
        <v>0</v>
      </c>
      <c r="X32" s="35">
        <f t="shared" si="3"/>
        <v>5054</v>
      </c>
      <c r="Y32" s="89">
        <f t="shared" si="4"/>
        <v>-1.4064989751021514E-2</v>
      </c>
      <c r="Z32" s="89">
        <f t="shared" si="5"/>
        <v>1.4064989751021514E-2</v>
      </c>
      <c r="AA32" s="89">
        <f t="shared" si="6"/>
        <v>-1.4064989751021514E-2</v>
      </c>
      <c r="AB32" s="35" t="s">
        <v>81</v>
      </c>
      <c r="AC32" s="89">
        <f t="shared" si="14"/>
        <v>-1.6840200000000003E-2</v>
      </c>
      <c r="AD32" s="89" cm="1">
        <f t="array" ref="AD32">_xlfn.IFS(
AND(L32="marginal_effect",M32="level"),N32*AN32/BF32, AND(L32="marginal_effect",M32="percent_of_mean"),N32*AN32/100,
AND(L32="marginal_effect",M32="sd (Y)"),N32*BH32*AN32/BF32,
AND(L32="marginal_effect",M32="sd (X)"),N32/AQ32*AN32/BF32,
AND(L32="semi_elasticity",M32="level"),N32*AN32,
AND(L32="semi_elasticity",M32="sd (Y)"),N32*AN32*BH32,
AND(L32="semi_elasticity",M32="sd (X)"),N32*AN32/AQ32,
AND(L32="level-log",M32="level"),N32/BF32,
AND(L32="level-log",M32="sd (X)"),N32/BF32/AQ32,
AND(L32="level-log",M32="sd (Y)"),N32/BF32*BH32,
AND(L32="elasticity",M32="level"),N32,
AND(L32="elasticity",M32="sd (X)"),N32/AQ32,
AND(L32="elasticity",M32="sd (Y)"),N32*BH32,
AND(L32="marginal_effect",M32="percent_of_mean"),N32*AN32/BF32/10)</f>
        <v>-1.6840200000000003E-2</v>
      </c>
      <c r="AE32" s="49">
        <f t="shared" si="8"/>
        <v>1</v>
      </c>
      <c r="AF32" s="89">
        <f t="shared" si="15"/>
        <v>1.6840200000000003E-2</v>
      </c>
      <c r="AG32" s="89" cm="1">
        <f t="array" ref="AG32">_xlfn.IFS(
AND(L32="marginal_effect",M32="level"),O32*AN32/BF32,
AND(L32="marginal_effect",M32="sd (Y)"),O32*BH32*AN32/BF32,
AND(L32="marginal_effect",M32="sd (X)"),O32/AQ32*AN32/BF32,
AND(L32="semi_elasticity",M32="level"),O32*AN32,
AND(L32="semi_elasticity",M32="sd (Y)"),O32*AN32*BH32,
AND(L32="semi_elasticity",M32="sd (X)"),O32*AN32/AQ32,
AND(L32="level-log",M32="level"),O32/BF32,
AND(L32="level-log",M32="sd (X)"),O32/BF32/AQ32,
AND(L32="level-log",M32="sd (Y)"),O32/BF32*BH32,
AND(L32="elasticity",M32="level"),O32,
AND(L32="elasticity",M32="sd (X)"),O32/AQ32,
AND(L32="elasticity",M32="sd (Y)"),O32*BH32,
AND(L32="marginal_effect",M32="percent_of_mean"),O32*AN32/BF32/10)</f>
        <v>1.40804347826087E-3</v>
      </c>
      <c r="AH32" s="49">
        <f t="shared" si="10"/>
        <v>0</v>
      </c>
      <c r="AI32" s="89">
        <f t="shared" si="11"/>
        <v>-1.6840200000000003E-2</v>
      </c>
      <c r="AJ32" s="49">
        <v>0</v>
      </c>
      <c r="AK32" s="49">
        <f t="shared" si="12"/>
        <v>1</v>
      </c>
      <c r="AL32" s="35" t="s">
        <v>82</v>
      </c>
      <c r="AM32" s="35" t="s">
        <v>296</v>
      </c>
      <c r="AN32" s="35">
        <v>9.9060000000000006</v>
      </c>
      <c r="AO32" s="35">
        <v>0</v>
      </c>
      <c r="AP32" s="35">
        <f t="shared" si="13"/>
        <v>99.06</v>
      </c>
      <c r="AQ32" s="35">
        <v>49.79</v>
      </c>
      <c r="AR32" s="35">
        <v>23.55</v>
      </c>
      <c r="AS32" s="35">
        <v>342.58</v>
      </c>
      <c r="AT32" s="35" t="s">
        <v>83</v>
      </c>
      <c r="AV32" s="35" t="s">
        <v>133</v>
      </c>
      <c r="AW32" s="35" t="s">
        <v>85</v>
      </c>
      <c r="AX32" s="35" t="s">
        <v>110</v>
      </c>
      <c r="AY32" s="35">
        <v>0</v>
      </c>
      <c r="AZ32" s="35">
        <v>15</v>
      </c>
      <c r="BA32" s="35" t="s">
        <v>87</v>
      </c>
      <c r="BB32" s="35" t="s">
        <v>88</v>
      </c>
      <c r="BC32" s="35" t="s">
        <v>89</v>
      </c>
      <c r="BD32" s="35" t="s">
        <v>114</v>
      </c>
      <c r="BE32" s="35" t="s">
        <v>292</v>
      </c>
      <c r="BF32" s="35">
        <v>119.6</v>
      </c>
      <c r="BG32" s="35">
        <v>0</v>
      </c>
      <c r="BH32" s="35" t="s">
        <v>312</v>
      </c>
      <c r="BI32" s="35" t="s">
        <v>312</v>
      </c>
      <c r="BJ32" s="35" t="s">
        <v>312</v>
      </c>
      <c r="BK32" s="35" t="s">
        <v>91</v>
      </c>
      <c r="BL32" s="35" t="s">
        <v>84</v>
      </c>
      <c r="BM32" s="35">
        <v>1</v>
      </c>
      <c r="BN32" s="35" t="s">
        <v>2177</v>
      </c>
      <c r="BO32" s="35" t="s">
        <v>289</v>
      </c>
      <c r="BP32" s="35" t="s">
        <v>315</v>
      </c>
      <c r="BQ32" s="35" t="s">
        <v>117</v>
      </c>
      <c r="BR32" s="35" t="s">
        <v>93</v>
      </c>
      <c r="BS32" s="35" t="s">
        <v>312</v>
      </c>
      <c r="BT32" s="35" t="s">
        <v>312</v>
      </c>
      <c r="BU32" s="36">
        <v>41730</v>
      </c>
      <c r="BV32" s="36">
        <v>42155</v>
      </c>
      <c r="BW32" s="35" t="s">
        <v>94</v>
      </c>
      <c r="BX32" s="35" t="s">
        <v>95</v>
      </c>
      <c r="BY32" s="35" t="s">
        <v>96</v>
      </c>
      <c r="BZ32" s="35">
        <v>0</v>
      </c>
      <c r="CA32" s="35">
        <v>0</v>
      </c>
      <c r="CB32" s="35" t="s">
        <v>97</v>
      </c>
      <c r="CC32" s="35" t="s">
        <v>314</v>
      </c>
      <c r="CD32" s="35">
        <v>0</v>
      </c>
      <c r="CE32" s="35" t="s">
        <v>97</v>
      </c>
      <c r="CF32" s="35">
        <v>0</v>
      </c>
      <c r="CG32" s="35" t="s">
        <v>97</v>
      </c>
      <c r="CH32" s="35">
        <v>1</v>
      </c>
      <c r="CI32" s="35" t="s">
        <v>376</v>
      </c>
      <c r="CJ32" s="35" t="s">
        <v>377</v>
      </c>
      <c r="CK32" s="35">
        <v>64</v>
      </c>
      <c r="CL32" s="35">
        <v>0</v>
      </c>
      <c r="CM32" s="35">
        <v>0</v>
      </c>
      <c r="CN32" s="35" t="s">
        <v>99</v>
      </c>
      <c r="CO32" s="35" t="s">
        <v>97</v>
      </c>
      <c r="CP32" s="35" t="s">
        <v>100</v>
      </c>
      <c r="CQ32" s="35" t="s">
        <v>101</v>
      </c>
      <c r="CR32" s="36">
        <v>45847</v>
      </c>
      <c r="CT32" s="37" t="s">
        <v>384</v>
      </c>
    </row>
    <row r="33" spans="1:98" s="35" customFormat="1" x14ac:dyDescent="0.35">
      <c r="A33" s="34" t="s">
        <v>293</v>
      </c>
      <c r="B33" s="34" t="s">
        <v>365</v>
      </c>
      <c r="C33" s="35" t="s">
        <v>316</v>
      </c>
      <c r="D33" s="35">
        <v>2019</v>
      </c>
      <c r="E33" s="34" t="s">
        <v>318</v>
      </c>
      <c r="F33" s="34" t="s">
        <v>319</v>
      </c>
      <c r="G33" s="35" t="s">
        <v>78</v>
      </c>
      <c r="H33" s="35">
        <v>1</v>
      </c>
      <c r="I33" s="35" t="s">
        <v>290</v>
      </c>
      <c r="J33" s="35" t="s">
        <v>79</v>
      </c>
      <c r="K33" s="35">
        <v>657</v>
      </c>
      <c r="L33" s="35" t="s">
        <v>129</v>
      </c>
      <c r="M33" s="35" t="s">
        <v>381</v>
      </c>
      <c r="N33" s="35">
        <v>-0.2</v>
      </c>
      <c r="O33" s="35">
        <v>0.19</v>
      </c>
      <c r="P33" s="89">
        <f t="shared" si="0"/>
        <v>-1.0526315789473684</v>
      </c>
      <c r="Q33" s="35" t="s">
        <v>312</v>
      </c>
      <c r="R33" s="89">
        <f t="shared" si="1"/>
        <v>-0.57240000000000002</v>
      </c>
      <c r="S33" s="89">
        <f t="shared" si="2"/>
        <v>0.1724</v>
      </c>
      <c r="T33" s="35">
        <v>1</v>
      </c>
      <c r="U33" s="35">
        <v>5054</v>
      </c>
      <c r="V33" s="35" t="s">
        <v>312</v>
      </c>
      <c r="W33" s="35">
        <v>0</v>
      </c>
      <c r="X33" s="35">
        <f t="shared" si="3"/>
        <v>5054</v>
      </c>
      <c r="Y33" s="89">
        <f t="shared" si="4"/>
        <v>-1.4805094166354836E-2</v>
      </c>
      <c r="Z33" s="89">
        <f t="shared" si="5"/>
        <v>1.4064839458037097E-2</v>
      </c>
      <c r="AA33" s="89">
        <f t="shared" si="6"/>
        <v>-1.4805094166354836E-2</v>
      </c>
      <c r="AB33" s="35" t="s">
        <v>81</v>
      </c>
      <c r="AC33" s="89">
        <f t="shared" si="14"/>
        <v>-1.9812000000000003E-2</v>
      </c>
      <c r="AD33" s="89" cm="1">
        <f t="array" ref="AD33">_xlfn.IFS(
AND(L33="marginal_effect",M33="level"),N33*AN33/BF33, AND(L33="marginal_effect",M33="percent_of_mean"),N33*AN33/100,
AND(L33="marginal_effect",M33="sd (Y)"),N33*BH33*AN33/BF33,
AND(L33="marginal_effect",M33="sd (X)"),N33/AQ33*AN33/BF33,
AND(L33="semi_elasticity",M33="level"),N33*AN33,
AND(L33="semi_elasticity",M33="sd (Y)"),N33*AN33*BH33,
AND(L33="semi_elasticity",M33="sd (X)"),N33*AN33/AQ33,
AND(L33="level-log",M33="level"),N33/BF33,
AND(L33="level-log",M33="sd (X)"),N33/BF33/AQ33,
AND(L33="level-log",M33="sd (Y)"),N33/BF33*BH33,
AND(L33="elasticity",M33="level"),N33,
AND(L33="elasticity",M33="sd (X)"),N33/AQ33,
AND(L33="elasticity",M33="sd (Y)"),N33*BH33,
AND(L33="marginal_effect",M33="percent_of_mean"),N33*AN33/BF33/10)</f>
        <v>-1.9812000000000003E-2</v>
      </c>
      <c r="AE33" s="49">
        <f t="shared" si="8"/>
        <v>1</v>
      </c>
      <c r="AF33" s="89">
        <f t="shared" si="15"/>
        <v>1.8821400000000002E-2</v>
      </c>
      <c r="AG33" s="89" cm="1">
        <f t="array" ref="AG33">_xlfn.IFS(
AND(L33="marginal_effect",M33="level"),O33*AN33/BF33,
AND(L33="marginal_effect",M33="sd (Y)"),O33*BH33*AN33/BF33,
AND(L33="marginal_effect",M33="sd (X)"),O33/AQ33*AN33/BF33,
AND(L33="semi_elasticity",M33="level"),O33*AN33,
AND(L33="semi_elasticity",M33="sd (Y)"),O33*AN33*BH33,
AND(L33="semi_elasticity",M33="sd (X)"),O33*AN33/AQ33,
AND(L33="level-log",M33="level"),O33/BF33,
AND(L33="level-log",M33="sd (X)"),O33/BF33/AQ33,
AND(L33="level-log",M33="sd (Y)"),O33/BF33*BH33,
AND(L33="elasticity",M33="level"),O33,
AND(L33="elasticity",M33="sd (X)"),O33/AQ33,
AND(L33="elasticity",M33="sd (Y)"),O33*BH33,
AND(L33="marginal_effect",M33="percent_of_mean"),O33*AN33/BF33/10)</f>
        <v>1.5736956521739131E-3</v>
      </c>
      <c r="AH33" s="49">
        <f t="shared" si="10"/>
        <v>0</v>
      </c>
      <c r="AI33" s="89">
        <f t="shared" si="11"/>
        <v>-1.9812000000000003E-2</v>
      </c>
      <c r="AJ33" s="49">
        <v>0</v>
      </c>
      <c r="AK33" s="49">
        <f t="shared" si="12"/>
        <v>1</v>
      </c>
      <c r="AL33" s="35" t="s">
        <v>82</v>
      </c>
      <c r="AM33" s="35" t="s">
        <v>296</v>
      </c>
      <c r="AN33" s="35">
        <v>9.9060000000000006</v>
      </c>
      <c r="AO33" s="35">
        <v>0</v>
      </c>
      <c r="AP33" s="35">
        <f t="shared" si="13"/>
        <v>99.06</v>
      </c>
      <c r="AQ33" s="35">
        <v>49.79</v>
      </c>
      <c r="AR33" s="35">
        <v>23.55</v>
      </c>
      <c r="AS33" s="35">
        <v>342.58</v>
      </c>
      <c r="AT33" s="35" t="s">
        <v>83</v>
      </c>
      <c r="AV33" s="35" t="s">
        <v>133</v>
      </c>
      <c r="AW33" s="35" t="s">
        <v>85</v>
      </c>
      <c r="AX33" s="35" t="s">
        <v>110</v>
      </c>
      <c r="AY33" s="35">
        <v>0</v>
      </c>
      <c r="AZ33" s="35">
        <v>20</v>
      </c>
      <c r="BA33" s="35" t="s">
        <v>87</v>
      </c>
      <c r="BB33" s="35" t="s">
        <v>88</v>
      </c>
      <c r="BC33" s="35" t="s">
        <v>89</v>
      </c>
      <c r="BD33" s="35" t="s">
        <v>114</v>
      </c>
      <c r="BE33" s="35" t="s">
        <v>292</v>
      </c>
      <c r="BF33" s="35">
        <v>119.6</v>
      </c>
      <c r="BG33" s="35">
        <v>0</v>
      </c>
      <c r="BH33" s="35" t="s">
        <v>312</v>
      </c>
      <c r="BI33" s="35" t="s">
        <v>312</v>
      </c>
      <c r="BJ33" s="35" t="s">
        <v>312</v>
      </c>
      <c r="BK33" s="35" t="s">
        <v>91</v>
      </c>
      <c r="BL33" s="35" t="s">
        <v>84</v>
      </c>
      <c r="BM33" s="35">
        <v>1</v>
      </c>
      <c r="BN33" s="35" t="s">
        <v>2177</v>
      </c>
      <c r="BO33" s="35" t="s">
        <v>289</v>
      </c>
      <c r="BP33" s="35" t="s">
        <v>315</v>
      </c>
      <c r="BQ33" s="35" t="s">
        <v>117</v>
      </c>
      <c r="BR33" s="35" t="s">
        <v>93</v>
      </c>
      <c r="BS33" s="35" t="s">
        <v>312</v>
      </c>
      <c r="BT33" s="35" t="s">
        <v>312</v>
      </c>
      <c r="BU33" s="36">
        <v>41730</v>
      </c>
      <c r="BV33" s="36">
        <v>42155</v>
      </c>
      <c r="BW33" s="35" t="s">
        <v>94</v>
      </c>
      <c r="BX33" s="35" t="s">
        <v>95</v>
      </c>
      <c r="BY33" s="35" t="s">
        <v>96</v>
      </c>
      <c r="BZ33" s="35">
        <v>0</v>
      </c>
      <c r="CA33" s="35">
        <v>0</v>
      </c>
      <c r="CB33" s="35" t="s">
        <v>97</v>
      </c>
      <c r="CC33" s="35" t="s">
        <v>314</v>
      </c>
      <c r="CD33" s="35">
        <v>0</v>
      </c>
      <c r="CE33" s="35" t="s">
        <v>97</v>
      </c>
      <c r="CF33" s="35">
        <v>0</v>
      </c>
      <c r="CG33" s="35" t="s">
        <v>97</v>
      </c>
      <c r="CH33" s="35">
        <v>1</v>
      </c>
      <c r="CI33" s="35" t="s">
        <v>376</v>
      </c>
      <c r="CJ33" s="35" t="s">
        <v>377</v>
      </c>
      <c r="CK33" s="35">
        <v>64</v>
      </c>
      <c r="CL33" s="35">
        <v>0</v>
      </c>
      <c r="CM33" s="35">
        <v>0</v>
      </c>
      <c r="CN33" s="35" t="s">
        <v>99</v>
      </c>
      <c r="CO33" s="35" t="s">
        <v>97</v>
      </c>
      <c r="CP33" s="35" t="s">
        <v>100</v>
      </c>
      <c r="CQ33" s="35" t="s">
        <v>101</v>
      </c>
      <c r="CR33" s="36">
        <v>45847</v>
      </c>
      <c r="CT33" s="37" t="s">
        <v>384</v>
      </c>
    </row>
    <row r="34" spans="1:98" s="35" customFormat="1" x14ac:dyDescent="0.35">
      <c r="A34" s="34" t="s">
        <v>293</v>
      </c>
      <c r="B34" s="34" t="s">
        <v>366</v>
      </c>
      <c r="C34" s="35" t="s">
        <v>316</v>
      </c>
      <c r="D34" s="35">
        <v>2019</v>
      </c>
      <c r="E34" s="34" t="s">
        <v>318</v>
      </c>
      <c r="F34" s="34" t="s">
        <v>319</v>
      </c>
      <c r="G34" s="35" t="s">
        <v>78</v>
      </c>
      <c r="H34" s="35">
        <v>1</v>
      </c>
      <c r="I34" s="35" t="s">
        <v>290</v>
      </c>
      <c r="J34" s="35" t="s">
        <v>79</v>
      </c>
      <c r="K34" s="35">
        <v>657</v>
      </c>
      <c r="L34" s="35" t="s">
        <v>129</v>
      </c>
      <c r="M34" s="35" t="s">
        <v>381</v>
      </c>
      <c r="N34" s="35">
        <v>-0.13</v>
      </c>
      <c r="O34" s="35">
        <v>0.22</v>
      </c>
      <c r="P34" s="89">
        <f t="shared" si="0"/>
        <v>-0.59090909090909094</v>
      </c>
      <c r="Q34" s="35" t="s">
        <v>312</v>
      </c>
      <c r="R34" s="89">
        <f t="shared" si="1"/>
        <v>-0.56119999999999992</v>
      </c>
      <c r="S34" s="89">
        <f t="shared" si="2"/>
        <v>0.30119999999999997</v>
      </c>
      <c r="T34" s="35">
        <v>1</v>
      </c>
      <c r="U34" s="35">
        <v>5054</v>
      </c>
      <c r="V34" s="35" t="s">
        <v>312</v>
      </c>
      <c r="W34" s="35">
        <v>0</v>
      </c>
      <c r="X34" s="35">
        <f t="shared" si="3"/>
        <v>5054</v>
      </c>
      <c r="Y34" s="89">
        <f t="shared" si="4"/>
        <v>-8.3116653841548704E-3</v>
      </c>
      <c r="Z34" s="89">
        <f t="shared" si="5"/>
        <v>1.4065895265492857E-2</v>
      </c>
      <c r="AA34" s="89">
        <f t="shared" ref="AA34:AA65" si="16">Y34</f>
        <v>-8.3116653841548704E-3</v>
      </c>
      <c r="AB34" s="35" t="s">
        <v>81</v>
      </c>
      <c r="AC34" s="89">
        <f t="shared" si="14"/>
        <v>-1.28778E-2</v>
      </c>
      <c r="AD34" s="89" cm="1">
        <f t="array" ref="AD34">_xlfn.IFS(
AND(L34="marginal_effect",M34="level"),N34*AN34/BF34, AND(L34="marginal_effect",M34="percent_of_mean"),N34*AN34/100,
AND(L34="marginal_effect",M34="sd (Y)"),N34*BH34*AN34/BF34,
AND(L34="marginal_effect",M34="sd (X)"),N34/AQ34*AN34/BF34,
AND(L34="semi_elasticity",M34="level"),N34*AN34,
AND(L34="semi_elasticity",M34="sd (Y)"),N34*AN34*BH34,
AND(L34="semi_elasticity",M34="sd (X)"),N34*AN34/AQ34,
AND(L34="level-log",M34="level"),N34/BF34,
AND(L34="level-log",M34="sd (X)"),N34/BF34/AQ34,
AND(L34="level-log",M34="sd (Y)"),N34/BF34*BH34,
AND(L34="elasticity",M34="level"),N34,
AND(L34="elasticity",M34="sd (X)"),N34/AQ34,
AND(L34="elasticity",M34="sd (Y)"),N34*BH34,
AND(L34="marginal_effect",M34="percent_of_mean"),N34*AN34/BF34/10)</f>
        <v>-1.2877800000000002E-2</v>
      </c>
      <c r="AE34" s="49">
        <f t="shared" si="8"/>
        <v>1</v>
      </c>
      <c r="AF34" s="89">
        <f t="shared" si="15"/>
        <v>2.1793200000000002E-2</v>
      </c>
      <c r="AG34" s="89" cm="1">
        <f t="array" ref="AG34">_xlfn.IFS(
AND(L34="marginal_effect",M34="level"),O34*AN34/BF34,
AND(L34="marginal_effect",M34="sd (Y)"),O34*BH34*AN34/BF34,
AND(L34="marginal_effect",M34="sd (X)"),O34/AQ34*AN34/BF34,
AND(L34="semi_elasticity",M34="level"),O34*AN34,
AND(L34="semi_elasticity",M34="sd (Y)"),O34*AN34*BH34,
AND(L34="semi_elasticity",M34="sd (X)"),O34*AN34/AQ34,
AND(L34="level-log",M34="level"),O34/BF34,
AND(L34="level-log",M34="sd (X)"),O34/BF34/AQ34,
AND(L34="level-log",M34="sd (Y)"),O34/BF34*BH34,
AND(L34="elasticity",M34="level"),O34,
AND(L34="elasticity",M34="sd (X)"),O34/AQ34,
AND(L34="elasticity",M34="sd (Y)"),O34*BH34,
AND(L34="marginal_effect",M34="percent_of_mean"),O34*AN34/BF34/10)</f>
        <v>1.8221739130434786E-3</v>
      </c>
      <c r="AH34" s="49">
        <f t="shared" si="10"/>
        <v>0</v>
      </c>
      <c r="AI34" s="89">
        <f t="shared" ref="AI34:AI65" si="17">AC34</f>
        <v>-1.28778E-2</v>
      </c>
      <c r="AJ34" s="49">
        <v>0</v>
      </c>
      <c r="AK34" s="49">
        <f t="shared" si="12"/>
        <v>1</v>
      </c>
      <c r="AL34" s="35" t="s">
        <v>82</v>
      </c>
      <c r="AM34" s="35" t="s">
        <v>296</v>
      </c>
      <c r="AN34" s="35">
        <v>9.9060000000000006</v>
      </c>
      <c r="AO34" s="35">
        <v>0</v>
      </c>
      <c r="AP34" s="35">
        <f t="shared" si="13"/>
        <v>99.06</v>
      </c>
      <c r="AQ34" s="35">
        <v>49.79</v>
      </c>
      <c r="AR34" s="35">
        <v>23.55</v>
      </c>
      <c r="AS34" s="35">
        <v>342.58</v>
      </c>
      <c r="AT34" s="35" t="s">
        <v>83</v>
      </c>
      <c r="AV34" s="35" t="s">
        <v>133</v>
      </c>
      <c r="AW34" s="35" t="s">
        <v>85</v>
      </c>
      <c r="AX34" s="35" t="s">
        <v>110</v>
      </c>
      <c r="AY34" s="35">
        <v>0</v>
      </c>
      <c r="AZ34" s="35">
        <v>25</v>
      </c>
      <c r="BA34" s="35" t="s">
        <v>87</v>
      </c>
      <c r="BB34" s="35" t="s">
        <v>88</v>
      </c>
      <c r="BC34" s="35" t="s">
        <v>89</v>
      </c>
      <c r="BD34" s="35" t="s">
        <v>114</v>
      </c>
      <c r="BE34" s="35" t="s">
        <v>292</v>
      </c>
      <c r="BF34" s="35">
        <v>119.6</v>
      </c>
      <c r="BG34" s="35">
        <v>0</v>
      </c>
      <c r="BH34" s="35" t="s">
        <v>312</v>
      </c>
      <c r="BI34" s="35" t="s">
        <v>312</v>
      </c>
      <c r="BJ34" s="35" t="s">
        <v>312</v>
      </c>
      <c r="BK34" s="35" t="s">
        <v>91</v>
      </c>
      <c r="BL34" s="35" t="s">
        <v>84</v>
      </c>
      <c r="BM34" s="35">
        <v>1</v>
      </c>
      <c r="BN34" s="35" t="s">
        <v>2177</v>
      </c>
      <c r="BO34" s="35" t="s">
        <v>289</v>
      </c>
      <c r="BP34" s="35" t="s">
        <v>315</v>
      </c>
      <c r="BQ34" s="35" t="s">
        <v>117</v>
      </c>
      <c r="BR34" s="35" t="s">
        <v>93</v>
      </c>
      <c r="BS34" s="35" t="s">
        <v>312</v>
      </c>
      <c r="BT34" s="35" t="s">
        <v>312</v>
      </c>
      <c r="BU34" s="36">
        <v>41730</v>
      </c>
      <c r="BV34" s="36">
        <v>42155</v>
      </c>
      <c r="BW34" s="35" t="s">
        <v>94</v>
      </c>
      <c r="BX34" s="35" t="s">
        <v>95</v>
      </c>
      <c r="BY34" s="35" t="s">
        <v>96</v>
      </c>
      <c r="BZ34" s="35">
        <v>0</v>
      </c>
      <c r="CA34" s="35">
        <v>0</v>
      </c>
      <c r="CB34" s="35" t="s">
        <v>97</v>
      </c>
      <c r="CC34" s="35" t="s">
        <v>314</v>
      </c>
      <c r="CD34" s="35">
        <v>0</v>
      </c>
      <c r="CE34" s="35" t="s">
        <v>97</v>
      </c>
      <c r="CF34" s="35">
        <v>0</v>
      </c>
      <c r="CG34" s="35" t="s">
        <v>97</v>
      </c>
      <c r="CH34" s="35">
        <v>1</v>
      </c>
      <c r="CI34" s="35" t="s">
        <v>376</v>
      </c>
      <c r="CJ34" s="35" t="s">
        <v>377</v>
      </c>
      <c r="CK34" s="35">
        <v>64</v>
      </c>
      <c r="CL34" s="35">
        <v>0</v>
      </c>
      <c r="CM34" s="35">
        <v>0</v>
      </c>
      <c r="CN34" s="35" t="s">
        <v>99</v>
      </c>
      <c r="CO34" s="35" t="s">
        <v>97</v>
      </c>
      <c r="CP34" s="35" t="s">
        <v>100</v>
      </c>
      <c r="CQ34" s="35" t="s">
        <v>101</v>
      </c>
      <c r="CR34" s="36">
        <v>45847</v>
      </c>
      <c r="CT34" s="37" t="s">
        <v>384</v>
      </c>
    </row>
    <row r="35" spans="1:98" s="35" customFormat="1" x14ac:dyDescent="0.35">
      <c r="A35" s="34" t="s">
        <v>293</v>
      </c>
      <c r="B35" s="34" t="s">
        <v>367</v>
      </c>
      <c r="C35" s="35" t="s">
        <v>316</v>
      </c>
      <c r="D35" s="35">
        <v>2019</v>
      </c>
      <c r="E35" s="34" t="s">
        <v>318</v>
      </c>
      <c r="F35" s="34" t="s">
        <v>319</v>
      </c>
      <c r="G35" s="35" t="s">
        <v>78</v>
      </c>
      <c r="H35" s="35">
        <v>1</v>
      </c>
      <c r="I35" s="35" t="s">
        <v>290</v>
      </c>
      <c r="J35" s="35" t="s">
        <v>79</v>
      </c>
      <c r="K35" s="35">
        <v>657</v>
      </c>
      <c r="L35" s="35" t="s">
        <v>129</v>
      </c>
      <c r="M35" s="35" t="s">
        <v>381</v>
      </c>
      <c r="N35" s="35">
        <v>-0.37</v>
      </c>
      <c r="O35" s="35">
        <v>0.26</v>
      </c>
      <c r="P35" s="89">
        <f t="shared" si="0"/>
        <v>-1.4230769230769229</v>
      </c>
      <c r="Q35" s="35" t="s">
        <v>312</v>
      </c>
      <c r="R35" s="89">
        <f t="shared" si="1"/>
        <v>-0.87960000000000005</v>
      </c>
      <c r="S35" s="89">
        <f t="shared" si="2"/>
        <v>0.13960000000000006</v>
      </c>
      <c r="T35" s="35">
        <v>1</v>
      </c>
      <c r="U35" s="35">
        <v>5054</v>
      </c>
      <c r="V35" s="35" t="s">
        <v>312</v>
      </c>
      <c r="W35" s="35">
        <v>0</v>
      </c>
      <c r="X35" s="35">
        <f t="shared" si="3"/>
        <v>5054</v>
      </c>
      <c r="Y35" s="89">
        <f t="shared" si="4"/>
        <v>-2.001353308063333E-2</v>
      </c>
      <c r="Z35" s="89">
        <f t="shared" si="5"/>
        <v>1.406356378639099E-2</v>
      </c>
      <c r="AA35" s="89">
        <f t="shared" si="16"/>
        <v>-2.001353308063333E-2</v>
      </c>
      <c r="AB35" s="35" t="s">
        <v>81</v>
      </c>
      <c r="AC35" s="89">
        <f t="shared" si="14"/>
        <v>-3.6652200000000003E-2</v>
      </c>
      <c r="AD35" s="89" cm="1">
        <f t="array" ref="AD35">_xlfn.IFS(
AND(L35="marginal_effect",M35="level"),N35*AN35/BF35, AND(L35="marginal_effect",M35="percent_of_mean"),N35*AN35/100,
AND(L35="marginal_effect",M35="sd (Y)"),N35*BH35*AN35/BF35,
AND(L35="marginal_effect",M35="sd (X)"),N35/AQ35*AN35/BF35,
AND(L35="semi_elasticity",M35="level"),N35*AN35,
AND(L35="semi_elasticity",M35="sd (Y)"),N35*AN35*BH35,
AND(L35="semi_elasticity",M35="sd (X)"),N35*AN35/AQ35,
AND(L35="level-log",M35="level"),N35/BF35,
AND(L35="level-log",M35="sd (X)"),N35/BF35/AQ35,
AND(L35="level-log",M35="sd (Y)"),N35/BF35*BH35,
AND(L35="elasticity",M35="level"),N35,
AND(L35="elasticity",M35="sd (X)"),N35/AQ35,
AND(L35="elasticity",M35="sd (Y)"),N35*BH35,
AND(L35="marginal_effect",M35="percent_of_mean"),N35*AN35/BF35/10)</f>
        <v>-3.6652200000000003E-2</v>
      </c>
      <c r="AE35" s="49">
        <f t="shared" si="8"/>
        <v>1</v>
      </c>
      <c r="AF35" s="89">
        <f t="shared" si="15"/>
        <v>2.5755600000000003E-2</v>
      </c>
      <c r="AG35" s="89" cm="1">
        <f t="array" ref="AG35">_xlfn.IFS(
AND(L35="marginal_effect",M35="level"),O35*AN35/BF35,
AND(L35="marginal_effect",M35="sd (Y)"),O35*BH35*AN35/BF35,
AND(L35="marginal_effect",M35="sd (X)"),O35/AQ35*AN35/BF35,
AND(L35="semi_elasticity",M35="level"),O35*AN35,
AND(L35="semi_elasticity",M35="sd (Y)"),O35*AN35*BH35,
AND(L35="semi_elasticity",M35="sd (X)"),O35*AN35/AQ35,
AND(L35="level-log",M35="level"),O35/BF35,
AND(L35="level-log",M35="sd (X)"),O35/BF35/AQ35,
AND(L35="level-log",M35="sd (Y)"),O35/BF35*BH35,
AND(L35="elasticity",M35="level"),O35,
AND(L35="elasticity",M35="sd (X)"),O35/AQ35,
AND(L35="elasticity",M35="sd (Y)"),O35*BH35,
AND(L35="marginal_effect",M35="percent_of_mean"),O35*AN35/BF35/10)</f>
        <v>2.1534782608695654E-3</v>
      </c>
      <c r="AH35" s="49">
        <f t="shared" si="10"/>
        <v>0</v>
      </c>
      <c r="AI35" s="89">
        <f t="shared" si="17"/>
        <v>-3.6652200000000003E-2</v>
      </c>
      <c r="AJ35" s="49">
        <v>0</v>
      </c>
      <c r="AK35" s="49">
        <f t="shared" si="12"/>
        <v>1</v>
      </c>
      <c r="AL35" s="35" t="s">
        <v>82</v>
      </c>
      <c r="AM35" s="35" t="s">
        <v>296</v>
      </c>
      <c r="AN35" s="35">
        <v>9.9060000000000006</v>
      </c>
      <c r="AO35" s="35">
        <v>0</v>
      </c>
      <c r="AP35" s="35">
        <f t="shared" si="13"/>
        <v>99.06</v>
      </c>
      <c r="AQ35" s="35">
        <v>49.79</v>
      </c>
      <c r="AR35" s="35">
        <v>23.55</v>
      </c>
      <c r="AS35" s="35">
        <v>342.58</v>
      </c>
      <c r="AT35" s="35" t="s">
        <v>83</v>
      </c>
      <c r="AV35" s="35" t="s">
        <v>133</v>
      </c>
      <c r="AW35" s="35" t="s">
        <v>85</v>
      </c>
      <c r="AX35" s="35" t="s">
        <v>110</v>
      </c>
      <c r="AY35" s="35">
        <v>0</v>
      </c>
      <c r="AZ35" s="35">
        <v>30</v>
      </c>
      <c r="BA35" s="35" t="s">
        <v>87</v>
      </c>
      <c r="BB35" s="35" t="s">
        <v>88</v>
      </c>
      <c r="BC35" s="35" t="s">
        <v>89</v>
      </c>
      <c r="BD35" s="35" t="s">
        <v>114</v>
      </c>
      <c r="BE35" s="35" t="s">
        <v>292</v>
      </c>
      <c r="BF35" s="35">
        <v>119.6</v>
      </c>
      <c r="BG35" s="35">
        <v>0</v>
      </c>
      <c r="BH35" s="35" t="s">
        <v>312</v>
      </c>
      <c r="BI35" s="35" t="s">
        <v>312</v>
      </c>
      <c r="BJ35" s="35" t="s">
        <v>312</v>
      </c>
      <c r="BK35" s="35" t="s">
        <v>91</v>
      </c>
      <c r="BL35" s="35" t="s">
        <v>84</v>
      </c>
      <c r="BM35" s="35">
        <v>1</v>
      </c>
      <c r="BN35" s="35" t="s">
        <v>2177</v>
      </c>
      <c r="BO35" s="35" t="s">
        <v>289</v>
      </c>
      <c r="BP35" s="35" t="s">
        <v>315</v>
      </c>
      <c r="BQ35" s="35" t="s">
        <v>117</v>
      </c>
      <c r="BR35" s="35" t="s">
        <v>93</v>
      </c>
      <c r="BS35" s="35" t="s">
        <v>312</v>
      </c>
      <c r="BT35" s="35" t="s">
        <v>312</v>
      </c>
      <c r="BU35" s="36">
        <v>41730</v>
      </c>
      <c r="BV35" s="36">
        <v>42155</v>
      </c>
      <c r="BW35" s="35" t="s">
        <v>94</v>
      </c>
      <c r="BX35" s="35" t="s">
        <v>95</v>
      </c>
      <c r="BY35" s="35" t="s">
        <v>96</v>
      </c>
      <c r="BZ35" s="35">
        <v>0</v>
      </c>
      <c r="CA35" s="35">
        <v>0</v>
      </c>
      <c r="CB35" s="35" t="s">
        <v>97</v>
      </c>
      <c r="CC35" s="35" t="s">
        <v>314</v>
      </c>
      <c r="CD35" s="35">
        <v>0</v>
      </c>
      <c r="CE35" s="35" t="s">
        <v>97</v>
      </c>
      <c r="CF35" s="35">
        <v>0</v>
      </c>
      <c r="CG35" s="35" t="s">
        <v>97</v>
      </c>
      <c r="CH35" s="35">
        <v>1</v>
      </c>
      <c r="CI35" s="35" t="s">
        <v>376</v>
      </c>
      <c r="CJ35" s="35" t="s">
        <v>377</v>
      </c>
      <c r="CK35" s="35">
        <v>64</v>
      </c>
      <c r="CL35" s="35">
        <v>0</v>
      </c>
      <c r="CM35" s="35">
        <v>0</v>
      </c>
      <c r="CN35" s="35" t="s">
        <v>99</v>
      </c>
      <c r="CO35" s="35" t="s">
        <v>97</v>
      </c>
      <c r="CP35" s="35" t="s">
        <v>100</v>
      </c>
      <c r="CQ35" s="35" t="s">
        <v>101</v>
      </c>
      <c r="CR35" s="36">
        <v>45847</v>
      </c>
      <c r="CT35" s="37" t="s">
        <v>384</v>
      </c>
    </row>
    <row r="36" spans="1:98" s="35" customFormat="1" x14ac:dyDescent="0.35">
      <c r="A36" s="34" t="s">
        <v>293</v>
      </c>
      <c r="B36" s="34" t="s">
        <v>368</v>
      </c>
      <c r="C36" s="35" t="s">
        <v>316</v>
      </c>
      <c r="D36" s="35">
        <v>2019</v>
      </c>
      <c r="E36" s="34" t="s">
        <v>318</v>
      </c>
      <c r="F36" s="34" t="s">
        <v>319</v>
      </c>
      <c r="G36" s="35" t="s">
        <v>78</v>
      </c>
      <c r="H36" s="35">
        <v>1</v>
      </c>
      <c r="I36" s="35" t="s">
        <v>290</v>
      </c>
      <c r="J36" s="35" t="s">
        <v>79</v>
      </c>
      <c r="K36" s="35">
        <v>657</v>
      </c>
      <c r="L36" s="35" t="s">
        <v>129</v>
      </c>
      <c r="M36" s="35" t="s">
        <v>381</v>
      </c>
      <c r="N36" s="35">
        <v>0.12</v>
      </c>
      <c r="O36" s="35">
        <v>0.24</v>
      </c>
      <c r="P36" s="89">
        <f t="shared" si="0"/>
        <v>0.5</v>
      </c>
      <c r="Q36" s="35" t="s">
        <v>312</v>
      </c>
      <c r="R36" s="89">
        <f t="shared" si="1"/>
        <v>-0.35039999999999999</v>
      </c>
      <c r="S36" s="89">
        <f t="shared" si="2"/>
        <v>0.59040000000000004</v>
      </c>
      <c r="T36" s="35">
        <v>1</v>
      </c>
      <c r="U36" s="35">
        <v>5054</v>
      </c>
      <c r="V36" s="35" t="s">
        <v>312</v>
      </c>
      <c r="W36" s="35">
        <v>0</v>
      </c>
      <c r="X36" s="35">
        <f t="shared" si="3"/>
        <v>5054</v>
      </c>
      <c r="Y36" s="89">
        <f t="shared" si="4"/>
        <v>7.0330166320033338E-3</v>
      </c>
      <c r="Z36" s="89">
        <f t="shared" si="5"/>
        <v>1.4066033264006668E-2</v>
      </c>
      <c r="AA36" s="89">
        <f t="shared" si="16"/>
        <v>7.0330166320033338E-3</v>
      </c>
      <c r="AB36" s="35" t="s">
        <v>81</v>
      </c>
      <c r="AC36" s="89">
        <f t="shared" si="14"/>
        <v>7.3163999999999998E-3</v>
      </c>
      <c r="AD36" s="89" cm="1">
        <f t="array" ref="AD36">_xlfn.IFS(
AND(L36="marginal_effect",M36="level"),N36*AN36/BF36, AND(L36="marginal_effect",M36="percent_of_mean"),N36*AN36/100,
AND(L36="marginal_effect",M36="sd (Y)"),N36*BH36*AN36/BF36,
AND(L36="marginal_effect",M36="sd (X)"),N36/AQ36*AN36/BF36,
AND(L36="semi_elasticity",M36="level"),N36*AN36,
AND(L36="semi_elasticity",M36="sd (Y)"),N36*AN36*BH36,
AND(L36="semi_elasticity",M36="sd (X)"),N36*AN36/AQ36,
AND(L36="level-log",M36="level"),N36/BF36,
AND(L36="level-log",M36="sd (X)"),N36/BF36/AQ36,
AND(L36="level-log",M36="sd (Y)"),N36/BF36*BH36,
AND(L36="elasticity",M36="level"),N36,
AND(L36="elasticity",M36="sd (X)"),N36/AQ36,
AND(L36="elasticity",M36="sd (Y)"),N36*BH36,
AND(L36="marginal_effect",M36="percent_of_mean"),N36*AN36/BF36/10)</f>
        <v>7.3164000000000007E-3</v>
      </c>
      <c r="AE36" s="49">
        <f t="shared" si="8"/>
        <v>1</v>
      </c>
      <c r="AF36" s="89">
        <f t="shared" si="15"/>
        <v>1.4632800000000001E-2</v>
      </c>
      <c r="AG36" s="89" cm="1">
        <f t="array" ref="AG36">_xlfn.IFS(
AND(L36="marginal_effect",M36="level"),O36*AN36/BF36,
AND(L36="marginal_effect",M36="sd (Y)"),O36*BH36*AN36/BF36,
AND(L36="marginal_effect",M36="sd (X)"),O36/AQ36*AN36/BF36,
AND(L36="semi_elasticity",M36="level"),O36*AN36,
AND(L36="semi_elasticity",M36="sd (Y)"),O36*AN36*BH36,
AND(L36="semi_elasticity",M36="sd (X)"),O36*AN36/AQ36,
AND(L36="level-log",M36="level"),O36/BF36,
AND(L36="level-log",M36="sd (X)"),O36/BF36/AQ36,
AND(L36="level-log",M36="sd (Y)"),O36/BF36*BH36,
AND(L36="elasticity",M36="level"),O36,
AND(L36="elasticity",M36="sd (X)"),O36/AQ36,
AND(L36="elasticity",M36="sd (Y)"),O36*BH36,
AND(L36="marginal_effect",M36="percent_of_mean"),O36*AN36/BF36/10)</f>
        <v>1.2234782608695654E-3</v>
      </c>
      <c r="AH36" s="49">
        <f t="shared" si="10"/>
        <v>0</v>
      </c>
      <c r="AI36" s="89">
        <f t="shared" si="17"/>
        <v>7.3163999999999998E-3</v>
      </c>
      <c r="AJ36" s="49">
        <v>0</v>
      </c>
      <c r="AK36" s="49">
        <f t="shared" si="12"/>
        <v>1</v>
      </c>
      <c r="AL36" s="35" t="s">
        <v>159</v>
      </c>
      <c r="AM36" s="35" t="s">
        <v>296</v>
      </c>
      <c r="AN36" s="35">
        <v>6.0970000000000004</v>
      </c>
      <c r="AO36" s="35">
        <v>0</v>
      </c>
      <c r="AP36" s="35">
        <f t="shared" si="13"/>
        <v>60.970000000000006</v>
      </c>
      <c r="AQ36" s="35">
        <v>40.840000000000003</v>
      </c>
      <c r="AR36" s="35">
        <v>8.33</v>
      </c>
      <c r="AS36" s="35">
        <v>293.10000000000002</v>
      </c>
      <c r="AT36" s="35" t="s">
        <v>83</v>
      </c>
      <c r="AV36" s="35" t="s">
        <v>133</v>
      </c>
      <c r="AW36" s="35" t="s">
        <v>85</v>
      </c>
      <c r="AX36" s="35" t="s">
        <v>110</v>
      </c>
      <c r="AY36" s="35">
        <v>0</v>
      </c>
      <c r="AZ36" s="35">
        <v>5</v>
      </c>
      <c r="BA36" s="35" t="s">
        <v>87</v>
      </c>
      <c r="BB36" s="35" t="s">
        <v>88</v>
      </c>
      <c r="BC36" s="35" t="s">
        <v>89</v>
      </c>
      <c r="BD36" s="35" t="s">
        <v>114</v>
      </c>
      <c r="BE36" s="35" t="s">
        <v>292</v>
      </c>
      <c r="BF36" s="35">
        <v>119.6</v>
      </c>
      <c r="BG36" s="35">
        <v>0</v>
      </c>
      <c r="BH36" s="35" t="s">
        <v>312</v>
      </c>
      <c r="BI36" s="35" t="s">
        <v>312</v>
      </c>
      <c r="BJ36" s="35" t="s">
        <v>312</v>
      </c>
      <c r="BK36" s="35" t="s">
        <v>91</v>
      </c>
      <c r="BL36" s="35" t="s">
        <v>84</v>
      </c>
      <c r="BM36" s="35">
        <v>1</v>
      </c>
      <c r="BN36" s="35" t="s">
        <v>2177</v>
      </c>
      <c r="BO36" s="35" t="s">
        <v>289</v>
      </c>
      <c r="BP36" s="35" t="s">
        <v>315</v>
      </c>
      <c r="BQ36" s="35" t="s">
        <v>117</v>
      </c>
      <c r="BR36" s="35" t="s">
        <v>93</v>
      </c>
      <c r="BS36" s="35" t="s">
        <v>312</v>
      </c>
      <c r="BT36" s="35" t="s">
        <v>312</v>
      </c>
      <c r="BU36" s="36">
        <v>41730</v>
      </c>
      <c r="BV36" s="36">
        <v>42155</v>
      </c>
      <c r="BW36" s="35" t="s">
        <v>94</v>
      </c>
      <c r="BX36" s="35" t="s">
        <v>95</v>
      </c>
      <c r="BY36" s="35" t="s">
        <v>96</v>
      </c>
      <c r="BZ36" s="35">
        <v>0</v>
      </c>
      <c r="CA36" s="35">
        <v>0</v>
      </c>
      <c r="CB36" s="35" t="s">
        <v>97</v>
      </c>
      <c r="CC36" s="35" t="s">
        <v>314</v>
      </c>
      <c r="CD36" s="35">
        <v>0</v>
      </c>
      <c r="CE36" s="35" t="s">
        <v>97</v>
      </c>
      <c r="CF36" s="35">
        <v>0</v>
      </c>
      <c r="CG36" s="35" t="s">
        <v>97</v>
      </c>
      <c r="CH36" s="35">
        <v>1</v>
      </c>
      <c r="CI36" s="35" t="s">
        <v>376</v>
      </c>
      <c r="CJ36" s="35" t="s">
        <v>377</v>
      </c>
      <c r="CK36" s="35">
        <v>64</v>
      </c>
      <c r="CL36" s="35">
        <v>0</v>
      </c>
      <c r="CM36" s="35">
        <v>0</v>
      </c>
      <c r="CN36" s="35" t="s">
        <v>99</v>
      </c>
      <c r="CO36" s="35" t="s">
        <v>97</v>
      </c>
      <c r="CP36" s="35" t="s">
        <v>100</v>
      </c>
      <c r="CQ36" s="35" t="s">
        <v>101</v>
      </c>
      <c r="CR36" s="36">
        <v>45847</v>
      </c>
      <c r="CT36" s="37" t="s">
        <v>384</v>
      </c>
    </row>
    <row r="37" spans="1:98" s="35" customFormat="1" x14ac:dyDescent="0.35">
      <c r="A37" s="34" t="s">
        <v>293</v>
      </c>
      <c r="B37" s="34" t="s">
        <v>369</v>
      </c>
      <c r="C37" s="35" t="s">
        <v>316</v>
      </c>
      <c r="D37" s="35">
        <v>2019</v>
      </c>
      <c r="E37" s="34" t="s">
        <v>318</v>
      </c>
      <c r="F37" s="34" t="s">
        <v>319</v>
      </c>
      <c r="G37" s="35" t="s">
        <v>78</v>
      </c>
      <c r="H37" s="35">
        <v>1</v>
      </c>
      <c r="I37" s="35" t="s">
        <v>290</v>
      </c>
      <c r="J37" s="35" t="s">
        <v>79</v>
      </c>
      <c r="K37" s="35">
        <v>657</v>
      </c>
      <c r="L37" s="35" t="s">
        <v>129</v>
      </c>
      <c r="M37" s="35" t="s">
        <v>381</v>
      </c>
      <c r="N37" s="35">
        <v>0.19</v>
      </c>
      <c r="O37" s="35">
        <v>0.32</v>
      </c>
      <c r="P37" s="89">
        <f t="shared" si="0"/>
        <v>0.59375</v>
      </c>
      <c r="Q37" s="35" t="s">
        <v>312</v>
      </c>
      <c r="R37" s="89">
        <f t="shared" si="1"/>
        <v>-0.43719999999999998</v>
      </c>
      <c r="S37" s="89">
        <f t="shared" si="2"/>
        <v>0.81719999999999993</v>
      </c>
      <c r="T37" s="35">
        <v>1</v>
      </c>
      <c r="U37" s="35">
        <v>5054</v>
      </c>
      <c r="V37" s="35" t="s">
        <v>312</v>
      </c>
      <c r="W37" s="35">
        <v>0</v>
      </c>
      <c r="X37" s="35">
        <f t="shared" si="3"/>
        <v>5054</v>
      </c>
      <c r="Y37" s="89">
        <f t="shared" si="4"/>
        <v>8.3516225333647651E-3</v>
      </c>
      <c r="Z37" s="89">
        <f t="shared" si="5"/>
        <v>1.4065890582509078E-2</v>
      </c>
      <c r="AA37" s="89">
        <f t="shared" si="16"/>
        <v>8.3516225333647651E-3</v>
      </c>
      <c r="AB37" s="35" t="s">
        <v>81</v>
      </c>
      <c r="AC37" s="89">
        <f t="shared" si="14"/>
        <v>1.15843E-2</v>
      </c>
      <c r="AD37" s="89" cm="1">
        <f t="array" ref="AD37">_xlfn.IFS(
AND(L37="marginal_effect",M37="level"),N37*AN37/BF37, AND(L37="marginal_effect",M37="percent_of_mean"),N37*AN37/100,
AND(L37="marginal_effect",M37="sd (Y)"),N37*BH37*AN37/BF37,
AND(L37="marginal_effect",M37="sd (X)"),N37/AQ37*AN37/BF37,
AND(L37="semi_elasticity",M37="level"),N37*AN37,
AND(L37="semi_elasticity",M37="sd (Y)"),N37*AN37*BH37,
AND(L37="semi_elasticity",M37="sd (X)"),N37*AN37/AQ37,
AND(L37="level-log",M37="level"),N37/BF37,
AND(L37="level-log",M37="sd (X)"),N37/BF37/AQ37,
AND(L37="level-log",M37="sd (Y)"),N37/BF37*BH37,
AND(L37="elasticity",M37="level"),N37,
AND(L37="elasticity",M37="sd (X)"),N37/AQ37,
AND(L37="elasticity",M37="sd (Y)"),N37*BH37,
AND(L37="marginal_effect",M37="percent_of_mean"),N37*AN37/BF37/10)</f>
        <v>1.15843E-2</v>
      </c>
      <c r="AE37" s="49">
        <f t="shared" si="8"/>
        <v>1</v>
      </c>
      <c r="AF37" s="89">
        <f t="shared" si="15"/>
        <v>1.9510400000000001E-2</v>
      </c>
      <c r="AG37" s="89" cm="1">
        <f t="array" ref="AG37">_xlfn.IFS(
AND(L37="marginal_effect",M37="level"),O37*AN37/BF37,
AND(L37="marginal_effect",M37="sd (Y)"),O37*BH37*AN37/BF37,
AND(L37="marginal_effect",M37="sd (X)"),O37/AQ37*AN37/BF37,
AND(L37="semi_elasticity",M37="level"),O37*AN37,
AND(L37="semi_elasticity",M37="sd (Y)"),O37*AN37*BH37,
AND(L37="semi_elasticity",M37="sd (X)"),O37*AN37/AQ37,
AND(L37="level-log",M37="level"),O37/BF37,
AND(L37="level-log",M37="sd (X)"),O37/BF37/AQ37,
AND(L37="level-log",M37="sd (Y)"),O37/BF37*BH37,
AND(L37="elasticity",M37="level"),O37,
AND(L37="elasticity",M37="sd (X)"),O37/AQ37,
AND(L37="elasticity",M37="sd (Y)"),O37*BH37,
AND(L37="marginal_effect",M37="percent_of_mean"),O37*AN37/BF37/10)</f>
        <v>1.631304347826087E-3</v>
      </c>
      <c r="AH37" s="49">
        <f t="shared" si="10"/>
        <v>0</v>
      </c>
      <c r="AI37" s="89">
        <f t="shared" si="17"/>
        <v>1.15843E-2</v>
      </c>
      <c r="AJ37" s="49">
        <v>0</v>
      </c>
      <c r="AK37" s="49">
        <f t="shared" si="12"/>
        <v>1</v>
      </c>
      <c r="AL37" s="35" t="s">
        <v>159</v>
      </c>
      <c r="AM37" s="35" t="s">
        <v>296</v>
      </c>
      <c r="AN37" s="35">
        <v>6.0970000000000004</v>
      </c>
      <c r="AO37" s="35">
        <v>0</v>
      </c>
      <c r="AP37" s="35">
        <f t="shared" si="13"/>
        <v>60.970000000000006</v>
      </c>
      <c r="AQ37" s="35">
        <v>40.840000000000003</v>
      </c>
      <c r="AR37" s="35">
        <v>8.33</v>
      </c>
      <c r="AS37" s="35">
        <v>293.10000000000002</v>
      </c>
      <c r="AT37" s="35" t="s">
        <v>83</v>
      </c>
      <c r="AV37" s="35" t="s">
        <v>133</v>
      </c>
      <c r="AW37" s="35" t="s">
        <v>85</v>
      </c>
      <c r="AX37" s="35" t="s">
        <v>110</v>
      </c>
      <c r="AY37" s="35">
        <v>0</v>
      </c>
      <c r="AZ37" s="35">
        <v>10</v>
      </c>
      <c r="BA37" s="35" t="s">
        <v>87</v>
      </c>
      <c r="BB37" s="35" t="s">
        <v>88</v>
      </c>
      <c r="BC37" s="35" t="s">
        <v>89</v>
      </c>
      <c r="BD37" s="35" t="s">
        <v>114</v>
      </c>
      <c r="BE37" s="35" t="s">
        <v>292</v>
      </c>
      <c r="BF37" s="35">
        <v>119.6</v>
      </c>
      <c r="BG37" s="35">
        <v>0</v>
      </c>
      <c r="BH37" s="35" t="s">
        <v>312</v>
      </c>
      <c r="BI37" s="35" t="s">
        <v>312</v>
      </c>
      <c r="BJ37" s="35" t="s">
        <v>312</v>
      </c>
      <c r="BK37" s="35" t="s">
        <v>91</v>
      </c>
      <c r="BL37" s="35" t="s">
        <v>84</v>
      </c>
      <c r="BM37" s="35">
        <v>1</v>
      </c>
      <c r="BN37" s="35" t="s">
        <v>2177</v>
      </c>
      <c r="BO37" s="35" t="s">
        <v>289</v>
      </c>
      <c r="BP37" s="35" t="s">
        <v>315</v>
      </c>
      <c r="BQ37" s="35" t="s">
        <v>117</v>
      </c>
      <c r="BR37" s="35" t="s">
        <v>93</v>
      </c>
      <c r="BS37" s="35" t="s">
        <v>312</v>
      </c>
      <c r="BT37" s="35" t="s">
        <v>312</v>
      </c>
      <c r="BU37" s="36">
        <v>41730</v>
      </c>
      <c r="BV37" s="36">
        <v>42155</v>
      </c>
      <c r="BW37" s="35" t="s">
        <v>94</v>
      </c>
      <c r="BX37" s="35" t="s">
        <v>95</v>
      </c>
      <c r="BY37" s="35" t="s">
        <v>96</v>
      </c>
      <c r="BZ37" s="35">
        <v>0</v>
      </c>
      <c r="CA37" s="35">
        <v>0</v>
      </c>
      <c r="CB37" s="35" t="s">
        <v>97</v>
      </c>
      <c r="CC37" s="35" t="s">
        <v>314</v>
      </c>
      <c r="CD37" s="35">
        <v>0</v>
      </c>
      <c r="CE37" s="35" t="s">
        <v>97</v>
      </c>
      <c r="CF37" s="35">
        <v>0</v>
      </c>
      <c r="CG37" s="35" t="s">
        <v>97</v>
      </c>
      <c r="CH37" s="35">
        <v>1</v>
      </c>
      <c r="CI37" s="35" t="s">
        <v>376</v>
      </c>
      <c r="CJ37" s="35" t="s">
        <v>377</v>
      </c>
      <c r="CK37" s="35">
        <v>64</v>
      </c>
      <c r="CL37" s="35">
        <v>0</v>
      </c>
      <c r="CM37" s="35">
        <v>0</v>
      </c>
      <c r="CN37" s="35" t="s">
        <v>99</v>
      </c>
      <c r="CO37" s="35" t="s">
        <v>97</v>
      </c>
      <c r="CP37" s="35" t="s">
        <v>100</v>
      </c>
      <c r="CQ37" s="35" t="s">
        <v>101</v>
      </c>
      <c r="CR37" s="36">
        <v>45847</v>
      </c>
      <c r="CT37" s="37" t="s">
        <v>384</v>
      </c>
    </row>
    <row r="38" spans="1:98" s="35" customFormat="1" x14ac:dyDescent="0.35">
      <c r="A38" s="34" t="s">
        <v>293</v>
      </c>
      <c r="B38" s="34" t="s">
        <v>370</v>
      </c>
      <c r="C38" s="35" t="s">
        <v>316</v>
      </c>
      <c r="D38" s="35">
        <v>2019</v>
      </c>
      <c r="E38" s="34" t="s">
        <v>318</v>
      </c>
      <c r="F38" s="34" t="s">
        <v>319</v>
      </c>
      <c r="G38" s="35" t="s">
        <v>78</v>
      </c>
      <c r="H38" s="35">
        <v>1</v>
      </c>
      <c r="I38" s="35" t="s">
        <v>290</v>
      </c>
      <c r="J38" s="35" t="s">
        <v>79</v>
      </c>
      <c r="K38" s="35">
        <v>657</v>
      </c>
      <c r="L38" s="35" t="s">
        <v>129</v>
      </c>
      <c r="M38" s="35" t="s">
        <v>381</v>
      </c>
      <c r="N38" s="35">
        <v>0.08</v>
      </c>
      <c r="O38" s="35">
        <v>0.41</v>
      </c>
      <c r="P38" s="89">
        <f t="shared" si="0"/>
        <v>0.1951219512195122</v>
      </c>
      <c r="Q38" s="35" t="s">
        <v>312</v>
      </c>
      <c r="R38" s="89">
        <f t="shared" si="1"/>
        <v>-0.72360000000000002</v>
      </c>
      <c r="S38" s="89">
        <f t="shared" si="2"/>
        <v>0.88359999999999994</v>
      </c>
      <c r="T38" s="35">
        <v>1</v>
      </c>
      <c r="U38" s="35">
        <v>5054</v>
      </c>
      <c r="V38" s="35" t="s">
        <v>312</v>
      </c>
      <c r="W38" s="35">
        <v>0</v>
      </c>
      <c r="X38" s="35">
        <f t="shared" si="3"/>
        <v>5054</v>
      </c>
      <c r="Y38" s="89">
        <f t="shared" si="4"/>
        <v>2.7446493993083894E-3</v>
      </c>
      <c r="Z38" s="89">
        <f t="shared" si="5"/>
        <v>1.4066328171455495E-2</v>
      </c>
      <c r="AA38" s="89">
        <f t="shared" si="16"/>
        <v>2.7446493993083894E-3</v>
      </c>
      <c r="AB38" s="35" t="s">
        <v>81</v>
      </c>
      <c r="AC38" s="89">
        <f t="shared" si="14"/>
        <v>4.8776000000000002E-3</v>
      </c>
      <c r="AD38" s="89" cm="1">
        <f t="array" ref="AD38">_xlfn.IFS(
AND(L38="marginal_effect",M38="level"),N38*AN38/BF38, AND(L38="marginal_effect",M38="percent_of_mean"),N38*AN38/100,
AND(L38="marginal_effect",M38="sd (Y)"),N38*BH38*AN38/BF38,
AND(L38="marginal_effect",M38="sd (X)"),N38/AQ38*AN38/BF38,
AND(L38="semi_elasticity",M38="level"),N38*AN38,
AND(L38="semi_elasticity",M38="sd (Y)"),N38*AN38*BH38,
AND(L38="semi_elasticity",M38="sd (X)"),N38*AN38/AQ38,
AND(L38="level-log",M38="level"),N38/BF38,
AND(L38="level-log",M38="sd (X)"),N38/BF38/AQ38,
AND(L38="level-log",M38="sd (Y)"),N38/BF38*BH38,
AND(L38="elasticity",M38="level"),N38,
AND(L38="elasticity",M38="sd (X)"),N38/AQ38,
AND(L38="elasticity",M38="sd (Y)"),N38*BH38,
AND(L38="marginal_effect",M38="percent_of_mean"),N38*AN38/BF38/10)</f>
        <v>4.8776000000000002E-3</v>
      </c>
      <c r="AE38" s="49">
        <f t="shared" si="8"/>
        <v>1</v>
      </c>
      <c r="AF38" s="89">
        <f t="shared" si="15"/>
        <v>2.4997699999999998E-2</v>
      </c>
      <c r="AG38" s="89" cm="1">
        <f t="array" ref="AG38">_xlfn.IFS(
AND(L38="marginal_effect",M38="level"),O38*AN38/BF38,
AND(L38="marginal_effect",M38="sd (Y)"),O38*BH38*AN38/BF38,
AND(L38="marginal_effect",M38="sd (X)"),O38/AQ38*AN38/BF38,
AND(L38="semi_elasticity",M38="level"),O38*AN38,
AND(L38="semi_elasticity",M38="sd (Y)"),O38*AN38*BH38,
AND(L38="semi_elasticity",M38="sd (X)"),O38*AN38/AQ38,
AND(L38="level-log",M38="level"),O38/BF38,
AND(L38="level-log",M38="sd (X)"),O38/BF38/AQ38,
AND(L38="level-log",M38="sd (Y)"),O38/BF38*BH38,
AND(L38="elasticity",M38="level"),O38,
AND(L38="elasticity",M38="sd (X)"),O38/AQ38,
AND(L38="elasticity",M38="sd (Y)"),O38*BH38,
AND(L38="marginal_effect",M38="percent_of_mean"),O38*AN38/BF38/10)</f>
        <v>2.0901086956521741E-3</v>
      </c>
      <c r="AH38" s="49">
        <f t="shared" si="10"/>
        <v>0</v>
      </c>
      <c r="AI38" s="89">
        <f t="shared" si="17"/>
        <v>4.8776000000000002E-3</v>
      </c>
      <c r="AJ38" s="49">
        <v>0</v>
      </c>
      <c r="AK38" s="49">
        <f t="shared" si="12"/>
        <v>1</v>
      </c>
      <c r="AL38" s="35" t="s">
        <v>159</v>
      </c>
      <c r="AM38" s="35" t="s">
        <v>296</v>
      </c>
      <c r="AN38" s="35">
        <v>6.0970000000000004</v>
      </c>
      <c r="AO38" s="35">
        <v>0</v>
      </c>
      <c r="AP38" s="35">
        <f t="shared" si="13"/>
        <v>60.970000000000006</v>
      </c>
      <c r="AQ38" s="35">
        <v>40.840000000000003</v>
      </c>
      <c r="AR38" s="35">
        <v>8.33</v>
      </c>
      <c r="AS38" s="35">
        <v>293.10000000000002</v>
      </c>
      <c r="AT38" s="35" t="s">
        <v>83</v>
      </c>
      <c r="AV38" s="35" t="s">
        <v>133</v>
      </c>
      <c r="AW38" s="35" t="s">
        <v>85</v>
      </c>
      <c r="AX38" s="35" t="s">
        <v>110</v>
      </c>
      <c r="AY38" s="35">
        <v>0</v>
      </c>
      <c r="AZ38" s="35">
        <v>15</v>
      </c>
      <c r="BA38" s="35" t="s">
        <v>87</v>
      </c>
      <c r="BB38" s="35" t="s">
        <v>88</v>
      </c>
      <c r="BC38" s="35" t="s">
        <v>89</v>
      </c>
      <c r="BD38" s="35" t="s">
        <v>114</v>
      </c>
      <c r="BE38" s="35" t="s">
        <v>292</v>
      </c>
      <c r="BF38" s="35">
        <v>119.6</v>
      </c>
      <c r="BG38" s="35">
        <v>0</v>
      </c>
      <c r="BH38" s="35" t="s">
        <v>312</v>
      </c>
      <c r="BI38" s="35" t="s">
        <v>312</v>
      </c>
      <c r="BJ38" s="35" t="s">
        <v>312</v>
      </c>
      <c r="BK38" s="35" t="s">
        <v>91</v>
      </c>
      <c r="BL38" s="35" t="s">
        <v>84</v>
      </c>
      <c r="BM38" s="35">
        <v>1</v>
      </c>
      <c r="BN38" s="35" t="s">
        <v>2177</v>
      </c>
      <c r="BO38" s="35" t="s">
        <v>289</v>
      </c>
      <c r="BP38" s="35" t="s">
        <v>315</v>
      </c>
      <c r="BQ38" s="35" t="s">
        <v>117</v>
      </c>
      <c r="BR38" s="35" t="s">
        <v>93</v>
      </c>
      <c r="BS38" s="35" t="s">
        <v>312</v>
      </c>
      <c r="BT38" s="35" t="s">
        <v>312</v>
      </c>
      <c r="BU38" s="36">
        <v>41730</v>
      </c>
      <c r="BV38" s="36">
        <v>42155</v>
      </c>
      <c r="BW38" s="35" t="s">
        <v>94</v>
      </c>
      <c r="BX38" s="35" t="s">
        <v>95</v>
      </c>
      <c r="BY38" s="35" t="s">
        <v>96</v>
      </c>
      <c r="BZ38" s="35">
        <v>0</v>
      </c>
      <c r="CA38" s="35">
        <v>0</v>
      </c>
      <c r="CB38" s="35" t="s">
        <v>97</v>
      </c>
      <c r="CC38" s="35" t="s">
        <v>314</v>
      </c>
      <c r="CD38" s="35">
        <v>0</v>
      </c>
      <c r="CE38" s="35" t="s">
        <v>97</v>
      </c>
      <c r="CF38" s="35">
        <v>0</v>
      </c>
      <c r="CG38" s="35" t="s">
        <v>97</v>
      </c>
      <c r="CH38" s="35">
        <v>1</v>
      </c>
      <c r="CI38" s="35" t="s">
        <v>376</v>
      </c>
      <c r="CJ38" s="35" t="s">
        <v>377</v>
      </c>
      <c r="CK38" s="35">
        <v>64</v>
      </c>
      <c r="CL38" s="35">
        <v>0</v>
      </c>
      <c r="CM38" s="35">
        <v>0</v>
      </c>
      <c r="CN38" s="35" t="s">
        <v>99</v>
      </c>
      <c r="CO38" s="35" t="s">
        <v>97</v>
      </c>
      <c r="CP38" s="35" t="s">
        <v>100</v>
      </c>
      <c r="CQ38" s="35" t="s">
        <v>101</v>
      </c>
      <c r="CR38" s="36">
        <v>45847</v>
      </c>
      <c r="CT38" s="37" t="s">
        <v>384</v>
      </c>
    </row>
    <row r="39" spans="1:98" s="35" customFormat="1" x14ac:dyDescent="0.35">
      <c r="A39" s="34" t="s">
        <v>293</v>
      </c>
      <c r="B39" s="34" t="s">
        <v>371</v>
      </c>
      <c r="C39" s="35" t="s">
        <v>316</v>
      </c>
      <c r="D39" s="35">
        <v>2019</v>
      </c>
      <c r="E39" s="34" t="s">
        <v>318</v>
      </c>
      <c r="F39" s="34" t="s">
        <v>319</v>
      </c>
      <c r="G39" s="35" t="s">
        <v>78</v>
      </c>
      <c r="H39" s="35">
        <v>1</v>
      </c>
      <c r="I39" s="35" t="s">
        <v>290</v>
      </c>
      <c r="J39" s="35" t="s">
        <v>79</v>
      </c>
      <c r="K39" s="35">
        <v>657</v>
      </c>
      <c r="L39" s="35" t="s">
        <v>129</v>
      </c>
      <c r="M39" s="35" t="s">
        <v>381</v>
      </c>
      <c r="N39" s="35">
        <v>-0.23</v>
      </c>
      <c r="O39" s="35">
        <v>0.54</v>
      </c>
      <c r="P39" s="89">
        <f t="shared" si="0"/>
        <v>-0.42592592592592593</v>
      </c>
      <c r="Q39" s="35" t="s">
        <v>312</v>
      </c>
      <c r="R39" s="89">
        <f t="shared" si="1"/>
        <v>-1.2884</v>
      </c>
      <c r="S39" s="89">
        <f t="shared" si="2"/>
        <v>0.82840000000000003</v>
      </c>
      <c r="T39" s="35">
        <v>1</v>
      </c>
      <c r="U39" s="35">
        <v>5054</v>
      </c>
      <c r="V39" s="35" t="s">
        <v>312</v>
      </c>
      <c r="W39" s="35">
        <v>0</v>
      </c>
      <c r="X39" s="35">
        <f t="shared" si="3"/>
        <v>5054</v>
      </c>
      <c r="Y39" s="89">
        <f t="shared" si="4"/>
        <v>-5.9911288925774053E-3</v>
      </c>
      <c r="Z39" s="89">
        <f t="shared" si="5"/>
        <v>1.4066128704312168E-2</v>
      </c>
      <c r="AA39" s="89">
        <f t="shared" si="16"/>
        <v>-5.9911288925774053E-3</v>
      </c>
      <c r="AB39" s="35" t="s">
        <v>81</v>
      </c>
      <c r="AC39" s="89">
        <f t="shared" si="14"/>
        <v>-1.40231E-2</v>
      </c>
      <c r="AD39" s="89" cm="1">
        <f t="array" ref="AD39">_xlfn.IFS(
AND(L39="marginal_effect",M39="level"),N39*AN39/BF39, AND(L39="marginal_effect",M39="percent_of_mean"),N39*AN39/100,
AND(L39="marginal_effect",M39="sd (Y)"),N39*BH39*AN39/BF39,
AND(L39="marginal_effect",M39="sd (X)"),N39/AQ39*AN39/BF39,
AND(L39="semi_elasticity",M39="level"),N39*AN39,
AND(L39="semi_elasticity",M39="sd (Y)"),N39*AN39*BH39,
AND(L39="semi_elasticity",M39="sd (X)"),N39*AN39/AQ39,
AND(L39="level-log",M39="level"),N39/BF39,
AND(L39="level-log",M39="sd (X)"),N39/BF39/AQ39,
AND(L39="level-log",M39="sd (Y)"),N39/BF39*BH39,
AND(L39="elasticity",M39="level"),N39,
AND(L39="elasticity",M39="sd (X)"),N39/AQ39,
AND(L39="elasticity",M39="sd (Y)"),N39*BH39,
AND(L39="marginal_effect",M39="percent_of_mean"),N39*AN39/BF39/10)</f>
        <v>-1.4023100000000002E-2</v>
      </c>
      <c r="AE39" s="49">
        <f t="shared" si="8"/>
        <v>1</v>
      </c>
      <c r="AF39" s="89">
        <f t="shared" si="15"/>
        <v>3.2923800000000003E-2</v>
      </c>
      <c r="AG39" s="89" cm="1">
        <f t="array" ref="AG39">_xlfn.IFS(
AND(L39="marginal_effect",M39="level"),O39*AN39/BF39,
AND(L39="marginal_effect",M39="sd (Y)"),O39*BH39*AN39/BF39,
AND(L39="marginal_effect",M39="sd (X)"),O39/AQ39*AN39/BF39,
AND(L39="semi_elasticity",M39="level"),O39*AN39,
AND(L39="semi_elasticity",M39="sd (Y)"),O39*AN39*BH39,
AND(L39="semi_elasticity",M39="sd (X)"),O39*AN39/AQ39,
AND(L39="level-log",M39="level"),O39/BF39,
AND(L39="level-log",M39="sd (X)"),O39/BF39/AQ39,
AND(L39="level-log",M39="sd (Y)"),O39/BF39*BH39,
AND(L39="elasticity",M39="level"),O39,
AND(L39="elasticity",M39="sd (X)"),O39/AQ39,
AND(L39="elasticity",M39="sd (Y)"),O39*BH39,
AND(L39="marginal_effect",M39="percent_of_mean"),O39*AN39/BF39/10)</f>
        <v>2.7528260869565226E-3</v>
      </c>
      <c r="AH39" s="49">
        <f t="shared" si="10"/>
        <v>0</v>
      </c>
      <c r="AI39" s="89">
        <f t="shared" si="17"/>
        <v>-1.40231E-2</v>
      </c>
      <c r="AJ39" s="49">
        <v>0</v>
      </c>
      <c r="AK39" s="49">
        <f t="shared" si="12"/>
        <v>1</v>
      </c>
      <c r="AL39" s="35" t="s">
        <v>159</v>
      </c>
      <c r="AM39" s="35" t="s">
        <v>296</v>
      </c>
      <c r="AN39" s="35">
        <v>6.0970000000000004</v>
      </c>
      <c r="AO39" s="35">
        <v>0</v>
      </c>
      <c r="AP39" s="35">
        <f t="shared" si="13"/>
        <v>60.970000000000006</v>
      </c>
      <c r="AQ39" s="35">
        <v>40.840000000000003</v>
      </c>
      <c r="AR39" s="35">
        <v>8.33</v>
      </c>
      <c r="AS39" s="35">
        <v>293.10000000000002</v>
      </c>
      <c r="AT39" s="35" t="s">
        <v>83</v>
      </c>
      <c r="AV39" s="35" t="s">
        <v>133</v>
      </c>
      <c r="AW39" s="35" t="s">
        <v>85</v>
      </c>
      <c r="AX39" s="35" t="s">
        <v>110</v>
      </c>
      <c r="AY39" s="35">
        <v>0</v>
      </c>
      <c r="AZ39" s="35">
        <v>20</v>
      </c>
      <c r="BA39" s="35" t="s">
        <v>87</v>
      </c>
      <c r="BB39" s="35" t="s">
        <v>88</v>
      </c>
      <c r="BC39" s="35" t="s">
        <v>89</v>
      </c>
      <c r="BD39" s="35" t="s">
        <v>114</v>
      </c>
      <c r="BE39" s="35" t="s">
        <v>292</v>
      </c>
      <c r="BF39" s="35">
        <v>119.6</v>
      </c>
      <c r="BG39" s="35">
        <v>0</v>
      </c>
      <c r="BH39" s="35" t="s">
        <v>312</v>
      </c>
      <c r="BI39" s="35" t="s">
        <v>312</v>
      </c>
      <c r="BJ39" s="35" t="s">
        <v>312</v>
      </c>
      <c r="BK39" s="35" t="s">
        <v>91</v>
      </c>
      <c r="BL39" s="35" t="s">
        <v>84</v>
      </c>
      <c r="BM39" s="35">
        <v>1</v>
      </c>
      <c r="BN39" s="35" t="s">
        <v>2177</v>
      </c>
      <c r="BO39" s="35" t="s">
        <v>289</v>
      </c>
      <c r="BP39" s="35" t="s">
        <v>315</v>
      </c>
      <c r="BQ39" s="35" t="s">
        <v>117</v>
      </c>
      <c r="BR39" s="35" t="s">
        <v>93</v>
      </c>
      <c r="BS39" s="35" t="s">
        <v>312</v>
      </c>
      <c r="BT39" s="35" t="s">
        <v>312</v>
      </c>
      <c r="BU39" s="36">
        <v>41730</v>
      </c>
      <c r="BV39" s="36">
        <v>42155</v>
      </c>
      <c r="BW39" s="35" t="s">
        <v>94</v>
      </c>
      <c r="BX39" s="35" t="s">
        <v>95</v>
      </c>
      <c r="BY39" s="35" t="s">
        <v>96</v>
      </c>
      <c r="BZ39" s="35">
        <v>0</v>
      </c>
      <c r="CA39" s="35">
        <v>0</v>
      </c>
      <c r="CB39" s="35" t="s">
        <v>97</v>
      </c>
      <c r="CC39" s="35" t="s">
        <v>314</v>
      </c>
      <c r="CD39" s="35">
        <v>0</v>
      </c>
      <c r="CE39" s="35" t="s">
        <v>97</v>
      </c>
      <c r="CF39" s="35">
        <v>0</v>
      </c>
      <c r="CG39" s="35" t="s">
        <v>97</v>
      </c>
      <c r="CH39" s="35">
        <v>1</v>
      </c>
      <c r="CI39" s="35" t="s">
        <v>376</v>
      </c>
      <c r="CJ39" s="35" t="s">
        <v>377</v>
      </c>
      <c r="CK39" s="35">
        <v>64</v>
      </c>
      <c r="CL39" s="35">
        <v>0</v>
      </c>
      <c r="CM39" s="35">
        <v>0</v>
      </c>
      <c r="CN39" s="35" t="s">
        <v>99</v>
      </c>
      <c r="CO39" s="35" t="s">
        <v>97</v>
      </c>
      <c r="CP39" s="35" t="s">
        <v>100</v>
      </c>
      <c r="CQ39" s="35" t="s">
        <v>101</v>
      </c>
      <c r="CR39" s="36">
        <v>45847</v>
      </c>
      <c r="CT39" s="37" t="s">
        <v>384</v>
      </c>
    </row>
    <row r="40" spans="1:98" s="35" customFormat="1" x14ac:dyDescent="0.35">
      <c r="A40" s="34" t="s">
        <v>293</v>
      </c>
      <c r="B40" s="34" t="s">
        <v>372</v>
      </c>
      <c r="C40" s="35" t="s">
        <v>316</v>
      </c>
      <c r="D40" s="35">
        <v>2019</v>
      </c>
      <c r="E40" s="34" t="s">
        <v>318</v>
      </c>
      <c r="F40" s="34" t="s">
        <v>319</v>
      </c>
      <c r="G40" s="35" t="s">
        <v>78</v>
      </c>
      <c r="H40" s="35">
        <v>1</v>
      </c>
      <c r="I40" s="35" t="s">
        <v>290</v>
      </c>
      <c r="J40" s="35" t="s">
        <v>79</v>
      </c>
      <c r="K40" s="35">
        <v>657</v>
      </c>
      <c r="L40" s="35" t="s">
        <v>129</v>
      </c>
      <c r="M40" s="35" t="s">
        <v>381</v>
      </c>
      <c r="N40" s="35">
        <v>-0.6</v>
      </c>
      <c r="O40" s="35">
        <v>0.55000000000000004</v>
      </c>
      <c r="P40" s="89">
        <f t="shared" si="0"/>
        <v>-1.0909090909090908</v>
      </c>
      <c r="Q40" s="35" t="s">
        <v>312</v>
      </c>
      <c r="R40" s="89">
        <f t="shared" si="1"/>
        <v>-1.6779999999999999</v>
      </c>
      <c r="S40" s="89">
        <f t="shared" si="2"/>
        <v>0.47800000000000009</v>
      </c>
      <c r="T40" s="35">
        <v>1</v>
      </c>
      <c r="U40" s="35">
        <v>5054</v>
      </c>
      <c r="V40" s="35" t="s">
        <v>312</v>
      </c>
      <c r="W40" s="35">
        <v>0</v>
      </c>
      <c r="X40" s="35">
        <f t="shared" si="3"/>
        <v>5054</v>
      </c>
      <c r="Y40" s="89">
        <f t="shared" si="4"/>
        <v>-1.5343336708689009E-2</v>
      </c>
      <c r="Z40" s="89">
        <f t="shared" si="5"/>
        <v>1.406472531629826E-2</v>
      </c>
      <c r="AA40" s="89">
        <f t="shared" si="16"/>
        <v>-1.5343336708689009E-2</v>
      </c>
      <c r="AB40" s="35" t="s">
        <v>81</v>
      </c>
      <c r="AC40" s="89">
        <f t="shared" si="14"/>
        <v>-3.6582000000000003E-2</v>
      </c>
      <c r="AD40" s="89" cm="1">
        <f t="array" ref="AD40">_xlfn.IFS(
AND(L40="marginal_effect",M40="level"),N40*AN40/BF40, AND(L40="marginal_effect",M40="percent_of_mean"),N40*AN40/100,
AND(L40="marginal_effect",M40="sd (Y)"),N40*BH40*AN40/BF40,
AND(L40="marginal_effect",M40="sd (X)"),N40/AQ40*AN40/BF40,
AND(L40="semi_elasticity",M40="level"),N40*AN40,
AND(L40="semi_elasticity",M40="sd (Y)"),N40*AN40*BH40,
AND(L40="semi_elasticity",M40="sd (X)"),N40*AN40/AQ40,
AND(L40="level-log",M40="level"),N40/BF40,
AND(L40="level-log",M40="sd (X)"),N40/BF40/AQ40,
AND(L40="level-log",M40="sd (Y)"),N40/BF40*BH40,
AND(L40="elasticity",M40="level"),N40,
AND(L40="elasticity",M40="sd (X)"),N40/AQ40,
AND(L40="elasticity",M40="sd (Y)"),N40*BH40,
AND(L40="marginal_effect",M40="percent_of_mean"),N40*AN40/BF40/10)</f>
        <v>-3.6581999999999996E-2</v>
      </c>
      <c r="AE40" s="49">
        <f t="shared" si="8"/>
        <v>1</v>
      </c>
      <c r="AF40" s="89">
        <f t="shared" si="15"/>
        <v>3.3533500000000008E-2</v>
      </c>
      <c r="AG40" s="89" cm="1">
        <f t="array" ref="AG40">_xlfn.IFS(
AND(L40="marginal_effect",M40="level"),O40*AN40/BF40,
AND(L40="marginal_effect",M40="sd (Y)"),O40*BH40*AN40/BF40,
AND(L40="marginal_effect",M40="sd (X)"),O40/AQ40*AN40/BF40,
AND(L40="semi_elasticity",M40="level"),O40*AN40,
AND(L40="semi_elasticity",M40="sd (Y)"),O40*AN40*BH40,
AND(L40="semi_elasticity",M40="sd (X)"),O40*AN40/AQ40,
AND(L40="level-log",M40="level"),O40/BF40,
AND(L40="level-log",M40="sd (X)"),O40/BF40/AQ40,
AND(L40="level-log",M40="sd (Y)"),O40/BF40*BH40,
AND(L40="elasticity",M40="level"),O40,
AND(L40="elasticity",M40="sd (X)"),O40/AQ40,
AND(L40="elasticity",M40="sd (Y)"),O40*BH40,
AND(L40="marginal_effect",M40="percent_of_mean"),O40*AN40/BF40/10)</f>
        <v>2.8038043478260878E-3</v>
      </c>
      <c r="AH40" s="49">
        <f t="shared" si="10"/>
        <v>0</v>
      </c>
      <c r="AI40" s="89">
        <f t="shared" si="17"/>
        <v>-3.6582000000000003E-2</v>
      </c>
      <c r="AJ40" s="49">
        <v>0</v>
      </c>
      <c r="AK40" s="49">
        <f t="shared" si="12"/>
        <v>1</v>
      </c>
      <c r="AL40" s="35" t="s">
        <v>159</v>
      </c>
      <c r="AM40" s="35" t="s">
        <v>296</v>
      </c>
      <c r="AN40" s="35">
        <v>6.0970000000000004</v>
      </c>
      <c r="AO40" s="35">
        <v>0</v>
      </c>
      <c r="AP40" s="35">
        <f t="shared" si="13"/>
        <v>60.970000000000006</v>
      </c>
      <c r="AQ40" s="35">
        <v>40.840000000000003</v>
      </c>
      <c r="AR40" s="35">
        <v>8.33</v>
      </c>
      <c r="AS40" s="35">
        <v>293.10000000000002</v>
      </c>
      <c r="AT40" s="35" t="s">
        <v>83</v>
      </c>
      <c r="AV40" s="35" t="s">
        <v>133</v>
      </c>
      <c r="AW40" s="35" t="s">
        <v>85</v>
      </c>
      <c r="AX40" s="35" t="s">
        <v>110</v>
      </c>
      <c r="AY40" s="35">
        <v>0</v>
      </c>
      <c r="AZ40" s="35">
        <v>25</v>
      </c>
      <c r="BA40" s="35" t="s">
        <v>87</v>
      </c>
      <c r="BB40" s="35" t="s">
        <v>88</v>
      </c>
      <c r="BC40" s="35" t="s">
        <v>89</v>
      </c>
      <c r="BD40" s="35" t="s">
        <v>114</v>
      </c>
      <c r="BE40" s="35" t="s">
        <v>292</v>
      </c>
      <c r="BF40" s="35">
        <v>119.6</v>
      </c>
      <c r="BG40" s="35">
        <v>0</v>
      </c>
      <c r="BH40" s="35" t="s">
        <v>312</v>
      </c>
      <c r="BI40" s="35" t="s">
        <v>312</v>
      </c>
      <c r="BJ40" s="35" t="s">
        <v>312</v>
      </c>
      <c r="BK40" s="35" t="s">
        <v>91</v>
      </c>
      <c r="BL40" s="35" t="s">
        <v>84</v>
      </c>
      <c r="BM40" s="35">
        <v>1</v>
      </c>
      <c r="BN40" s="35" t="s">
        <v>2177</v>
      </c>
      <c r="BO40" s="35" t="s">
        <v>289</v>
      </c>
      <c r="BP40" s="35" t="s">
        <v>315</v>
      </c>
      <c r="BQ40" s="35" t="s">
        <v>117</v>
      </c>
      <c r="BR40" s="35" t="s">
        <v>93</v>
      </c>
      <c r="BS40" s="35" t="s">
        <v>312</v>
      </c>
      <c r="BT40" s="35" t="s">
        <v>312</v>
      </c>
      <c r="BU40" s="36">
        <v>41730</v>
      </c>
      <c r="BV40" s="36">
        <v>42155</v>
      </c>
      <c r="BW40" s="35" t="s">
        <v>94</v>
      </c>
      <c r="BX40" s="35" t="s">
        <v>95</v>
      </c>
      <c r="BY40" s="35" t="s">
        <v>96</v>
      </c>
      <c r="BZ40" s="35">
        <v>0</v>
      </c>
      <c r="CA40" s="35">
        <v>0</v>
      </c>
      <c r="CB40" s="35" t="s">
        <v>97</v>
      </c>
      <c r="CC40" s="35" t="s">
        <v>314</v>
      </c>
      <c r="CD40" s="35">
        <v>0</v>
      </c>
      <c r="CE40" s="35" t="s">
        <v>97</v>
      </c>
      <c r="CF40" s="35">
        <v>0</v>
      </c>
      <c r="CG40" s="35" t="s">
        <v>97</v>
      </c>
      <c r="CH40" s="35">
        <v>1</v>
      </c>
      <c r="CI40" s="35" t="s">
        <v>376</v>
      </c>
      <c r="CJ40" s="35" t="s">
        <v>377</v>
      </c>
      <c r="CK40" s="35">
        <v>64</v>
      </c>
      <c r="CL40" s="35">
        <v>0</v>
      </c>
      <c r="CM40" s="35">
        <v>0</v>
      </c>
      <c r="CN40" s="35" t="s">
        <v>99</v>
      </c>
      <c r="CO40" s="35" t="s">
        <v>97</v>
      </c>
      <c r="CP40" s="35" t="s">
        <v>100</v>
      </c>
      <c r="CQ40" s="35" t="s">
        <v>101</v>
      </c>
      <c r="CR40" s="36">
        <v>45847</v>
      </c>
      <c r="CT40" s="37" t="s">
        <v>384</v>
      </c>
    </row>
    <row r="41" spans="1:98" s="35" customFormat="1" x14ac:dyDescent="0.35">
      <c r="A41" s="34" t="s">
        <v>293</v>
      </c>
      <c r="B41" s="34" t="s">
        <v>373</v>
      </c>
      <c r="C41" s="35" t="s">
        <v>316</v>
      </c>
      <c r="D41" s="35">
        <v>2019</v>
      </c>
      <c r="E41" s="34" t="s">
        <v>318</v>
      </c>
      <c r="F41" s="34" t="s">
        <v>319</v>
      </c>
      <c r="G41" s="35" t="s">
        <v>78</v>
      </c>
      <c r="H41" s="35">
        <v>1</v>
      </c>
      <c r="I41" s="35" t="s">
        <v>290</v>
      </c>
      <c r="J41" s="35" t="s">
        <v>79</v>
      </c>
      <c r="K41" s="35">
        <v>657</v>
      </c>
      <c r="L41" s="35" t="s">
        <v>129</v>
      </c>
      <c r="M41" s="35" t="s">
        <v>381</v>
      </c>
      <c r="N41" s="35">
        <v>-0.42</v>
      </c>
      <c r="O41" s="35">
        <v>0.6</v>
      </c>
      <c r="P41" s="89">
        <f t="shared" si="0"/>
        <v>-0.7</v>
      </c>
      <c r="Q41" s="35" t="s">
        <v>312</v>
      </c>
      <c r="R41" s="89">
        <f t="shared" si="1"/>
        <v>-1.5959999999999999</v>
      </c>
      <c r="S41" s="89">
        <f t="shared" si="2"/>
        <v>0.75600000000000001</v>
      </c>
      <c r="T41" s="35">
        <v>1</v>
      </c>
      <c r="U41" s="35">
        <v>5054</v>
      </c>
      <c r="V41" s="35" t="s">
        <v>312</v>
      </c>
      <c r="W41" s="35">
        <v>0</v>
      </c>
      <c r="X41" s="35">
        <f t="shared" si="3"/>
        <v>5054</v>
      </c>
      <c r="Y41" s="89">
        <f t="shared" si="4"/>
        <v>-9.8459895202072066E-3</v>
      </c>
      <c r="Z41" s="89">
        <f t="shared" si="5"/>
        <v>1.4065699314581724E-2</v>
      </c>
      <c r="AA41" s="89">
        <f t="shared" si="16"/>
        <v>-9.8459895202072066E-3</v>
      </c>
      <c r="AB41" s="35" t="s">
        <v>81</v>
      </c>
      <c r="AC41" s="89">
        <f t="shared" si="14"/>
        <v>-2.5607399999999999E-2</v>
      </c>
      <c r="AD41" s="89" cm="1">
        <f t="array" ref="AD41">_xlfn.IFS(
AND(L41="marginal_effect",M41="level"),N41*AN41/BF41, AND(L41="marginal_effect",M41="percent_of_mean"),N41*AN41/100,
AND(L41="marginal_effect",M41="sd (Y)"),N41*BH41*AN41/BF41,
AND(L41="marginal_effect",M41="sd (X)"),N41/AQ41*AN41/BF41,
AND(L41="semi_elasticity",M41="level"),N41*AN41,
AND(L41="semi_elasticity",M41="sd (Y)"),N41*AN41*BH41,
AND(L41="semi_elasticity",M41="sd (X)"),N41*AN41/AQ41,
AND(L41="level-log",M41="level"),N41/BF41,
AND(L41="level-log",M41="sd (X)"),N41/BF41/AQ41,
AND(L41="level-log",M41="sd (Y)"),N41/BF41*BH41,
AND(L41="elasticity",M41="level"),N41,
AND(L41="elasticity",M41="sd (X)"),N41/AQ41,
AND(L41="elasticity",M41="sd (Y)"),N41*BH41,
AND(L41="marginal_effect",M41="percent_of_mean"),N41*AN41/BF41/10)</f>
        <v>-2.5607399999999999E-2</v>
      </c>
      <c r="AE41" s="49">
        <f t="shared" si="8"/>
        <v>1</v>
      </c>
      <c r="AF41" s="89">
        <f t="shared" si="15"/>
        <v>3.6581999999999996E-2</v>
      </c>
      <c r="AG41" s="89" cm="1">
        <f t="array" ref="AG41">_xlfn.IFS(
AND(L41="marginal_effect",M41="level"),O41*AN41/BF41,
AND(L41="marginal_effect",M41="sd (Y)"),O41*BH41*AN41/BF41,
AND(L41="marginal_effect",M41="sd (X)"),O41/AQ41*AN41/BF41,
AND(L41="semi_elasticity",M41="level"),O41*AN41,
AND(L41="semi_elasticity",M41="sd (Y)"),O41*AN41*BH41,
AND(L41="semi_elasticity",M41="sd (X)"),O41*AN41/AQ41,
AND(L41="level-log",M41="level"),O41/BF41,
AND(L41="level-log",M41="sd (X)"),O41/BF41/AQ41,
AND(L41="level-log",M41="sd (Y)"),O41/BF41*BH41,
AND(L41="elasticity",M41="level"),O41,
AND(L41="elasticity",M41="sd (X)"),O41/AQ41,
AND(L41="elasticity",M41="sd (Y)"),O41*BH41,
AND(L41="marginal_effect",M41="percent_of_mean"),O41*AN41/BF41/10)</f>
        <v>3.0586956521739131E-3</v>
      </c>
      <c r="AH41" s="49">
        <f t="shared" si="10"/>
        <v>0</v>
      </c>
      <c r="AI41" s="89">
        <f t="shared" si="17"/>
        <v>-2.5607399999999999E-2</v>
      </c>
      <c r="AJ41" s="49">
        <v>0</v>
      </c>
      <c r="AK41" s="49">
        <f t="shared" si="12"/>
        <v>1</v>
      </c>
      <c r="AL41" s="35" t="s">
        <v>159</v>
      </c>
      <c r="AM41" s="35" t="s">
        <v>296</v>
      </c>
      <c r="AN41" s="35">
        <v>6.0970000000000004</v>
      </c>
      <c r="AO41" s="35">
        <v>0</v>
      </c>
      <c r="AP41" s="35">
        <f t="shared" si="13"/>
        <v>60.970000000000006</v>
      </c>
      <c r="AQ41" s="35">
        <v>40.840000000000003</v>
      </c>
      <c r="AR41" s="35">
        <v>8.33</v>
      </c>
      <c r="AS41" s="35">
        <v>293.10000000000002</v>
      </c>
      <c r="AT41" s="35" t="s">
        <v>83</v>
      </c>
      <c r="AV41" s="35" t="s">
        <v>133</v>
      </c>
      <c r="AW41" s="35" t="s">
        <v>85</v>
      </c>
      <c r="AX41" s="35" t="s">
        <v>110</v>
      </c>
      <c r="AY41" s="35">
        <v>0</v>
      </c>
      <c r="AZ41" s="35">
        <v>30</v>
      </c>
      <c r="BA41" s="35" t="s">
        <v>87</v>
      </c>
      <c r="BB41" s="35" t="s">
        <v>88</v>
      </c>
      <c r="BC41" s="35" t="s">
        <v>89</v>
      </c>
      <c r="BD41" s="35" t="s">
        <v>114</v>
      </c>
      <c r="BE41" s="35" t="s">
        <v>292</v>
      </c>
      <c r="BF41" s="35">
        <v>119.6</v>
      </c>
      <c r="BG41" s="35">
        <v>0</v>
      </c>
      <c r="BH41" s="35" t="s">
        <v>312</v>
      </c>
      <c r="BI41" s="35" t="s">
        <v>312</v>
      </c>
      <c r="BJ41" s="35" t="s">
        <v>312</v>
      </c>
      <c r="BK41" s="35" t="s">
        <v>91</v>
      </c>
      <c r="BL41" s="35" t="s">
        <v>84</v>
      </c>
      <c r="BM41" s="35">
        <v>1</v>
      </c>
      <c r="BN41" s="35" t="s">
        <v>2177</v>
      </c>
      <c r="BO41" s="35" t="s">
        <v>289</v>
      </c>
      <c r="BP41" s="35" t="s">
        <v>315</v>
      </c>
      <c r="BQ41" s="35" t="s">
        <v>117</v>
      </c>
      <c r="BR41" s="35" t="s">
        <v>93</v>
      </c>
      <c r="BS41" s="35" t="s">
        <v>312</v>
      </c>
      <c r="BT41" s="35" t="s">
        <v>312</v>
      </c>
      <c r="BU41" s="36">
        <v>41730</v>
      </c>
      <c r="BV41" s="36">
        <v>42155</v>
      </c>
      <c r="BW41" s="35" t="s">
        <v>94</v>
      </c>
      <c r="BX41" s="35" t="s">
        <v>95</v>
      </c>
      <c r="BY41" s="35" t="s">
        <v>96</v>
      </c>
      <c r="BZ41" s="35">
        <v>0</v>
      </c>
      <c r="CA41" s="35">
        <v>0</v>
      </c>
      <c r="CB41" s="35" t="s">
        <v>97</v>
      </c>
      <c r="CC41" s="35" t="s">
        <v>314</v>
      </c>
      <c r="CD41" s="35">
        <v>0</v>
      </c>
      <c r="CE41" s="35" t="s">
        <v>97</v>
      </c>
      <c r="CF41" s="35">
        <v>0</v>
      </c>
      <c r="CG41" s="35" t="s">
        <v>97</v>
      </c>
      <c r="CH41" s="35">
        <v>1</v>
      </c>
      <c r="CI41" s="35" t="s">
        <v>376</v>
      </c>
      <c r="CJ41" s="35" t="s">
        <v>377</v>
      </c>
      <c r="CK41" s="35">
        <v>64</v>
      </c>
      <c r="CL41" s="35">
        <v>0</v>
      </c>
      <c r="CM41" s="35">
        <v>0</v>
      </c>
      <c r="CN41" s="35" t="s">
        <v>99</v>
      </c>
      <c r="CO41" s="35" t="s">
        <v>97</v>
      </c>
      <c r="CP41" s="35" t="s">
        <v>100</v>
      </c>
      <c r="CQ41" s="35" t="s">
        <v>101</v>
      </c>
      <c r="CR41" s="36">
        <v>45847</v>
      </c>
      <c r="CT41" s="37" t="s">
        <v>384</v>
      </c>
    </row>
    <row r="42" spans="1:98" s="35" customFormat="1" x14ac:dyDescent="0.35">
      <c r="A42" s="34" t="s">
        <v>293</v>
      </c>
      <c r="B42" s="34" t="s">
        <v>326</v>
      </c>
      <c r="C42" s="35" t="s">
        <v>316</v>
      </c>
      <c r="D42" s="35">
        <v>2019</v>
      </c>
      <c r="E42" s="34" t="s">
        <v>318</v>
      </c>
      <c r="F42" s="34" t="s">
        <v>319</v>
      </c>
      <c r="G42" s="35" t="s">
        <v>78</v>
      </c>
      <c r="H42" s="35">
        <v>1</v>
      </c>
      <c r="I42" s="35" t="s">
        <v>290</v>
      </c>
      <c r="J42" s="35" t="s">
        <v>79</v>
      </c>
      <c r="K42" s="35">
        <v>657</v>
      </c>
      <c r="L42" s="35" t="s">
        <v>129</v>
      </c>
      <c r="M42" s="35" t="s">
        <v>381</v>
      </c>
      <c r="N42" s="35">
        <v>-0.03</v>
      </c>
      <c r="O42" s="35">
        <v>0.13</v>
      </c>
      <c r="P42" s="89">
        <f t="shared" si="0"/>
        <v>-0.23076923076923075</v>
      </c>
      <c r="Q42" s="35" t="s">
        <v>312</v>
      </c>
      <c r="R42" s="89">
        <f t="shared" si="1"/>
        <v>-0.28480000000000005</v>
      </c>
      <c r="S42" s="89">
        <f t="shared" si="2"/>
        <v>0.22480000000000003</v>
      </c>
      <c r="T42" s="35">
        <v>1</v>
      </c>
      <c r="U42" s="35">
        <v>4443</v>
      </c>
      <c r="V42" s="35" t="s">
        <v>312</v>
      </c>
      <c r="W42" s="35">
        <v>0</v>
      </c>
      <c r="X42" s="35">
        <f t="shared" si="3"/>
        <v>4443</v>
      </c>
      <c r="Y42" s="89">
        <f t="shared" si="4"/>
        <v>-3.4620803502503146E-3</v>
      </c>
      <c r="Z42" s="89">
        <f t="shared" si="5"/>
        <v>1.5002348184418032E-2</v>
      </c>
      <c r="AA42" s="89">
        <f t="shared" si="16"/>
        <v>-3.4620803502503146E-3</v>
      </c>
      <c r="AB42" s="35" t="s">
        <v>81</v>
      </c>
      <c r="AC42" s="89">
        <f t="shared" si="14"/>
        <v>-2.0654999999999996E-3</v>
      </c>
      <c r="AD42" s="89" cm="1">
        <f t="array" ref="AD42">_xlfn.IFS(
AND(L42="marginal_effect",M42="level"),N42*AN42/BF42, AND(L42="marginal_effect",M42="percent_of_mean"),N42*AN42/100,
AND(L42="marginal_effect",M42="sd (Y)"),N42*BH42*AN42/BF42,
AND(L42="marginal_effect",M42="sd (X)"),N42/AQ42*AN42/BF42,
AND(L42="semi_elasticity",M42="level"),N42*AN42,
AND(L42="semi_elasticity",M42="sd (Y)"),N42*AN42*BH42,
AND(L42="semi_elasticity",M42="sd (X)"),N42*AN42/AQ42,
AND(L42="level-log",M42="level"),N42/BF42,
AND(L42="level-log",M42="sd (X)"),N42/BF42/AQ42,
AND(L42="level-log",M42="sd (Y)"),N42/BF42*BH42,
AND(L42="elasticity",M42="level"),N42,
AND(L42="elasticity",M42="sd (X)"),N42/AQ42,
AND(L42="elasticity",M42="sd (Y)"),N42*BH42,
AND(L42="marginal_effect",M42="percent_of_mean"),N42*AN42/BF42/10)</f>
        <v>-2.0654999999999996E-3</v>
      </c>
      <c r="AE42" s="49">
        <f t="shared" si="8"/>
        <v>1</v>
      </c>
      <c r="AF42" s="89">
        <f t="shared" si="15"/>
        <v>8.9505000000000001E-3</v>
      </c>
      <c r="AG42" s="89" cm="1">
        <f t="array" ref="AG42">_xlfn.IFS(
AND(L42="marginal_effect",M42="level"),O42*AN42/BF42,
AND(L42="marginal_effect",M42="sd (Y)"),O42*BH42*AN42/BF42,
AND(L42="marginal_effect",M42="sd (X)"),O42/AQ42*AN42/BF42,
AND(L42="semi_elasticity",M42="level"),O42*AN42,
AND(L42="semi_elasticity",M42="sd (Y)"),O42*AN42*BH42,
AND(L42="semi_elasticity",M42="sd (X)"),O42*AN42/AQ42,
AND(L42="level-log",M42="level"),O42/BF42,
AND(L42="level-log",M42="sd (X)"),O42/BF42/AQ42,
AND(L42="level-log",M42="sd (Y)"),O42/BF42*BH42,
AND(L42="elasticity",M42="level"),O42,
AND(L42="elasticity",M42="sd (X)"),O42/AQ42,
AND(L42="elasticity",M42="sd (Y)"),O42*BH42,
AND(L42="marginal_effect",M42="percent_of_mean"),O42*AN42/BF42/10)</f>
        <v>7.9630782918149452E-4</v>
      </c>
      <c r="AH42" s="49">
        <f t="shared" si="10"/>
        <v>0</v>
      </c>
      <c r="AI42" s="89">
        <f t="shared" si="17"/>
        <v>-2.0654999999999996E-3</v>
      </c>
      <c r="AJ42" s="49">
        <v>0</v>
      </c>
      <c r="AK42" s="49">
        <f t="shared" si="12"/>
        <v>1</v>
      </c>
      <c r="AL42" s="35" t="s">
        <v>82</v>
      </c>
      <c r="AM42" s="35" t="s">
        <v>296</v>
      </c>
      <c r="AN42" s="35">
        <v>6.8849999999999998</v>
      </c>
      <c r="AO42" s="35">
        <v>0</v>
      </c>
      <c r="AP42" s="35">
        <f t="shared" si="13"/>
        <v>68.849999999999994</v>
      </c>
      <c r="AQ42" s="35">
        <v>35.299999999999997</v>
      </c>
      <c r="AR42" s="35">
        <v>15.39</v>
      </c>
      <c r="AS42" s="35">
        <v>224.67</v>
      </c>
      <c r="AT42" s="35" t="s">
        <v>83</v>
      </c>
      <c r="AV42" s="35" t="s">
        <v>133</v>
      </c>
      <c r="AW42" s="35" t="s">
        <v>85</v>
      </c>
      <c r="AX42" s="35" t="s">
        <v>110</v>
      </c>
      <c r="AY42" s="35">
        <v>0</v>
      </c>
      <c r="AZ42" s="35">
        <v>5</v>
      </c>
      <c r="BA42" s="35" t="s">
        <v>87</v>
      </c>
      <c r="BB42" s="35" t="s">
        <v>88</v>
      </c>
      <c r="BC42" s="35" t="s">
        <v>89</v>
      </c>
      <c r="BD42" s="35" t="s">
        <v>114</v>
      </c>
      <c r="BE42" s="35" t="s">
        <v>291</v>
      </c>
      <c r="BF42" s="35">
        <v>112.4</v>
      </c>
      <c r="BG42" s="35">
        <v>0</v>
      </c>
      <c r="BH42" s="35" t="s">
        <v>312</v>
      </c>
      <c r="BI42" s="35" t="s">
        <v>312</v>
      </c>
      <c r="BJ42" s="35" t="s">
        <v>312</v>
      </c>
      <c r="BK42" s="35" t="s">
        <v>91</v>
      </c>
      <c r="BL42" s="35" t="s">
        <v>84</v>
      </c>
      <c r="BM42" s="35">
        <v>1</v>
      </c>
      <c r="BN42" s="35" t="s">
        <v>2177</v>
      </c>
      <c r="BO42" s="35" t="s">
        <v>289</v>
      </c>
      <c r="BP42" s="35" t="s">
        <v>315</v>
      </c>
      <c r="BQ42" s="35" t="s">
        <v>117</v>
      </c>
      <c r="BR42" s="35" t="s">
        <v>93</v>
      </c>
      <c r="BS42" s="35" t="s">
        <v>312</v>
      </c>
      <c r="BT42" s="35" t="s">
        <v>312</v>
      </c>
      <c r="BU42" s="36">
        <v>41883</v>
      </c>
      <c r="BV42" s="36">
        <v>42155</v>
      </c>
      <c r="BW42" s="35" t="s">
        <v>94</v>
      </c>
      <c r="BX42" s="35" t="s">
        <v>95</v>
      </c>
      <c r="BY42" s="35" t="s">
        <v>140</v>
      </c>
      <c r="BZ42" s="35">
        <v>1</v>
      </c>
      <c r="CA42" s="35">
        <v>1</v>
      </c>
      <c r="CB42" s="35" t="s">
        <v>303</v>
      </c>
      <c r="CC42" s="35" t="s">
        <v>314</v>
      </c>
      <c r="CD42" s="35">
        <v>0</v>
      </c>
      <c r="CE42" s="35" t="s">
        <v>97</v>
      </c>
      <c r="CF42" s="35">
        <v>0</v>
      </c>
      <c r="CG42" s="35" t="s">
        <v>97</v>
      </c>
      <c r="CH42" s="35">
        <v>1</v>
      </c>
      <c r="CI42" s="35" t="s">
        <v>376</v>
      </c>
      <c r="CJ42" s="35" t="s">
        <v>377</v>
      </c>
      <c r="CK42" s="35">
        <v>64</v>
      </c>
      <c r="CL42" s="35">
        <v>0</v>
      </c>
      <c r="CM42" s="35">
        <v>1</v>
      </c>
      <c r="CN42" s="35" t="s">
        <v>99</v>
      </c>
      <c r="CO42" s="35" t="s">
        <v>97</v>
      </c>
      <c r="CP42" s="35" t="s">
        <v>100</v>
      </c>
      <c r="CQ42" s="35" t="s">
        <v>101</v>
      </c>
      <c r="CR42" s="36">
        <v>45847</v>
      </c>
      <c r="CT42" s="37" t="s">
        <v>384</v>
      </c>
    </row>
    <row r="43" spans="1:98" s="35" customFormat="1" x14ac:dyDescent="0.35">
      <c r="A43" s="34" t="s">
        <v>293</v>
      </c>
      <c r="B43" s="34" t="s">
        <v>327</v>
      </c>
      <c r="C43" s="35" t="s">
        <v>316</v>
      </c>
      <c r="D43" s="35">
        <v>2019</v>
      </c>
      <c r="E43" s="34" t="s">
        <v>318</v>
      </c>
      <c r="F43" s="34" t="s">
        <v>319</v>
      </c>
      <c r="G43" s="35" t="s">
        <v>78</v>
      </c>
      <c r="H43" s="35">
        <v>1</v>
      </c>
      <c r="I43" s="35" t="s">
        <v>290</v>
      </c>
      <c r="J43" s="35" t="s">
        <v>79</v>
      </c>
      <c r="K43" s="35">
        <v>657</v>
      </c>
      <c r="L43" s="35" t="s">
        <v>129</v>
      </c>
      <c r="M43" s="35" t="s">
        <v>381</v>
      </c>
      <c r="N43" s="35">
        <v>-0.21</v>
      </c>
      <c r="O43" s="35">
        <v>0.18</v>
      </c>
      <c r="P43" s="89">
        <f t="shared" si="0"/>
        <v>-1.1666666666666667</v>
      </c>
      <c r="Q43" s="35" t="s">
        <v>312</v>
      </c>
      <c r="R43" s="89">
        <f t="shared" si="1"/>
        <v>-0.56279999999999997</v>
      </c>
      <c r="S43" s="89">
        <f t="shared" si="2"/>
        <v>0.14280000000000001</v>
      </c>
      <c r="T43" s="35">
        <v>1</v>
      </c>
      <c r="U43" s="35">
        <v>4443</v>
      </c>
      <c r="V43" s="35" t="s">
        <v>312</v>
      </c>
      <c r="W43" s="35">
        <v>0</v>
      </c>
      <c r="X43" s="35">
        <f t="shared" si="3"/>
        <v>4443</v>
      </c>
      <c r="Y43" s="89">
        <f t="shared" si="4"/>
        <v>-1.7500164064807169E-2</v>
      </c>
      <c r="Z43" s="89">
        <f t="shared" si="5"/>
        <v>1.5000140626977571E-2</v>
      </c>
      <c r="AA43" s="89">
        <f t="shared" si="16"/>
        <v>-1.7500164064807169E-2</v>
      </c>
      <c r="AB43" s="35" t="s">
        <v>81</v>
      </c>
      <c r="AC43" s="89">
        <f t="shared" si="14"/>
        <v>-1.4458499999999999E-2</v>
      </c>
      <c r="AD43" s="89" cm="1">
        <f t="array" ref="AD43">_xlfn.IFS(
AND(L43="marginal_effect",M43="level"),N43*AN43/BF43, AND(L43="marginal_effect",M43="percent_of_mean"),N43*AN43/100,
AND(L43="marginal_effect",M43="sd (Y)"),N43*BH43*AN43/BF43,
AND(L43="marginal_effect",M43="sd (X)"),N43/AQ43*AN43/BF43,
AND(L43="semi_elasticity",M43="level"),N43*AN43,
AND(L43="semi_elasticity",M43="sd (Y)"),N43*AN43*BH43,
AND(L43="semi_elasticity",M43="sd (X)"),N43*AN43/AQ43,
AND(L43="level-log",M43="level"),N43/BF43,
AND(L43="level-log",M43="sd (X)"),N43/BF43/AQ43,
AND(L43="level-log",M43="sd (Y)"),N43/BF43*BH43,
AND(L43="elasticity",M43="level"),N43,
AND(L43="elasticity",M43="sd (X)"),N43/AQ43,
AND(L43="elasticity",M43="sd (Y)"),N43*BH43,
AND(L43="marginal_effect",M43="percent_of_mean"),N43*AN43/BF43/10)</f>
        <v>-1.4458499999999999E-2</v>
      </c>
      <c r="AE43" s="49">
        <f t="shared" si="8"/>
        <v>1</v>
      </c>
      <c r="AF43" s="89">
        <f t="shared" si="15"/>
        <v>1.2392999999999998E-2</v>
      </c>
      <c r="AG43" s="89" cm="1">
        <f t="array" ref="AG43">_xlfn.IFS(
AND(L43="marginal_effect",M43="level"),O43*AN43/BF43,
AND(L43="marginal_effect",M43="sd (Y)"),O43*BH43*AN43/BF43,
AND(L43="marginal_effect",M43="sd (X)"),O43/AQ43*AN43/BF43,
AND(L43="semi_elasticity",M43="level"),O43*AN43,
AND(L43="semi_elasticity",M43="sd (Y)"),O43*AN43*BH43,
AND(L43="semi_elasticity",M43="sd (X)"),O43*AN43/AQ43,
AND(L43="level-log",M43="level"),O43/BF43,
AND(L43="level-log",M43="sd (X)"),O43/BF43/AQ43,
AND(L43="level-log",M43="sd (Y)"),O43/BF43*BH43,
AND(L43="elasticity",M43="level"),O43,
AND(L43="elasticity",M43="sd (X)"),O43/AQ43,
AND(L43="elasticity",M43="sd (Y)"),O43*BH43,
AND(L43="marginal_effect",M43="percent_of_mean"),O43*AN43/BF43/10)</f>
        <v>1.1025800711743771E-3</v>
      </c>
      <c r="AH43" s="49">
        <f t="shared" si="10"/>
        <v>0</v>
      </c>
      <c r="AI43" s="89">
        <f t="shared" si="17"/>
        <v>-1.4458499999999999E-2</v>
      </c>
      <c r="AJ43" s="49">
        <v>0</v>
      </c>
      <c r="AK43" s="49">
        <f t="shared" si="12"/>
        <v>1</v>
      </c>
      <c r="AL43" s="35" t="s">
        <v>82</v>
      </c>
      <c r="AM43" s="35" t="s">
        <v>296</v>
      </c>
      <c r="AN43" s="35">
        <v>6.8849999999999998</v>
      </c>
      <c r="AO43" s="35">
        <v>0</v>
      </c>
      <c r="AP43" s="35">
        <f t="shared" si="13"/>
        <v>68.849999999999994</v>
      </c>
      <c r="AQ43" s="35">
        <v>35.299999999999997</v>
      </c>
      <c r="AR43" s="35">
        <v>15.39</v>
      </c>
      <c r="AS43" s="35">
        <v>224.67</v>
      </c>
      <c r="AT43" s="35" t="s">
        <v>83</v>
      </c>
      <c r="AV43" s="35" t="s">
        <v>133</v>
      </c>
      <c r="AW43" s="35" t="s">
        <v>85</v>
      </c>
      <c r="AX43" s="35" t="s">
        <v>110</v>
      </c>
      <c r="AY43" s="35">
        <v>0</v>
      </c>
      <c r="AZ43" s="35">
        <v>10</v>
      </c>
      <c r="BA43" s="35" t="s">
        <v>87</v>
      </c>
      <c r="BB43" s="35" t="s">
        <v>88</v>
      </c>
      <c r="BC43" s="35" t="s">
        <v>89</v>
      </c>
      <c r="BD43" s="35" t="s">
        <v>114</v>
      </c>
      <c r="BE43" s="35" t="s">
        <v>291</v>
      </c>
      <c r="BF43" s="35">
        <v>112.4</v>
      </c>
      <c r="BG43" s="35">
        <v>0</v>
      </c>
      <c r="BH43" s="35" t="s">
        <v>312</v>
      </c>
      <c r="BI43" s="35" t="s">
        <v>312</v>
      </c>
      <c r="BJ43" s="35" t="s">
        <v>312</v>
      </c>
      <c r="BK43" s="35" t="s">
        <v>91</v>
      </c>
      <c r="BL43" s="35" t="s">
        <v>84</v>
      </c>
      <c r="BM43" s="35">
        <v>1</v>
      </c>
      <c r="BN43" s="35" t="s">
        <v>2177</v>
      </c>
      <c r="BO43" s="35" t="s">
        <v>289</v>
      </c>
      <c r="BP43" s="35" t="s">
        <v>315</v>
      </c>
      <c r="BQ43" s="35" t="s">
        <v>117</v>
      </c>
      <c r="BR43" s="35" t="s">
        <v>93</v>
      </c>
      <c r="BS43" s="35" t="s">
        <v>312</v>
      </c>
      <c r="BT43" s="35" t="s">
        <v>312</v>
      </c>
      <c r="BU43" s="36">
        <v>41883</v>
      </c>
      <c r="BV43" s="36">
        <v>42155</v>
      </c>
      <c r="BW43" s="35" t="s">
        <v>94</v>
      </c>
      <c r="BX43" s="35" t="s">
        <v>95</v>
      </c>
      <c r="BY43" s="35" t="s">
        <v>140</v>
      </c>
      <c r="BZ43" s="35">
        <v>1</v>
      </c>
      <c r="CA43" s="35">
        <v>1</v>
      </c>
      <c r="CB43" s="35" t="s">
        <v>303</v>
      </c>
      <c r="CC43" s="35" t="s">
        <v>314</v>
      </c>
      <c r="CD43" s="35">
        <v>0</v>
      </c>
      <c r="CE43" s="35" t="s">
        <v>97</v>
      </c>
      <c r="CF43" s="35">
        <v>0</v>
      </c>
      <c r="CG43" s="35" t="s">
        <v>97</v>
      </c>
      <c r="CH43" s="35">
        <v>1</v>
      </c>
      <c r="CI43" s="35" t="s">
        <v>376</v>
      </c>
      <c r="CJ43" s="35" t="s">
        <v>377</v>
      </c>
      <c r="CK43" s="35">
        <v>64</v>
      </c>
      <c r="CL43" s="35">
        <v>0</v>
      </c>
      <c r="CM43" s="35">
        <v>1</v>
      </c>
      <c r="CN43" s="35" t="s">
        <v>99</v>
      </c>
      <c r="CO43" s="35" t="s">
        <v>97</v>
      </c>
      <c r="CP43" s="35" t="s">
        <v>100</v>
      </c>
      <c r="CQ43" s="35" t="s">
        <v>101</v>
      </c>
      <c r="CR43" s="36">
        <v>45847</v>
      </c>
      <c r="CT43" s="37" t="s">
        <v>384</v>
      </c>
    </row>
    <row r="44" spans="1:98" s="35" customFormat="1" x14ac:dyDescent="0.35">
      <c r="A44" s="34" t="s">
        <v>293</v>
      </c>
      <c r="B44" s="34" t="s">
        <v>328</v>
      </c>
      <c r="C44" s="35" t="s">
        <v>316</v>
      </c>
      <c r="D44" s="35">
        <v>2019</v>
      </c>
      <c r="E44" s="34" t="s">
        <v>318</v>
      </c>
      <c r="F44" s="34" t="s">
        <v>319</v>
      </c>
      <c r="G44" s="35" t="s">
        <v>78</v>
      </c>
      <c r="H44" s="35">
        <v>1</v>
      </c>
      <c r="I44" s="35" t="s">
        <v>290</v>
      </c>
      <c r="J44" s="35" t="s">
        <v>79</v>
      </c>
      <c r="K44" s="35">
        <v>657</v>
      </c>
      <c r="L44" s="35" t="s">
        <v>129</v>
      </c>
      <c r="M44" s="35" t="s">
        <v>381</v>
      </c>
      <c r="N44" s="35">
        <v>-0.32</v>
      </c>
      <c r="O44" s="35">
        <v>0.2</v>
      </c>
      <c r="P44" s="89">
        <f t="shared" si="0"/>
        <v>-1.5999999999999999</v>
      </c>
      <c r="Q44" s="35" t="s">
        <v>312</v>
      </c>
      <c r="R44" s="89">
        <f t="shared" si="1"/>
        <v>-0.71199999999999997</v>
      </c>
      <c r="S44" s="89">
        <f t="shared" si="2"/>
        <v>7.2000000000000008E-2</v>
      </c>
      <c r="T44" s="35">
        <v>1</v>
      </c>
      <c r="U44" s="35">
        <v>4443</v>
      </c>
      <c r="V44" s="35" t="s">
        <v>312</v>
      </c>
      <c r="W44" s="35">
        <v>0</v>
      </c>
      <c r="X44" s="35">
        <f t="shared" si="3"/>
        <v>4443</v>
      </c>
      <c r="Y44" s="89">
        <f t="shared" si="4"/>
        <v>-2.3996988566890424E-2</v>
      </c>
      <c r="Z44" s="89">
        <f t="shared" si="5"/>
        <v>1.4998117854306516E-2</v>
      </c>
      <c r="AA44" s="89">
        <f t="shared" si="16"/>
        <v>-2.3996988566890424E-2</v>
      </c>
      <c r="AB44" s="35" t="s">
        <v>81</v>
      </c>
      <c r="AC44" s="89">
        <f t="shared" si="14"/>
        <v>-2.2032E-2</v>
      </c>
      <c r="AD44" s="89" cm="1">
        <f t="array" ref="AD44">_xlfn.IFS(
AND(L44="marginal_effect",M44="level"),N44*AN44/BF44, AND(L44="marginal_effect",M44="percent_of_mean"),N44*AN44/100,
AND(L44="marginal_effect",M44="sd (Y)"),N44*BH44*AN44/BF44,
AND(L44="marginal_effect",M44="sd (X)"),N44/AQ44*AN44/BF44,
AND(L44="semi_elasticity",M44="level"),N44*AN44,
AND(L44="semi_elasticity",M44="sd (Y)"),N44*AN44*BH44,
AND(L44="semi_elasticity",M44="sd (X)"),N44*AN44/AQ44,
AND(L44="level-log",M44="level"),N44/BF44,
AND(L44="level-log",M44="sd (X)"),N44/BF44/AQ44,
AND(L44="level-log",M44="sd (Y)"),N44/BF44*BH44,
AND(L44="elasticity",M44="level"),N44,
AND(L44="elasticity",M44="sd (X)"),N44/AQ44,
AND(L44="elasticity",M44="sd (Y)"),N44*BH44,
AND(L44="marginal_effect",M44="percent_of_mean"),N44*AN44/BF44/10)</f>
        <v>-2.2032E-2</v>
      </c>
      <c r="AE44" s="49">
        <f t="shared" si="8"/>
        <v>1</v>
      </c>
      <c r="AF44" s="89">
        <f t="shared" si="15"/>
        <v>1.3769999999999999E-2</v>
      </c>
      <c r="AG44" s="89" cm="1">
        <f t="array" ref="AG44">_xlfn.IFS(
AND(L44="marginal_effect",M44="level"),O44*AN44/BF44,
AND(L44="marginal_effect",M44="sd (Y)"),O44*BH44*AN44/BF44,
AND(L44="marginal_effect",M44="sd (X)"),O44/AQ44*AN44/BF44,
AND(L44="semi_elasticity",M44="level"),O44*AN44,
AND(L44="semi_elasticity",M44="sd (Y)"),O44*AN44*BH44,
AND(L44="semi_elasticity",M44="sd (X)"),O44*AN44/AQ44,
AND(L44="level-log",M44="level"),O44/BF44,
AND(L44="level-log",M44="sd (X)"),O44/BF44/AQ44,
AND(L44="level-log",M44="sd (Y)"),O44/BF44*BH44,
AND(L44="elasticity",M44="level"),O44,
AND(L44="elasticity",M44="sd (X)"),O44/AQ44,
AND(L44="elasticity",M44="sd (Y)"),O44*BH44,
AND(L44="marginal_effect",M44="percent_of_mean"),O44*AN44/BF44/10)</f>
        <v>1.2250889679715302E-3</v>
      </c>
      <c r="AH44" s="49">
        <f t="shared" si="10"/>
        <v>0</v>
      </c>
      <c r="AI44" s="89">
        <f t="shared" si="17"/>
        <v>-2.2032E-2</v>
      </c>
      <c r="AJ44" s="49">
        <v>0</v>
      </c>
      <c r="AK44" s="49">
        <f t="shared" si="12"/>
        <v>1</v>
      </c>
      <c r="AL44" s="35" t="s">
        <v>82</v>
      </c>
      <c r="AM44" s="35" t="s">
        <v>296</v>
      </c>
      <c r="AN44" s="35">
        <v>6.8849999999999998</v>
      </c>
      <c r="AO44" s="35">
        <v>0</v>
      </c>
      <c r="AP44" s="35">
        <f t="shared" si="13"/>
        <v>68.849999999999994</v>
      </c>
      <c r="AQ44" s="35">
        <v>35.299999999999997</v>
      </c>
      <c r="AR44" s="35">
        <v>15.39</v>
      </c>
      <c r="AS44" s="35">
        <v>224.67</v>
      </c>
      <c r="AT44" s="35" t="s">
        <v>83</v>
      </c>
      <c r="AV44" s="35" t="s">
        <v>133</v>
      </c>
      <c r="AW44" s="35" t="s">
        <v>85</v>
      </c>
      <c r="AX44" s="35" t="s">
        <v>110</v>
      </c>
      <c r="AY44" s="35">
        <v>0</v>
      </c>
      <c r="AZ44" s="35">
        <v>15</v>
      </c>
      <c r="BA44" s="35" t="s">
        <v>87</v>
      </c>
      <c r="BB44" s="35" t="s">
        <v>88</v>
      </c>
      <c r="BC44" s="35" t="s">
        <v>89</v>
      </c>
      <c r="BD44" s="35" t="s">
        <v>114</v>
      </c>
      <c r="BE44" s="35" t="s">
        <v>291</v>
      </c>
      <c r="BF44" s="35">
        <v>112.4</v>
      </c>
      <c r="BG44" s="35">
        <v>0</v>
      </c>
      <c r="BH44" s="35" t="s">
        <v>312</v>
      </c>
      <c r="BI44" s="35" t="s">
        <v>312</v>
      </c>
      <c r="BJ44" s="35" t="s">
        <v>312</v>
      </c>
      <c r="BK44" s="35" t="s">
        <v>91</v>
      </c>
      <c r="BL44" s="35" t="s">
        <v>84</v>
      </c>
      <c r="BM44" s="35">
        <v>1</v>
      </c>
      <c r="BN44" s="35" t="s">
        <v>2177</v>
      </c>
      <c r="BO44" s="35" t="s">
        <v>289</v>
      </c>
      <c r="BP44" s="35" t="s">
        <v>315</v>
      </c>
      <c r="BQ44" s="35" t="s">
        <v>117</v>
      </c>
      <c r="BR44" s="35" t="s">
        <v>93</v>
      </c>
      <c r="BS44" s="35" t="s">
        <v>312</v>
      </c>
      <c r="BT44" s="35" t="s">
        <v>312</v>
      </c>
      <c r="BU44" s="36">
        <v>41883</v>
      </c>
      <c r="BV44" s="36">
        <v>42155</v>
      </c>
      <c r="BW44" s="35" t="s">
        <v>94</v>
      </c>
      <c r="BX44" s="35" t="s">
        <v>95</v>
      </c>
      <c r="BY44" s="35" t="s">
        <v>140</v>
      </c>
      <c r="BZ44" s="35">
        <v>1</v>
      </c>
      <c r="CA44" s="35">
        <v>1</v>
      </c>
      <c r="CB44" s="35" t="s">
        <v>303</v>
      </c>
      <c r="CC44" s="35" t="s">
        <v>314</v>
      </c>
      <c r="CD44" s="35">
        <v>0</v>
      </c>
      <c r="CE44" s="35" t="s">
        <v>97</v>
      </c>
      <c r="CF44" s="35">
        <v>0</v>
      </c>
      <c r="CG44" s="35" t="s">
        <v>97</v>
      </c>
      <c r="CH44" s="35">
        <v>1</v>
      </c>
      <c r="CI44" s="35" t="s">
        <v>376</v>
      </c>
      <c r="CJ44" s="35" t="s">
        <v>377</v>
      </c>
      <c r="CK44" s="35">
        <v>64</v>
      </c>
      <c r="CL44" s="35">
        <v>0</v>
      </c>
      <c r="CM44" s="35">
        <v>1</v>
      </c>
      <c r="CN44" s="35" t="s">
        <v>99</v>
      </c>
      <c r="CO44" s="35" t="s">
        <v>97</v>
      </c>
      <c r="CP44" s="35" t="s">
        <v>100</v>
      </c>
      <c r="CQ44" s="35" t="s">
        <v>101</v>
      </c>
      <c r="CR44" s="36">
        <v>45847</v>
      </c>
      <c r="CT44" s="37" t="s">
        <v>384</v>
      </c>
    </row>
    <row r="45" spans="1:98" s="35" customFormat="1" x14ac:dyDescent="0.35">
      <c r="A45" s="34" t="s">
        <v>293</v>
      </c>
      <c r="B45" s="34" t="s">
        <v>329</v>
      </c>
      <c r="C45" s="35" t="s">
        <v>316</v>
      </c>
      <c r="D45" s="35">
        <v>2019</v>
      </c>
      <c r="E45" s="34" t="s">
        <v>318</v>
      </c>
      <c r="F45" s="34" t="s">
        <v>319</v>
      </c>
      <c r="G45" s="35" t="s">
        <v>78</v>
      </c>
      <c r="H45" s="35">
        <v>1</v>
      </c>
      <c r="I45" s="35" t="s">
        <v>290</v>
      </c>
      <c r="J45" s="35" t="s">
        <v>79</v>
      </c>
      <c r="K45" s="35">
        <v>657</v>
      </c>
      <c r="L45" s="35" t="s">
        <v>129</v>
      </c>
      <c r="M45" s="35" t="s">
        <v>381</v>
      </c>
      <c r="N45" s="35">
        <v>-0.46</v>
      </c>
      <c r="O45" s="35">
        <v>0.21</v>
      </c>
      <c r="P45" s="89">
        <f t="shared" si="0"/>
        <v>-2.1904761904761907</v>
      </c>
      <c r="Q45" s="35" t="s">
        <v>312</v>
      </c>
      <c r="R45" s="89">
        <f t="shared" si="1"/>
        <v>-0.87159999999999993</v>
      </c>
      <c r="S45" s="89">
        <f t="shared" si="2"/>
        <v>-4.8400000000000054E-2</v>
      </c>
      <c r="T45" s="35">
        <v>1</v>
      </c>
      <c r="U45" s="35">
        <v>4443</v>
      </c>
      <c r="V45" s="35" t="s">
        <v>312</v>
      </c>
      <c r="W45" s="35">
        <v>0</v>
      </c>
      <c r="X45" s="35">
        <f t="shared" si="3"/>
        <v>4443</v>
      </c>
      <c r="Y45" s="89">
        <f t="shared" si="4"/>
        <v>-3.2844753002775111E-2</v>
      </c>
      <c r="Z45" s="89">
        <f t="shared" si="5"/>
        <v>1.499434376213646E-2</v>
      </c>
      <c r="AA45" s="89">
        <f t="shared" si="16"/>
        <v>-3.2844753002775111E-2</v>
      </c>
      <c r="AB45" s="35" t="s">
        <v>81</v>
      </c>
      <c r="AC45" s="89">
        <f t="shared" si="14"/>
        <v>-3.1670999999999998E-2</v>
      </c>
      <c r="AD45" s="89" cm="1">
        <f t="array" ref="AD45">_xlfn.IFS(
AND(L45="marginal_effect",M45="level"),N45*AN45/BF45, AND(L45="marginal_effect",M45="percent_of_mean"),N45*AN45/100,
AND(L45="marginal_effect",M45="sd (Y)"),N45*BH45*AN45/BF45,
AND(L45="marginal_effect",M45="sd (X)"),N45/AQ45*AN45/BF45,
AND(L45="semi_elasticity",M45="level"),N45*AN45,
AND(L45="semi_elasticity",M45="sd (Y)"),N45*AN45*BH45,
AND(L45="semi_elasticity",M45="sd (X)"),N45*AN45/AQ45,
AND(L45="level-log",M45="level"),N45/BF45,
AND(L45="level-log",M45="sd (X)"),N45/BF45/AQ45,
AND(L45="level-log",M45="sd (Y)"),N45/BF45*BH45,
AND(L45="elasticity",M45="level"),N45,
AND(L45="elasticity",M45="sd (X)"),N45/AQ45,
AND(L45="elasticity",M45="sd (Y)"),N45*BH45,
AND(L45="marginal_effect",M45="percent_of_mean"),N45*AN45/BF45/10)</f>
        <v>-3.1670999999999998E-2</v>
      </c>
      <c r="AE45" s="49">
        <f t="shared" si="8"/>
        <v>1</v>
      </c>
      <c r="AF45" s="89">
        <f t="shared" si="15"/>
        <v>1.4458499999999999E-2</v>
      </c>
      <c r="AG45" s="89" cm="1">
        <f t="array" ref="AG45">_xlfn.IFS(
AND(L45="marginal_effect",M45="level"),O45*AN45/BF45,
AND(L45="marginal_effect",M45="sd (Y)"),O45*BH45*AN45/BF45,
AND(L45="marginal_effect",M45="sd (X)"),O45/AQ45*AN45/BF45,
AND(L45="semi_elasticity",M45="level"),O45*AN45,
AND(L45="semi_elasticity",M45="sd (Y)"),O45*AN45*BH45,
AND(L45="semi_elasticity",M45="sd (X)"),O45*AN45/AQ45,
AND(L45="level-log",M45="level"),O45/BF45,
AND(L45="level-log",M45="sd (X)"),O45/BF45/AQ45,
AND(L45="level-log",M45="sd (Y)"),O45/BF45*BH45,
AND(L45="elasticity",M45="level"),O45,
AND(L45="elasticity",M45="sd (X)"),O45/AQ45,
AND(L45="elasticity",M45="sd (Y)"),O45*BH45,
AND(L45="marginal_effect",M45="percent_of_mean"),O45*AN45/BF45/10)</f>
        <v>1.2863434163701065E-3</v>
      </c>
      <c r="AH45" s="49">
        <f t="shared" si="10"/>
        <v>0</v>
      </c>
      <c r="AI45" s="89">
        <f t="shared" si="17"/>
        <v>-3.1670999999999998E-2</v>
      </c>
      <c r="AJ45" s="49">
        <v>0</v>
      </c>
      <c r="AK45" s="49">
        <f t="shared" si="12"/>
        <v>1</v>
      </c>
      <c r="AL45" s="35" t="s">
        <v>82</v>
      </c>
      <c r="AM45" s="35" t="s">
        <v>296</v>
      </c>
      <c r="AN45" s="35">
        <v>6.8849999999999998</v>
      </c>
      <c r="AO45" s="35">
        <v>0</v>
      </c>
      <c r="AP45" s="35">
        <f t="shared" si="13"/>
        <v>68.849999999999994</v>
      </c>
      <c r="AQ45" s="35">
        <v>35.299999999999997</v>
      </c>
      <c r="AR45" s="35">
        <v>15.39</v>
      </c>
      <c r="AS45" s="35">
        <v>224.67</v>
      </c>
      <c r="AT45" s="35" t="s">
        <v>83</v>
      </c>
      <c r="AV45" s="35" t="s">
        <v>133</v>
      </c>
      <c r="AW45" s="35" t="s">
        <v>85</v>
      </c>
      <c r="AX45" s="35" t="s">
        <v>110</v>
      </c>
      <c r="AY45" s="35">
        <v>0</v>
      </c>
      <c r="AZ45" s="35">
        <v>20</v>
      </c>
      <c r="BA45" s="35" t="s">
        <v>87</v>
      </c>
      <c r="BB45" s="35" t="s">
        <v>88</v>
      </c>
      <c r="BC45" s="35" t="s">
        <v>89</v>
      </c>
      <c r="BD45" s="35" t="s">
        <v>114</v>
      </c>
      <c r="BE45" s="35" t="s">
        <v>291</v>
      </c>
      <c r="BF45" s="35">
        <v>112.4</v>
      </c>
      <c r="BG45" s="35">
        <v>0</v>
      </c>
      <c r="BH45" s="35" t="s">
        <v>312</v>
      </c>
      <c r="BI45" s="35" t="s">
        <v>312</v>
      </c>
      <c r="BJ45" s="35" t="s">
        <v>312</v>
      </c>
      <c r="BK45" s="35" t="s">
        <v>91</v>
      </c>
      <c r="BL45" s="35" t="s">
        <v>84</v>
      </c>
      <c r="BM45" s="35">
        <v>1</v>
      </c>
      <c r="BN45" s="35" t="s">
        <v>2177</v>
      </c>
      <c r="BO45" s="35" t="s">
        <v>289</v>
      </c>
      <c r="BP45" s="35" t="s">
        <v>315</v>
      </c>
      <c r="BQ45" s="35" t="s">
        <v>117</v>
      </c>
      <c r="BR45" s="35" t="s">
        <v>93</v>
      </c>
      <c r="BS45" s="35" t="s">
        <v>312</v>
      </c>
      <c r="BT45" s="35" t="s">
        <v>312</v>
      </c>
      <c r="BU45" s="36">
        <v>41883</v>
      </c>
      <c r="BV45" s="36">
        <v>42155</v>
      </c>
      <c r="BW45" s="35" t="s">
        <v>94</v>
      </c>
      <c r="BX45" s="35" t="s">
        <v>95</v>
      </c>
      <c r="BY45" s="35" t="s">
        <v>140</v>
      </c>
      <c r="BZ45" s="35">
        <v>1</v>
      </c>
      <c r="CA45" s="35">
        <v>1</v>
      </c>
      <c r="CB45" s="35" t="s">
        <v>303</v>
      </c>
      <c r="CC45" s="35" t="s">
        <v>314</v>
      </c>
      <c r="CD45" s="35">
        <v>0</v>
      </c>
      <c r="CE45" s="35" t="s">
        <v>97</v>
      </c>
      <c r="CF45" s="35">
        <v>0</v>
      </c>
      <c r="CG45" s="35" t="s">
        <v>97</v>
      </c>
      <c r="CH45" s="35">
        <v>1</v>
      </c>
      <c r="CI45" s="35" t="s">
        <v>376</v>
      </c>
      <c r="CJ45" s="35" t="s">
        <v>377</v>
      </c>
      <c r="CK45" s="35">
        <v>64</v>
      </c>
      <c r="CL45" s="35">
        <v>0</v>
      </c>
      <c r="CM45" s="35">
        <v>1</v>
      </c>
      <c r="CN45" s="35" t="s">
        <v>99</v>
      </c>
      <c r="CO45" s="35" t="s">
        <v>97</v>
      </c>
      <c r="CP45" s="35" t="s">
        <v>100</v>
      </c>
      <c r="CQ45" s="35" t="s">
        <v>101</v>
      </c>
      <c r="CR45" s="36">
        <v>45847</v>
      </c>
      <c r="CT45" s="37" t="s">
        <v>384</v>
      </c>
    </row>
    <row r="46" spans="1:98" s="35" customFormat="1" x14ac:dyDescent="0.35">
      <c r="A46" s="34" t="s">
        <v>293</v>
      </c>
      <c r="B46" s="34" t="s">
        <v>330</v>
      </c>
      <c r="C46" s="35" t="s">
        <v>316</v>
      </c>
      <c r="D46" s="35">
        <v>2019</v>
      </c>
      <c r="E46" s="34" t="s">
        <v>318</v>
      </c>
      <c r="F46" s="34" t="s">
        <v>319</v>
      </c>
      <c r="G46" s="35" t="s">
        <v>78</v>
      </c>
      <c r="H46" s="35">
        <v>1</v>
      </c>
      <c r="I46" s="35" t="s">
        <v>290</v>
      </c>
      <c r="J46" s="35" t="s">
        <v>79</v>
      </c>
      <c r="K46" s="35">
        <v>657</v>
      </c>
      <c r="L46" s="35" t="s">
        <v>129</v>
      </c>
      <c r="M46" s="35" t="s">
        <v>381</v>
      </c>
      <c r="N46" s="35">
        <v>-0.61</v>
      </c>
      <c r="O46" s="35">
        <v>0.21</v>
      </c>
      <c r="P46" s="89">
        <f t="shared" si="0"/>
        <v>-2.9047619047619047</v>
      </c>
      <c r="Q46" s="35" t="s">
        <v>312</v>
      </c>
      <c r="R46" s="89">
        <f t="shared" si="1"/>
        <v>-1.0215999999999998</v>
      </c>
      <c r="S46" s="89">
        <f t="shared" si="2"/>
        <v>-0.19840000000000002</v>
      </c>
      <c r="T46" s="35">
        <v>1</v>
      </c>
      <c r="U46" s="35">
        <v>4443</v>
      </c>
      <c r="V46" s="35" t="s">
        <v>312</v>
      </c>
      <c r="W46" s="35">
        <v>0</v>
      </c>
      <c r="X46" s="35">
        <f t="shared" si="3"/>
        <v>4443</v>
      </c>
      <c r="Y46" s="89">
        <f t="shared" si="4"/>
        <v>-4.3537189816839912E-2</v>
      </c>
      <c r="Z46" s="89">
        <f t="shared" si="5"/>
        <v>1.4988212887764562E-2</v>
      </c>
      <c r="AA46" s="89">
        <f t="shared" si="16"/>
        <v>-4.3537189816839912E-2</v>
      </c>
      <c r="AB46" s="35" t="s">
        <v>81</v>
      </c>
      <c r="AC46" s="89">
        <f>(N46/100)*AN46</f>
        <v>-4.1998499999999994E-2</v>
      </c>
      <c r="AD46" s="89" cm="1">
        <f t="array" ref="AD46">_xlfn.IFS(
AND(L46="marginal_effect",M46="level"),N46*AN46/BF46, AND(L46="marginal_effect",M46="percent_of_mean"),N46*AN46/100,
AND(L46="marginal_effect",M46="sd (Y)"),N46*BH46*AN46/BF46,
AND(L46="marginal_effect",M46="sd (X)"),N46/AQ46*AN46/BF46,
AND(L46="semi_elasticity",M46="level"),N46*AN46,
AND(L46="semi_elasticity",M46="sd (Y)"),N46*AN46*BH46,
AND(L46="semi_elasticity",M46="sd (X)"),N46*AN46/AQ46,
AND(L46="level-log",M46="level"),N46/BF46,
AND(L46="level-log",M46="sd (X)"),N46/BF46/AQ46,
AND(L46="level-log",M46="sd (Y)"),N46/BF46*BH46,
AND(L46="elasticity",M46="level"),N46,
AND(L46="elasticity",M46="sd (X)"),N46/AQ46,
AND(L46="elasticity",M46="sd (Y)"),N46*BH46,
AND(L46="marginal_effect",M46="percent_of_mean"),N46*AN46/BF46/10)</f>
        <v>-4.1998499999999994E-2</v>
      </c>
      <c r="AE46" s="49">
        <f t="shared" si="8"/>
        <v>1</v>
      </c>
      <c r="AF46" s="89">
        <f t="shared" si="15"/>
        <v>1.4458499999999999E-2</v>
      </c>
      <c r="AG46" s="89" cm="1">
        <f t="array" ref="AG46">_xlfn.IFS(
AND(L46="marginal_effect",M46="level"),O46*AN46/BF46,
AND(L46="marginal_effect",M46="sd (Y)"),O46*BH46*AN46/BF46,
AND(L46="marginal_effect",M46="sd (X)"),O46/AQ46*AN46/BF46,
AND(L46="semi_elasticity",M46="level"),O46*AN46,
AND(L46="semi_elasticity",M46="sd (Y)"),O46*AN46*BH46,
AND(L46="semi_elasticity",M46="sd (X)"),O46*AN46/AQ46,
AND(L46="level-log",M46="level"),O46/BF46,
AND(L46="level-log",M46="sd (X)"),O46/BF46/AQ46,
AND(L46="level-log",M46="sd (Y)"),O46/BF46*BH46,
AND(L46="elasticity",M46="level"),O46,
AND(L46="elasticity",M46="sd (X)"),O46/AQ46,
AND(L46="elasticity",M46="sd (Y)"),O46*BH46,
AND(L46="marginal_effect",M46="percent_of_mean"),O46*AN46/BF46/10)</f>
        <v>1.2863434163701065E-3</v>
      </c>
      <c r="AH46" s="49">
        <f t="shared" si="10"/>
        <v>0</v>
      </c>
      <c r="AI46" s="89">
        <f t="shared" si="17"/>
        <v>-4.1998499999999994E-2</v>
      </c>
      <c r="AJ46" s="49">
        <v>0</v>
      </c>
      <c r="AK46" s="49">
        <f t="shared" si="12"/>
        <v>1</v>
      </c>
      <c r="AL46" s="35" t="s">
        <v>82</v>
      </c>
      <c r="AM46" s="35" t="s">
        <v>296</v>
      </c>
      <c r="AN46" s="35">
        <v>6.8849999999999998</v>
      </c>
      <c r="AO46" s="35">
        <v>0</v>
      </c>
      <c r="AP46" s="35">
        <f t="shared" si="13"/>
        <v>68.849999999999994</v>
      </c>
      <c r="AQ46" s="35">
        <v>35.299999999999997</v>
      </c>
      <c r="AR46" s="35">
        <v>15.39</v>
      </c>
      <c r="AS46" s="35">
        <v>224.67</v>
      </c>
      <c r="AT46" s="35" t="s">
        <v>83</v>
      </c>
      <c r="AV46" s="35" t="s">
        <v>133</v>
      </c>
      <c r="AW46" s="35" t="s">
        <v>85</v>
      </c>
      <c r="AX46" s="35" t="s">
        <v>110</v>
      </c>
      <c r="AY46" s="35">
        <v>0</v>
      </c>
      <c r="AZ46" s="35">
        <v>25</v>
      </c>
      <c r="BA46" s="35" t="s">
        <v>87</v>
      </c>
      <c r="BB46" s="35" t="s">
        <v>88</v>
      </c>
      <c r="BC46" s="35" t="s">
        <v>89</v>
      </c>
      <c r="BD46" s="35" t="s">
        <v>114</v>
      </c>
      <c r="BE46" s="35" t="s">
        <v>291</v>
      </c>
      <c r="BF46" s="35">
        <v>112.4</v>
      </c>
      <c r="BG46" s="35">
        <v>0</v>
      </c>
      <c r="BH46" s="35" t="s">
        <v>312</v>
      </c>
      <c r="BI46" s="35" t="s">
        <v>312</v>
      </c>
      <c r="BJ46" s="35" t="s">
        <v>312</v>
      </c>
      <c r="BK46" s="35" t="s">
        <v>91</v>
      </c>
      <c r="BL46" s="35" t="s">
        <v>84</v>
      </c>
      <c r="BM46" s="35">
        <v>1</v>
      </c>
      <c r="BN46" s="35" t="s">
        <v>2177</v>
      </c>
      <c r="BO46" s="35" t="s">
        <v>289</v>
      </c>
      <c r="BP46" s="35" t="s">
        <v>315</v>
      </c>
      <c r="BQ46" s="35" t="s">
        <v>117</v>
      </c>
      <c r="BR46" s="35" t="s">
        <v>93</v>
      </c>
      <c r="BS46" s="35" t="s">
        <v>312</v>
      </c>
      <c r="BT46" s="35" t="s">
        <v>312</v>
      </c>
      <c r="BU46" s="36">
        <v>41883</v>
      </c>
      <c r="BV46" s="36">
        <v>42155</v>
      </c>
      <c r="BW46" s="35" t="s">
        <v>94</v>
      </c>
      <c r="BX46" s="35" t="s">
        <v>95</v>
      </c>
      <c r="BY46" s="35" t="s">
        <v>140</v>
      </c>
      <c r="BZ46" s="35">
        <v>1</v>
      </c>
      <c r="CA46" s="35">
        <v>1</v>
      </c>
      <c r="CB46" s="35" t="s">
        <v>303</v>
      </c>
      <c r="CC46" s="35" t="s">
        <v>314</v>
      </c>
      <c r="CD46" s="35">
        <v>0</v>
      </c>
      <c r="CE46" s="35" t="s">
        <v>97</v>
      </c>
      <c r="CF46" s="35">
        <v>0</v>
      </c>
      <c r="CG46" s="35" t="s">
        <v>97</v>
      </c>
      <c r="CH46" s="35">
        <v>1</v>
      </c>
      <c r="CI46" s="35" t="s">
        <v>376</v>
      </c>
      <c r="CJ46" s="35" t="s">
        <v>377</v>
      </c>
      <c r="CK46" s="35">
        <v>64</v>
      </c>
      <c r="CL46" s="35">
        <v>1</v>
      </c>
      <c r="CM46" s="35">
        <v>1</v>
      </c>
      <c r="CN46" s="35" t="s">
        <v>99</v>
      </c>
      <c r="CO46" s="35" t="s">
        <v>97</v>
      </c>
      <c r="CP46" s="35" t="s">
        <v>100</v>
      </c>
      <c r="CQ46" s="35" t="s">
        <v>101</v>
      </c>
      <c r="CR46" s="36">
        <v>45847</v>
      </c>
      <c r="CT46" s="37" t="s">
        <v>384</v>
      </c>
    </row>
    <row r="47" spans="1:98" s="35" customFormat="1" x14ac:dyDescent="0.35">
      <c r="A47" s="34" t="s">
        <v>293</v>
      </c>
      <c r="B47" s="34" t="s">
        <v>331</v>
      </c>
      <c r="C47" s="35" t="s">
        <v>316</v>
      </c>
      <c r="D47" s="35">
        <v>2019</v>
      </c>
      <c r="E47" s="34" t="s">
        <v>318</v>
      </c>
      <c r="F47" s="34" t="s">
        <v>319</v>
      </c>
      <c r="G47" s="35" t="s">
        <v>78</v>
      </c>
      <c r="H47" s="35">
        <v>1</v>
      </c>
      <c r="I47" s="35" t="s">
        <v>290</v>
      </c>
      <c r="J47" s="35" t="s">
        <v>79</v>
      </c>
      <c r="K47" s="35">
        <v>657</v>
      </c>
      <c r="L47" s="35" t="s">
        <v>129</v>
      </c>
      <c r="M47" s="35" t="s">
        <v>381</v>
      </c>
      <c r="N47" s="35">
        <v>-0.35</v>
      </c>
      <c r="O47" s="35">
        <v>0.2</v>
      </c>
      <c r="P47" s="89">
        <f t="shared" si="0"/>
        <v>-1.7499999999999998</v>
      </c>
      <c r="Q47" s="35" t="s">
        <v>312</v>
      </c>
      <c r="R47" s="89">
        <f t="shared" si="1"/>
        <v>-0.74199999999999999</v>
      </c>
      <c r="S47" s="89">
        <f t="shared" si="2"/>
        <v>4.2000000000000037E-2</v>
      </c>
      <c r="T47" s="35">
        <v>1</v>
      </c>
      <c r="U47" s="35">
        <v>4443</v>
      </c>
      <c r="V47" s="35" t="s">
        <v>312</v>
      </c>
      <c r="W47" s="35">
        <v>0</v>
      </c>
      <c r="X47" s="35">
        <f t="shared" si="3"/>
        <v>4443</v>
      </c>
      <c r="Y47" s="89">
        <f t="shared" si="4"/>
        <v>-2.6245222983997223E-2</v>
      </c>
      <c r="Z47" s="89">
        <f t="shared" si="5"/>
        <v>1.4997270276569843E-2</v>
      </c>
      <c r="AA47" s="89">
        <f t="shared" si="16"/>
        <v>-2.6245222983997223E-2</v>
      </c>
      <c r="AB47" s="35" t="s">
        <v>81</v>
      </c>
      <c r="AC47" s="89">
        <f t="shared" si="14"/>
        <v>-2.4097499999999997E-2</v>
      </c>
      <c r="AD47" s="89" cm="1">
        <f t="array" ref="AD47">_xlfn.IFS(
AND(L47="marginal_effect",M47="level"),N47*AN47/BF47, AND(L47="marginal_effect",M47="percent_of_mean"),N47*AN47/100,
AND(L47="marginal_effect",M47="sd (Y)"),N47*BH47*AN47/BF47,
AND(L47="marginal_effect",M47="sd (X)"),N47/AQ47*AN47/BF47,
AND(L47="semi_elasticity",M47="level"),N47*AN47,
AND(L47="semi_elasticity",M47="sd (Y)"),N47*AN47*BH47,
AND(L47="semi_elasticity",M47="sd (X)"),N47*AN47/AQ47,
AND(L47="level-log",M47="level"),N47/BF47,
AND(L47="level-log",M47="sd (X)"),N47/BF47/AQ47,
AND(L47="level-log",M47="sd (Y)"),N47/BF47*BH47,
AND(L47="elasticity",M47="level"),N47,
AND(L47="elasticity",M47="sd (X)"),N47/AQ47,
AND(L47="elasticity",M47="sd (Y)"),N47*BH47,
AND(L47="marginal_effect",M47="percent_of_mean"),N47*AN47/BF47/10)</f>
        <v>-2.4097499999999997E-2</v>
      </c>
      <c r="AE47" s="49">
        <f t="shared" si="8"/>
        <v>1</v>
      </c>
      <c r="AF47" s="89">
        <f t="shared" si="15"/>
        <v>1.3769999999999999E-2</v>
      </c>
      <c r="AG47" s="89" cm="1">
        <f t="array" ref="AG47">_xlfn.IFS(
AND(L47="marginal_effect",M47="level"),O47*AN47/BF47,
AND(L47="marginal_effect",M47="sd (Y)"),O47*BH47*AN47/BF47,
AND(L47="marginal_effect",M47="sd (X)"),O47/AQ47*AN47/BF47,
AND(L47="semi_elasticity",M47="level"),O47*AN47,
AND(L47="semi_elasticity",M47="sd (Y)"),O47*AN47*BH47,
AND(L47="semi_elasticity",M47="sd (X)"),O47*AN47/AQ47,
AND(L47="level-log",M47="level"),O47/BF47,
AND(L47="level-log",M47="sd (X)"),O47/BF47/AQ47,
AND(L47="level-log",M47="sd (Y)"),O47/BF47*BH47,
AND(L47="elasticity",M47="level"),O47,
AND(L47="elasticity",M47="sd (X)"),O47/AQ47,
AND(L47="elasticity",M47="sd (Y)"),O47*BH47,
AND(L47="marginal_effect",M47="percent_of_mean"),O47*AN47/BF47/10)</f>
        <v>1.2250889679715302E-3</v>
      </c>
      <c r="AH47" s="49">
        <f t="shared" si="10"/>
        <v>0</v>
      </c>
      <c r="AI47" s="89">
        <f t="shared" si="17"/>
        <v>-2.4097499999999997E-2</v>
      </c>
      <c r="AJ47" s="49">
        <v>0</v>
      </c>
      <c r="AK47" s="49">
        <f t="shared" si="12"/>
        <v>1</v>
      </c>
      <c r="AL47" s="35" t="s">
        <v>82</v>
      </c>
      <c r="AM47" s="35" t="s">
        <v>296</v>
      </c>
      <c r="AN47" s="35">
        <v>6.8849999999999998</v>
      </c>
      <c r="AO47" s="35">
        <v>0</v>
      </c>
      <c r="AP47" s="35">
        <f t="shared" si="13"/>
        <v>68.849999999999994</v>
      </c>
      <c r="AQ47" s="35">
        <v>35.299999999999997</v>
      </c>
      <c r="AR47" s="35">
        <v>15.39</v>
      </c>
      <c r="AS47" s="35">
        <v>224.67</v>
      </c>
      <c r="AT47" s="35" t="s">
        <v>83</v>
      </c>
      <c r="AV47" s="35" t="s">
        <v>133</v>
      </c>
      <c r="AW47" s="35" t="s">
        <v>85</v>
      </c>
      <c r="AX47" s="35" t="s">
        <v>110</v>
      </c>
      <c r="AY47" s="35">
        <v>0</v>
      </c>
      <c r="AZ47" s="35">
        <v>30</v>
      </c>
      <c r="BA47" s="35" t="s">
        <v>87</v>
      </c>
      <c r="BB47" s="35" t="s">
        <v>88</v>
      </c>
      <c r="BC47" s="35" t="s">
        <v>89</v>
      </c>
      <c r="BD47" s="35" t="s">
        <v>114</v>
      </c>
      <c r="BE47" s="35" t="s">
        <v>291</v>
      </c>
      <c r="BF47" s="35">
        <v>112.4</v>
      </c>
      <c r="BG47" s="35">
        <v>0</v>
      </c>
      <c r="BH47" s="35" t="s">
        <v>312</v>
      </c>
      <c r="BI47" s="35" t="s">
        <v>312</v>
      </c>
      <c r="BJ47" s="35" t="s">
        <v>312</v>
      </c>
      <c r="BK47" s="35" t="s">
        <v>91</v>
      </c>
      <c r="BL47" s="35" t="s">
        <v>84</v>
      </c>
      <c r="BM47" s="35">
        <v>1</v>
      </c>
      <c r="BN47" s="35" t="s">
        <v>2177</v>
      </c>
      <c r="BO47" s="35" t="s">
        <v>289</v>
      </c>
      <c r="BP47" s="35" t="s">
        <v>315</v>
      </c>
      <c r="BQ47" s="35" t="s">
        <v>117</v>
      </c>
      <c r="BR47" s="35" t="s">
        <v>93</v>
      </c>
      <c r="BS47" s="35" t="s">
        <v>312</v>
      </c>
      <c r="BT47" s="35" t="s">
        <v>312</v>
      </c>
      <c r="BU47" s="36">
        <v>41883</v>
      </c>
      <c r="BV47" s="36">
        <v>42155</v>
      </c>
      <c r="BW47" s="35" t="s">
        <v>94</v>
      </c>
      <c r="BX47" s="35" t="s">
        <v>95</v>
      </c>
      <c r="BY47" s="35" t="s">
        <v>140</v>
      </c>
      <c r="BZ47" s="35">
        <v>1</v>
      </c>
      <c r="CA47" s="35">
        <v>1</v>
      </c>
      <c r="CB47" s="35" t="s">
        <v>303</v>
      </c>
      <c r="CC47" s="35" t="s">
        <v>314</v>
      </c>
      <c r="CD47" s="35">
        <v>0</v>
      </c>
      <c r="CE47" s="35" t="s">
        <v>97</v>
      </c>
      <c r="CF47" s="35">
        <v>0</v>
      </c>
      <c r="CG47" s="35" t="s">
        <v>97</v>
      </c>
      <c r="CH47" s="35">
        <v>1</v>
      </c>
      <c r="CI47" s="35" t="s">
        <v>376</v>
      </c>
      <c r="CJ47" s="35" t="s">
        <v>377</v>
      </c>
      <c r="CK47" s="35">
        <v>64</v>
      </c>
      <c r="CL47" s="35">
        <v>0</v>
      </c>
      <c r="CM47" s="35">
        <v>1</v>
      </c>
      <c r="CN47" s="35" t="s">
        <v>99</v>
      </c>
      <c r="CO47" s="35" t="s">
        <v>97</v>
      </c>
      <c r="CP47" s="35" t="s">
        <v>100</v>
      </c>
      <c r="CQ47" s="35" t="s">
        <v>101</v>
      </c>
      <c r="CR47" s="36">
        <v>45847</v>
      </c>
      <c r="CT47" s="37" t="s">
        <v>384</v>
      </c>
    </row>
    <row r="48" spans="1:98" s="35" customFormat="1" x14ac:dyDescent="0.35">
      <c r="A48" s="34" t="s">
        <v>293</v>
      </c>
      <c r="B48" s="34" t="s">
        <v>332</v>
      </c>
      <c r="C48" s="35" t="s">
        <v>316</v>
      </c>
      <c r="D48" s="35">
        <v>2019</v>
      </c>
      <c r="E48" s="34" t="s">
        <v>318</v>
      </c>
      <c r="F48" s="34" t="s">
        <v>319</v>
      </c>
      <c r="G48" s="35" t="s">
        <v>78</v>
      </c>
      <c r="H48" s="35">
        <v>1</v>
      </c>
      <c r="I48" s="35" t="s">
        <v>290</v>
      </c>
      <c r="J48" s="35" t="s">
        <v>79</v>
      </c>
      <c r="K48" s="35">
        <v>657</v>
      </c>
      <c r="L48" s="35" t="s">
        <v>129</v>
      </c>
      <c r="M48" s="35" t="s">
        <v>381</v>
      </c>
      <c r="N48" s="35">
        <v>-0.32</v>
      </c>
      <c r="O48" s="35">
        <v>0.21</v>
      </c>
      <c r="P48" s="89">
        <f t="shared" si="0"/>
        <v>-1.5238095238095239</v>
      </c>
      <c r="Q48" s="35" t="s">
        <v>312</v>
      </c>
      <c r="R48" s="89">
        <f t="shared" si="1"/>
        <v>-0.73160000000000003</v>
      </c>
      <c r="S48" s="89">
        <f t="shared" si="2"/>
        <v>9.1599999999999959E-2</v>
      </c>
      <c r="T48" s="35">
        <v>1</v>
      </c>
      <c r="U48" s="35">
        <v>4443</v>
      </c>
      <c r="V48" s="35" t="s">
        <v>312</v>
      </c>
      <c r="W48" s="35">
        <v>0</v>
      </c>
      <c r="X48" s="35">
        <f t="shared" si="3"/>
        <v>4443</v>
      </c>
      <c r="Y48" s="89">
        <f t="shared" si="4"/>
        <v>-2.2854886631487686E-2</v>
      </c>
      <c r="Z48" s="89">
        <f t="shared" si="5"/>
        <v>1.4998519351913793E-2</v>
      </c>
      <c r="AA48" s="89">
        <f t="shared" si="16"/>
        <v>-2.2854886631487686E-2</v>
      </c>
      <c r="AB48" s="35" t="s">
        <v>81</v>
      </c>
      <c r="AC48" s="89">
        <f t="shared" si="14"/>
        <v>-9.8560000000000002E-3</v>
      </c>
      <c r="AD48" s="89" cm="1">
        <f t="array" ref="AD48">_xlfn.IFS(
AND(L48="marginal_effect",M48="level"),N48*AN48/BF48, AND(L48="marginal_effect",M48="percent_of_mean"),N48*AN48/100,
AND(L48="marginal_effect",M48="sd (Y)"),N48*BH48*AN48/BF48,
AND(L48="marginal_effect",M48="sd (X)"),N48/AQ48*AN48/BF48,
AND(L48="semi_elasticity",M48="level"),N48*AN48,
AND(L48="semi_elasticity",M48="sd (Y)"),N48*AN48*BH48,
AND(L48="semi_elasticity",M48="sd (X)"),N48*AN48/AQ48,
AND(L48="level-log",M48="level"),N48/BF48,
AND(L48="level-log",M48="sd (X)"),N48/BF48/AQ48,
AND(L48="level-log",M48="sd (Y)"),N48/BF48*BH48,
AND(L48="elasticity",M48="level"),N48,
AND(L48="elasticity",M48="sd (X)"),N48/AQ48,
AND(L48="elasticity",M48="sd (Y)"),N48*BH48,
AND(L48="marginal_effect",M48="percent_of_mean"),N48*AN48/BF48/10)</f>
        <v>-9.8560000000000002E-3</v>
      </c>
      <c r="AE48" s="49">
        <f t="shared" si="8"/>
        <v>1</v>
      </c>
      <c r="AF48" s="89">
        <f t="shared" si="15"/>
        <v>6.4680000000000007E-3</v>
      </c>
      <c r="AG48" s="89" cm="1">
        <f t="array" ref="AG48">_xlfn.IFS(
AND(L48="marginal_effect",M48="level"),O48*AN48/BF48,
AND(L48="marginal_effect",M48="sd (Y)"),O48*BH48*AN48/BF48,
AND(L48="marginal_effect",M48="sd (X)"),O48/AQ48*AN48/BF48,
AND(L48="semi_elasticity",M48="level"),O48*AN48,
AND(L48="semi_elasticity",M48="sd (Y)"),O48*AN48*BH48,
AND(L48="semi_elasticity",M48="sd (X)"),O48*AN48/AQ48,
AND(L48="level-log",M48="level"),O48/BF48,
AND(L48="level-log",M48="sd (X)"),O48/BF48/AQ48,
AND(L48="level-log",M48="sd (Y)"),O48/BF48*BH48,
AND(L48="elasticity",M48="level"),O48,
AND(L48="elasticity",M48="sd (X)"),O48/AQ48,
AND(L48="elasticity",M48="sd (Y)"),O48*BH48,
AND(L48="marginal_effect",M48="percent_of_mean"),O48*AN48/BF48/10)</f>
        <v>5.7544483985765124E-4</v>
      </c>
      <c r="AH48" s="49">
        <f t="shared" si="10"/>
        <v>0</v>
      </c>
      <c r="AI48" s="89">
        <f t="shared" si="17"/>
        <v>-9.8560000000000002E-3</v>
      </c>
      <c r="AJ48" s="49">
        <v>0</v>
      </c>
      <c r="AK48" s="49">
        <f t="shared" si="12"/>
        <v>1</v>
      </c>
      <c r="AL48" s="35" t="s">
        <v>159</v>
      </c>
      <c r="AM48" s="35" t="s">
        <v>296</v>
      </c>
      <c r="AN48" s="35">
        <v>3.08</v>
      </c>
      <c r="AO48" s="35">
        <v>0</v>
      </c>
      <c r="AP48" s="35">
        <f t="shared" si="13"/>
        <v>30.8</v>
      </c>
      <c r="AQ48" s="35">
        <v>13.83</v>
      </c>
      <c r="AR48" s="35">
        <v>9.52</v>
      </c>
      <c r="AS48" s="35">
        <v>80.8</v>
      </c>
      <c r="AT48" s="35" t="s">
        <v>83</v>
      </c>
      <c r="AV48" s="35" t="s">
        <v>133</v>
      </c>
      <c r="AW48" s="35" t="s">
        <v>85</v>
      </c>
      <c r="AX48" s="35" t="s">
        <v>110</v>
      </c>
      <c r="AY48" s="35">
        <v>0</v>
      </c>
      <c r="AZ48" s="35">
        <v>5</v>
      </c>
      <c r="BA48" s="35" t="s">
        <v>87</v>
      </c>
      <c r="BB48" s="35" t="s">
        <v>88</v>
      </c>
      <c r="BC48" s="35" t="s">
        <v>89</v>
      </c>
      <c r="BD48" s="35" t="s">
        <v>114</v>
      </c>
      <c r="BE48" s="35" t="s">
        <v>291</v>
      </c>
      <c r="BF48" s="35">
        <v>112.4</v>
      </c>
      <c r="BG48" s="35">
        <v>0</v>
      </c>
      <c r="BH48" s="35" t="s">
        <v>312</v>
      </c>
      <c r="BI48" s="35" t="s">
        <v>312</v>
      </c>
      <c r="BJ48" s="35" t="s">
        <v>312</v>
      </c>
      <c r="BK48" s="35" t="s">
        <v>91</v>
      </c>
      <c r="BL48" s="35" t="s">
        <v>84</v>
      </c>
      <c r="BM48" s="35">
        <v>1</v>
      </c>
      <c r="BN48" s="35" t="s">
        <v>2177</v>
      </c>
      <c r="BO48" s="35" t="s">
        <v>289</v>
      </c>
      <c r="BP48" s="35" t="s">
        <v>315</v>
      </c>
      <c r="BQ48" s="35" t="s">
        <v>117</v>
      </c>
      <c r="BR48" s="35" t="s">
        <v>93</v>
      </c>
      <c r="BS48" s="35" t="s">
        <v>312</v>
      </c>
      <c r="BT48" s="35" t="s">
        <v>312</v>
      </c>
      <c r="BU48" s="36">
        <v>41883</v>
      </c>
      <c r="BV48" s="36">
        <v>42155</v>
      </c>
      <c r="BW48" s="35" t="s">
        <v>94</v>
      </c>
      <c r="BX48" s="35" t="s">
        <v>95</v>
      </c>
      <c r="BY48" s="35" t="s">
        <v>140</v>
      </c>
      <c r="BZ48" s="35">
        <v>1</v>
      </c>
      <c r="CA48" s="35">
        <v>1</v>
      </c>
      <c r="CB48" s="35" t="s">
        <v>303</v>
      </c>
      <c r="CC48" s="35" t="s">
        <v>314</v>
      </c>
      <c r="CD48" s="35">
        <v>0</v>
      </c>
      <c r="CE48" s="35" t="s">
        <v>97</v>
      </c>
      <c r="CF48" s="35">
        <v>0</v>
      </c>
      <c r="CG48" s="35" t="s">
        <v>97</v>
      </c>
      <c r="CH48" s="35">
        <v>1</v>
      </c>
      <c r="CI48" s="35" t="s">
        <v>376</v>
      </c>
      <c r="CJ48" s="35" t="s">
        <v>377</v>
      </c>
      <c r="CK48" s="35">
        <v>64</v>
      </c>
      <c r="CL48" s="35">
        <v>0</v>
      </c>
      <c r="CM48" s="35">
        <v>1</v>
      </c>
      <c r="CN48" s="35" t="s">
        <v>99</v>
      </c>
      <c r="CO48" s="35" t="s">
        <v>97</v>
      </c>
      <c r="CP48" s="35" t="s">
        <v>100</v>
      </c>
      <c r="CQ48" s="35" t="s">
        <v>101</v>
      </c>
      <c r="CR48" s="36">
        <v>45847</v>
      </c>
      <c r="CT48" s="37" t="s">
        <v>384</v>
      </c>
    </row>
    <row r="49" spans="1:98" s="35" customFormat="1" x14ac:dyDescent="0.35">
      <c r="A49" s="34" t="s">
        <v>293</v>
      </c>
      <c r="B49" s="34" t="s">
        <v>333</v>
      </c>
      <c r="C49" s="35" t="s">
        <v>316</v>
      </c>
      <c r="D49" s="35">
        <v>2019</v>
      </c>
      <c r="E49" s="34" t="s">
        <v>318</v>
      </c>
      <c r="F49" s="34" t="s">
        <v>319</v>
      </c>
      <c r="G49" s="35" t="s">
        <v>78</v>
      </c>
      <c r="H49" s="35">
        <v>1</v>
      </c>
      <c r="I49" s="35" t="s">
        <v>290</v>
      </c>
      <c r="J49" s="35" t="s">
        <v>79</v>
      </c>
      <c r="K49" s="35">
        <v>657</v>
      </c>
      <c r="L49" s="35" t="s">
        <v>129</v>
      </c>
      <c r="M49" s="35" t="s">
        <v>381</v>
      </c>
      <c r="N49" s="35">
        <v>-0.15</v>
      </c>
      <c r="O49" s="35">
        <v>0.25</v>
      </c>
      <c r="P49" s="89">
        <f t="shared" si="0"/>
        <v>-0.6</v>
      </c>
      <c r="Q49" s="35" t="s">
        <v>312</v>
      </c>
      <c r="R49" s="89">
        <f t="shared" si="1"/>
        <v>-0.64</v>
      </c>
      <c r="S49" s="89">
        <f t="shared" si="2"/>
        <v>0.33999999999999997</v>
      </c>
      <c r="T49" s="35">
        <v>1</v>
      </c>
      <c r="U49" s="35">
        <v>4443</v>
      </c>
      <c r="V49" s="35" t="s">
        <v>312</v>
      </c>
      <c r="W49" s="35">
        <v>0</v>
      </c>
      <c r="X49" s="35">
        <f t="shared" si="3"/>
        <v>4443</v>
      </c>
      <c r="Y49" s="89">
        <f t="shared" si="4"/>
        <v>-9.001098200974866E-3</v>
      </c>
      <c r="Z49" s="89">
        <f t="shared" si="5"/>
        <v>1.5001830334958109E-2</v>
      </c>
      <c r="AA49" s="89">
        <f t="shared" si="16"/>
        <v>-9.001098200974866E-3</v>
      </c>
      <c r="AB49" s="35" t="s">
        <v>81</v>
      </c>
      <c r="AC49" s="89">
        <f t="shared" si="14"/>
        <v>-4.62E-3</v>
      </c>
      <c r="AD49" s="89" cm="1">
        <f t="array" ref="AD49">_xlfn.IFS(
AND(L49="marginal_effect",M49="level"),N49*AN49/BF49, AND(L49="marginal_effect",M49="percent_of_mean"),N49*AN49/100,
AND(L49="marginal_effect",M49="sd (Y)"),N49*BH49*AN49/BF49,
AND(L49="marginal_effect",M49="sd (X)"),N49/AQ49*AN49/BF49,
AND(L49="semi_elasticity",M49="level"),N49*AN49,
AND(L49="semi_elasticity",M49="sd (Y)"),N49*AN49*BH49,
AND(L49="semi_elasticity",M49="sd (X)"),N49*AN49/AQ49,
AND(L49="level-log",M49="level"),N49/BF49,
AND(L49="level-log",M49="sd (X)"),N49/BF49/AQ49,
AND(L49="level-log",M49="sd (Y)"),N49/BF49*BH49,
AND(L49="elasticity",M49="level"),N49,
AND(L49="elasticity",M49="sd (X)"),N49/AQ49,
AND(L49="elasticity",M49="sd (Y)"),N49*BH49,
AND(L49="marginal_effect",M49="percent_of_mean"),N49*AN49/BF49/10)</f>
        <v>-4.62E-3</v>
      </c>
      <c r="AE49" s="49">
        <f t="shared" si="8"/>
        <v>1</v>
      </c>
      <c r="AF49" s="89">
        <f t="shared" si="15"/>
        <v>7.7000000000000002E-3</v>
      </c>
      <c r="AG49" s="89" cm="1">
        <f t="array" ref="AG49">_xlfn.IFS(
AND(L49="marginal_effect",M49="level"),O49*AN49/BF49,
AND(L49="marginal_effect",M49="sd (Y)"),O49*BH49*AN49/BF49,
AND(L49="marginal_effect",M49="sd (X)"),O49/AQ49*AN49/BF49,
AND(L49="semi_elasticity",M49="level"),O49*AN49,
AND(L49="semi_elasticity",M49="sd (Y)"),O49*AN49*BH49,
AND(L49="semi_elasticity",M49="sd (X)"),O49*AN49/AQ49,
AND(L49="level-log",M49="level"),O49/BF49,
AND(L49="level-log",M49="sd (X)"),O49/BF49/AQ49,
AND(L49="level-log",M49="sd (Y)"),O49/BF49*BH49,
AND(L49="elasticity",M49="level"),O49,
AND(L49="elasticity",M49="sd (X)"),O49/AQ49,
AND(L49="elasticity",M49="sd (Y)"),O49*BH49,
AND(L49="marginal_effect",M49="percent_of_mean"),O49*AN49/BF49/10)</f>
        <v>6.8505338078291814E-4</v>
      </c>
      <c r="AH49" s="49">
        <f t="shared" si="10"/>
        <v>0</v>
      </c>
      <c r="AI49" s="89">
        <f t="shared" si="17"/>
        <v>-4.62E-3</v>
      </c>
      <c r="AJ49" s="49">
        <v>0</v>
      </c>
      <c r="AK49" s="49">
        <f t="shared" si="12"/>
        <v>1</v>
      </c>
      <c r="AL49" s="35" t="s">
        <v>159</v>
      </c>
      <c r="AM49" s="35" t="s">
        <v>296</v>
      </c>
      <c r="AN49" s="35">
        <v>3.08</v>
      </c>
      <c r="AO49" s="35">
        <v>0</v>
      </c>
      <c r="AP49" s="35">
        <f t="shared" si="13"/>
        <v>30.8</v>
      </c>
      <c r="AQ49" s="35">
        <v>13.83</v>
      </c>
      <c r="AR49" s="35">
        <v>9.52</v>
      </c>
      <c r="AS49" s="35">
        <v>80.8</v>
      </c>
      <c r="AT49" s="35" t="s">
        <v>83</v>
      </c>
      <c r="AV49" s="35" t="s">
        <v>133</v>
      </c>
      <c r="AW49" s="35" t="s">
        <v>85</v>
      </c>
      <c r="AX49" s="35" t="s">
        <v>110</v>
      </c>
      <c r="AY49" s="35">
        <v>0</v>
      </c>
      <c r="AZ49" s="35">
        <v>10</v>
      </c>
      <c r="BA49" s="35" t="s">
        <v>87</v>
      </c>
      <c r="BB49" s="35" t="s">
        <v>88</v>
      </c>
      <c r="BC49" s="35" t="s">
        <v>89</v>
      </c>
      <c r="BD49" s="35" t="s">
        <v>114</v>
      </c>
      <c r="BE49" s="35" t="s">
        <v>291</v>
      </c>
      <c r="BF49" s="35">
        <v>112.4</v>
      </c>
      <c r="BG49" s="35">
        <v>0</v>
      </c>
      <c r="BH49" s="35" t="s">
        <v>312</v>
      </c>
      <c r="BI49" s="35" t="s">
        <v>312</v>
      </c>
      <c r="BJ49" s="35" t="s">
        <v>312</v>
      </c>
      <c r="BK49" s="35" t="s">
        <v>91</v>
      </c>
      <c r="BL49" s="35" t="s">
        <v>84</v>
      </c>
      <c r="BM49" s="35">
        <v>1</v>
      </c>
      <c r="BN49" s="35" t="s">
        <v>2177</v>
      </c>
      <c r="BO49" s="35" t="s">
        <v>289</v>
      </c>
      <c r="BP49" s="35" t="s">
        <v>315</v>
      </c>
      <c r="BQ49" s="35" t="s">
        <v>117</v>
      </c>
      <c r="BR49" s="35" t="s">
        <v>93</v>
      </c>
      <c r="BS49" s="35" t="s">
        <v>312</v>
      </c>
      <c r="BT49" s="35" t="s">
        <v>312</v>
      </c>
      <c r="BU49" s="36">
        <v>41883</v>
      </c>
      <c r="BV49" s="36">
        <v>42155</v>
      </c>
      <c r="BW49" s="35" t="s">
        <v>94</v>
      </c>
      <c r="BX49" s="35" t="s">
        <v>95</v>
      </c>
      <c r="BY49" s="35" t="s">
        <v>140</v>
      </c>
      <c r="BZ49" s="35">
        <v>1</v>
      </c>
      <c r="CA49" s="35">
        <v>1</v>
      </c>
      <c r="CB49" s="35" t="s">
        <v>303</v>
      </c>
      <c r="CC49" s="35" t="s">
        <v>314</v>
      </c>
      <c r="CD49" s="35">
        <v>0</v>
      </c>
      <c r="CE49" s="35" t="s">
        <v>97</v>
      </c>
      <c r="CF49" s="35">
        <v>0</v>
      </c>
      <c r="CG49" s="35" t="s">
        <v>97</v>
      </c>
      <c r="CH49" s="35">
        <v>1</v>
      </c>
      <c r="CI49" s="35" t="s">
        <v>376</v>
      </c>
      <c r="CJ49" s="35" t="s">
        <v>377</v>
      </c>
      <c r="CK49" s="35">
        <v>64</v>
      </c>
      <c r="CL49" s="35">
        <v>0</v>
      </c>
      <c r="CM49" s="35">
        <v>1</v>
      </c>
      <c r="CN49" s="35" t="s">
        <v>99</v>
      </c>
      <c r="CO49" s="35" t="s">
        <v>97</v>
      </c>
      <c r="CP49" s="35" t="s">
        <v>100</v>
      </c>
      <c r="CQ49" s="35" t="s">
        <v>101</v>
      </c>
      <c r="CR49" s="36">
        <v>45847</v>
      </c>
      <c r="CT49" s="37" t="s">
        <v>384</v>
      </c>
    </row>
    <row r="50" spans="1:98" s="35" customFormat="1" x14ac:dyDescent="0.35">
      <c r="A50" s="34" t="s">
        <v>293</v>
      </c>
      <c r="B50" s="34" t="s">
        <v>334</v>
      </c>
      <c r="C50" s="35" t="s">
        <v>316</v>
      </c>
      <c r="D50" s="35">
        <v>2019</v>
      </c>
      <c r="E50" s="34" t="s">
        <v>318</v>
      </c>
      <c r="F50" s="34" t="s">
        <v>319</v>
      </c>
      <c r="G50" s="35" t="s">
        <v>78</v>
      </c>
      <c r="H50" s="35">
        <v>1</v>
      </c>
      <c r="I50" s="35" t="s">
        <v>290</v>
      </c>
      <c r="J50" s="35" t="s">
        <v>79</v>
      </c>
      <c r="K50" s="35">
        <v>657</v>
      </c>
      <c r="L50" s="35" t="s">
        <v>129</v>
      </c>
      <c r="M50" s="35" t="s">
        <v>381</v>
      </c>
      <c r="N50" s="35">
        <v>-7.0000000000000007E-2</v>
      </c>
      <c r="O50" s="35">
        <v>0.26</v>
      </c>
      <c r="P50" s="89">
        <f t="shared" si="0"/>
        <v>-0.26923076923076927</v>
      </c>
      <c r="Q50" s="35" t="s">
        <v>312</v>
      </c>
      <c r="R50" s="89">
        <f t="shared" si="1"/>
        <v>-0.57960000000000012</v>
      </c>
      <c r="S50" s="89">
        <f t="shared" si="2"/>
        <v>0.43960000000000005</v>
      </c>
      <c r="T50" s="35">
        <v>1</v>
      </c>
      <c r="U50" s="35">
        <v>4443</v>
      </c>
      <c r="V50" s="35" t="s">
        <v>312</v>
      </c>
      <c r="W50" s="35">
        <v>0</v>
      </c>
      <c r="X50" s="35">
        <f t="shared" si="3"/>
        <v>4443</v>
      </c>
      <c r="Y50" s="89">
        <f t="shared" si="4"/>
        <v>-4.0390850008269778E-3</v>
      </c>
      <c r="Z50" s="89">
        <f t="shared" si="5"/>
        <v>1.5002315717357344E-2</v>
      </c>
      <c r="AA50" s="89">
        <f t="shared" si="16"/>
        <v>-4.0390850008269778E-3</v>
      </c>
      <c r="AB50" s="35" t="s">
        <v>81</v>
      </c>
      <c r="AC50" s="89">
        <f t="shared" si="14"/>
        <v>-2.1560000000000004E-3</v>
      </c>
      <c r="AD50" s="89" cm="1">
        <f t="array" ref="AD50">_xlfn.IFS(
AND(L50="marginal_effect",M50="level"),N50*AN50/BF50, AND(L50="marginal_effect",M50="percent_of_mean"),N50*AN50/100,
AND(L50="marginal_effect",M50="sd (Y)"),N50*BH50*AN50/BF50,
AND(L50="marginal_effect",M50="sd (X)"),N50/AQ50*AN50/BF50,
AND(L50="semi_elasticity",M50="level"),N50*AN50,
AND(L50="semi_elasticity",M50="sd (Y)"),N50*AN50*BH50,
AND(L50="semi_elasticity",M50="sd (X)"),N50*AN50/AQ50,
AND(L50="level-log",M50="level"),N50/BF50,
AND(L50="level-log",M50="sd (X)"),N50/BF50/AQ50,
AND(L50="level-log",M50="sd (Y)"),N50/BF50*BH50,
AND(L50="elasticity",M50="level"),N50,
AND(L50="elasticity",M50="sd (X)"),N50/AQ50,
AND(L50="elasticity",M50="sd (Y)"),N50*BH50,
AND(L50="marginal_effect",M50="percent_of_mean"),N50*AN50/BF50/10)</f>
        <v>-2.1559999999999999E-3</v>
      </c>
      <c r="AE50" s="49">
        <f t="shared" si="8"/>
        <v>1</v>
      </c>
      <c r="AF50" s="89">
        <f t="shared" si="15"/>
        <v>8.0080000000000012E-3</v>
      </c>
      <c r="AG50" s="89" cm="1">
        <f t="array" ref="AG50">_xlfn.IFS(
AND(L50="marginal_effect",M50="level"),O50*AN50/BF50,
AND(L50="marginal_effect",M50="sd (Y)"),O50*BH50*AN50/BF50,
AND(L50="marginal_effect",M50="sd (X)"),O50/AQ50*AN50/BF50,
AND(L50="semi_elasticity",M50="level"),O50*AN50,
AND(L50="semi_elasticity",M50="sd (Y)"),O50*AN50*BH50,
AND(L50="semi_elasticity",M50="sd (X)"),O50*AN50/AQ50,
AND(L50="level-log",M50="level"),O50/BF50,
AND(L50="level-log",M50="sd (X)"),O50/BF50/AQ50,
AND(L50="level-log",M50="sd (Y)"),O50/BF50*BH50,
AND(L50="elasticity",M50="level"),O50,
AND(L50="elasticity",M50="sd (X)"),O50/AQ50,
AND(L50="elasticity",M50="sd (Y)"),O50*BH50,
AND(L50="marginal_effect",M50="percent_of_mean"),O50*AN50/BF50/10)</f>
        <v>7.1245551601423489E-4</v>
      </c>
      <c r="AH50" s="49">
        <f t="shared" si="10"/>
        <v>0</v>
      </c>
      <c r="AI50" s="89">
        <f t="shared" si="17"/>
        <v>-2.1560000000000004E-3</v>
      </c>
      <c r="AJ50" s="49">
        <v>0</v>
      </c>
      <c r="AK50" s="49">
        <f t="shared" si="12"/>
        <v>1</v>
      </c>
      <c r="AL50" s="35" t="s">
        <v>159</v>
      </c>
      <c r="AM50" s="35" t="s">
        <v>296</v>
      </c>
      <c r="AN50" s="35">
        <v>3.08</v>
      </c>
      <c r="AO50" s="35">
        <v>0</v>
      </c>
      <c r="AP50" s="35">
        <f t="shared" si="13"/>
        <v>30.8</v>
      </c>
      <c r="AQ50" s="35">
        <v>13.83</v>
      </c>
      <c r="AR50" s="35">
        <v>9.52</v>
      </c>
      <c r="AS50" s="35">
        <v>80.8</v>
      </c>
      <c r="AT50" s="35" t="s">
        <v>83</v>
      </c>
      <c r="AV50" s="35" t="s">
        <v>133</v>
      </c>
      <c r="AW50" s="35" t="s">
        <v>85</v>
      </c>
      <c r="AX50" s="35" t="s">
        <v>110</v>
      </c>
      <c r="AY50" s="35">
        <v>0</v>
      </c>
      <c r="AZ50" s="35">
        <v>15</v>
      </c>
      <c r="BA50" s="35" t="s">
        <v>87</v>
      </c>
      <c r="BB50" s="35" t="s">
        <v>88</v>
      </c>
      <c r="BC50" s="35" t="s">
        <v>89</v>
      </c>
      <c r="BD50" s="35" t="s">
        <v>114</v>
      </c>
      <c r="BE50" s="35" t="s">
        <v>291</v>
      </c>
      <c r="BF50" s="35">
        <v>112.4</v>
      </c>
      <c r="BG50" s="35">
        <v>0</v>
      </c>
      <c r="BH50" s="35" t="s">
        <v>312</v>
      </c>
      <c r="BI50" s="35" t="s">
        <v>312</v>
      </c>
      <c r="BJ50" s="35" t="s">
        <v>312</v>
      </c>
      <c r="BK50" s="35" t="s">
        <v>91</v>
      </c>
      <c r="BL50" s="35" t="s">
        <v>84</v>
      </c>
      <c r="BM50" s="35">
        <v>1</v>
      </c>
      <c r="BN50" s="35" t="s">
        <v>2177</v>
      </c>
      <c r="BO50" s="35" t="s">
        <v>289</v>
      </c>
      <c r="BP50" s="35" t="s">
        <v>315</v>
      </c>
      <c r="BQ50" s="35" t="s">
        <v>117</v>
      </c>
      <c r="BR50" s="35" t="s">
        <v>93</v>
      </c>
      <c r="BS50" s="35" t="s">
        <v>312</v>
      </c>
      <c r="BT50" s="35" t="s">
        <v>312</v>
      </c>
      <c r="BU50" s="36">
        <v>41883</v>
      </c>
      <c r="BV50" s="36">
        <v>42155</v>
      </c>
      <c r="BW50" s="35" t="s">
        <v>94</v>
      </c>
      <c r="BX50" s="35" t="s">
        <v>95</v>
      </c>
      <c r="BY50" s="35" t="s">
        <v>140</v>
      </c>
      <c r="BZ50" s="35">
        <v>1</v>
      </c>
      <c r="CA50" s="35">
        <v>1</v>
      </c>
      <c r="CB50" s="35" t="s">
        <v>303</v>
      </c>
      <c r="CC50" s="35" t="s">
        <v>314</v>
      </c>
      <c r="CD50" s="35">
        <v>0</v>
      </c>
      <c r="CE50" s="35" t="s">
        <v>97</v>
      </c>
      <c r="CF50" s="35">
        <v>0</v>
      </c>
      <c r="CG50" s="35" t="s">
        <v>97</v>
      </c>
      <c r="CH50" s="35">
        <v>1</v>
      </c>
      <c r="CI50" s="35" t="s">
        <v>376</v>
      </c>
      <c r="CJ50" s="35" t="s">
        <v>377</v>
      </c>
      <c r="CK50" s="35">
        <v>64</v>
      </c>
      <c r="CL50" s="35">
        <v>0</v>
      </c>
      <c r="CM50" s="35">
        <v>1</v>
      </c>
      <c r="CN50" s="35" t="s">
        <v>99</v>
      </c>
      <c r="CO50" s="35" t="s">
        <v>97</v>
      </c>
      <c r="CP50" s="35" t="s">
        <v>100</v>
      </c>
      <c r="CQ50" s="35" t="s">
        <v>101</v>
      </c>
      <c r="CR50" s="36">
        <v>45847</v>
      </c>
      <c r="CT50" s="37" t="s">
        <v>384</v>
      </c>
    </row>
    <row r="51" spans="1:98" s="35" customFormat="1" x14ac:dyDescent="0.35">
      <c r="A51" s="34" t="s">
        <v>293</v>
      </c>
      <c r="B51" s="34" t="s">
        <v>335</v>
      </c>
      <c r="C51" s="35" t="s">
        <v>316</v>
      </c>
      <c r="D51" s="35">
        <v>2019</v>
      </c>
      <c r="E51" s="34" t="s">
        <v>318</v>
      </c>
      <c r="F51" s="34" t="s">
        <v>319</v>
      </c>
      <c r="G51" s="35" t="s">
        <v>78</v>
      </c>
      <c r="H51" s="35">
        <v>1</v>
      </c>
      <c r="I51" s="35" t="s">
        <v>290</v>
      </c>
      <c r="J51" s="35" t="s">
        <v>79</v>
      </c>
      <c r="K51" s="35">
        <v>657</v>
      </c>
      <c r="L51" s="35" t="s">
        <v>129</v>
      </c>
      <c r="M51" s="35" t="s">
        <v>381</v>
      </c>
      <c r="N51" s="35">
        <v>-0.03</v>
      </c>
      <c r="O51" s="35">
        <v>0.34</v>
      </c>
      <c r="P51" s="89">
        <f t="shared" si="0"/>
        <v>-8.8235294117647051E-2</v>
      </c>
      <c r="Q51" s="35" t="s">
        <v>312</v>
      </c>
      <c r="R51" s="89">
        <f t="shared" si="1"/>
        <v>-0.69640000000000002</v>
      </c>
      <c r="S51" s="89">
        <f t="shared" si="2"/>
        <v>0.63639999999999997</v>
      </c>
      <c r="T51" s="35">
        <v>1</v>
      </c>
      <c r="U51" s="35">
        <v>4443</v>
      </c>
      <c r="V51" s="35" t="s">
        <v>312</v>
      </c>
      <c r="W51" s="35">
        <v>0</v>
      </c>
      <c r="X51" s="35">
        <f t="shared" si="3"/>
        <v>4443</v>
      </c>
      <c r="Y51" s="89">
        <f t="shared" si="4"/>
        <v>-1.3237433779355039E-3</v>
      </c>
      <c r="Z51" s="89">
        <f t="shared" si="5"/>
        <v>1.5002424949935714E-2</v>
      </c>
      <c r="AA51" s="89">
        <f t="shared" si="16"/>
        <v>-1.3237433779355039E-3</v>
      </c>
      <c r="AB51" s="35" t="s">
        <v>81</v>
      </c>
      <c r="AC51" s="89">
        <f t="shared" si="14"/>
        <v>-9.2399999999999991E-4</v>
      </c>
      <c r="AD51" s="89" cm="1">
        <f t="array" ref="AD51">_xlfn.IFS(
AND(L51="marginal_effect",M51="level"),N51*AN51/BF51, AND(L51="marginal_effect",M51="percent_of_mean"),N51*AN51/100,
AND(L51="marginal_effect",M51="sd (Y)"),N51*BH51*AN51/BF51,
AND(L51="marginal_effect",M51="sd (X)"),N51/AQ51*AN51/BF51,
AND(L51="semi_elasticity",M51="level"),N51*AN51,
AND(L51="semi_elasticity",M51="sd (Y)"),N51*AN51*BH51,
AND(L51="semi_elasticity",M51="sd (X)"),N51*AN51/AQ51,
AND(L51="level-log",M51="level"),N51/BF51,
AND(L51="level-log",M51="sd (X)"),N51/BF51/AQ51,
AND(L51="level-log",M51="sd (Y)"),N51/BF51*BH51,
AND(L51="elasticity",M51="level"),N51,
AND(L51="elasticity",M51="sd (X)"),N51/AQ51,
AND(L51="elasticity",M51="sd (Y)"),N51*BH51,
AND(L51="marginal_effect",M51="percent_of_mean"),N51*AN51/BF51/10)</f>
        <v>-9.2399999999999991E-4</v>
      </c>
      <c r="AE51" s="49">
        <f t="shared" si="8"/>
        <v>1</v>
      </c>
      <c r="AF51" s="89">
        <f>O51*AN51/100</f>
        <v>1.0472000000000002E-2</v>
      </c>
      <c r="AG51" s="89" cm="1">
        <f t="array" ref="AG51">_xlfn.IFS(
AND(L51="marginal_effect",M51="level"),O51*AN51/BF51,
AND(L51="marginal_effect",M51="sd (Y)"),O51*BH51*AN51/BF51,
AND(L51="marginal_effect",M51="sd (X)"),O51/AQ51*AN51/BF51,
AND(L51="semi_elasticity",M51="level"),O51*AN51,
AND(L51="semi_elasticity",M51="sd (Y)"),O51*AN51*BH51,
AND(L51="semi_elasticity",M51="sd (X)"),O51*AN51/AQ51,
AND(L51="level-log",M51="level"),O51/BF51,
AND(L51="level-log",M51="sd (X)"),O51/BF51/AQ51,
AND(L51="level-log",M51="sd (Y)"),O51/BF51*BH51,
AND(L51="elasticity",M51="level"),O51,
AND(L51="elasticity",M51="sd (X)"),O51/AQ51,
AND(L51="elasticity",M51="sd (Y)"),O51*BH51,
AND(L51="marginal_effect",M51="percent_of_mean"),O51*AN51/BF51/10)</f>
        <v>9.3167259786476869E-4</v>
      </c>
      <c r="AH51" s="49">
        <f>IF(AF51=AG51,1,0)</f>
        <v>0</v>
      </c>
      <c r="AI51" s="89">
        <f t="shared" si="17"/>
        <v>-9.2399999999999991E-4</v>
      </c>
      <c r="AJ51" s="49">
        <v>0</v>
      </c>
      <c r="AK51" s="49">
        <f t="shared" si="12"/>
        <v>0</v>
      </c>
      <c r="AL51" s="35" t="s">
        <v>159</v>
      </c>
      <c r="AM51" s="35" t="s">
        <v>296</v>
      </c>
      <c r="AN51" s="35">
        <v>3.08</v>
      </c>
      <c r="AO51" s="35">
        <v>0</v>
      </c>
      <c r="AP51" s="35">
        <f t="shared" si="13"/>
        <v>30.8</v>
      </c>
      <c r="AQ51" s="35">
        <v>13.83</v>
      </c>
      <c r="AR51" s="35">
        <v>9.52</v>
      </c>
      <c r="AS51" s="35">
        <v>80.8</v>
      </c>
      <c r="AT51" s="35" t="s">
        <v>83</v>
      </c>
      <c r="AV51" s="35" t="s">
        <v>133</v>
      </c>
      <c r="AW51" s="35" t="s">
        <v>85</v>
      </c>
      <c r="AX51" s="35" t="s">
        <v>110</v>
      </c>
      <c r="AY51" s="35">
        <v>0</v>
      </c>
      <c r="AZ51" s="35">
        <v>20</v>
      </c>
      <c r="BA51" s="35" t="s">
        <v>87</v>
      </c>
      <c r="BB51" s="35" t="s">
        <v>88</v>
      </c>
      <c r="BC51" s="35" t="s">
        <v>89</v>
      </c>
      <c r="BD51" s="35" t="s">
        <v>114</v>
      </c>
      <c r="BE51" s="35" t="s">
        <v>291</v>
      </c>
      <c r="BF51" s="35">
        <v>112.4</v>
      </c>
      <c r="BG51" s="35">
        <v>0</v>
      </c>
      <c r="BH51" s="35" t="s">
        <v>312</v>
      </c>
      <c r="BI51" s="35" t="s">
        <v>312</v>
      </c>
      <c r="BJ51" s="35" t="s">
        <v>312</v>
      </c>
      <c r="BK51" s="35" t="s">
        <v>91</v>
      </c>
      <c r="BL51" s="35" t="s">
        <v>84</v>
      </c>
      <c r="BM51" s="35">
        <v>1</v>
      </c>
      <c r="BN51" s="35" t="s">
        <v>2177</v>
      </c>
      <c r="BO51" s="35" t="s">
        <v>289</v>
      </c>
      <c r="BP51" s="35" t="s">
        <v>315</v>
      </c>
      <c r="BQ51" s="35" t="s">
        <v>117</v>
      </c>
      <c r="BR51" s="35" t="s">
        <v>93</v>
      </c>
      <c r="BS51" s="35" t="s">
        <v>312</v>
      </c>
      <c r="BT51" s="35" t="s">
        <v>312</v>
      </c>
      <c r="BU51" s="36">
        <v>41883</v>
      </c>
      <c r="BV51" s="36">
        <v>42155</v>
      </c>
      <c r="BW51" s="35" t="s">
        <v>94</v>
      </c>
      <c r="BX51" s="35" t="s">
        <v>95</v>
      </c>
      <c r="BY51" s="35" t="s">
        <v>140</v>
      </c>
      <c r="BZ51" s="35">
        <v>1</v>
      </c>
      <c r="CA51" s="35">
        <v>1</v>
      </c>
      <c r="CB51" s="35" t="s">
        <v>303</v>
      </c>
      <c r="CC51" s="35" t="s">
        <v>314</v>
      </c>
      <c r="CD51" s="35">
        <v>0</v>
      </c>
      <c r="CE51" s="35" t="s">
        <v>97</v>
      </c>
      <c r="CF51" s="35">
        <v>0</v>
      </c>
      <c r="CG51" s="35" t="s">
        <v>97</v>
      </c>
      <c r="CH51" s="35">
        <v>1</v>
      </c>
      <c r="CI51" s="35" t="s">
        <v>376</v>
      </c>
      <c r="CJ51" s="35" t="s">
        <v>377</v>
      </c>
      <c r="CK51" s="35">
        <v>64</v>
      </c>
      <c r="CL51" s="35">
        <v>0</v>
      </c>
      <c r="CM51" s="35">
        <v>1</v>
      </c>
      <c r="CN51" s="35" t="s">
        <v>99</v>
      </c>
      <c r="CO51" s="35" t="s">
        <v>97</v>
      </c>
      <c r="CP51" s="35" t="s">
        <v>100</v>
      </c>
      <c r="CQ51" s="35" t="s">
        <v>101</v>
      </c>
      <c r="CR51" s="36">
        <v>45847</v>
      </c>
      <c r="CT51" s="37" t="s">
        <v>384</v>
      </c>
    </row>
    <row r="52" spans="1:98" s="35" customFormat="1" x14ac:dyDescent="0.35">
      <c r="A52" s="34" t="s">
        <v>293</v>
      </c>
      <c r="B52" s="34" t="s">
        <v>337</v>
      </c>
      <c r="C52" s="35" t="s">
        <v>316</v>
      </c>
      <c r="D52" s="35">
        <v>2019</v>
      </c>
      <c r="E52" s="34" t="s">
        <v>318</v>
      </c>
      <c r="F52" s="34" t="s">
        <v>319</v>
      </c>
      <c r="G52" s="35" t="s">
        <v>78</v>
      </c>
      <c r="H52" s="35">
        <v>1</v>
      </c>
      <c r="I52" s="35" t="s">
        <v>290</v>
      </c>
      <c r="J52" s="35" t="s">
        <v>79</v>
      </c>
      <c r="K52" s="35">
        <v>657</v>
      </c>
      <c r="L52" s="35" t="s">
        <v>129</v>
      </c>
      <c r="M52" s="35" t="s">
        <v>381</v>
      </c>
      <c r="N52" s="35">
        <v>-1.32</v>
      </c>
      <c r="O52" s="35">
        <v>0.53</v>
      </c>
      <c r="P52" s="89">
        <f t="shared" si="0"/>
        <v>-2.4905660377358489</v>
      </c>
      <c r="Q52" s="35" t="s">
        <v>312</v>
      </c>
      <c r="R52" s="89">
        <f t="shared" si="1"/>
        <v>-2.3588</v>
      </c>
      <c r="S52" s="89">
        <f t="shared" si="2"/>
        <v>-0.28120000000000012</v>
      </c>
      <c r="T52" s="35">
        <v>1</v>
      </c>
      <c r="U52" s="35">
        <v>4443</v>
      </c>
      <c r="V52" s="35" t="s">
        <v>312</v>
      </c>
      <c r="W52" s="35">
        <v>0</v>
      </c>
      <c r="X52" s="35">
        <f t="shared" si="3"/>
        <v>4443</v>
      </c>
      <c r="Y52" s="89">
        <f t="shared" si="4"/>
        <v>-3.7338507549515849E-2</v>
      </c>
      <c r="Z52" s="89">
        <f t="shared" si="5"/>
        <v>1.4991976516093485E-2</v>
      </c>
      <c r="AA52" s="89">
        <f t="shared" si="16"/>
        <v>-3.7338507549515849E-2</v>
      </c>
      <c r="AB52" s="35" t="s">
        <v>81</v>
      </c>
      <c r="AC52" s="89">
        <f t="shared" si="14"/>
        <v>-4.0655999999999998E-2</v>
      </c>
      <c r="AD52" s="89" cm="1">
        <f t="array" ref="AD52">_xlfn.IFS(
AND(L52="marginal_effect",M52="level"),N52*AN52/BF52, AND(L52="marginal_effect",M52="percent_of_mean"),N52*AN52/100,
AND(L52="marginal_effect",M52="sd (Y)"),N52*BH52*AN52/BF52,
AND(L52="marginal_effect",M52="sd (X)"),N52/AQ52*AN52/BF52,
AND(L52="semi_elasticity",M52="level"),N52*AN52,
AND(L52="semi_elasticity",M52="sd (Y)"),N52*AN52*BH52,
AND(L52="semi_elasticity",M52="sd (X)"),N52*AN52/AQ52,
AND(L52="level-log",M52="level"),N52/BF52,
AND(L52="level-log",M52="sd (X)"),N52/BF52/AQ52,
AND(L52="level-log",M52="sd (Y)"),N52/BF52*BH52,
AND(L52="elasticity",M52="level"),N52,
AND(L52="elasticity",M52="sd (X)"),N52/AQ52,
AND(L52="elasticity",M52="sd (Y)"),N52*BH52,
AND(L52="marginal_effect",M52="percent_of_mean"),N52*AN52/BF52/10)</f>
        <v>-4.0655999999999998E-2</v>
      </c>
      <c r="AE52" s="49">
        <f t="shared" si="8"/>
        <v>1</v>
      </c>
      <c r="AF52" s="89">
        <f t="shared" si="15"/>
        <v>1.6324000000000002E-2</v>
      </c>
      <c r="AG52" s="89" cm="1">
        <f t="array" ref="AG52">_xlfn.IFS(
AND(L52="marginal_effect",M52="level"),O52*AN52/BF52,
AND(L52="marginal_effect",M52="sd (Y)"),O52*BH52*AN52/BF52,
AND(L52="marginal_effect",M52="sd (X)"),O52/AQ52*AN52/BF52,
AND(L52="semi_elasticity",M52="level"),O52*AN52,
AND(L52="semi_elasticity",M52="sd (Y)"),O52*AN52*BH52,
AND(L52="semi_elasticity",M52="sd (X)"),O52*AN52/AQ52,
AND(L52="level-log",M52="level"),O52/BF52,
AND(L52="level-log",M52="sd (X)"),O52/BF52/AQ52,
AND(L52="level-log",M52="sd (Y)"),O52/BF52*BH52,
AND(L52="elasticity",M52="level"),O52,
AND(L52="elasticity",M52="sd (X)"),O52/AQ52,
AND(L52="elasticity",M52="sd (Y)"),O52*BH52,
AND(L52="marginal_effect",M52="percent_of_mean"),O52*AN52/BF52/10)</f>
        <v>1.4523131672597865E-3</v>
      </c>
      <c r="AH52" s="49">
        <f t="shared" si="10"/>
        <v>0</v>
      </c>
      <c r="AI52" s="89">
        <f t="shared" si="17"/>
        <v>-4.0655999999999998E-2</v>
      </c>
      <c r="AJ52" s="49">
        <v>0</v>
      </c>
      <c r="AK52" s="49">
        <f t="shared" si="12"/>
        <v>1</v>
      </c>
      <c r="AL52" s="35" t="s">
        <v>159</v>
      </c>
      <c r="AM52" s="35" t="s">
        <v>296</v>
      </c>
      <c r="AN52" s="35">
        <v>3.08</v>
      </c>
      <c r="AO52" s="35">
        <v>0</v>
      </c>
      <c r="AP52" s="35">
        <f t="shared" si="13"/>
        <v>30.8</v>
      </c>
      <c r="AQ52" s="35">
        <v>13.83</v>
      </c>
      <c r="AR52" s="35">
        <v>9.52</v>
      </c>
      <c r="AS52" s="35">
        <v>80.8</v>
      </c>
      <c r="AT52" s="35" t="s">
        <v>83</v>
      </c>
      <c r="AV52" s="35" t="s">
        <v>133</v>
      </c>
      <c r="AW52" s="35" t="s">
        <v>85</v>
      </c>
      <c r="AX52" s="35" t="s">
        <v>110</v>
      </c>
      <c r="AY52" s="35">
        <v>0</v>
      </c>
      <c r="AZ52" s="35">
        <v>25</v>
      </c>
      <c r="BA52" s="35" t="s">
        <v>87</v>
      </c>
      <c r="BB52" s="35" t="s">
        <v>88</v>
      </c>
      <c r="BC52" s="35" t="s">
        <v>89</v>
      </c>
      <c r="BD52" s="35" t="s">
        <v>114</v>
      </c>
      <c r="BE52" s="35" t="s">
        <v>291</v>
      </c>
      <c r="BF52" s="35">
        <v>112.4</v>
      </c>
      <c r="BG52" s="35">
        <v>0</v>
      </c>
      <c r="BH52" s="35" t="s">
        <v>312</v>
      </c>
      <c r="BI52" s="35" t="s">
        <v>312</v>
      </c>
      <c r="BJ52" s="35" t="s">
        <v>312</v>
      </c>
      <c r="BK52" s="35" t="s">
        <v>91</v>
      </c>
      <c r="BL52" s="35" t="s">
        <v>84</v>
      </c>
      <c r="BM52" s="35">
        <v>1</v>
      </c>
      <c r="BN52" s="35" t="s">
        <v>2177</v>
      </c>
      <c r="BO52" s="35" t="s">
        <v>289</v>
      </c>
      <c r="BP52" s="35" t="s">
        <v>315</v>
      </c>
      <c r="BQ52" s="35" t="s">
        <v>117</v>
      </c>
      <c r="BR52" s="35" t="s">
        <v>93</v>
      </c>
      <c r="BS52" s="35" t="s">
        <v>312</v>
      </c>
      <c r="BT52" s="35" t="s">
        <v>312</v>
      </c>
      <c r="BU52" s="36">
        <v>41883</v>
      </c>
      <c r="BV52" s="36">
        <v>42155</v>
      </c>
      <c r="BW52" s="35" t="s">
        <v>94</v>
      </c>
      <c r="BX52" s="35" t="s">
        <v>95</v>
      </c>
      <c r="BY52" s="35" t="s">
        <v>140</v>
      </c>
      <c r="BZ52" s="35">
        <v>1</v>
      </c>
      <c r="CA52" s="35">
        <v>1</v>
      </c>
      <c r="CB52" s="35" t="s">
        <v>303</v>
      </c>
      <c r="CC52" s="35" t="s">
        <v>314</v>
      </c>
      <c r="CD52" s="35">
        <v>0</v>
      </c>
      <c r="CE52" s="35" t="s">
        <v>97</v>
      </c>
      <c r="CF52" s="35">
        <v>0</v>
      </c>
      <c r="CG52" s="35" t="s">
        <v>97</v>
      </c>
      <c r="CH52" s="35">
        <v>1</v>
      </c>
      <c r="CI52" s="35" t="s">
        <v>376</v>
      </c>
      <c r="CJ52" s="35" t="s">
        <v>377</v>
      </c>
      <c r="CK52" s="35">
        <v>64</v>
      </c>
      <c r="CL52" s="35">
        <v>0</v>
      </c>
      <c r="CM52" s="35">
        <v>1</v>
      </c>
      <c r="CN52" s="35" t="s">
        <v>99</v>
      </c>
      <c r="CO52" s="35" t="s">
        <v>97</v>
      </c>
      <c r="CP52" s="35" t="s">
        <v>100</v>
      </c>
      <c r="CQ52" s="35" t="s">
        <v>101</v>
      </c>
      <c r="CR52" s="36">
        <v>45847</v>
      </c>
      <c r="CT52" s="37" t="s">
        <v>384</v>
      </c>
    </row>
    <row r="53" spans="1:98" s="35" customFormat="1" x14ac:dyDescent="0.35">
      <c r="A53" s="34" t="s">
        <v>293</v>
      </c>
      <c r="B53" s="34" t="s">
        <v>336</v>
      </c>
      <c r="C53" s="35" t="s">
        <v>316</v>
      </c>
      <c r="D53" s="35">
        <v>2019</v>
      </c>
      <c r="E53" s="34" t="s">
        <v>318</v>
      </c>
      <c r="F53" s="34" t="s">
        <v>319</v>
      </c>
      <c r="G53" s="35" t="s">
        <v>78</v>
      </c>
      <c r="H53" s="35">
        <v>1</v>
      </c>
      <c r="I53" s="35" t="s">
        <v>290</v>
      </c>
      <c r="J53" s="35" t="s">
        <v>79</v>
      </c>
      <c r="K53" s="35">
        <v>657</v>
      </c>
      <c r="L53" s="35" t="s">
        <v>129</v>
      </c>
      <c r="M53" s="35" t="s">
        <v>381</v>
      </c>
      <c r="N53" s="35">
        <v>-1.29</v>
      </c>
      <c r="O53" s="35">
        <v>0.5</v>
      </c>
      <c r="P53" s="89">
        <f t="shared" si="0"/>
        <v>-2.58</v>
      </c>
      <c r="Q53" s="35" t="s">
        <v>312</v>
      </c>
      <c r="R53" s="89">
        <f t="shared" si="1"/>
        <v>-2.27</v>
      </c>
      <c r="S53" s="89">
        <f t="shared" si="2"/>
        <v>-0.31000000000000005</v>
      </c>
      <c r="T53" s="35">
        <v>1</v>
      </c>
      <c r="U53" s="35">
        <v>4443</v>
      </c>
      <c r="V53" s="35" t="s">
        <v>312</v>
      </c>
      <c r="W53" s="35">
        <v>0</v>
      </c>
      <c r="X53" s="35">
        <f t="shared" si="3"/>
        <v>4443</v>
      </c>
      <c r="Y53" s="89">
        <f t="shared" si="4"/>
        <v>-3.8677328386633222E-2</v>
      </c>
      <c r="Z53" s="89">
        <f t="shared" si="5"/>
        <v>1.4991212552958613E-2</v>
      </c>
      <c r="AA53" s="89">
        <f t="shared" si="16"/>
        <v>-3.8677328386633222E-2</v>
      </c>
      <c r="AB53" s="35" t="s">
        <v>81</v>
      </c>
      <c r="AC53" s="89">
        <f t="shared" si="14"/>
        <v>-3.9732000000000003E-2</v>
      </c>
      <c r="AD53" s="89" cm="1">
        <f t="array" ref="AD53">_xlfn.IFS(
AND(L53="marginal_effect",M53="level"),N53*AN53/BF53, AND(L53="marginal_effect",M53="percent_of_mean"),N53*AN53/100,
AND(L53="marginal_effect",M53="sd (Y)"),N53*BH53*AN53/BF53,
AND(L53="marginal_effect",M53="sd (X)"),N53/AQ53*AN53/BF53,
AND(L53="semi_elasticity",M53="level"),N53*AN53,
AND(L53="semi_elasticity",M53="sd (Y)"),N53*AN53*BH53,
AND(L53="semi_elasticity",M53="sd (X)"),N53*AN53/AQ53,
AND(L53="level-log",M53="level"),N53/BF53,
AND(L53="level-log",M53="sd (X)"),N53/BF53/AQ53,
AND(L53="level-log",M53="sd (Y)"),N53/BF53*BH53,
AND(L53="elasticity",M53="level"),N53,
AND(L53="elasticity",M53="sd (X)"),N53/AQ53,
AND(L53="elasticity",M53="sd (Y)"),N53*BH53,
AND(L53="marginal_effect",M53="percent_of_mean"),N53*AN53/BF53/10)</f>
        <v>-3.9732000000000003E-2</v>
      </c>
      <c r="AE53" s="49">
        <f t="shared" si="8"/>
        <v>1</v>
      </c>
      <c r="AF53" s="89">
        <f t="shared" si="15"/>
        <v>1.54E-2</v>
      </c>
      <c r="AG53" s="89" cm="1">
        <f t="array" ref="AG53">_xlfn.IFS(
AND(L53="marginal_effect",M53="level"),O53*AN53/BF53,
AND(L53="marginal_effect",M53="sd (Y)"),O53*BH53*AN53/BF53,
AND(L53="marginal_effect",M53="sd (X)"),O53/AQ53*AN53/BF53,
AND(L53="semi_elasticity",M53="level"),O53*AN53,
AND(L53="semi_elasticity",M53="sd (Y)"),O53*AN53*BH53,
AND(L53="semi_elasticity",M53="sd (X)"),O53*AN53/AQ53,
AND(L53="level-log",M53="level"),O53/BF53,
AND(L53="level-log",M53="sd (X)"),O53/BF53/AQ53,
AND(L53="level-log",M53="sd (Y)"),O53/BF53*BH53,
AND(L53="elasticity",M53="level"),O53,
AND(L53="elasticity",M53="sd (X)"),O53/AQ53,
AND(L53="elasticity",M53="sd (Y)"),O53*BH53,
AND(L53="marginal_effect",M53="percent_of_mean"),O53*AN53/BF53/10)</f>
        <v>1.3701067615658363E-3</v>
      </c>
      <c r="AH53" s="49">
        <f t="shared" si="10"/>
        <v>0</v>
      </c>
      <c r="AI53" s="89">
        <f t="shared" si="17"/>
        <v>-3.9732000000000003E-2</v>
      </c>
      <c r="AJ53" s="49">
        <v>0</v>
      </c>
      <c r="AK53" s="49">
        <f t="shared" si="12"/>
        <v>1</v>
      </c>
      <c r="AL53" s="35" t="s">
        <v>159</v>
      </c>
      <c r="AM53" s="35" t="s">
        <v>296</v>
      </c>
      <c r="AN53" s="35">
        <v>3.08</v>
      </c>
      <c r="AO53" s="35">
        <v>0</v>
      </c>
      <c r="AP53" s="35">
        <f t="shared" si="13"/>
        <v>30.8</v>
      </c>
      <c r="AQ53" s="35">
        <v>13.83</v>
      </c>
      <c r="AR53" s="35">
        <v>9.52</v>
      </c>
      <c r="AS53" s="35">
        <v>80.8</v>
      </c>
      <c r="AT53" s="35" t="s">
        <v>83</v>
      </c>
      <c r="AV53" s="35" t="s">
        <v>133</v>
      </c>
      <c r="AW53" s="35" t="s">
        <v>85</v>
      </c>
      <c r="AX53" s="35" t="s">
        <v>110</v>
      </c>
      <c r="AY53" s="35">
        <v>0</v>
      </c>
      <c r="AZ53" s="35">
        <v>30</v>
      </c>
      <c r="BA53" s="35" t="s">
        <v>87</v>
      </c>
      <c r="BB53" s="35" t="s">
        <v>88</v>
      </c>
      <c r="BC53" s="35" t="s">
        <v>89</v>
      </c>
      <c r="BD53" s="35" t="s">
        <v>114</v>
      </c>
      <c r="BE53" s="35" t="s">
        <v>291</v>
      </c>
      <c r="BF53" s="35">
        <v>112.4</v>
      </c>
      <c r="BG53" s="35">
        <v>0</v>
      </c>
      <c r="BH53" s="35" t="s">
        <v>312</v>
      </c>
      <c r="BI53" s="35" t="s">
        <v>312</v>
      </c>
      <c r="BJ53" s="35" t="s">
        <v>312</v>
      </c>
      <c r="BK53" s="35" t="s">
        <v>91</v>
      </c>
      <c r="BL53" s="35" t="s">
        <v>84</v>
      </c>
      <c r="BM53" s="35">
        <v>1</v>
      </c>
      <c r="BN53" s="35" t="s">
        <v>2177</v>
      </c>
      <c r="BO53" s="35" t="s">
        <v>289</v>
      </c>
      <c r="BP53" s="35" t="s">
        <v>315</v>
      </c>
      <c r="BQ53" s="35" t="s">
        <v>117</v>
      </c>
      <c r="BR53" s="35" t="s">
        <v>93</v>
      </c>
      <c r="BS53" s="35" t="s">
        <v>312</v>
      </c>
      <c r="BT53" s="35" t="s">
        <v>312</v>
      </c>
      <c r="BU53" s="36">
        <v>41883</v>
      </c>
      <c r="BV53" s="36">
        <v>42155</v>
      </c>
      <c r="BW53" s="35" t="s">
        <v>94</v>
      </c>
      <c r="BX53" s="35" t="s">
        <v>95</v>
      </c>
      <c r="BY53" s="35" t="s">
        <v>140</v>
      </c>
      <c r="BZ53" s="35">
        <v>1</v>
      </c>
      <c r="CA53" s="35">
        <v>1</v>
      </c>
      <c r="CB53" s="35" t="s">
        <v>303</v>
      </c>
      <c r="CC53" s="35" t="s">
        <v>314</v>
      </c>
      <c r="CD53" s="35">
        <v>0</v>
      </c>
      <c r="CE53" s="35" t="s">
        <v>97</v>
      </c>
      <c r="CF53" s="35">
        <v>0</v>
      </c>
      <c r="CG53" s="35" t="s">
        <v>97</v>
      </c>
      <c r="CH53" s="35">
        <v>1</v>
      </c>
      <c r="CI53" s="35" t="s">
        <v>376</v>
      </c>
      <c r="CJ53" s="35" t="s">
        <v>377</v>
      </c>
      <c r="CK53" s="35">
        <v>64</v>
      </c>
      <c r="CL53" s="35">
        <v>0</v>
      </c>
      <c r="CM53" s="35">
        <v>1</v>
      </c>
      <c r="CN53" s="35" t="s">
        <v>99</v>
      </c>
      <c r="CO53" s="35" t="s">
        <v>97</v>
      </c>
      <c r="CP53" s="35" t="s">
        <v>100</v>
      </c>
      <c r="CQ53" s="35" t="s">
        <v>101</v>
      </c>
      <c r="CR53" s="36">
        <v>45847</v>
      </c>
      <c r="CT53" s="37" t="s">
        <v>384</v>
      </c>
    </row>
    <row r="54" spans="1:98" s="35" customFormat="1" x14ac:dyDescent="0.35">
      <c r="A54" s="34" t="s">
        <v>293</v>
      </c>
      <c r="B54" s="34" t="s">
        <v>338</v>
      </c>
      <c r="C54" s="35" t="s">
        <v>316</v>
      </c>
      <c r="D54" s="35">
        <v>2019</v>
      </c>
      <c r="E54" s="34" t="s">
        <v>318</v>
      </c>
      <c r="F54" s="34" t="s">
        <v>319</v>
      </c>
      <c r="G54" s="35" t="s">
        <v>78</v>
      </c>
      <c r="H54" s="35">
        <v>1</v>
      </c>
      <c r="I54" s="35" t="s">
        <v>290</v>
      </c>
      <c r="J54" s="35" t="s">
        <v>79</v>
      </c>
      <c r="K54" s="35">
        <v>657</v>
      </c>
      <c r="L54" s="35" t="s">
        <v>129</v>
      </c>
      <c r="M54" s="35" t="s">
        <v>381</v>
      </c>
      <c r="N54" s="35">
        <v>-0.1</v>
      </c>
      <c r="O54" s="35">
        <v>0.13</v>
      </c>
      <c r="P54" s="89">
        <f t="shared" si="0"/>
        <v>-0.76923076923076927</v>
      </c>
      <c r="Q54" s="35" t="s">
        <v>312</v>
      </c>
      <c r="R54" s="89">
        <f t="shared" si="1"/>
        <v>-0.3548</v>
      </c>
      <c r="S54" s="89">
        <f t="shared" si="2"/>
        <v>0.15480000000000002</v>
      </c>
      <c r="T54" s="35">
        <v>1</v>
      </c>
      <c r="U54" s="35">
        <v>5054</v>
      </c>
      <c r="V54" s="35" t="s">
        <v>312</v>
      </c>
      <c r="W54" s="35">
        <v>0</v>
      </c>
      <c r="X54" s="35">
        <f t="shared" si="3"/>
        <v>5054</v>
      </c>
      <c r="Y54" s="89">
        <f t="shared" si="4"/>
        <v>-1.0819659837276056E-2</v>
      </c>
      <c r="Z54" s="89">
        <f t="shared" si="5"/>
        <v>1.406555778845887E-2</v>
      </c>
      <c r="AA54" s="89">
        <f t="shared" si="16"/>
        <v>-1.0819659837276056E-2</v>
      </c>
      <c r="AB54" s="35" t="s">
        <v>81</v>
      </c>
      <c r="AC54" s="89">
        <f t="shared" si="14"/>
        <v>-9.9060000000000016E-3</v>
      </c>
      <c r="AD54" s="89" cm="1">
        <f t="array" ref="AD54">_xlfn.IFS(
AND(L54="marginal_effect",M54="level"),N54*AN54/BF54, AND(L54="marginal_effect",M54="percent_of_mean"),N54*AN54/100,
AND(L54="marginal_effect",M54="sd (Y)"),N54*BH54*AN54/BF54,
AND(L54="marginal_effect",M54="sd (X)"),N54/AQ54*AN54/BF54,
AND(L54="semi_elasticity",M54="level"),N54*AN54,
AND(L54="semi_elasticity",M54="sd (Y)"),N54*AN54*BH54,
AND(L54="semi_elasticity",M54="sd (X)"),N54*AN54/AQ54,
AND(L54="level-log",M54="level"),N54/BF54,
AND(L54="level-log",M54="sd (X)"),N54/BF54/AQ54,
AND(L54="level-log",M54="sd (Y)"),N54/BF54*BH54,
AND(L54="elasticity",M54="level"),N54,
AND(L54="elasticity",M54="sd (X)"),N54/AQ54,
AND(L54="elasticity",M54="sd (Y)"),N54*BH54,
AND(L54="marginal_effect",M54="percent_of_mean"),N54*AN54/BF54/10)</f>
        <v>-9.9060000000000016E-3</v>
      </c>
      <c r="AE54" s="49">
        <f t="shared" si="8"/>
        <v>1</v>
      </c>
      <c r="AF54" s="89">
        <f t="shared" si="15"/>
        <v>1.2877800000000002E-2</v>
      </c>
      <c r="AG54" s="89" cm="1">
        <f t="array" ref="AG54">_xlfn.IFS(
AND(L54="marginal_effect",M54="level"),O54*AN54/BF54,
AND(L54="marginal_effect",M54="sd (Y)"),O54*BH54*AN54/BF54,
AND(L54="marginal_effect",M54="sd (X)"),O54/AQ54*AN54/BF54,
AND(L54="semi_elasticity",M54="level"),O54*AN54,
AND(L54="semi_elasticity",M54="sd (Y)"),O54*AN54*BH54,
AND(L54="semi_elasticity",M54="sd (X)"),O54*AN54/AQ54,
AND(L54="level-log",M54="level"),O54/BF54,
AND(L54="level-log",M54="sd (X)"),O54/BF54/AQ54,
AND(L54="level-log",M54="sd (Y)"),O54/BF54*BH54,
AND(L54="elasticity",M54="level"),O54,
AND(L54="elasticity",M54="sd (X)"),O54/AQ54,
AND(L54="elasticity",M54="sd (Y)"),O54*BH54,
AND(L54="marginal_effect",M54="percent_of_mean"),O54*AN54/BF54/10)</f>
        <v>1.0767391304347827E-3</v>
      </c>
      <c r="AH54" s="49">
        <f t="shared" si="10"/>
        <v>0</v>
      </c>
      <c r="AI54" s="89">
        <f t="shared" si="17"/>
        <v>-9.9060000000000016E-3</v>
      </c>
      <c r="AJ54" s="49">
        <v>0</v>
      </c>
      <c r="AK54" s="49">
        <f t="shared" si="12"/>
        <v>1</v>
      </c>
      <c r="AL54" s="35" t="s">
        <v>82</v>
      </c>
      <c r="AM54" s="35" t="s">
        <v>296</v>
      </c>
      <c r="AN54" s="35">
        <v>9.9060000000000006</v>
      </c>
      <c r="AO54" s="35">
        <v>0</v>
      </c>
      <c r="AP54" s="35">
        <f t="shared" si="13"/>
        <v>99.06</v>
      </c>
      <c r="AQ54" s="35">
        <v>49.79</v>
      </c>
      <c r="AR54" s="35">
        <v>23.55</v>
      </c>
      <c r="AS54" s="35">
        <v>342.58</v>
      </c>
      <c r="AT54" s="35" t="s">
        <v>83</v>
      </c>
      <c r="AV54" s="35" t="s">
        <v>133</v>
      </c>
      <c r="AW54" s="35" t="s">
        <v>85</v>
      </c>
      <c r="AX54" s="35" t="s">
        <v>110</v>
      </c>
      <c r="AY54" s="35">
        <v>0</v>
      </c>
      <c r="AZ54" s="35">
        <v>5</v>
      </c>
      <c r="BA54" s="35" t="s">
        <v>87</v>
      </c>
      <c r="BB54" s="35" t="s">
        <v>88</v>
      </c>
      <c r="BC54" s="35" t="s">
        <v>89</v>
      </c>
      <c r="BD54" s="35" t="s">
        <v>114</v>
      </c>
      <c r="BE54" s="35" t="s">
        <v>292</v>
      </c>
      <c r="BF54" s="35">
        <v>119.6</v>
      </c>
      <c r="BG54" s="35">
        <v>0</v>
      </c>
      <c r="BH54" s="35" t="s">
        <v>312</v>
      </c>
      <c r="BI54" s="35" t="s">
        <v>312</v>
      </c>
      <c r="BJ54" s="35" t="s">
        <v>312</v>
      </c>
      <c r="BK54" s="35" t="s">
        <v>91</v>
      </c>
      <c r="BL54" s="35" t="s">
        <v>84</v>
      </c>
      <c r="BM54" s="35">
        <v>1</v>
      </c>
      <c r="BN54" s="35" t="s">
        <v>2177</v>
      </c>
      <c r="BO54" s="35" t="s">
        <v>289</v>
      </c>
      <c r="BP54" s="35" t="s">
        <v>315</v>
      </c>
      <c r="BQ54" s="35" t="s">
        <v>117</v>
      </c>
      <c r="BR54" s="35" t="s">
        <v>93</v>
      </c>
      <c r="BS54" s="35" t="s">
        <v>312</v>
      </c>
      <c r="BT54" s="35" t="s">
        <v>312</v>
      </c>
      <c r="BU54" s="36">
        <v>41730</v>
      </c>
      <c r="BV54" s="36">
        <v>42155</v>
      </c>
      <c r="BW54" s="35" t="s">
        <v>94</v>
      </c>
      <c r="BX54" s="35" t="s">
        <v>95</v>
      </c>
      <c r="BY54" s="35" t="s">
        <v>140</v>
      </c>
      <c r="BZ54" s="35">
        <v>1</v>
      </c>
      <c r="CA54" s="35">
        <v>1</v>
      </c>
      <c r="CB54" s="35" t="s">
        <v>303</v>
      </c>
      <c r="CC54" s="35" t="s">
        <v>314</v>
      </c>
      <c r="CD54" s="35">
        <v>0</v>
      </c>
      <c r="CE54" s="35" t="s">
        <v>97</v>
      </c>
      <c r="CF54" s="35">
        <v>0</v>
      </c>
      <c r="CG54" s="35" t="s">
        <v>97</v>
      </c>
      <c r="CH54" s="35">
        <v>1</v>
      </c>
      <c r="CI54" s="35" t="s">
        <v>376</v>
      </c>
      <c r="CJ54" s="35" t="s">
        <v>377</v>
      </c>
      <c r="CK54" s="35">
        <v>64</v>
      </c>
      <c r="CL54" s="35">
        <v>0</v>
      </c>
      <c r="CM54" s="35">
        <v>1</v>
      </c>
      <c r="CN54" s="35" t="s">
        <v>99</v>
      </c>
      <c r="CO54" s="35" t="s">
        <v>97</v>
      </c>
      <c r="CP54" s="35" t="s">
        <v>100</v>
      </c>
      <c r="CQ54" s="35" t="s">
        <v>101</v>
      </c>
      <c r="CR54" s="36">
        <v>45847</v>
      </c>
      <c r="CT54" s="37" t="s">
        <v>384</v>
      </c>
    </row>
    <row r="55" spans="1:98" s="35" customFormat="1" x14ac:dyDescent="0.35">
      <c r="A55" s="34" t="s">
        <v>293</v>
      </c>
      <c r="B55" s="34" t="s">
        <v>339</v>
      </c>
      <c r="C55" s="35" t="s">
        <v>316</v>
      </c>
      <c r="D55" s="35">
        <v>2019</v>
      </c>
      <c r="E55" s="34" t="s">
        <v>318</v>
      </c>
      <c r="F55" s="34" t="s">
        <v>319</v>
      </c>
      <c r="G55" s="35" t="s">
        <v>78</v>
      </c>
      <c r="H55" s="35">
        <v>1</v>
      </c>
      <c r="I55" s="35" t="s">
        <v>290</v>
      </c>
      <c r="J55" s="35" t="s">
        <v>79</v>
      </c>
      <c r="K55" s="35">
        <v>657</v>
      </c>
      <c r="L55" s="35" t="s">
        <v>129</v>
      </c>
      <c r="M55" s="35" t="s">
        <v>381</v>
      </c>
      <c r="N55" s="35">
        <v>-0.2</v>
      </c>
      <c r="O55" s="35">
        <v>0.17</v>
      </c>
      <c r="P55" s="89">
        <f t="shared" si="0"/>
        <v>-1.1764705882352942</v>
      </c>
      <c r="Q55" s="35" t="s">
        <v>312</v>
      </c>
      <c r="R55" s="89">
        <f t="shared" si="1"/>
        <v>-0.53320000000000001</v>
      </c>
      <c r="S55" s="89">
        <f t="shared" si="2"/>
        <v>0.13319999999999999</v>
      </c>
      <c r="T55" s="35">
        <v>1</v>
      </c>
      <c r="U55" s="35">
        <v>5054</v>
      </c>
      <c r="V55" s="35" t="s">
        <v>312</v>
      </c>
      <c r="W55" s="35">
        <v>0</v>
      </c>
      <c r="X55" s="35">
        <f t="shared" si="3"/>
        <v>5054</v>
      </c>
      <c r="Y55" s="89">
        <f t="shared" si="4"/>
        <v>-1.6546418172637481E-2</v>
      </c>
      <c r="Z55" s="89">
        <f t="shared" si="5"/>
        <v>1.4064455446741857E-2</v>
      </c>
      <c r="AA55" s="89">
        <f t="shared" si="16"/>
        <v>-1.6546418172637481E-2</v>
      </c>
      <c r="AB55" s="35" t="s">
        <v>81</v>
      </c>
      <c r="AC55" s="89">
        <f t="shared" si="14"/>
        <v>-1.9812000000000003E-2</v>
      </c>
      <c r="AD55" s="89" cm="1">
        <f t="array" ref="AD55">_xlfn.IFS(
AND(L55="marginal_effect",M55="level"),N55*AN55/BF55, AND(L55="marginal_effect",M55="percent_of_mean"),N55*AN55/100,
AND(L55="marginal_effect",M55="sd (Y)"),N55*BH55*AN55/BF55,
AND(L55="marginal_effect",M55="sd (X)"),N55/AQ55*AN55/BF55,
AND(L55="semi_elasticity",M55="level"),N55*AN55,
AND(L55="semi_elasticity",M55="sd (Y)"),N55*AN55*BH55,
AND(L55="semi_elasticity",M55="sd (X)"),N55*AN55/AQ55,
AND(L55="level-log",M55="level"),N55/BF55,
AND(L55="level-log",M55="sd (X)"),N55/BF55/AQ55,
AND(L55="level-log",M55="sd (Y)"),N55/BF55*BH55,
AND(L55="elasticity",M55="level"),N55,
AND(L55="elasticity",M55="sd (X)"),N55/AQ55,
AND(L55="elasticity",M55="sd (Y)"),N55*BH55,
AND(L55="marginal_effect",M55="percent_of_mean"),N55*AN55/BF55/10)</f>
        <v>-1.9812000000000003E-2</v>
      </c>
      <c r="AE55" s="49">
        <f t="shared" si="8"/>
        <v>1</v>
      </c>
      <c r="AF55" s="89">
        <f t="shared" si="15"/>
        <v>1.6840200000000003E-2</v>
      </c>
      <c r="AG55" s="89" cm="1">
        <f t="array" ref="AG55">_xlfn.IFS(
AND(L55="marginal_effect",M55="level"),O55*AN55/BF55,
AND(L55="marginal_effect",M55="sd (Y)"),O55*BH55*AN55/BF55,
AND(L55="marginal_effect",M55="sd (X)"),O55/AQ55*AN55/BF55,
AND(L55="semi_elasticity",M55="level"),O55*AN55,
AND(L55="semi_elasticity",M55="sd (Y)"),O55*AN55*BH55,
AND(L55="semi_elasticity",M55="sd (X)"),O55*AN55/AQ55,
AND(L55="level-log",M55="level"),O55/BF55,
AND(L55="level-log",M55="sd (X)"),O55/BF55/AQ55,
AND(L55="level-log",M55="sd (Y)"),O55/BF55*BH55,
AND(L55="elasticity",M55="level"),O55,
AND(L55="elasticity",M55="sd (X)"),O55/AQ55,
AND(L55="elasticity",M55="sd (Y)"),O55*BH55,
AND(L55="marginal_effect",M55="percent_of_mean"),O55*AN55/BF55/10)</f>
        <v>1.40804347826087E-3</v>
      </c>
      <c r="AH55" s="49">
        <f t="shared" si="10"/>
        <v>0</v>
      </c>
      <c r="AI55" s="89">
        <f t="shared" si="17"/>
        <v>-1.9812000000000003E-2</v>
      </c>
      <c r="AJ55" s="49">
        <v>0</v>
      </c>
      <c r="AK55" s="49">
        <f t="shared" si="12"/>
        <v>1</v>
      </c>
      <c r="AL55" s="35" t="s">
        <v>82</v>
      </c>
      <c r="AM55" s="35" t="s">
        <v>296</v>
      </c>
      <c r="AN55" s="35">
        <v>9.9060000000000006</v>
      </c>
      <c r="AO55" s="35">
        <v>0</v>
      </c>
      <c r="AP55" s="35">
        <f t="shared" si="13"/>
        <v>99.06</v>
      </c>
      <c r="AQ55" s="35">
        <v>49.79</v>
      </c>
      <c r="AR55" s="35">
        <v>23.55</v>
      </c>
      <c r="AS55" s="35">
        <v>342.58</v>
      </c>
      <c r="AT55" s="35" t="s">
        <v>83</v>
      </c>
      <c r="AV55" s="35" t="s">
        <v>133</v>
      </c>
      <c r="AW55" s="35" t="s">
        <v>85</v>
      </c>
      <c r="AX55" s="35" t="s">
        <v>110</v>
      </c>
      <c r="AY55" s="35">
        <v>0</v>
      </c>
      <c r="AZ55" s="35">
        <v>10</v>
      </c>
      <c r="BA55" s="35" t="s">
        <v>87</v>
      </c>
      <c r="BB55" s="35" t="s">
        <v>88</v>
      </c>
      <c r="BC55" s="35" t="s">
        <v>89</v>
      </c>
      <c r="BD55" s="35" t="s">
        <v>114</v>
      </c>
      <c r="BE55" s="35" t="s">
        <v>292</v>
      </c>
      <c r="BF55" s="35">
        <v>119.6</v>
      </c>
      <c r="BG55" s="35">
        <v>0</v>
      </c>
      <c r="BH55" s="35" t="s">
        <v>312</v>
      </c>
      <c r="BI55" s="35" t="s">
        <v>312</v>
      </c>
      <c r="BJ55" s="35" t="s">
        <v>312</v>
      </c>
      <c r="BK55" s="35" t="s">
        <v>91</v>
      </c>
      <c r="BL55" s="35" t="s">
        <v>84</v>
      </c>
      <c r="BM55" s="35">
        <v>1</v>
      </c>
      <c r="BN55" s="35" t="s">
        <v>2177</v>
      </c>
      <c r="BO55" s="35" t="s">
        <v>289</v>
      </c>
      <c r="BP55" s="35" t="s">
        <v>315</v>
      </c>
      <c r="BQ55" s="35" t="s">
        <v>117</v>
      </c>
      <c r="BR55" s="35" t="s">
        <v>93</v>
      </c>
      <c r="BS55" s="35" t="s">
        <v>312</v>
      </c>
      <c r="BT55" s="35" t="s">
        <v>312</v>
      </c>
      <c r="BU55" s="36">
        <v>41730</v>
      </c>
      <c r="BV55" s="36">
        <v>42155</v>
      </c>
      <c r="BW55" s="35" t="s">
        <v>94</v>
      </c>
      <c r="BX55" s="35" t="s">
        <v>95</v>
      </c>
      <c r="BY55" s="35" t="s">
        <v>140</v>
      </c>
      <c r="BZ55" s="35">
        <v>1</v>
      </c>
      <c r="CA55" s="35">
        <v>1</v>
      </c>
      <c r="CB55" s="35" t="s">
        <v>303</v>
      </c>
      <c r="CC55" s="35" t="s">
        <v>314</v>
      </c>
      <c r="CD55" s="35">
        <v>0</v>
      </c>
      <c r="CE55" s="35" t="s">
        <v>97</v>
      </c>
      <c r="CF55" s="35">
        <v>0</v>
      </c>
      <c r="CG55" s="35" t="s">
        <v>97</v>
      </c>
      <c r="CH55" s="35">
        <v>1</v>
      </c>
      <c r="CI55" s="35" t="s">
        <v>376</v>
      </c>
      <c r="CJ55" s="35" t="s">
        <v>377</v>
      </c>
      <c r="CK55" s="35">
        <v>64</v>
      </c>
      <c r="CL55" s="35">
        <v>0</v>
      </c>
      <c r="CM55" s="35">
        <v>1</v>
      </c>
      <c r="CN55" s="35" t="s">
        <v>99</v>
      </c>
      <c r="CO55" s="35" t="s">
        <v>97</v>
      </c>
      <c r="CP55" s="35" t="s">
        <v>100</v>
      </c>
      <c r="CQ55" s="35" t="s">
        <v>101</v>
      </c>
      <c r="CR55" s="36">
        <v>45847</v>
      </c>
      <c r="CT55" s="37" t="s">
        <v>384</v>
      </c>
    </row>
    <row r="56" spans="1:98" s="35" customFormat="1" x14ac:dyDescent="0.35">
      <c r="A56" s="34" t="s">
        <v>293</v>
      </c>
      <c r="B56" s="34" t="s">
        <v>340</v>
      </c>
      <c r="C56" s="35" t="s">
        <v>316</v>
      </c>
      <c r="D56" s="35">
        <v>2019</v>
      </c>
      <c r="E56" s="34" t="s">
        <v>318</v>
      </c>
      <c r="F56" s="34" t="s">
        <v>319</v>
      </c>
      <c r="G56" s="35" t="s">
        <v>78</v>
      </c>
      <c r="H56" s="35">
        <v>1</v>
      </c>
      <c r="I56" s="35" t="s">
        <v>290</v>
      </c>
      <c r="J56" s="35" t="s">
        <v>79</v>
      </c>
      <c r="K56" s="35">
        <v>657</v>
      </c>
      <c r="L56" s="35" t="s">
        <v>129</v>
      </c>
      <c r="M56" s="35" t="s">
        <v>381</v>
      </c>
      <c r="N56" s="35">
        <v>-0.14000000000000001</v>
      </c>
      <c r="O56" s="35">
        <v>0.19</v>
      </c>
      <c r="P56" s="89">
        <f t="shared" si="0"/>
        <v>-0.73684210526315796</v>
      </c>
      <c r="Q56" s="35" t="s">
        <v>312</v>
      </c>
      <c r="R56" s="89">
        <f t="shared" si="1"/>
        <v>-0.51239999999999997</v>
      </c>
      <c r="S56" s="89">
        <f t="shared" si="2"/>
        <v>0.2324</v>
      </c>
      <c r="T56" s="35">
        <v>1</v>
      </c>
      <c r="U56" s="35">
        <v>5054</v>
      </c>
      <c r="V56" s="35" t="s">
        <v>312</v>
      </c>
      <c r="W56" s="35">
        <v>0</v>
      </c>
      <c r="X56" s="35">
        <f t="shared" si="3"/>
        <v>5054</v>
      </c>
      <c r="Y56" s="89">
        <f t="shared" si="4"/>
        <v>-1.0364145222620772E-2</v>
      </c>
      <c r="Z56" s="89">
        <f t="shared" si="5"/>
        <v>1.4065625659271046E-2</v>
      </c>
      <c r="AA56" s="89">
        <f t="shared" si="16"/>
        <v>-1.0364145222620772E-2</v>
      </c>
      <c r="AB56" s="35" t="s">
        <v>81</v>
      </c>
      <c r="AC56" s="89">
        <f t="shared" si="14"/>
        <v>-1.3868400000000003E-2</v>
      </c>
      <c r="AD56" s="89" cm="1">
        <f t="array" ref="AD56">_xlfn.IFS(
AND(L56="marginal_effect",M56="level"),N56*AN56/BF56, AND(L56="marginal_effect",M56="percent_of_mean"),N56*AN56/100,
AND(L56="marginal_effect",M56="sd (Y)"),N56*BH56*AN56/BF56,
AND(L56="marginal_effect",M56="sd (X)"),N56/AQ56*AN56/BF56,
AND(L56="semi_elasticity",M56="level"),N56*AN56,
AND(L56="semi_elasticity",M56="sd (Y)"),N56*AN56*BH56,
AND(L56="semi_elasticity",M56="sd (X)"),N56*AN56/AQ56,
AND(L56="level-log",M56="level"),N56/BF56,
AND(L56="level-log",M56="sd (X)"),N56/BF56/AQ56,
AND(L56="level-log",M56="sd (Y)"),N56/BF56*BH56,
AND(L56="elasticity",M56="level"),N56,
AND(L56="elasticity",M56="sd (X)"),N56/AQ56,
AND(L56="elasticity",M56="sd (Y)"),N56*BH56,
AND(L56="marginal_effect",M56="percent_of_mean"),N56*AN56/BF56/10)</f>
        <v>-1.3868400000000003E-2</v>
      </c>
      <c r="AE56" s="49">
        <f t="shared" si="8"/>
        <v>1</v>
      </c>
      <c r="AF56" s="89">
        <f t="shared" si="15"/>
        <v>1.8821400000000002E-2</v>
      </c>
      <c r="AG56" s="89" cm="1">
        <f t="array" ref="AG56">_xlfn.IFS(
AND(L56="marginal_effect",M56="level"),O56*AN56/BF56,
AND(L56="marginal_effect",M56="sd (Y)"),O56*BH56*AN56/BF56,
AND(L56="marginal_effect",M56="sd (X)"),O56/AQ56*AN56/BF56,
AND(L56="semi_elasticity",M56="level"),O56*AN56,
AND(L56="semi_elasticity",M56="sd (Y)"),O56*AN56*BH56,
AND(L56="semi_elasticity",M56="sd (X)"),O56*AN56/AQ56,
AND(L56="level-log",M56="level"),O56/BF56,
AND(L56="level-log",M56="sd (X)"),O56/BF56/AQ56,
AND(L56="level-log",M56="sd (Y)"),O56/BF56*BH56,
AND(L56="elasticity",M56="level"),O56,
AND(L56="elasticity",M56="sd (X)"),O56/AQ56,
AND(L56="elasticity",M56="sd (Y)"),O56*BH56,
AND(L56="marginal_effect",M56="percent_of_mean"),O56*AN56/BF56/10)</f>
        <v>1.5736956521739131E-3</v>
      </c>
      <c r="AH56" s="49">
        <f t="shared" si="10"/>
        <v>0</v>
      </c>
      <c r="AI56" s="89">
        <f t="shared" si="17"/>
        <v>-1.3868400000000003E-2</v>
      </c>
      <c r="AJ56" s="49">
        <v>0</v>
      </c>
      <c r="AK56" s="49">
        <f t="shared" si="12"/>
        <v>1</v>
      </c>
      <c r="AL56" s="35" t="s">
        <v>82</v>
      </c>
      <c r="AM56" s="35" t="s">
        <v>296</v>
      </c>
      <c r="AN56" s="35">
        <v>9.9060000000000006</v>
      </c>
      <c r="AO56" s="35">
        <v>0</v>
      </c>
      <c r="AP56" s="35">
        <f t="shared" si="13"/>
        <v>99.06</v>
      </c>
      <c r="AQ56" s="35">
        <v>49.79</v>
      </c>
      <c r="AR56" s="35">
        <v>23.55</v>
      </c>
      <c r="AS56" s="35">
        <v>342.58</v>
      </c>
      <c r="AT56" s="35" t="s">
        <v>83</v>
      </c>
      <c r="AV56" s="35" t="s">
        <v>133</v>
      </c>
      <c r="AW56" s="35" t="s">
        <v>85</v>
      </c>
      <c r="AX56" s="35" t="s">
        <v>110</v>
      </c>
      <c r="AY56" s="35">
        <v>0</v>
      </c>
      <c r="AZ56" s="35">
        <v>15</v>
      </c>
      <c r="BA56" s="35" t="s">
        <v>87</v>
      </c>
      <c r="BB56" s="35" t="s">
        <v>88</v>
      </c>
      <c r="BC56" s="35" t="s">
        <v>89</v>
      </c>
      <c r="BD56" s="35" t="s">
        <v>114</v>
      </c>
      <c r="BE56" s="35" t="s">
        <v>292</v>
      </c>
      <c r="BF56" s="35">
        <v>119.6</v>
      </c>
      <c r="BG56" s="35">
        <v>0</v>
      </c>
      <c r="BH56" s="35" t="s">
        <v>312</v>
      </c>
      <c r="BI56" s="35" t="s">
        <v>312</v>
      </c>
      <c r="BJ56" s="35" t="s">
        <v>312</v>
      </c>
      <c r="BK56" s="35" t="s">
        <v>91</v>
      </c>
      <c r="BL56" s="35" t="s">
        <v>84</v>
      </c>
      <c r="BM56" s="35">
        <v>1</v>
      </c>
      <c r="BN56" s="35" t="s">
        <v>2177</v>
      </c>
      <c r="BO56" s="35" t="s">
        <v>289</v>
      </c>
      <c r="BP56" s="35" t="s">
        <v>315</v>
      </c>
      <c r="BQ56" s="35" t="s">
        <v>117</v>
      </c>
      <c r="BR56" s="35" t="s">
        <v>93</v>
      </c>
      <c r="BS56" s="35" t="s">
        <v>312</v>
      </c>
      <c r="BT56" s="35" t="s">
        <v>312</v>
      </c>
      <c r="BU56" s="36">
        <v>41730</v>
      </c>
      <c r="BV56" s="36">
        <v>42155</v>
      </c>
      <c r="BW56" s="35" t="s">
        <v>94</v>
      </c>
      <c r="BX56" s="35" t="s">
        <v>95</v>
      </c>
      <c r="BY56" s="35" t="s">
        <v>140</v>
      </c>
      <c r="BZ56" s="35">
        <v>1</v>
      </c>
      <c r="CA56" s="35">
        <v>1</v>
      </c>
      <c r="CB56" s="35" t="s">
        <v>303</v>
      </c>
      <c r="CC56" s="35" t="s">
        <v>314</v>
      </c>
      <c r="CD56" s="35">
        <v>0</v>
      </c>
      <c r="CE56" s="35" t="s">
        <v>97</v>
      </c>
      <c r="CF56" s="35">
        <v>0</v>
      </c>
      <c r="CG56" s="35" t="s">
        <v>97</v>
      </c>
      <c r="CH56" s="35">
        <v>1</v>
      </c>
      <c r="CI56" s="35" t="s">
        <v>376</v>
      </c>
      <c r="CJ56" s="35" t="s">
        <v>377</v>
      </c>
      <c r="CK56" s="35">
        <v>64</v>
      </c>
      <c r="CL56" s="35">
        <v>0</v>
      </c>
      <c r="CM56" s="35">
        <v>1</v>
      </c>
      <c r="CN56" s="35" t="s">
        <v>99</v>
      </c>
      <c r="CO56" s="35" t="s">
        <v>97</v>
      </c>
      <c r="CP56" s="35" t="s">
        <v>100</v>
      </c>
      <c r="CQ56" s="35" t="s">
        <v>101</v>
      </c>
      <c r="CR56" s="36">
        <v>45847</v>
      </c>
      <c r="CT56" s="37" t="s">
        <v>384</v>
      </c>
    </row>
    <row r="57" spans="1:98" s="35" customFormat="1" x14ac:dyDescent="0.35">
      <c r="A57" s="34" t="s">
        <v>293</v>
      </c>
      <c r="B57" s="34" t="s">
        <v>341</v>
      </c>
      <c r="C57" s="35" t="s">
        <v>316</v>
      </c>
      <c r="D57" s="35">
        <v>2019</v>
      </c>
      <c r="E57" s="34" t="s">
        <v>318</v>
      </c>
      <c r="F57" s="34" t="s">
        <v>319</v>
      </c>
      <c r="G57" s="35" t="s">
        <v>78</v>
      </c>
      <c r="H57" s="35">
        <v>1</v>
      </c>
      <c r="I57" s="35" t="s">
        <v>290</v>
      </c>
      <c r="J57" s="35" t="s">
        <v>79</v>
      </c>
      <c r="K57" s="35">
        <v>657</v>
      </c>
      <c r="L57" s="35" t="s">
        <v>129</v>
      </c>
      <c r="M57" s="35" t="s">
        <v>381</v>
      </c>
      <c r="N57" s="35">
        <v>-0.31</v>
      </c>
      <c r="O57" s="35">
        <v>0.19</v>
      </c>
      <c r="P57" s="89">
        <f t="shared" si="0"/>
        <v>-1.631578947368421</v>
      </c>
      <c r="Q57" s="35" t="s">
        <v>312</v>
      </c>
      <c r="R57" s="89">
        <f t="shared" si="1"/>
        <v>-0.68240000000000001</v>
      </c>
      <c r="S57" s="89">
        <f t="shared" si="2"/>
        <v>6.2400000000000011E-2</v>
      </c>
      <c r="T57" s="35">
        <v>1</v>
      </c>
      <c r="U57" s="35">
        <v>5054</v>
      </c>
      <c r="V57" s="35" t="s">
        <v>312</v>
      </c>
      <c r="W57" s="35">
        <v>0</v>
      </c>
      <c r="X57" s="35">
        <f t="shared" si="3"/>
        <v>5054</v>
      </c>
      <c r="Y57" s="89">
        <f t="shared" si="4"/>
        <v>-2.2944369505848126E-2</v>
      </c>
      <c r="Z57" s="89">
        <f t="shared" si="5"/>
        <v>1.4062678084229497E-2</v>
      </c>
      <c r="AA57" s="89">
        <f t="shared" si="16"/>
        <v>-2.2944369505848126E-2</v>
      </c>
      <c r="AB57" s="35" t="s">
        <v>81</v>
      </c>
      <c r="AC57" s="89">
        <f t="shared" si="14"/>
        <v>-3.0708599999999999E-2</v>
      </c>
      <c r="AD57" s="89" cm="1">
        <f t="array" ref="AD57">_xlfn.IFS(
AND(L57="marginal_effect",M57="level"),N57*AN57/BF57, AND(L57="marginal_effect",M57="percent_of_mean"),N57*AN57/100,
AND(L57="marginal_effect",M57="sd (Y)"),N57*BH57*AN57/BF57,
AND(L57="marginal_effect",M57="sd (X)"),N57/AQ57*AN57/BF57,
AND(L57="semi_elasticity",M57="level"),N57*AN57,
AND(L57="semi_elasticity",M57="sd (Y)"),N57*AN57*BH57,
AND(L57="semi_elasticity",M57="sd (X)"),N57*AN57/AQ57,
AND(L57="level-log",M57="level"),N57/BF57,
AND(L57="level-log",M57="sd (X)"),N57/BF57/AQ57,
AND(L57="level-log",M57="sd (Y)"),N57/BF57*BH57,
AND(L57="elasticity",M57="level"),N57,
AND(L57="elasticity",M57="sd (X)"),N57/AQ57,
AND(L57="elasticity",M57="sd (Y)"),N57*BH57,
AND(L57="marginal_effect",M57="percent_of_mean"),N57*AN57/BF57/10)</f>
        <v>-3.0708600000000003E-2</v>
      </c>
      <c r="AE57" s="49">
        <f t="shared" si="8"/>
        <v>1</v>
      </c>
      <c r="AF57" s="89">
        <f t="shared" si="15"/>
        <v>1.8821400000000002E-2</v>
      </c>
      <c r="AG57" s="89" cm="1">
        <f t="array" ref="AG57">_xlfn.IFS(
AND(L57="marginal_effect",M57="level"),O57*AN57/BF57,
AND(L57="marginal_effect",M57="sd (Y)"),O57*BH57*AN57/BF57,
AND(L57="marginal_effect",M57="sd (X)"),O57/AQ57*AN57/BF57,
AND(L57="semi_elasticity",M57="level"),O57*AN57,
AND(L57="semi_elasticity",M57="sd (Y)"),O57*AN57*BH57,
AND(L57="semi_elasticity",M57="sd (X)"),O57*AN57/AQ57,
AND(L57="level-log",M57="level"),O57/BF57,
AND(L57="level-log",M57="sd (X)"),O57/BF57/AQ57,
AND(L57="level-log",M57="sd (Y)"),O57/BF57*BH57,
AND(L57="elasticity",M57="level"),O57,
AND(L57="elasticity",M57="sd (X)"),O57/AQ57,
AND(L57="elasticity",M57="sd (Y)"),O57*BH57,
AND(L57="marginal_effect",M57="percent_of_mean"),O57*AN57/BF57/10)</f>
        <v>1.5736956521739131E-3</v>
      </c>
      <c r="AH57" s="49">
        <f t="shared" si="10"/>
        <v>0</v>
      </c>
      <c r="AI57" s="89">
        <f t="shared" si="17"/>
        <v>-3.0708599999999999E-2</v>
      </c>
      <c r="AJ57" s="49">
        <v>0</v>
      </c>
      <c r="AK57" s="49">
        <f t="shared" si="12"/>
        <v>1</v>
      </c>
      <c r="AL57" s="35" t="s">
        <v>82</v>
      </c>
      <c r="AM57" s="35" t="s">
        <v>296</v>
      </c>
      <c r="AN57" s="35">
        <v>9.9060000000000006</v>
      </c>
      <c r="AO57" s="35">
        <v>0</v>
      </c>
      <c r="AP57" s="35">
        <f t="shared" si="13"/>
        <v>99.06</v>
      </c>
      <c r="AQ57" s="35">
        <v>49.79</v>
      </c>
      <c r="AR57" s="35">
        <v>23.55</v>
      </c>
      <c r="AS57" s="35">
        <v>342.58</v>
      </c>
      <c r="AT57" s="35" t="s">
        <v>83</v>
      </c>
      <c r="AV57" s="35" t="s">
        <v>133</v>
      </c>
      <c r="AW57" s="35" t="s">
        <v>85</v>
      </c>
      <c r="AX57" s="35" t="s">
        <v>110</v>
      </c>
      <c r="AY57" s="35">
        <v>0</v>
      </c>
      <c r="AZ57" s="35">
        <v>20</v>
      </c>
      <c r="BA57" s="35" t="s">
        <v>87</v>
      </c>
      <c r="BB57" s="35" t="s">
        <v>88</v>
      </c>
      <c r="BC57" s="35" t="s">
        <v>89</v>
      </c>
      <c r="BD57" s="35" t="s">
        <v>114</v>
      </c>
      <c r="BE57" s="35" t="s">
        <v>292</v>
      </c>
      <c r="BF57" s="35">
        <v>119.6</v>
      </c>
      <c r="BG57" s="35">
        <v>0</v>
      </c>
      <c r="BH57" s="35" t="s">
        <v>312</v>
      </c>
      <c r="BI57" s="35" t="s">
        <v>312</v>
      </c>
      <c r="BJ57" s="35" t="s">
        <v>312</v>
      </c>
      <c r="BK57" s="35" t="s">
        <v>91</v>
      </c>
      <c r="BL57" s="35" t="s">
        <v>84</v>
      </c>
      <c r="BM57" s="35">
        <v>1</v>
      </c>
      <c r="BN57" s="35" t="s">
        <v>2177</v>
      </c>
      <c r="BO57" s="35" t="s">
        <v>289</v>
      </c>
      <c r="BP57" s="35" t="s">
        <v>315</v>
      </c>
      <c r="BQ57" s="35" t="s">
        <v>117</v>
      </c>
      <c r="BR57" s="35" t="s">
        <v>93</v>
      </c>
      <c r="BS57" s="35" t="s">
        <v>312</v>
      </c>
      <c r="BT57" s="35" t="s">
        <v>312</v>
      </c>
      <c r="BU57" s="36">
        <v>41730</v>
      </c>
      <c r="BV57" s="36">
        <v>42155</v>
      </c>
      <c r="BW57" s="35" t="s">
        <v>94</v>
      </c>
      <c r="BX57" s="35" t="s">
        <v>95</v>
      </c>
      <c r="BY57" s="35" t="s">
        <v>140</v>
      </c>
      <c r="BZ57" s="35">
        <v>1</v>
      </c>
      <c r="CA57" s="35">
        <v>1</v>
      </c>
      <c r="CB57" s="35" t="s">
        <v>303</v>
      </c>
      <c r="CC57" s="35" t="s">
        <v>314</v>
      </c>
      <c r="CD57" s="35">
        <v>0</v>
      </c>
      <c r="CE57" s="35" t="s">
        <v>97</v>
      </c>
      <c r="CF57" s="35">
        <v>0</v>
      </c>
      <c r="CG57" s="35" t="s">
        <v>97</v>
      </c>
      <c r="CH57" s="35">
        <v>1</v>
      </c>
      <c r="CI57" s="35" t="s">
        <v>376</v>
      </c>
      <c r="CJ57" s="35" t="s">
        <v>377</v>
      </c>
      <c r="CK57" s="35">
        <v>64</v>
      </c>
      <c r="CL57" s="35">
        <v>0</v>
      </c>
      <c r="CM57" s="35">
        <v>1</v>
      </c>
      <c r="CN57" s="35" t="s">
        <v>99</v>
      </c>
      <c r="CO57" s="35" t="s">
        <v>97</v>
      </c>
      <c r="CP57" s="35" t="s">
        <v>100</v>
      </c>
      <c r="CQ57" s="35" t="s">
        <v>101</v>
      </c>
      <c r="CR57" s="36">
        <v>45847</v>
      </c>
      <c r="CT57" s="37" t="s">
        <v>384</v>
      </c>
    </row>
    <row r="58" spans="1:98" s="35" customFormat="1" x14ac:dyDescent="0.35">
      <c r="A58" s="34" t="s">
        <v>293</v>
      </c>
      <c r="B58" s="34" t="s">
        <v>342</v>
      </c>
      <c r="C58" s="35" t="s">
        <v>316</v>
      </c>
      <c r="D58" s="35">
        <v>2019</v>
      </c>
      <c r="E58" s="34" t="s">
        <v>318</v>
      </c>
      <c r="F58" s="34" t="s">
        <v>319</v>
      </c>
      <c r="G58" s="35" t="s">
        <v>78</v>
      </c>
      <c r="H58" s="35">
        <v>1</v>
      </c>
      <c r="I58" s="35" t="s">
        <v>290</v>
      </c>
      <c r="J58" s="35" t="s">
        <v>79</v>
      </c>
      <c r="K58" s="35">
        <v>657</v>
      </c>
      <c r="L58" s="35" t="s">
        <v>129</v>
      </c>
      <c r="M58" s="35" t="s">
        <v>381</v>
      </c>
      <c r="N58" s="35">
        <v>-0.43</v>
      </c>
      <c r="O58" s="35">
        <v>0.25</v>
      </c>
      <c r="P58" s="89">
        <f t="shared" si="0"/>
        <v>-1.72</v>
      </c>
      <c r="Q58" s="35" t="s">
        <v>312</v>
      </c>
      <c r="R58" s="89">
        <f t="shared" si="1"/>
        <v>-0.91999999999999993</v>
      </c>
      <c r="S58" s="89">
        <f t="shared" si="2"/>
        <v>0.06</v>
      </c>
      <c r="T58" s="35">
        <v>1</v>
      </c>
      <c r="U58" s="35">
        <v>5054</v>
      </c>
      <c r="V58" s="35" t="s">
        <v>312</v>
      </c>
      <c r="W58" s="35">
        <v>0</v>
      </c>
      <c r="X58" s="35">
        <f t="shared" si="3"/>
        <v>5054</v>
      </c>
      <c r="Y58" s="89">
        <f t="shared" si="4"/>
        <v>-2.4187097562168039E-2</v>
      </c>
      <c r="Z58" s="89">
        <f t="shared" si="5"/>
        <v>1.4062266024516304E-2</v>
      </c>
      <c r="AA58" s="89">
        <f t="shared" si="16"/>
        <v>-2.4187097562168039E-2</v>
      </c>
      <c r="AB58" s="35" t="s">
        <v>81</v>
      </c>
      <c r="AC58" s="89">
        <f t="shared" si="14"/>
        <v>-4.2595800000000003E-2</v>
      </c>
      <c r="AD58" s="89" cm="1">
        <f t="array" ref="AD58">_xlfn.IFS(
AND(L58="marginal_effect",M58="level"),N58*AN58/BF58, AND(L58="marginal_effect",M58="percent_of_mean"),N58*AN58/100,
AND(L58="marginal_effect",M58="sd (Y)"),N58*BH58*AN58/BF58,
AND(L58="marginal_effect",M58="sd (X)"),N58/AQ58*AN58/BF58,
AND(L58="semi_elasticity",M58="level"),N58*AN58,
AND(L58="semi_elasticity",M58="sd (Y)"),N58*AN58*BH58,
AND(L58="semi_elasticity",M58="sd (X)"),N58*AN58/AQ58,
AND(L58="level-log",M58="level"),N58/BF58,
AND(L58="level-log",M58="sd (X)"),N58/BF58/AQ58,
AND(L58="level-log",M58="sd (Y)"),N58/BF58*BH58,
AND(L58="elasticity",M58="level"),N58,
AND(L58="elasticity",M58="sd (X)"),N58/AQ58,
AND(L58="elasticity",M58="sd (Y)"),N58*BH58,
AND(L58="marginal_effect",M58="percent_of_mean"),N58*AN58/BF58/10)</f>
        <v>-4.2595800000000003E-2</v>
      </c>
      <c r="AE58" s="49">
        <f t="shared" si="8"/>
        <v>1</v>
      </c>
      <c r="AF58" s="89">
        <f t="shared" si="15"/>
        <v>2.4765000000000002E-2</v>
      </c>
      <c r="AG58" s="89" cm="1">
        <f t="array" ref="AG58">_xlfn.IFS(
AND(L58="marginal_effect",M58="level"),O58*AN58/BF58,
AND(L58="marginal_effect",M58="sd (Y)"),O58*BH58*AN58/BF58,
AND(L58="marginal_effect",M58="sd (X)"),O58/AQ58*AN58/BF58,
AND(L58="semi_elasticity",M58="level"),O58*AN58,
AND(L58="semi_elasticity",M58="sd (Y)"),O58*AN58*BH58,
AND(L58="semi_elasticity",M58="sd (X)"),O58*AN58/AQ58,
AND(L58="level-log",M58="level"),O58/BF58,
AND(L58="level-log",M58="sd (X)"),O58/BF58/AQ58,
AND(L58="level-log",M58="sd (Y)"),O58/BF58*BH58,
AND(L58="elasticity",M58="level"),O58,
AND(L58="elasticity",M58="sd (X)"),O58/AQ58,
AND(L58="elasticity",M58="sd (Y)"),O58*BH58,
AND(L58="marginal_effect",M58="percent_of_mean"),O58*AN58/BF58/10)</f>
        <v>2.0706521739130438E-3</v>
      </c>
      <c r="AH58" s="49">
        <f t="shared" si="10"/>
        <v>0</v>
      </c>
      <c r="AI58" s="89">
        <f t="shared" si="17"/>
        <v>-4.2595800000000003E-2</v>
      </c>
      <c r="AJ58" s="49">
        <v>0</v>
      </c>
      <c r="AK58" s="49">
        <f t="shared" si="12"/>
        <v>1</v>
      </c>
      <c r="AL58" s="35" t="s">
        <v>82</v>
      </c>
      <c r="AM58" s="35" t="s">
        <v>296</v>
      </c>
      <c r="AN58" s="35">
        <v>9.9060000000000006</v>
      </c>
      <c r="AO58" s="35">
        <v>0</v>
      </c>
      <c r="AP58" s="35">
        <f t="shared" si="13"/>
        <v>99.06</v>
      </c>
      <c r="AQ58" s="35">
        <v>49.79</v>
      </c>
      <c r="AR58" s="35">
        <v>23.55</v>
      </c>
      <c r="AS58" s="35">
        <v>342.58</v>
      </c>
      <c r="AT58" s="35" t="s">
        <v>83</v>
      </c>
      <c r="AV58" s="35" t="s">
        <v>133</v>
      </c>
      <c r="AW58" s="35" t="s">
        <v>85</v>
      </c>
      <c r="AX58" s="35" t="s">
        <v>110</v>
      </c>
      <c r="AY58" s="35">
        <v>0</v>
      </c>
      <c r="AZ58" s="35">
        <v>25</v>
      </c>
      <c r="BA58" s="35" t="s">
        <v>87</v>
      </c>
      <c r="BB58" s="35" t="s">
        <v>88</v>
      </c>
      <c r="BC58" s="35" t="s">
        <v>89</v>
      </c>
      <c r="BD58" s="35" t="s">
        <v>114</v>
      </c>
      <c r="BE58" s="35" t="s">
        <v>292</v>
      </c>
      <c r="BF58" s="35">
        <v>119.6</v>
      </c>
      <c r="BG58" s="35">
        <v>0</v>
      </c>
      <c r="BH58" s="35" t="s">
        <v>312</v>
      </c>
      <c r="BI58" s="35" t="s">
        <v>312</v>
      </c>
      <c r="BJ58" s="35" t="s">
        <v>312</v>
      </c>
      <c r="BK58" s="35" t="s">
        <v>91</v>
      </c>
      <c r="BL58" s="35" t="s">
        <v>84</v>
      </c>
      <c r="BM58" s="35">
        <v>1</v>
      </c>
      <c r="BN58" s="35" t="s">
        <v>2177</v>
      </c>
      <c r="BO58" s="35" t="s">
        <v>289</v>
      </c>
      <c r="BP58" s="35" t="s">
        <v>315</v>
      </c>
      <c r="BQ58" s="35" t="s">
        <v>117</v>
      </c>
      <c r="BR58" s="35" t="s">
        <v>93</v>
      </c>
      <c r="BS58" s="35" t="s">
        <v>312</v>
      </c>
      <c r="BT58" s="35" t="s">
        <v>312</v>
      </c>
      <c r="BU58" s="36">
        <v>41730</v>
      </c>
      <c r="BV58" s="36">
        <v>42155</v>
      </c>
      <c r="BW58" s="35" t="s">
        <v>94</v>
      </c>
      <c r="BX58" s="35" t="s">
        <v>95</v>
      </c>
      <c r="BY58" s="35" t="s">
        <v>140</v>
      </c>
      <c r="BZ58" s="35">
        <v>1</v>
      </c>
      <c r="CA58" s="35">
        <v>1</v>
      </c>
      <c r="CB58" s="35" t="s">
        <v>303</v>
      </c>
      <c r="CC58" s="35" t="s">
        <v>314</v>
      </c>
      <c r="CD58" s="35">
        <v>0</v>
      </c>
      <c r="CE58" s="35" t="s">
        <v>97</v>
      </c>
      <c r="CF58" s="35">
        <v>0</v>
      </c>
      <c r="CG58" s="35" t="s">
        <v>97</v>
      </c>
      <c r="CH58" s="35">
        <v>1</v>
      </c>
      <c r="CI58" s="35" t="s">
        <v>376</v>
      </c>
      <c r="CJ58" s="35" t="s">
        <v>377</v>
      </c>
      <c r="CK58" s="35">
        <v>64</v>
      </c>
      <c r="CL58" s="35">
        <v>0</v>
      </c>
      <c r="CM58" s="35">
        <v>1</v>
      </c>
      <c r="CN58" s="35" t="s">
        <v>99</v>
      </c>
      <c r="CO58" s="35" t="s">
        <v>97</v>
      </c>
      <c r="CP58" s="35" t="s">
        <v>100</v>
      </c>
      <c r="CQ58" s="35" t="s">
        <v>101</v>
      </c>
      <c r="CR58" s="36">
        <v>45847</v>
      </c>
      <c r="CT58" s="37" t="s">
        <v>384</v>
      </c>
    </row>
    <row r="59" spans="1:98" s="35" customFormat="1" x14ac:dyDescent="0.35">
      <c r="A59" s="34" t="s">
        <v>293</v>
      </c>
      <c r="B59" s="34" t="s">
        <v>343</v>
      </c>
      <c r="C59" s="35" t="s">
        <v>316</v>
      </c>
      <c r="D59" s="35">
        <v>2019</v>
      </c>
      <c r="E59" s="34" t="s">
        <v>318</v>
      </c>
      <c r="F59" s="34" t="s">
        <v>319</v>
      </c>
      <c r="G59" s="35" t="s">
        <v>78</v>
      </c>
      <c r="H59" s="35">
        <v>1</v>
      </c>
      <c r="I59" s="35" t="s">
        <v>290</v>
      </c>
      <c r="J59" s="35" t="s">
        <v>79</v>
      </c>
      <c r="K59" s="35">
        <v>657</v>
      </c>
      <c r="L59" s="35" t="s">
        <v>129</v>
      </c>
      <c r="M59" s="35" t="s">
        <v>381</v>
      </c>
      <c r="N59" s="35">
        <v>-0.64</v>
      </c>
      <c r="O59" s="35">
        <v>0.34</v>
      </c>
      <c r="P59" s="89">
        <f t="shared" si="0"/>
        <v>-1.8823529411764706</v>
      </c>
      <c r="Q59" s="35" t="s">
        <v>312</v>
      </c>
      <c r="R59" s="89">
        <f t="shared" si="1"/>
        <v>-1.3064</v>
      </c>
      <c r="S59" s="89">
        <f t="shared" si="2"/>
        <v>2.6399999999999979E-2</v>
      </c>
      <c r="T59" s="35">
        <v>1</v>
      </c>
      <c r="U59" s="35">
        <v>5054</v>
      </c>
      <c r="V59" s="35" t="s">
        <v>312</v>
      </c>
      <c r="W59" s="35">
        <v>0</v>
      </c>
      <c r="X59" s="35">
        <f t="shared" si="3"/>
        <v>5054</v>
      </c>
      <c r="Y59" s="89">
        <f t="shared" si="4"/>
        <v>-2.6468617267124555E-2</v>
      </c>
      <c r="Z59" s="89">
        <f t="shared" si="5"/>
        <v>1.406145292315992E-2</v>
      </c>
      <c r="AA59" s="89">
        <f t="shared" si="16"/>
        <v>-2.6468617267124555E-2</v>
      </c>
      <c r="AB59" s="35" t="s">
        <v>81</v>
      </c>
      <c r="AC59" s="89">
        <f t="shared" si="14"/>
        <v>-6.3398400000000008E-2</v>
      </c>
      <c r="AD59" s="89" cm="1">
        <f t="array" ref="AD59">_xlfn.IFS(
AND(L59="marginal_effect",M59="level"),N59*AN59/BF59, AND(L59="marginal_effect",M59="percent_of_mean"),N59*AN59/100,
AND(L59="marginal_effect",M59="sd (Y)"),N59*BH59*AN59/BF59,
AND(L59="marginal_effect",M59="sd (X)"),N59/AQ59*AN59/BF59,
AND(L59="semi_elasticity",M59="level"),N59*AN59,
AND(L59="semi_elasticity",M59="sd (Y)"),N59*AN59*BH59,
AND(L59="semi_elasticity",M59="sd (X)"),N59*AN59/AQ59,
AND(L59="level-log",M59="level"),N59/BF59,
AND(L59="level-log",M59="sd (X)"),N59/BF59/AQ59,
AND(L59="level-log",M59="sd (Y)"),N59/BF59*BH59,
AND(L59="elasticity",M59="level"),N59,
AND(L59="elasticity",M59="sd (X)"),N59/AQ59,
AND(L59="elasticity",M59="sd (Y)"),N59*BH59,
AND(L59="marginal_effect",M59="percent_of_mean"),N59*AN59/BF59/10)</f>
        <v>-6.3398400000000008E-2</v>
      </c>
      <c r="AE59" s="49">
        <f t="shared" si="8"/>
        <v>1</v>
      </c>
      <c r="AF59" s="89">
        <f t="shared" si="15"/>
        <v>3.3680400000000006E-2</v>
      </c>
      <c r="AG59" s="89" cm="1">
        <f t="array" ref="AG59">_xlfn.IFS(
AND(L59="marginal_effect",M59="level"),O59*AN59/BF59,
AND(L59="marginal_effect",M59="sd (Y)"),O59*BH59*AN59/BF59,
AND(L59="marginal_effect",M59="sd (X)"),O59/AQ59*AN59/BF59,
AND(L59="semi_elasticity",M59="level"),O59*AN59,
AND(L59="semi_elasticity",M59="sd (Y)"),O59*AN59*BH59,
AND(L59="semi_elasticity",M59="sd (X)"),O59*AN59/AQ59,
AND(L59="level-log",M59="level"),O59/BF59,
AND(L59="level-log",M59="sd (X)"),O59/BF59/AQ59,
AND(L59="level-log",M59="sd (Y)"),O59/BF59*BH59,
AND(L59="elasticity",M59="level"),O59,
AND(L59="elasticity",M59="sd (X)"),O59/AQ59,
AND(L59="elasticity",M59="sd (Y)"),O59*BH59,
AND(L59="marginal_effect",M59="percent_of_mean"),O59*AN59/BF59/10)</f>
        <v>2.81608695652174E-3</v>
      </c>
      <c r="AH59" s="49">
        <f t="shared" si="10"/>
        <v>0</v>
      </c>
      <c r="AI59" s="89">
        <f t="shared" si="17"/>
        <v>-6.3398400000000008E-2</v>
      </c>
      <c r="AJ59" s="49">
        <v>0</v>
      </c>
      <c r="AK59" s="49">
        <f t="shared" si="12"/>
        <v>1</v>
      </c>
      <c r="AL59" s="35" t="s">
        <v>82</v>
      </c>
      <c r="AM59" s="35" t="s">
        <v>296</v>
      </c>
      <c r="AN59" s="35">
        <v>9.9060000000000006</v>
      </c>
      <c r="AO59" s="35">
        <v>0</v>
      </c>
      <c r="AP59" s="35">
        <f t="shared" si="13"/>
        <v>99.06</v>
      </c>
      <c r="AQ59" s="35">
        <v>49.79</v>
      </c>
      <c r="AR59" s="35">
        <v>23.55</v>
      </c>
      <c r="AS59" s="35">
        <v>342.58</v>
      </c>
      <c r="AT59" s="35" t="s">
        <v>83</v>
      </c>
      <c r="AV59" s="35" t="s">
        <v>133</v>
      </c>
      <c r="AW59" s="35" t="s">
        <v>85</v>
      </c>
      <c r="AX59" s="35" t="s">
        <v>110</v>
      </c>
      <c r="AY59" s="35">
        <v>0</v>
      </c>
      <c r="AZ59" s="35">
        <v>30</v>
      </c>
      <c r="BA59" s="35" t="s">
        <v>87</v>
      </c>
      <c r="BB59" s="35" t="s">
        <v>88</v>
      </c>
      <c r="BC59" s="35" t="s">
        <v>89</v>
      </c>
      <c r="BD59" s="35" t="s">
        <v>114</v>
      </c>
      <c r="BE59" s="35" t="s">
        <v>292</v>
      </c>
      <c r="BF59" s="35">
        <v>119.6</v>
      </c>
      <c r="BG59" s="35">
        <v>0</v>
      </c>
      <c r="BH59" s="35" t="s">
        <v>312</v>
      </c>
      <c r="BI59" s="35" t="s">
        <v>312</v>
      </c>
      <c r="BJ59" s="35" t="s">
        <v>312</v>
      </c>
      <c r="BK59" s="35" t="s">
        <v>91</v>
      </c>
      <c r="BL59" s="35" t="s">
        <v>84</v>
      </c>
      <c r="BM59" s="35">
        <v>1</v>
      </c>
      <c r="BN59" s="35" t="s">
        <v>2177</v>
      </c>
      <c r="BO59" s="35" t="s">
        <v>289</v>
      </c>
      <c r="BP59" s="35" t="s">
        <v>315</v>
      </c>
      <c r="BQ59" s="35" t="s">
        <v>117</v>
      </c>
      <c r="BR59" s="35" t="s">
        <v>93</v>
      </c>
      <c r="BS59" s="35" t="s">
        <v>312</v>
      </c>
      <c r="BT59" s="35" t="s">
        <v>312</v>
      </c>
      <c r="BU59" s="36">
        <v>41730</v>
      </c>
      <c r="BV59" s="36">
        <v>42155</v>
      </c>
      <c r="BW59" s="35" t="s">
        <v>94</v>
      </c>
      <c r="BX59" s="35" t="s">
        <v>95</v>
      </c>
      <c r="BY59" s="35" t="s">
        <v>140</v>
      </c>
      <c r="BZ59" s="35">
        <v>1</v>
      </c>
      <c r="CA59" s="35">
        <v>1</v>
      </c>
      <c r="CB59" s="35" t="s">
        <v>303</v>
      </c>
      <c r="CC59" s="35" t="s">
        <v>314</v>
      </c>
      <c r="CD59" s="35">
        <v>0</v>
      </c>
      <c r="CE59" s="35" t="s">
        <v>97</v>
      </c>
      <c r="CF59" s="35">
        <v>0</v>
      </c>
      <c r="CG59" s="35" t="s">
        <v>97</v>
      </c>
      <c r="CH59" s="35">
        <v>1</v>
      </c>
      <c r="CI59" s="35" t="s">
        <v>376</v>
      </c>
      <c r="CJ59" s="35" t="s">
        <v>377</v>
      </c>
      <c r="CK59" s="35">
        <v>64</v>
      </c>
      <c r="CL59" s="35">
        <v>0</v>
      </c>
      <c r="CM59" s="35">
        <v>1</v>
      </c>
      <c r="CN59" s="35" t="s">
        <v>99</v>
      </c>
      <c r="CO59" s="35" t="s">
        <v>97</v>
      </c>
      <c r="CP59" s="35" t="s">
        <v>100</v>
      </c>
      <c r="CQ59" s="35" t="s">
        <v>101</v>
      </c>
      <c r="CR59" s="36">
        <v>45847</v>
      </c>
      <c r="CT59" s="37" t="s">
        <v>384</v>
      </c>
    </row>
    <row r="60" spans="1:98" s="35" customFormat="1" x14ac:dyDescent="0.35">
      <c r="A60" s="34" t="s">
        <v>293</v>
      </c>
      <c r="B60" s="34" t="s">
        <v>344</v>
      </c>
      <c r="C60" s="35" t="s">
        <v>316</v>
      </c>
      <c r="D60" s="35">
        <v>2019</v>
      </c>
      <c r="E60" s="34" t="s">
        <v>318</v>
      </c>
      <c r="F60" s="34" t="s">
        <v>319</v>
      </c>
      <c r="G60" s="35" t="s">
        <v>78</v>
      </c>
      <c r="H60" s="35">
        <v>1</v>
      </c>
      <c r="I60" s="35" t="s">
        <v>290</v>
      </c>
      <c r="J60" s="35" t="s">
        <v>79</v>
      </c>
      <c r="K60" s="35">
        <v>657</v>
      </c>
      <c r="L60" s="35" t="s">
        <v>129</v>
      </c>
      <c r="M60" s="35" t="s">
        <v>381</v>
      </c>
      <c r="N60" s="35">
        <v>0.35</v>
      </c>
      <c r="O60" s="35">
        <v>0.33</v>
      </c>
      <c r="P60" s="89">
        <f t="shared" si="0"/>
        <v>1.0606060606060606</v>
      </c>
      <c r="Q60" s="35" t="s">
        <v>312</v>
      </c>
      <c r="R60" s="89">
        <f t="shared" si="1"/>
        <v>-0.29680000000000006</v>
      </c>
      <c r="S60" s="89">
        <f t="shared" si="2"/>
        <v>0.99680000000000002</v>
      </c>
      <c r="T60" s="35">
        <v>1</v>
      </c>
      <c r="U60" s="35">
        <v>5054</v>
      </c>
      <c r="V60" s="35" t="s">
        <v>312</v>
      </c>
      <c r="W60" s="35">
        <v>0</v>
      </c>
      <c r="X60" s="35">
        <f t="shared" si="3"/>
        <v>5054</v>
      </c>
      <c r="Y60" s="89">
        <f t="shared" si="4"/>
        <v>1.491722910623521E-2</v>
      </c>
      <c r="Z60" s="89">
        <f t="shared" si="5"/>
        <v>1.4064816014450339E-2</v>
      </c>
      <c r="AA60" s="89">
        <f t="shared" si="16"/>
        <v>1.491722910623521E-2</v>
      </c>
      <c r="AB60" s="35" t="s">
        <v>81</v>
      </c>
      <c r="AC60" s="89">
        <f t="shared" si="14"/>
        <v>2.1339500000000001E-2</v>
      </c>
      <c r="AD60" s="89" cm="1">
        <f t="array" ref="AD60">_xlfn.IFS(
AND(L60="marginal_effect",M60="level"),N60*AN60/BF60, AND(L60="marginal_effect",M60="percent_of_mean"),N60*AN60/100,
AND(L60="marginal_effect",M60="sd (Y)"),N60*BH60*AN60/BF60,
AND(L60="marginal_effect",M60="sd (X)"),N60/AQ60*AN60/BF60,
AND(L60="semi_elasticity",M60="level"),N60*AN60,
AND(L60="semi_elasticity",M60="sd (Y)"),N60*AN60*BH60,
AND(L60="semi_elasticity",M60="sd (X)"),N60*AN60/AQ60,
AND(L60="level-log",M60="level"),N60/BF60,
AND(L60="level-log",M60="sd (X)"),N60/BF60/AQ60,
AND(L60="level-log",M60="sd (Y)"),N60/BF60*BH60,
AND(L60="elasticity",M60="level"),N60,
AND(L60="elasticity",M60="sd (X)"),N60/AQ60,
AND(L60="elasticity",M60="sd (Y)"),N60*BH60,
AND(L60="marginal_effect",M60="percent_of_mean"),N60*AN60/BF60/10)</f>
        <v>2.1339500000000001E-2</v>
      </c>
      <c r="AE60" s="49">
        <f t="shared" si="8"/>
        <v>1</v>
      </c>
      <c r="AF60" s="89">
        <f t="shared" si="15"/>
        <v>2.0120100000000002E-2</v>
      </c>
      <c r="AG60" s="89" cm="1">
        <f t="array" ref="AG60">_xlfn.IFS(
AND(L60="marginal_effect",M60="level"),O60*AN60/BF60,
AND(L60="marginal_effect",M60="sd (Y)"),O60*BH60*AN60/BF60,
AND(L60="marginal_effect",M60="sd (X)"),O60/AQ60*AN60/BF60,
AND(L60="semi_elasticity",M60="level"),O60*AN60,
AND(L60="semi_elasticity",M60="sd (Y)"),O60*AN60*BH60,
AND(L60="semi_elasticity",M60="sd (X)"),O60*AN60/AQ60,
AND(L60="level-log",M60="level"),O60/BF60,
AND(L60="level-log",M60="sd (X)"),O60/BF60/AQ60,
AND(L60="level-log",M60="sd (Y)"),O60/BF60*BH60,
AND(L60="elasticity",M60="level"),O60,
AND(L60="elasticity",M60="sd (X)"),O60/AQ60,
AND(L60="elasticity",M60="sd (Y)"),O60*BH60,
AND(L60="marginal_effect",M60="percent_of_mean"),O60*AN60/BF60/10)</f>
        <v>1.6822826086956525E-3</v>
      </c>
      <c r="AH60" s="49">
        <f t="shared" si="10"/>
        <v>0</v>
      </c>
      <c r="AI60" s="89">
        <f t="shared" si="17"/>
        <v>2.1339500000000001E-2</v>
      </c>
      <c r="AJ60" s="49">
        <v>0</v>
      </c>
      <c r="AK60" s="49">
        <f t="shared" si="12"/>
        <v>1</v>
      </c>
      <c r="AL60" s="35" t="s">
        <v>159</v>
      </c>
      <c r="AM60" s="35" t="s">
        <v>296</v>
      </c>
      <c r="AN60" s="35">
        <v>6.0970000000000004</v>
      </c>
      <c r="AO60" s="35">
        <v>0</v>
      </c>
      <c r="AP60" s="35">
        <f t="shared" si="13"/>
        <v>60.970000000000006</v>
      </c>
      <c r="AQ60" s="35">
        <v>40.840000000000003</v>
      </c>
      <c r="AR60" s="35">
        <v>8.33</v>
      </c>
      <c r="AS60" s="35">
        <v>293.10000000000002</v>
      </c>
      <c r="AT60" s="35" t="s">
        <v>83</v>
      </c>
      <c r="AV60" s="35" t="s">
        <v>133</v>
      </c>
      <c r="AW60" s="35" t="s">
        <v>85</v>
      </c>
      <c r="AX60" s="35" t="s">
        <v>110</v>
      </c>
      <c r="AY60" s="35">
        <v>0</v>
      </c>
      <c r="AZ60" s="35">
        <v>5</v>
      </c>
      <c r="BA60" s="35" t="s">
        <v>87</v>
      </c>
      <c r="BB60" s="35" t="s">
        <v>88</v>
      </c>
      <c r="BC60" s="35" t="s">
        <v>89</v>
      </c>
      <c r="BD60" s="35" t="s">
        <v>114</v>
      </c>
      <c r="BE60" s="35" t="s">
        <v>292</v>
      </c>
      <c r="BF60" s="35">
        <v>119.6</v>
      </c>
      <c r="BG60" s="35">
        <v>0</v>
      </c>
      <c r="BH60" s="35" t="s">
        <v>312</v>
      </c>
      <c r="BI60" s="35" t="s">
        <v>312</v>
      </c>
      <c r="BJ60" s="35" t="s">
        <v>312</v>
      </c>
      <c r="BK60" s="35" t="s">
        <v>91</v>
      </c>
      <c r="BL60" s="35" t="s">
        <v>84</v>
      </c>
      <c r="BM60" s="35">
        <v>1</v>
      </c>
      <c r="BN60" s="35" t="s">
        <v>2177</v>
      </c>
      <c r="BO60" s="35" t="s">
        <v>289</v>
      </c>
      <c r="BP60" s="35" t="s">
        <v>315</v>
      </c>
      <c r="BQ60" s="35" t="s">
        <v>117</v>
      </c>
      <c r="BR60" s="35" t="s">
        <v>93</v>
      </c>
      <c r="BS60" s="35" t="s">
        <v>312</v>
      </c>
      <c r="BT60" s="35" t="s">
        <v>312</v>
      </c>
      <c r="BU60" s="36">
        <v>41730</v>
      </c>
      <c r="BV60" s="36">
        <v>42155</v>
      </c>
      <c r="BW60" s="35" t="s">
        <v>94</v>
      </c>
      <c r="BX60" s="35" t="s">
        <v>95</v>
      </c>
      <c r="BY60" s="35" t="s">
        <v>140</v>
      </c>
      <c r="BZ60" s="35">
        <v>1</v>
      </c>
      <c r="CA60" s="35">
        <v>1</v>
      </c>
      <c r="CB60" s="35" t="s">
        <v>303</v>
      </c>
      <c r="CC60" s="35" t="s">
        <v>314</v>
      </c>
      <c r="CD60" s="35">
        <v>0</v>
      </c>
      <c r="CE60" s="35" t="s">
        <v>97</v>
      </c>
      <c r="CF60" s="35">
        <v>0</v>
      </c>
      <c r="CG60" s="35" t="s">
        <v>97</v>
      </c>
      <c r="CH60" s="35">
        <v>1</v>
      </c>
      <c r="CI60" s="35" t="s">
        <v>376</v>
      </c>
      <c r="CJ60" s="35" t="s">
        <v>377</v>
      </c>
      <c r="CK60" s="35">
        <v>64</v>
      </c>
      <c r="CL60" s="35">
        <v>0</v>
      </c>
      <c r="CM60" s="35">
        <v>1</v>
      </c>
      <c r="CN60" s="35" t="s">
        <v>99</v>
      </c>
      <c r="CO60" s="35" t="s">
        <v>97</v>
      </c>
      <c r="CP60" s="35" t="s">
        <v>100</v>
      </c>
      <c r="CQ60" s="35" t="s">
        <v>101</v>
      </c>
      <c r="CR60" s="36">
        <v>45847</v>
      </c>
      <c r="CT60" s="37" t="s">
        <v>384</v>
      </c>
    </row>
    <row r="61" spans="1:98" s="35" customFormat="1" x14ac:dyDescent="0.35">
      <c r="A61" s="34" t="s">
        <v>293</v>
      </c>
      <c r="B61" s="34" t="s">
        <v>345</v>
      </c>
      <c r="C61" s="35" t="s">
        <v>316</v>
      </c>
      <c r="D61" s="35">
        <v>2019</v>
      </c>
      <c r="E61" s="34" t="s">
        <v>318</v>
      </c>
      <c r="F61" s="34" t="s">
        <v>319</v>
      </c>
      <c r="G61" s="35" t="s">
        <v>78</v>
      </c>
      <c r="H61" s="35">
        <v>1</v>
      </c>
      <c r="I61" s="35" t="s">
        <v>290</v>
      </c>
      <c r="J61" s="35" t="s">
        <v>79</v>
      </c>
      <c r="K61" s="35">
        <v>657</v>
      </c>
      <c r="L61" s="35" t="s">
        <v>129</v>
      </c>
      <c r="M61" s="35" t="s">
        <v>381</v>
      </c>
      <c r="N61" s="35">
        <v>-0.42</v>
      </c>
      <c r="O61" s="35">
        <v>0.44</v>
      </c>
      <c r="P61" s="89">
        <f t="shared" si="0"/>
        <v>-0.95454545454545447</v>
      </c>
      <c r="Q61" s="35" t="s">
        <v>312</v>
      </c>
      <c r="R61" s="89">
        <f t="shared" si="1"/>
        <v>-1.2824</v>
      </c>
      <c r="S61" s="89">
        <f t="shared" si="2"/>
        <v>0.44239999999999996</v>
      </c>
      <c r="T61" s="35">
        <v>1</v>
      </c>
      <c r="U61" s="35">
        <v>5054</v>
      </c>
      <c r="V61" s="35" t="s">
        <v>312</v>
      </c>
      <c r="W61" s="35">
        <v>0</v>
      </c>
      <c r="X61" s="35">
        <f t="shared" si="3"/>
        <v>5054</v>
      </c>
      <c r="Y61" s="89">
        <f t="shared" si="4"/>
        <v>-1.3425790016507188E-2</v>
      </c>
      <c r="Z61" s="89">
        <f t="shared" si="5"/>
        <v>1.4065113350626579E-2</v>
      </c>
      <c r="AA61" s="89">
        <f t="shared" si="16"/>
        <v>-1.3425790016507188E-2</v>
      </c>
      <c r="AB61" s="35" t="s">
        <v>81</v>
      </c>
      <c r="AC61" s="89">
        <f t="shared" si="14"/>
        <v>-2.5607399999999999E-2</v>
      </c>
      <c r="AD61" s="89" cm="1">
        <f t="array" ref="AD61">_xlfn.IFS(
AND(L61="marginal_effect",M61="level"),N61*AN61/BF61, AND(L61="marginal_effect",M61="percent_of_mean"),N61*AN61/100,
AND(L61="marginal_effect",M61="sd (Y)"),N61*BH61*AN61/BF61,
AND(L61="marginal_effect",M61="sd (X)"),N61/AQ61*AN61/BF61,
AND(L61="semi_elasticity",M61="level"),N61*AN61,
AND(L61="semi_elasticity",M61="sd (Y)"),N61*AN61*BH61,
AND(L61="semi_elasticity",M61="sd (X)"),N61*AN61/AQ61,
AND(L61="level-log",M61="level"),N61/BF61,
AND(L61="level-log",M61="sd (X)"),N61/BF61/AQ61,
AND(L61="level-log",M61="sd (Y)"),N61/BF61*BH61,
AND(L61="elasticity",M61="level"),N61,
AND(L61="elasticity",M61="sd (X)"),N61/AQ61,
AND(L61="elasticity",M61="sd (Y)"),N61*BH61,
AND(L61="marginal_effect",M61="percent_of_mean"),N61*AN61/BF61/10)</f>
        <v>-2.5607399999999999E-2</v>
      </c>
      <c r="AE61" s="49">
        <f t="shared" si="8"/>
        <v>1</v>
      </c>
      <c r="AF61" s="89">
        <f t="shared" si="15"/>
        <v>2.6826800000000005E-2</v>
      </c>
      <c r="AG61" s="89" cm="1">
        <f t="array" ref="AG61">_xlfn.IFS(
AND(L61="marginal_effect",M61="level"),O61*AN61/BF61,
AND(L61="marginal_effect",M61="sd (Y)"),O61*BH61*AN61/BF61,
AND(L61="marginal_effect",M61="sd (X)"),O61/AQ61*AN61/BF61,
AND(L61="semi_elasticity",M61="level"),O61*AN61,
AND(L61="semi_elasticity",M61="sd (Y)"),O61*AN61*BH61,
AND(L61="semi_elasticity",M61="sd (X)"),O61*AN61/AQ61,
AND(L61="level-log",M61="level"),O61/BF61,
AND(L61="level-log",M61="sd (X)"),O61/BF61/AQ61,
AND(L61="level-log",M61="sd (Y)"),O61/BF61*BH61,
AND(L61="elasticity",M61="level"),O61,
AND(L61="elasticity",M61="sd (X)"),O61/AQ61,
AND(L61="elasticity",M61="sd (Y)"),O61*BH61,
AND(L61="marginal_effect",M61="percent_of_mean"),O61*AN61/BF61/10)</f>
        <v>2.2430434782608698E-3</v>
      </c>
      <c r="AH61" s="49">
        <f t="shared" si="10"/>
        <v>0</v>
      </c>
      <c r="AI61" s="89">
        <f t="shared" si="17"/>
        <v>-2.5607399999999999E-2</v>
      </c>
      <c r="AJ61" s="49">
        <v>0</v>
      </c>
      <c r="AK61" s="49">
        <f t="shared" si="12"/>
        <v>1</v>
      </c>
      <c r="AL61" s="35" t="s">
        <v>159</v>
      </c>
      <c r="AM61" s="35" t="s">
        <v>296</v>
      </c>
      <c r="AN61" s="35">
        <v>6.0970000000000004</v>
      </c>
      <c r="AO61" s="35">
        <v>0</v>
      </c>
      <c r="AP61" s="35">
        <f t="shared" si="13"/>
        <v>60.970000000000006</v>
      </c>
      <c r="AQ61" s="35">
        <v>40.840000000000003</v>
      </c>
      <c r="AR61" s="35">
        <v>8.33</v>
      </c>
      <c r="AS61" s="35">
        <v>293.10000000000002</v>
      </c>
      <c r="AT61" s="35" t="s">
        <v>83</v>
      </c>
      <c r="AV61" s="35" t="s">
        <v>133</v>
      </c>
      <c r="AW61" s="35" t="s">
        <v>85</v>
      </c>
      <c r="AX61" s="35" t="s">
        <v>110</v>
      </c>
      <c r="AY61" s="35">
        <v>0</v>
      </c>
      <c r="AZ61" s="35">
        <v>10</v>
      </c>
      <c r="BA61" s="35" t="s">
        <v>87</v>
      </c>
      <c r="BB61" s="35" t="s">
        <v>88</v>
      </c>
      <c r="BC61" s="35" t="s">
        <v>89</v>
      </c>
      <c r="BD61" s="35" t="s">
        <v>114</v>
      </c>
      <c r="BE61" s="35" t="s">
        <v>292</v>
      </c>
      <c r="BF61" s="35">
        <v>119.6</v>
      </c>
      <c r="BG61" s="35">
        <v>0</v>
      </c>
      <c r="BH61" s="35" t="s">
        <v>312</v>
      </c>
      <c r="BI61" s="35" t="s">
        <v>312</v>
      </c>
      <c r="BJ61" s="35" t="s">
        <v>312</v>
      </c>
      <c r="BK61" s="35" t="s">
        <v>91</v>
      </c>
      <c r="BL61" s="35" t="s">
        <v>84</v>
      </c>
      <c r="BM61" s="35">
        <v>1</v>
      </c>
      <c r="BN61" s="35" t="s">
        <v>2177</v>
      </c>
      <c r="BO61" s="35" t="s">
        <v>289</v>
      </c>
      <c r="BP61" s="35" t="s">
        <v>315</v>
      </c>
      <c r="BQ61" s="35" t="s">
        <v>117</v>
      </c>
      <c r="BR61" s="35" t="s">
        <v>93</v>
      </c>
      <c r="BS61" s="35" t="s">
        <v>312</v>
      </c>
      <c r="BT61" s="35" t="s">
        <v>312</v>
      </c>
      <c r="BU61" s="36">
        <v>41730</v>
      </c>
      <c r="BV61" s="36">
        <v>42155</v>
      </c>
      <c r="BW61" s="35" t="s">
        <v>94</v>
      </c>
      <c r="BX61" s="35" t="s">
        <v>95</v>
      </c>
      <c r="BY61" s="35" t="s">
        <v>140</v>
      </c>
      <c r="BZ61" s="35">
        <v>1</v>
      </c>
      <c r="CA61" s="35">
        <v>1</v>
      </c>
      <c r="CB61" s="35" t="s">
        <v>303</v>
      </c>
      <c r="CC61" s="35" t="s">
        <v>314</v>
      </c>
      <c r="CD61" s="35">
        <v>0</v>
      </c>
      <c r="CE61" s="35" t="s">
        <v>97</v>
      </c>
      <c r="CF61" s="35">
        <v>0</v>
      </c>
      <c r="CG61" s="35" t="s">
        <v>97</v>
      </c>
      <c r="CH61" s="35">
        <v>1</v>
      </c>
      <c r="CI61" s="35" t="s">
        <v>376</v>
      </c>
      <c r="CJ61" s="35" t="s">
        <v>377</v>
      </c>
      <c r="CK61" s="35">
        <v>64</v>
      </c>
      <c r="CL61" s="35">
        <v>0</v>
      </c>
      <c r="CM61" s="35">
        <v>1</v>
      </c>
      <c r="CN61" s="35" t="s">
        <v>99</v>
      </c>
      <c r="CO61" s="35" t="s">
        <v>97</v>
      </c>
      <c r="CP61" s="35" t="s">
        <v>100</v>
      </c>
      <c r="CQ61" s="35" t="s">
        <v>101</v>
      </c>
      <c r="CR61" s="36">
        <v>45847</v>
      </c>
      <c r="CT61" s="37" t="s">
        <v>384</v>
      </c>
    </row>
    <row r="62" spans="1:98" s="35" customFormat="1" x14ac:dyDescent="0.35">
      <c r="A62" s="34" t="s">
        <v>293</v>
      </c>
      <c r="B62" s="34" t="s">
        <v>346</v>
      </c>
      <c r="C62" s="35" t="s">
        <v>316</v>
      </c>
      <c r="D62" s="35">
        <v>2019</v>
      </c>
      <c r="E62" s="34" t="s">
        <v>318</v>
      </c>
      <c r="F62" s="34" t="s">
        <v>319</v>
      </c>
      <c r="G62" s="35" t="s">
        <v>78</v>
      </c>
      <c r="H62" s="35">
        <v>1</v>
      </c>
      <c r="I62" s="35" t="s">
        <v>290</v>
      </c>
      <c r="J62" s="35" t="s">
        <v>79</v>
      </c>
      <c r="K62" s="35">
        <v>657</v>
      </c>
      <c r="L62" s="35" t="s">
        <v>129</v>
      </c>
      <c r="M62" s="35" t="s">
        <v>381</v>
      </c>
      <c r="N62" s="35">
        <v>-1.02</v>
      </c>
      <c r="O62" s="35">
        <v>0.52</v>
      </c>
      <c r="P62" s="89">
        <f t="shared" si="0"/>
        <v>-1.9615384615384615</v>
      </c>
      <c r="Q62" s="35" t="s">
        <v>312</v>
      </c>
      <c r="R62" s="89">
        <f t="shared" si="1"/>
        <v>-2.0392000000000001</v>
      </c>
      <c r="S62" s="89">
        <f t="shared" si="2"/>
        <v>-7.9999999999991189E-4</v>
      </c>
      <c r="T62" s="35">
        <v>1</v>
      </c>
      <c r="U62" s="35">
        <v>5054</v>
      </c>
      <c r="V62" s="35" t="s">
        <v>312</v>
      </c>
      <c r="W62" s="35">
        <v>0</v>
      </c>
      <c r="X62" s="35">
        <f t="shared" si="3"/>
        <v>5054</v>
      </c>
      <c r="Y62" s="89">
        <f t="shared" si="4"/>
        <v>-2.7581250778583928E-2</v>
      </c>
      <c r="Z62" s="89">
        <f t="shared" si="5"/>
        <v>1.4061029808689847E-2</v>
      </c>
      <c r="AA62" s="89">
        <f t="shared" si="16"/>
        <v>-2.7581250778583928E-2</v>
      </c>
      <c r="AB62" s="35" t="s">
        <v>81</v>
      </c>
      <c r="AC62" s="89">
        <f t="shared" si="14"/>
        <v>-6.2189400000000006E-2</v>
      </c>
      <c r="AD62" s="89" cm="1">
        <f t="array" ref="AD62">_xlfn.IFS(
AND(L62="marginal_effect",M62="level"),N62*AN62/BF62, AND(L62="marginal_effect",M62="percent_of_mean"),N62*AN62/100,
AND(L62="marginal_effect",M62="sd (Y)"),N62*BH62*AN62/BF62,
AND(L62="marginal_effect",M62="sd (X)"),N62/AQ62*AN62/BF62,
AND(L62="semi_elasticity",M62="level"),N62*AN62,
AND(L62="semi_elasticity",M62="sd (Y)"),N62*AN62*BH62,
AND(L62="semi_elasticity",M62="sd (X)"),N62*AN62/AQ62,
AND(L62="level-log",M62="level"),N62/BF62,
AND(L62="level-log",M62="sd (X)"),N62/BF62/AQ62,
AND(L62="level-log",M62="sd (Y)"),N62/BF62*BH62,
AND(L62="elasticity",M62="level"),N62,
AND(L62="elasticity",M62="sd (X)"),N62/AQ62,
AND(L62="elasticity",M62="sd (Y)"),N62*BH62,
AND(L62="marginal_effect",M62="percent_of_mean"),N62*AN62/BF62/10)</f>
        <v>-6.2189400000000006E-2</v>
      </c>
      <c r="AE62" s="49">
        <f t="shared" si="8"/>
        <v>1</v>
      </c>
      <c r="AF62" s="89">
        <f t="shared" si="15"/>
        <v>3.1704400000000001E-2</v>
      </c>
      <c r="AG62" s="89" cm="1">
        <f t="array" ref="AG62">_xlfn.IFS(
AND(L62="marginal_effect",M62="level"),O62*AN62/BF62,
AND(L62="marginal_effect",M62="sd (Y)"),O62*BH62*AN62/BF62,
AND(L62="marginal_effect",M62="sd (X)"),O62/AQ62*AN62/BF62,
AND(L62="semi_elasticity",M62="level"),O62*AN62,
AND(L62="semi_elasticity",M62="sd (Y)"),O62*AN62*BH62,
AND(L62="semi_elasticity",M62="sd (X)"),O62*AN62/AQ62,
AND(L62="level-log",M62="level"),O62/BF62,
AND(L62="level-log",M62="sd (X)"),O62/BF62/AQ62,
AND(L62="level-log",M62="sd (Y)"),O62/BF62*BH62,
AND(L62="elasticity",M62="level"),O62,
AND(L62="elasticity",M62="sd (X)"),O62/AQ62,
AND(L62="elasticity",M62="sd (Y)"),O62*BH62,
AND(L62="marginal_effect",M62="percent_of_mean"),O62*AN62/BF62/10)</f>
        <v>2.6508695652173913E-3</v>
      </c>
      <c r="AH62" s="49">
        <f t="shared" si="10"/>
        <v>0</v>
      </c>
      <c r="AI62" s="89">
        <f t="shared" si="17"/>
        <v>-6.2189400000000006E-2</v>
      </c>
      <c r="AJ62" s="49">
        <v>0</v>
      </c>
      <c r="AK62" s="49">
        <f t="shared" si="12"/>
        <v>1</v>
      </c>
      <c r="AL62" s="35" t="s">
        <v>159</v>
      </c>
      <c r="AM62" s="35" t="s">
        <v>296</v>
      </c>
      <c r="AN62" s="35">
        <v>6.0970000000000004</v>
      </c>
      <c r="AO62" s="35">
        <v>0</v>
      </c>
      <c r="AP62" s="35">
        <f t="shared" si="13"/>
        <v>60.970000000000006</v>
      </c>
      <c r="AQ62" s="35">
        <v>40.840000000000003</v>
      </c>
      <c r="AR62" s="35">
        <v>8.33</v>
      </c>
      <c r="AS62" s="35">
        <v>293.10000000000002</v>
      </c>
      <c r="AT62" s="35" t="s">
        <v>83</v>
      </c>
      <c r="AV62" s="35" t="s">
        <v>133</v>
      </c>
      <c r="AW62" s="35" t="s">
        <v>85</v>
      </c>
      <c r="AX62" s="35" t="s">
        <v>110</v>
      </c>
      <c r="AY62" s="35">
        <v>0</v>
      </c>
      <c r="AZ62" s="35">
        <v>15</v>
      </c>
      <c r="BA62" s="35" t="s">
        <v>87</v>
      </c>
      <c r="BB62" s="35" t="s">
        <v>88</v>
      </c>
      <c r="BC62" s="35" t="s">
        <v>89</v>
      </c>
      <c r="BD62" s="35" t="s">
        <v>114</v>
      </c>
      <c r="BE62" s="35" t="s">
        <v>292</v>
      </c>
      <c r="BF62" s="35">
        <v>119.6</v>
      </c>
      <c r="BG62" s="35">
        <v>0</v>
      </c>
      <c r="BH62" s="35" t="s">
        <v>312</v>
      </c>
      <c r="BI62" s="35" t="s">
        <v>312</v>
      </c>
      <c r="BJ62" s="35" t="s">
        <v>312</v>
      </c>
      <c r="BK62" s="35" t="s">
        <v>91</v>
      </c>
      <c r="BL62" s="35" t="s">
        <v>84</v>
      </c>
      <c r="BM62" s="35">
        <v>1</v>
      </c>
      <c r="BN62" s="35" t="s">
        <v>2177</v>
      </c>
      <c r="BO62" s="35" t="s">
        <v>289</v>
      </c>
      <c r="BP62" s="35" t="s">
        <v>315</v>
      </c>
      <c r="BQ62" s="35" t="s">
        <v>117</v>
      </c>
      <c r="BR62" s="35" t="s">
        <v>93</v>
      </c>
      <c r="BS62" s="35" t="s">
        <v>312</v>
      </c>
      <c r="BT62" s="35" t="s">
        <v>312</v>
      </c>
      <c r="BU62" s="36">
        <v>41730</v>
      </c>
      <c r="BV62" s="36">
        <v>42155</v>
      </c>
      <c r="BW62" s="35" t="s">
        <v>94</v>
      </c>
      <c r="BX62" s="35" t="s">
        <v>95</v>
      </c>
      <c r="BY62" s="35" t="s">
        <v>140</v>
      </c>
      <c r="BZ62" s="35">
        <v>1</v>
      </c>
      <c r="CA62" s="35">
        <v>1</v>
      </c>
      <c r="CB62" s="35" t="s">
        <v>303</v>
      </c>
      <c r="CC62" s="35" t="s">
        <v>314</v>
      </c>
      <c r="CD62" s="35">
        <v>0</v>
      </c>
      <c r="CE62" s="35" t="s">
        <v>97</v>
      </c>
      <c r="CF62" s="35">
        <v>0</v>
      </c>
      <c r="CG62" s="35" t="s">
        <v>97</v>
      </c>
      <c r="CH62" s="35">
        <v>1</v>
      </c>
      <c r="CI62" s="35" t="s">
        <v>376</v>
      </c>
      <c r="CJ62" s="35" t="s">
        <v>377</v>
      </c>
      <c r="CK62" s="35">
        <v>64</v>
      </c>
      <c r="CL62" s="35">
        <v>0</v>
      </c>
      <c r="CM62" s="35">
        <v>1</v>
      </c>
      <c r="CN62" s="35" t="s">
        <v>99</v>
      </c>
      <c r="CO62" s="35" t="s">
        <v>97</v>
      </c>
      <c r="CP62" s="35" t="s">
        <v>100</v>
      </c>
      <c r="CQ62" s="35" t="s">
        <v>101</v>
      </c>
      <c r="CR62" s="36">
        <v>45847</v>
      </c>
      <c r="CT62" s="37" t="s">
        <v>384</v>
      </c>
    </row>
    <row r="63" spans="1:98" s="35" customFormat="1" x14ac:dyDescent="0.35">
      <c r="A63" s="34" t="s">
        <v>293</v>
      </c>
      <c r="B63" s="34" t="s">
        <v>347</v>
      </c>
      <c r="C63" s="35" t="s">
        <v>316</v>
      </c>
      <c r="D63" s="35">
        <v>2019</v>
      </c>
      <c r="E63" s="34" t="s">
        <v>318</v>
      </c>
      <c r="F63" s="34" t="s">
        <v>319</v>
      </c>
      <c r="G63" s="35" t="s">
        <v>78</v>
      </c>
      <c r="H63" s="35">
        <v>1</v>
      </c>
      <c r="I63" s="35" t="s">
        <v>290</v>
      </c>
      <c r="J63" s="35" t="s">
        <v>79</v>
      </c>
      <c r="K63" s="35">
        <v>657</v>
      </c>
      <c r="L63" s="35" t="s">
        <v>129</v>
      </c>
      <c r="M63" s="35" t="s">
        <v>381</v>
      </c>
      <c r="N63" s="35">
        <v>-2.0699999999999998</v>
      </c>
      <c r="O63" s="35">
        <v>0.65</v>
      </c>
      <c r="P63" s="89">
        <f t="shared" si="0"/>
        <v>-3.1846153846153844</v>
      </c>
      <c r="Q63" s="35" t="s">
        <v>312</v>
      </c>
      <c r="R63" s="89">
        <f t="shared" si="1"/>
        <v>-3.3439999999999999</v>
      </c>
      <c r="S63" s="89">
        <f t="shared" si="2"/>
        <v>-0.79599999999999982</v>
      </c>
      <c r="T63" s="35">
        <v>1</v>
      </c>
      <c r="U63" s="35">
        <v>5054</v>
      </c>
      <c r="V63" s="35" t="s">
        <v>312</v>
      </c>
      <c r="W63" s="35">
        <v>0</v>
      </c>
      <c r="X63" s="35">
        <f t="shared" si="3"/>
        <v>5054</v>
      </c>
      <c r="Y63" s="89">
        <f t="shared" si="4"/>
        <v>-4.4751135661063965E-2</v>
      </c>
      <c r="Z63" s="89">
        <f t="shared" si="5"/>
        <v>1.4052288975696416E-2</v>
      </c>
      <c r="AA63" s="89">
        <f t="shared" si="16"/>
        <v>-4.4751135661063965E-2</v>
      </c>
      <c r="AB63" s="35" t="s">
        <v>81</v>
      </c>
      <c r="AC63" s="89">
        <f t="shared" si="14"/>
        <v>-0.12620790000000001</v>
      </c>
      <c r="AD63" s="89" cm="1">
        <f t="array" ref="AD63">_xlfn.IFS(
AND(L63="marginal_effect",M63="level"),N63*AN63/BF63, AND(L63="marginal_effect",M63="percent_of_mean"),N63*AN63/100,
AND(L63="marginal_effect",M63="sd (Y)"),N63*BH63*AN63/BF63,
AND(L63="marginal_effect",M63="sd (X)"),N63/AQ63*AN63/BF63,
AND(L63="semi_elasticity",M63="level"),N63*AN63,
AND(L63="semi_elasticity",M63="sd (Y)"),N63*AN63*BH63,
AND(L63="semi_elasticity",M63="sd (X)"),N63*AN63/AQ63,
AND(L63="level-log",M63="level"),N63/BF63,
AND(L63="level-log",M63="sd (X)"),N63/BF63/AQ63,
AND(L63="level-log",M63="sd (Y)"),N63/BF63*BH63,
AND(L63="elasticity",M63="level"),N63,
AND(L63="elasticity",M63="sd (X)"),N63/AQ63,
AND(L63="elasticity",M63="sd (Y)"),N63*BH63,
AND(L63="marginal_effect",M63="percent_of_mean"),N63*AN63/BF63/10)</f>
        <v>-0.12620789999999998</v>
      </c>
      <c r="AE63" s="49">
        <f t="shared" si="8"/>
        <v>1</v>
      </c>
      <c r="AF63" s="89">
        <f t="shared" si="15"/>
        <v>3.9630500000000006E-2</v>
      </c>
      <c r="AG63" s="89" cm="1">
        <f t="array" ref="AG63">_xlfn.IFS(
AND(L63="marginal_effect",M63="level"),O63*AN63/BF63,
AND(L63="marginal_effect",M63="sd (Y)"),O63*BH63*AN63/BF63,
AND(L63="marginal_effect",M63="sd (X)"),O63/AQ63*AN63/BF63,
AND(L63="semi_elasticity",M63="level"),O63*AN63,
AND(L63="semi_elasticity",M63="sd (Y)"),O63*AN63*BH63,
AND(L63="semi_elasticity",M63="sd (X)"),O63*AN63/AQ63,
AND(L63="level-log",M63="level"),O63/BF63,
AND(L63="level-log",M63="sd (X)"),O63/BF63/AQ63,
AND(L63="level-log",M63="sd (Y)"),O63/BF63*BH63,
AND(L63="elasticity",M63="level"),O63,
AND(L63="elasticity",M63="sd (X)"),O63/AQ63,
AND(L63="elasticity",M63="sd (Y)"),O63*BH63,
AND(L63="marginal_effect",M63="percent_of_mean"),O63*AN63/BF63/10)</f>
        <v>3.3135869565217397E-3</v>
      </c>
      <c r="AH63" s="49">
        <f t="shared" si="10"/>
        <v>0</v>
      </c>
      <c r="AI63" s="89">
        <f t="shared" si="17"/>
        <v>-0.12620790000000001</v>
      </c>
      <c r="AJ63" s="49">
        <v>0</v>
      </c>
      <c r="AK63" s="49">
        <f t="shared" si="12"/>
        <v>1</v>
      </c>
      <c r="AL63" s="35" t="s">
        <v>159</v>
      </c>
      <c r="AM63" s="35" t="s">
        <v>296</v>
      </c>
      <c r="AN63" s="35">
        <v>6.0970000000000004</v>
      </c>
      <c r="AO63" s="35">
        <v>0</v>
      </c>
      <c r="AP63" s="35">
        <f t="shared" si="13"/>
        <v>60.970000000000006</v>
      </c>
      <c r="AQ63" s="35">
        <v>40.840000000000003</v>
      </c>
      <c r="AR63" s="35">
        <v>8.33</v>
      </c>
      <c r="AS63" s="35">
        <v>293.10000000000002</v>
      </c>
      <c r="AT63" s="35" t="s">
        <v>83</v>
      </c>
      <c r="AV63" s="35" t="s">
        <v>133</v>
      </c>
      <c r="AW63" s="35" t="s">
        <v>85</v>
      </c>
      <c r="AX63" s="35" t="s">
        <v>110</v>
      </c>
      <c r="AY63" s="35">
        <v>0</v>
      </c>
      <c r="AZ63" s="35">
        <v>20</v>
      </c>
      <c r="BA63" s="35" t="s">
        <v>87</v>
      </c>
      <c r="BB63" s="35" t="s">
        <v>88</v>
      </c>
      <c r="BC63" s="35" t="s">
        <v>89</v>
      </c>
      <c r="BD63" s="35" t="s">
        <v>114</v>
      </c>
      <c r="BE63" s="35" t="s">
        <v>292</v>
      </c>
      <c r="BF63" s="35">
        <v>119.6</v>
      </c>
      <c r="BG63" s="35">
        <v>0</v>
      </c>
      <c r="BH63" s="35" t="s">
        <v>312</v>
      </c>
      <c r="BI63" s="35" t="s">
        <v>312</v>
      </c>
      <c r="BJ63" s="35" t="s">
        <v>312</v>
      </c>
      <c r="BK63" s="35" t="s">
        <v>91</v>
      </c>
      <c r="BL63" s="35" t="s">
        <v>84</v>
      </c>
      <c r="BM63" s="35">
        <v>1</v>
      </c>
      <c r="BN63" s="35" t="s">
        <v>2177</v>
      </c>
      <c r="BO63" s="35" t="s">
        <v>289</v>
      </c>
      <c r="BP63" s="35" t="s">
        <v>315</v>
      </c>
      <c r="BQ63" s="35" t="s">
        <v>117</v>
      </c>
      <c r="BR63" s="35" t="s">
        <v>93</v>
      </c>
      <c r="BS63" s="35" t="s">
        <v>312</v>
      </c>
      <c r="BT63" s="35" t="s">
        <v>312</v>
      </c>
      <c r="BU63" s="36">
        <v>41730</v>
      </c>
      <c r="BV63" s="36">
        <v>42155</v>
      </c>
      <c r="BW63" s="35" t="s">
        <v>94</v>
      </c>
      <c r="BX63" s="35" t="s">
        <v>95</v>
      </c>
      <c r="BY63" s="35" t="s">
        <v>140</v>
      </c>
      <c r="BZ63" s="35">
        <v>1</v>
      </c>
      <c r="CA63" s="35">
        <v>1</v>
      </c>
      <c r="CB63" s="35" t="s">
        <v>303</v>
      </c>
      <c r="CC63" s="35" t="s">
        <v>314</v>
      </c>
      <c r="CD63" s="35">
        <v>0</v>
      </c>
      <c r="CE63" s="35" t="s">
        <v>97</v>
      </c>
      <c r="CF63" s="35">
        <v>0</v>
      </c>
      <c r="CG63" s="35" t="s">
        <v>97</v>
      </c>
      <c r="CH63" s="35">
        <v>1</v>
      </c>
      <c r="CI63" s="35" t="s">
        <v>376</v>
      </c>
      <c r="CJ63" s="35" t="s">
        <v>377</v>
      </c>
      <c r="CK63" s="35">
        <v>64</v>
      </c>
      <c r="CL63" s="35">
        <v>0</v>
      </c>
      <c r="CM63" s="35">
        <v>1</v>
      </c>
      <c r="CN63" s="35" t="s">
        <v>99</v>
      </c>
      <c r="CO63" s="35" t="s">
        <v>97</v>
      </c>
      <c r="CP63" s="35" t="s">
        <v>100</v>
      </c>
      <c r="CQ63" s="35" t="s">
        <v>101</v>
      </c>
      <c r="CR63" s="36">
        <v>45847</v>
      </c>
      <c r="CT63" s="37" t="s">
        <v>384</v>
      </c>
    </row>
    <row r="64" spans="1:98" s="35" customFormat="1" x14ac:dyDescent="0.35">
      <c r="A64" s="34" t="s">
        <v>293</v>
      </c>
      <c r="B64" s="34" t="s">
        <v>348</v>
      </c>
      <c r="C64" s="35" t="s">
        <v>316</v>
      </c>
      <c r="D64" s="35">
        <v>2019</v>
      </c>
      <c r="E64" s="34" t="s">
        <v>318</v>
      </c>
      <c r="F64" s="34" t="s">
        <v>319</v>
      </c>
      <c r="G64" s="35" t="s">
        <v>78</v>
      </c>
      <c r="H64" s="35">
        <v>1</v>
      </c>
      <c r="I64" s="35" t="s">
        <v>290</v>
      </c>
      <c r="J64" s="35" t="s">
        <v>79</v>
      </c>
      <c r="K64" s="35">
        <v>657</v>
      </c>
      <c r="L64" s="35" t="s">
        <v>129</v>
      </c>
      <c r="M64" s="35" t="s">
        <v>381</v>
      </c>
      <c r="N64" s="35">
        <v>-2.2200000000000002</v>
      </c>
      <c r="O64" s="35">
        <v>0.62</v>
      </c>
      <c r="P64" s="89">
        <f t="shared" si="0"/>
        <v>-3.580645161290323</v>
      </c>
      <c r="Q64" s="35" t="s">
        <v>312</v>
      </c>
      <c r="R64" s="89">
        <f t="shared" si="1"/>
        <v>-3.4352</v>
      </c>
      <c r="S64" s="89">
        <f t="shared" si="2"/>
        <v>-1.0048000000000001</v>
      </c>
      <c r="T64" s="35">
        <v>1</v>
      </c>
      <c r="U64" s="35">
        <v>5054</v>
      </c>
      <c r="V64" s="35" t="s">
        <v>312</v>
      </c>
      <c r="W64" s="35">
        <v>0</v>
      </c>
      <c r="X64" s="35">
        <f t="shared" si="3"/>
        <v>5054</v>
      </c>
      <c r="Y64" s="89">
        <f t="shared" si="4"/>
        <v>-5.0302955596035932E-2</v>
      </c>
      <c r="Z64" s="89">
        <f t="shared" si="5"/>
        <v>1.4048573184478502E-2</v>
      </c>
      <c r="AA64" s="89">
        <f t="shared" si="16"/>
        <v>-5.0302955596035932E-2</v>
      </c>
      <c r="AB64" s="35" t="s">
        <v>81</v>
      </c>
      <c r="AC64" s="89">
        <f t="shared" si="14"/>
        <v>-0.13535340000000001</v>
      </c>
      <c r="AD64" s="89" cm="1">
        <f t="array" ref="AD64">_xlfn.IFS(
AND(L64="marginal_effect",M64="level"),N64*AN64/BF64, AND(L64="marginal_effect",M64="percent_of_mean"),N64*AN64/100,
AND(L64="marginal_effect",M64="sd (Y)"),N64*BH64*AN64/BF64,
AND(L64="marginal_effect",M64="sd (X)"),N64/AQ64*AN64/BF64,
AND(L64="semi_elasticity",M64="level"),N64*AN64,
AND(L64="semi_elasticity",M64="sd (Y)"),N64*AN64*BH64,
AND(L64="semi_elasticity",M64="sd (X)"),N64*AN64/AQ64,
AND(L64="level-log",M64="level"),N64/BF64,
AND(L64="level-log",M64="sd (X)"),N64/BF64/AQ64,
AND(L64="level-log",M64="sd (Y)"),N64/BF64*BH64,
AND(L64="elasticity",M64="level"),N64,
AND(L64="elasticity",M64="sd (X)"),N64/AQ64,
AND(L64="elasticity",M64="sd (Y)"),N64*BH64,
AND(L64="marginal_effect",M64="percent_of_mean"),N64*AN64/BF64/10)</f>
        <v>-0.13535340000000001</v>
      </c>
      <c r="AE64" s="49">
        <f t="shared" si="8"/>
        <v>1</v>
      </c>
      <c r="AF64" s="89">
        <f t="shared" si="15"/>
        <v>3.7801400000000006E-2</v>
      </c>
      <c r="AG64" s="89" cm="1">
        <f t="array" ref="AG64">_xlfn.IFS(
AND(L64="marginal_effect",M64="level"),O64*AN64/BF64,
AND(L64="marginal_effect",M64="sd (Y)"),O64*BH64*AN64/BF64,
AND(L64="marginal_effect",M64="sd (X)"),O64/AQ64*AN64/BF64,
AND(L64="semi_elasticity",M64="level"),O64*AN64,
AND(L64="semi_elasticity",M64="sd (Y)"),O64*AN64*BH64,
AND(L64="semi_elasticity",M64="sd (X)"),O64*AN64/AQ64,
AND(L64="level-log",M64="level"),O64/BF64,
AND(L64="level-log",M64="sd (X)"),O64/BF64/AQ64,
AND(L64="level-log",M64="sd (Y)"),O64/BF64*BH64,
AND(L64="elasticity",M64="level"),O64,
AND(L64="elasticity",M64="sd (X)"),O64/AQ64,
AND(L64="elasticity",M64="sd (Y)"),O64*BH64,
AND(L64="marginal_effect",M64="percent_of_mean"),O64*AN64/BF64/10)</f>
        <v>3.1606521739130436E-3</v>
      </c>
      <c r="AH64" s="49">
        <f t="shared" si="10"/>
        <v>0</v>
      </c>
      <c r="AI64" s="89">
        <f t="shared" si="17"/>
        <v>-0.13535340000000001</v>
      </c>
      <c r="AJ64" s="49">
        <v>0</v>
      </c>
      <c r="AK64" s="49">
        <f t="shared" si="12"/>
        <v>1</v>
      </c>
      <c r="AL64" s="35" t="s">
        <v>159</v>
      </c>
      <c r="AM64" s="35" t="s">
        <v>296</v>
      </c>
      <c r="AN64" s="35">
        <v>6.0970000000000004</v>
      </c>
      <c r="AO64" s="35">
        <v>0</v>
      </c>
      <c r="AP64" s="35">
        <f t="shared" si="13"/>
        <v>60.970000000000006</v>
      </c>
      <c r="AQ64" s="35">
        <v>40.840000000000003</v>
      </c>
      <c r="AR64" s="35">
        <v>8.33</v>
      </c>
      <c r="AS64" s="35">
        <v>293.10000000000002</v>
      </c>
      <c r="AT64" s="35" t="s">
        <v>83</v>
      </c>
      <c r="AV64" s="35" t="s">
        <v>133</v>
      </c>
      <c r="AW64" s="35" t="s">
        <v>85</v>
      </c>
      <c r="AX64" s="35" t="s">
        <v>110</v>
      </c>
      <c r="AY64" s="35">
        <v>0</v>
      </c>
      <c r="AZ64" s="35">
        <v>25</v>
      </c>
      <c r="BA64" s="35" t="s">
        <v>87</v>
      </c>
      <c r="BB64" s="35" t="s">
        <v>88</v>
      </c>
      <c r="BC64" s="35" t="s">
        <v>89</v>
      </c>
      <c r="BD64" s="35" t="s">
        <v>114</v>
      </c>
      <c r="BE64" s="35" t="s">
        <v>292</v>
      </c>
      <c r="BF64" s="35">
        <v>119.6</v>
      </c>
      <c r="BG64" s="35">
        <v>0</v>
      </c>
      <c r="BH64" s="35" t="s">
        <v>312</v>
      </c>
      <c r="BI64" s="35" t="s">
        <v>312</v>
      </c>
      <c r="BJ64" s="35" t="s">
        <v>312</v>
      </c>
      <c r="BK64" s="35" t="s">
        <v>91</v>
      </c>
      <c r="BL64" s="35" t="s">
        <v>84</v>
      </c>
      <c r="BM64" s="35">
        <v>1</v>
      </c>
      <c r="BN64" s="35" t="s">
        <v>2177</v>
      </c>
      <c r="BO64" s="35" t="s">
        <v>289</v>
      </c>
      <c r="BP64" s="35" t="s">
        <v>315</v>
      </c>
      <c r="BQ64" s="35" t="s">
        <v>117</v>
      </c>
      <c r="BR64" s="35" t="s">
        <v>93</v>
      </c>
      <c r="BS64" s="35" t="s">
        <v>312</v>
      </c>
      <c r="BT64" s="35" t="s">
        <v>312</v>
      </c>
      <c r="BU64" s="36">
        <v>41730</v>
      </c>
      <c r="BV64" s="36">
        <v>42155</v>
      </c>
      <c r="BW64" s="35" t="s">
        <v>94</v>
      </c>
      <c r="BX64" s="35" t="s">
        <v>95</v>
      </c>
      <c r="BY64" s="35" t="s">
        <v>140</v>
      </c>
      <c r="BZ64" s="35">
        <v>1</v>
      </c>
      <c r="CA64" s="35">
        <v>1</v>
      </c>
      <c r="CB64" s="35" t="s">
        <v>303</v>
      </c>
      <c r="CC64" s="35" t="s">
        <v>314</v>
      </c>
      <c r="CD64" s="35">
        <v>0</v>
      </c>
      <c r="CE64" s="35" t="s">
        <v>97</v>
      </c>
      <c r="CF64" s="35">
        <v>0</v>
      </c>
      <c r="CG64" s="35" t="s">
        <v>97</v>
      </c>
      <c r="CH64" s="35">
        <v>1</v>
      </c>
      <c r="CI64" s="35" t="s">
        <v>376</v>
      </c>
      <c r="CJ64" s="35" t="s">
        <v>377</v>
      </c>
      <c r="CK64" s="35">
        <v>64</v>
      </c>
      <c r="CL64" s="35">
        <v>0</v>
      </c>
      <c r="CM64" s="35">
        <v>1</v>
      </c>
      <c r="CN64" s="35" t="s">
        <v>99</v>
      </c>
      <c r="CO64" s="35" t="s">
        <v>97</v>
      </c>
      <c r="CP64" s="35" t="s">
        <v>100</v>
      </c>
      <c r="CQ64" s="35" t="s">
        <v>101</v>
      </c>
      <c r="CR64" s="36">
        <v>45847</v>
      </c>
      <c r="CT64" s="37" t="s">
        <v>384</v>
      </c>
    </row>
    <row r="65" spans="1:98" s="35" customFormat="1" x14ac:dyDescent="0.35">
      <c r="A65" s="34" t="s">
        <v>293</v>
      </c>
      <c r="B65" s="34" t="s">
        <v>349</v>
      </c>
      <c r="C65" s="35" t="s">
        <v>316</v>
      </c>
      <c r="D65" s="35">
        <v>2019</v>
      </c>
      <c r="E65" s="34" t="s">
        <v>318</v>
      </c>
      <c r="F65" s="34" t="s">
        <v>319</v>
      </c>
      <c r="G65" s="35" t="s">
        <v>78</v>
      </c>
      <c r="H65" s="35">
        <v>1</v>
      </c>
      <c r="I65" s="35" t="s">
        <v>290</v>
      </c>
      <c r="J65" s="35" t="s">
        <v>79</v>
      </c>
      <c r="K65" s="35">
        <v>657</v>
      </c>
      <c r="L65" s="35" t="s">
        <v>129</v>
      </c>
      <c r="M65" s="35" t="s">
        <v>381</v>
      </c>
      <c r="N65" s="35">
        <v>-2.4</v>
      </c>
      <c r="O65" s="35">
        <v>0.7</v>
      </c>
      <c r="P65" s="89">
        <f t="shared" si="0"/>
        <v>-3.4285714285714288</v>
      </c>
      <c r="Q65" s="35" t="s">
        <v>312</v>
      </c>
      <c r="R65" s="89">
        <f t="shared" si="1"/>
        <v>-3.7719999999999998</v>
      </c>
      <c r="S65" s="89">
        <f t="shared" si="2"/>
        <v>-1.028</v>
      </c>
      <c r="T65" s="35">
        <v>1</v>
      </c>
      <c r="U65" s="35">
        <v>5054</v>
      </c>
      <c r="V65" s="35" t="s">
        <v>312</v>
      </c>
      <c r="W65" s="35">
        <v>0</v>
      </c>
      <c r="X65" s="35">
        <f t="shared" si="3"/>
        <v>5054</v>
      </c>
      <c r="Y65" s="89">
        <f t="shared" si="4"/>
        <v>-4.8171603879519673E-2</v>
      </c>
      <c r="Z65" s="89">
        <f t="shared" si="5"/>
        <v>1.4050051131526568E-2</v>
      </c>
      <c r="AA65" s="89">
        <f t="shared" si="16"/>
        <v>-4.8171603879519673E-2</v>
      </c>
      <c r="AB65" s="35" t="s">
        <v>81</v>
      </c>
      <c r="AC65" s="89">
        <f t="shared" si="14"/>
        <v>-0.14632800000000001</v>
      </c>
      <c r="AD65" s="89" cm="1">
        <f t="array" ref="AD65">_xlfn.IFS(
AND(L65="marginal_effect",M65="level"),N65*AN65/BF65, AND(L65="marginal_effect",M65="percent_of_mean"),N65*AN65/100,
AND(L65="marginal_effect",M65="sd (Y)"),N65*BH65*AN65/BF65,
AND(L65="marginal_effect",M65="sd (X)"),N65/AQ65*AN65/BF65,
AND(L65="semi_elasticity",M65="level"),N65*AN65,
AND(L65="semi_elasticity",M65="sd (Y)"),N65*AN65*BH65,
AND(L65="semi_elasticity",M65="sd (X)"),N65*AN65/AQ65,
AND(L65="level-log",M65="level"),N65/BF65,
AND(L65="level-log",M65="sd (X)"),N65/BF65/AQ65,
AND(L65="level-log",M65="sd (Y)"),N65/BF65*BH65,
AND(L65="elasticity",M65="level"),N65,
AND(L65="elasticity",M65="sd (X)"),N65/AQ65,
AND(L65="elasticity",M65="sd (Y)"),N65*BH65,
AND(L65="marginal_effect",M65="percent_of_mean"),N65*AN65/BF65/10)</f>
        <v>-0.14632799999999999</v>
      </c>
      <c r="AE65" s="49">
        <f t="shared" si="8"/>
        <v>1</v>
      </c>
      <c r="AF65" s="89">
        <f t="shared" si="15"/>
        <v>4.2679000000000002E-2</v>
      </c>
      <c r="AG65" s="89" cm="1">
        <f t="array" ref="AG65">_xlfn.IFS(
AND(L65="marginal_effect",M65="level"),O65*AN65/BF65,
AND(L65="marginal_effect",M65="sd (Y)"),O65*BH65*AN65/BF65,
AND(L65="marginal_effect",M65="sd (X)"),O65/AQ65*AN65/BF65,
AND(L65="semi_elasticity",M65="level"),O65*AN65,
AND(L65="semi_elasticity",M65="sd (Y)"),O65*AN65*BH65,
AND(L65="semi_elasticity",M65="sd (X)"),O65*AN65/AQ65,
AND(L65="level-log",M65="level"),O65/BF65,
AND(L65="level-log",M65="sd (X)"),O65/BF65/AQ65,
AND(L65="level-log",M65="sd (Y)"),O65/BF65*BH65,
AND(L65="elasticity",M65="level"),O65,
AND(L65="elasticity",M65="sd (X)"),O65/AQ65,
AND(L65="elasticity",M65="sd (Y)"),O65*BH65,
AND(L65="marginal_effect",M65="percent_of_mean"),O65*AN65/BF65/10)</f>
        <v>3.5684782608695655E-3</v>
      </c>
      <c r="AH65" s="49">
        <f t="shared" si="10"/>
        <v>0</v>
      </c>
      <c r="AI65" s="89">
        <f t="shared" si="17"/>
        <v>-0.14632800000000001</v>
      </c>
      <c r="AJ65" s="49">
        <v>0</v>
      </c>
      <c r="AK65" s="49">
        <f t="shared" si="12"/>
        <v>1</v>
      </c>
      <c r="AL65" s="35" t="s">
        <v>159</v>
      </c>
      <c r="AM65" s="35" t="s">
        <v>296</v>
      </c>
      <c r="AN65" s="35">
        <v>6.0970000000000004</v>
      </c>
      <c r="AO65" s="35">
        <v>0</v>
      </c>
      <c r="AP65" s="35">
        <f t="shared" si="13"/>
        <v>60.970000000000006</v>
      </c>
      <c r="AQ65" s="35">
        <v>40.840000000000003</v>
      </c>
      <c r="AR65" s="35">
        <v>8.33</v>
      </c>
      <c r="AS65" s="35">
        <v>293.10000000000002</v>
      </c>
      <c r="AT65" s="35" t="s">
        <v>83</v>
      </c>
      <c r="AV65" s="35" t="s">
        <v>133</v>
      </c>
      <c r="AW65" s="35" t="s">
        <v>85</v>
      </c>
      <c r="AX65" s="35" t="s">
        <v>110</v>
      </c>
      <c r="AY65" s="35">
        <v>0</v>
      </c>
      <c r="AZ65" s="35">
        <v>30</v>
      </c>
      <c r="BA65" s="35" t="s">
        <v>87</v>
      </c>
      <c r="BB65" s="35" t="s">
        <v>88</v>
      </c>
      <c r="BC65" s="35" t="s">
        <v>89</v>
      </c>
      <c r="BD65" s="35" t="s">
        <v>114</v>
      </c>
      <c r="BE65" s="35" t="s">
        <v>292</v>
      </c>
      <c r="BF65" s="35">
        <v>119.6</v>
      </c>
      <c r="BG65" s="35">
        <v>0</v>
      </c>
      <c r="BH65" s="35" t="s">
        <v>312</v>
      </c>
      <c r="BI65" s="35" t="s">
        <v>312</v>
      </c>
      <c r="BJ65" s="35" t="s">
        <v>312</v>
      </c>
      <c r="BK65" s="35" t="s">
        <v>91</v>
      </c>
      <c r="BL65" s="35" t="s">
        <v>84</v>
      </c>
      <c r="BM65" s="35">
        <v>1</v>
      </c>
      <c r="BN65" s="35" t="s">
        <v>2177</v>
      </c>
      <c r="BO65" s="35" t="s">
        <v>289</v>
      </c>
      <c r="BP65" s="35" t="s">
        <v>315</v>
      </c>
      <c r="BQ65" s="35" t="s">
        <v>117</v>
      </c>
      <c r="BR65" s="35" t="s">
        <v>93</v>
      </c>
      <c r="BS65" s="35" t="s">
        <v>312</v>
      </c>
      <c r="BT65" s="35" t="s">
        <v>312</v>
      </c>
      <c r="BU65" s="36">
        <v>41730</v>
      </c>
      <c r="BV65" s="36">
        <v>42155</v>
      </c>
      <c r="BW65" s="35" t="s">
        <v>94</v>
      </c>
      <c r="BX65" s="35" t="s">
        <v>95</v>
      </c>
      <c r="BY65" s="35" t="s">
        <v>140</v>
      </c>
      <c r="BZ65" s="35">
        <v>1</v>
      </c>
      <c r="CA65" s="35">
        <v>1</v>
      </c>
      <c r="CB65" s="35" t="s">
        <v>303</v>
      </c>
      <c r="CC65" s="35" t="s">
        <v>314</v>
      </c>
      <c r="CD65" s="35">
        <v>0</v>
      </c>
      <c r="CE65" s="35" t="s">
        <v>97</v>
      </c>
      <c r="CF65" s="35">
        <v>0</v>
      </c>
      <c r="CG65" s="35" t="s">
        <v>97</v>
      </c>
      <c r="CH65" s="35">
        <v>1</v>
      </c>
      <c r="CI65" s="35" t="s">
        <v>376</v>
      </c>
      <c r="CJ65" s="35" t="s">
        <v>377</v>
      </c>
      <c r="CK65" s="35">
        <v>64</v>
      </c>
      <c r="CL65" s="35">
        <v>0</v>
      </c>
      <c r="CM65" s="35">
        <v>1</v>
      </c>
      <c r="CN65" s="35" t="s">
        <v>99</v>
      </c>
      <c r="CO65" s="35" t="s">
        <v>97</v>
      </c>
      <c r="CP65" s="35" t="s">
        <v>100</v>
      </c>
      <c r="CQ65" s="35" t="s">
        <v>101</v>
      </c>
      <c r="CR65" s="36">
        <v>45847</v>
      </c>
      <c r="CT65" s="37" t="s">
        <v>384</v>
      </c>
    </row>
    <row r="66" spans="1:98" s="39" customFormat="1" x14ac:dyDescent="0.35">
      <c r="A66" s="38" t="s">
        <v>386</v>
      </c>
      <c r="B66" s="38" t="s">
        <v>411</v>
      </c>
      <c r="C66" s="39" t="s">
        <v>387</v>
      </c>
      <c r="D66" s="39">
        <v>2016</v>
      </c>
      <c r="E66" s="40" t="s">
        <v>388</v>
      </c>
      <c r="F66" s="38" t="s">
        <v>389</v>
      </c>
      <c r="G66" s="39" t="s">
        <v>78</v>
      </c>
      <c r="H66" s="39">
        <v>1</v>
      </c>
      <c r="I66" s="39" t="s">
        <v>390</v>
      </c>
      <c r="J66" s="39" t="s">
        <v>79</v>
      </c>
      <c r="K66" s="39">
        <v>815</v>
      </c>
      <c r="L66" s="39" t="s">
        <v>129</v>
      </c>
      <c r="M66" s="39" t="s">
        <v>380</v>
      </c>
      <c r="N66" s="39">
        <v>-4.1000000000000002E-2</v>
      </c>
      <c r="O66" s="39">
        <v>8.0000000000000002E-3</v>
      </c>
      <c r="P66" s="90">
        <f t="shared" ref="P66:P141" si="18">N66/O66</f>
        <v>-5.125</v>
      </c>
      <c r="Q66" s="39" t="s">
        <v>312</v>
      </c>
      <c r="R66" s="90">
        <f t="shared" ref="R66:R141" si="19">N66-1.96*O66</f>
        <v>-5.6680000000000001E-2</v>
      </c>
      <c r="S66" s="90">
        <f t="shared" ref="S66:S141" si="20">N66+1.96*O66</f>
        <v>-2.5320000000000002E-2</v>
      </c>
      <c r="T66" s="39">
        <v>1</v>
      </c>
      <c r="U66" s="39">
        <v>7242</v>
      </c>
      <c r="V66" s="39">
        <v>8</v>
      </c>
      <c r="W66" s="39">
        <v>1</v>
      </c>
      <c r="X66" s="39">
        <f t="shared" ref="X66:X141" si="21">IF(V66="NA",U66,U66-V66)</f>
        <v>7234</v>
      </c>
      <c r="Y66" s="90">
        <f t="shared" ref="Y66:Y141" si="22">P66/(P66^2 + X66)^(1/2)</f>
        <v>-6.0147504685604286E-2</v>
      </c>
      <c r="Z66" s="90">
        <f t="shared" ref="Z66:Z141" si="23">((1-Y66^2)/X66)^(1/2)</f>
        <v>1.1736098475239862E-2</v>
      </c>
      <c r="AA66" s="90">
        <f t="shared" ref="AA66:AA97" si="24">Y66</f>
        <v>-6.0147504685604286E-2</v>
      </c>
      <c r="AB66" s="39" t="s">
        <v>81</v>
      </c>
      <c r="AC66" s="90">
        <f>N66*AN66/BF66</f>
        <v>-6.1083786102373465E-2</v>
      </c>
      <c r="AD66" s="90" cm="1">
        <f t="array" ref="AD66">_xlfn.IFS(
AND(L66="marginal_effect",M66="level"),N66*AN66/BF66,
AND(L66="marginal_effect",M66="sd (Y)"),N66*BH66*AN66/BF66,
AND(L66="marginal_effect",M66="sd (X)"),N66/AQ66*AN66/BF66,
AND(L66="semi_elasticity",M66="level"),N66*AN66,
AND(L66="semi_elasticity",M66="sd (Y)"),N66*AN66*BH66,
AND(L66="semi_elasticity",M66="sd (X)"),N66*AN66/AQ66,
AND(L66="level-log",M66="level"),N66/BF66,
AND(L66="level-log",M66="sd (X)"),N66/BF66/AQ66,
AND(L66="level-log",M66="sd (Y)"),N66/BF66*BH66,
AND(L66="elasticity",M66="level"),N66,
AND(L66="elasticity",M66="sd (X)"),N66/AQ66,
AND(L66="elasticity",M66="sd (Y)"),N66*BH66,
AND(L66="marginal_effect",M66="percent_of_mean"),N66*AN66/BF66/10)</f>
        <v>-6.1083786102373465E-2</v>
      </c>
      <c r="AE66" s="41">
        <f t="shared" ref="AE66:AE141" si="25">IF(AC66=AD66,1,0)</f>
        <v>1</v>
      </c>
      <c r="AF66" s="90">
        <f>O66*AN66/BF66</f>
        <v>1.1918787532170433E-2</v>
      </c>
      <c r="AG66" s="90" cm="1">
        <f t="array" ref="AG66">_xlfn.IFS(
AND(L66="marginal_effect",M66="level"),O66*AN66/BF66,
AND(L66="marginal_effect",M66="sd (Y)"),O66*BH66*AN66/BF66,
AND(L66="marginal_effect",M66="sd (X)"),O66/AQ66*AN66/BF66,
AND(L66="semi_elasticity",M66="level"),O66*AN66,
AND(L66="semi_elasticity",M66="sd (Y)"),O66*AN66*BH66,
AND(L66="semi_elasticity",M66="sd (X)"),O66*AN66/AQ66,
AND(L66="level-log",M66="level"),O66/BF66,
AND(L66="level-log",M66="sd (X)"),O66/BF66/AQ66,
AND(L66="level-log",M66="sd (Y)"),O66/BF66*BH66,
AND(L66="elasticity",M66="level"),O66,
AND(L66="elasticity",M66="sd (X)"),O66/AQ66,
AND(L66="elasticity",M66="sd (Y)"),O66*BH66,
AND(L66="marginal_effect",M66="percent_of_mean"),O66*AN66/BF66/10)</f>
        <v>1.1918787532170433E-2</v>
      </c>
      <c r="AH66" s="41">
        <f t="shared" ref="AH66:AH141" si="26">IF(AF66=AG66,1,0)</f>
        <v>1</v>
      </c>
      <c r="AI66" s="90">
        <f t="shared" ref="AI66:AI97" si="27">AC66</f>
        <v>-6.1083786102373465E-2</v>
      </c>
      <c r="AJ66" s="39">
        <v>0</v>
      </c>
      <c r="AK66" s="39">
        <f t="shared" ref="AK66:AK141" si="28">IF(P66=(AC66/AF66),1,0)</f>
        <v>1</v>
      </c>
      <c r="AL66" s="39" t="s">
        <v>82</v>
      </c>
      <c r="AM66" s="39" t="s">
        <v>1333</v>
      </c>
      <c r="AN66" s="39">
        <v>10.42</v>
      </c>
      <c r="AO66" s="39">
        <v>0</v>
      </c>
      <c r="AQ66" s="39">
        <v>10.14</v>
      </c>
      <c r="AR66" s="39">
        <v>1.9</v>
      </c>
      <c r="AS66" s="39">
        <v>59.7</v>
      </c>
      <c r="AT66" s="39" t="s">
        <v>83</v>
      </c>
      <c r="AU66" s="39" t="s">
        <v>109</v>
      </c>
      <c r="AV66" s="39" t="s">
        <v>133</v>
      </c>
      <c r="AW66" s="39" t="s">
        <v>85</v>
      </c>
      <c r="AX66" s="39" t="s">
        <v>86</v>
      </c>
      <c r="AY66" s="39">
        <v>0</v>
      </c>
      <c r="AZ66" s="39">
        <v>0</v>
      </c>
      <c r="BA66" s="39" t="s">
        <v>391</v>
      </c>
      <c r="BB66" s="39" t="s">
        <v>88</v>
      </c>
      <c r="BC66" s="39" t="s">
        <v>89</v>
      </c>
      <c r="BD66" s="39" t="s">
        <v>90</v>
      </c>
      <c r="BE66" s="39" t="s">
        <v>392</v>
      </c>
      <c r="BF66" s="39">
        <v>6.9939999999999998</v>
      </c>
      <c r="BG66" s="39">
        <v>0</v>
      </c>
      <c r="BH66" s="39">
        <v>2.79</v>
      </c>
      <c r="BI66" s="39">
        <v>0.04</v>
      </c>
      <c r="BJ66" s="39">
        <v>17.18</v>
      </c>
      <c r="BK66" s="39" t="s">
        <v>91</v>
      </c>
      <c r="BL66" s="39" t="s">
        <v>84</v>
      </c>
      <c r="BM66" s="39">
        <v>1</v>
      </c>
      <c r="BN66" s="39" t="s">
        <v>2177</v>
      </c>
      <c r="BO66" s="39" t="s">
        <v>398</v>
      </c>
      <c r="BP66" s="39" t="s">
        <v>394</v>
      </c>
      <c r="BQ66" s="39" t="s">
        <v>92</v>
      </c>
      <c r="BR66" s="39" t="s">
        <v>312</v>
      </c>
      <c r="BS66" s="39" t="s">
        <v>312</v>
      </c>
      <c r="BT66" s="39" t="s">
        <v>312</v>
      </c>
      <c r="BU66" s="41">
        <v>2001</v>
      </c>
      <c r="BV66" s="41">
        <v>2003</v>
      </c>
      <c r="BW66" s="39" t="s">
        <v>94</v>
      </c>
      <c r="BX66" s="39" t="s">
        <v>95</v>
      </c>
      <c r="BY66" s="39" t="s">
        <v>96</v>
      </c>
      <c r="BZ66" s="39">
        <v>0</v>
      </c>
      <c r="CA66" s="39">
        <v>0</v>
      </c>
      <c r="CB66" s="39" t="s">
        <v>97</v>
      </c>
      <c r="CC66" s="39" t="s">
        <v>313</v>
      </c>
      <c r="CD66" s="39">
        <v>1</v>
      </c>
      <c r="CE66" s="39" t="s">
        <v>395</v>
      </c>
      <c r="CF66" s="39">
        <v>1</v>
      </c>
      <c r="CG66" s="39" t="s">
        <v>396</v>
      </c>
      <c r="CH66" s="39">
        <v>1</v>
      </c>
      <c r="CI66" s="39" t="s">
        <v>393</v>
      </c>
      <c r="CJ66" s="39" t="s">
        <v>98</v>
      </c>
      <c r="CK66" s="39">
        <v>18</v>
      </c>
      <c r="CL66" s="39">
        <v>1</v>
      </c>
      <c r="CM66" s="39">
        <v>1</v>
      </c>
      <c r="CN66" s="39" t="s">
        <v>99</v>
      </c>
      <c r="CO66" s="39" t="s">
        <v>97</v>
      </c>
      <c r="CP66" s="39" t="s">
        <v>100</v>
      </c>
      <c r="CQ66" s="39" t="s">
        <v>126</v>
      </c>
      <c r="CR66" s="42">
        <v>46213</v>
      </c>
      <c r="CT66" s="39" t="s">
        <v>402</v>
      </c>
    </row>
    <row r="67" spans="1:98" s="39" customFormat="1" x14ac:dyDescent="0.35">
      <c r="A67" s="38" t="s">
        <v>386</v>
      </c>
      <c r="B67" s="38" t="s">
        <v>412</v>
      </c>
      <c r="C67" s="39" t="s">
        <v>387</v>
      </c>
      <c r="D67" s="39">
        <v>2016</v>
      </c>
      <c r="E67" s="40" t="s">
        <v>388</v>
      </c>
      <c r="F67" s="38" t="s">
        <v>389</v>
      </c>
      <c r="G67" s="39" t="s">
        <v>78</v>
      </c>
      <c r="H67" s="39">
        <v>1</v>
      </c>
      <c r="I67" s="39" t="s">
        <v>390</v>
      </c>
      <c r="J67" s="39" t="s">
        <v>79</v>
      </c>
      <c r="K67" s="39">
        <v>815</v>
      </c>
      <c r="L67" s="39" t="s">
        <v>129</v>
      </c>
      <c r="M67" s="39" t="s">
        <v>380</v>
      </c>
      <c r="N67" s="39">
        <v>-5.2999999999999999E-2</v>
      </c>
      <c r="O67" s="39">
        <v>3.4000000000000002E-2</v>
      </c>
      <c r="P67" s="90">
        <f t="shared" si="18"/>
        <v>-1.5588235294117645</v>
      </c>
      <c r="Q67" s="39" t="s">
        <v>312</v>
      </c>
      <c r="R67" s="90">
        <f t="shared" si="19"/>
        <v>-0.11964</v>
      </c>
      <c r="S67" s="90">
        <f t="shared" si="20"/>
        <v>1.3640000000000006E-2</v>
      </c>
      <c r="T67" s="39">
        <v>1</v>
      </c>
      <c r="U67" s="39">
        <v>6808</v>
      </c>
      <c r="V67" s="39">
        <v>8</v>
      </c>
      <c r="W67" s="39">
        <v>1</v>
      </c>
      <c r="X67" s="39">
        <f t="shared" si="21"/>
        <v>6800</v>
      </c>
      <c r="Y67" s="90">
        <f t="shared" si="22"/>
        <v>-1.890013533968421E-2</v>
      </c>
      <c r="Z67" s="90">
        <f t="shared" si="23"/>
        <v>1.2124615123571004E-2</v>
      </c>
      <c r="AA67" s="90">
        <f t="shared" si="24"/>
        <v>-1.890013533968421E-2</v>
      </c>
      <c r="AB67" s="39" t="s">
        <v>81</v>
      </c>
      <c r="AC67" s="90">
        <f>N67*AN67/BF67</f>
        <v>-7.8961967400629107E-2</v>
      </c>
      <c r="AD67" s="90" cm="1">
        <f t="array" ref="AD67">_xlfn.IFS(
AND(L67="marginal_effect",M67="level"),N67*AN67/BF67,
AND(L67="marginal_effect",M67="sd (Y)"),N67*BH67*AN67/BF67,
AND(L67="marginal_effect",M67="sd (X)"),N67/AQ67*AN67/BF67,
AND(L67="semi_elasticity",M67="level"),N67*AN67,
AND(L67="semi_elasticity",M67="sd (Y)"),N67*AN67*BH67,
AND(L67="semi_elasticity",M67="sd (X)"),N67*AN67/AQ67,
AND(L67="level-log",M67="level"),N67/BF67,
AND(L67="level-log",M67="sd (X)"),N67/BF67/AQ67,
AND(L67="level-log",M67="sd (Y)"),N67/BF67*BH67,
AND(L67="elasticity",M67="level"),N67,
AND(L67="elasticity",M67="sd (X)"),N67/AQ67,
AND(L67="elasticity",M67="sd (Y)"),N67*BH67,
AND(L67="marginal_effect",M67="percent_of_mean"),N67*AN67/BF67/10)</f>
        <v>-7.8961967400629107E-2</v>
      </c>
      <c r="AE67" s="41">
        <f t="shared" si="25"/>
        <v>1</v>
      </c>
      <c r="AF67" s="90">
        <f>O67*AN67/BF67</f>
        <v>5.065484701172434E-2</v>
      </c>
      <c r="AG67" s="90" cm="1">
        <f t="array" ref="AG67">_xlfn.IFS(
AND(L67="marginal_effect",M67="level"),O67*AN67/BF67,
AND(L67="marginal_effect",M67="sd (Y)"),O67*BH67*AN67/BF67,
AND(L67="marginal_effect",M67="sd (X)"),O67/AQ67*AN67/BF67,
AND(L67="semi_elasticity",M67="level"),O67*AN67,
AND(L67="semi_elasticity",M67="sd (Y)"),O67*AN67*BH67,
AND(L67="semi_elasticity",M67="sd (X)"),O67*AN67/AQ67,
AND(L67="level-log",M67="level"),O67/BF67,
AND(L67="level-log",M67="sd (X)"),O67/BF67/AQ67,
AND(L67="level-log",M67="sd (Y)"),O67/BF67*BH67,
AND(L67="elasticity",M67="level"),O67,
AND(L67="elasticity",M67="sd (X)"),O67/AQ67,
AND(L67="elasticity",M67="sd (Y)"),O67*BH67,
AND(L67="marginal_effect",M67="percent_of_mean"),O67*AN67/BF67/10)</f>
        <v>5.065484701172434E-2</v>
      </c>
      <c r="AH67" s="41">
        <f t="shared" si="26"/>
        <v>1</v>
      </c>
      <c r="AI67" s="90">
        <f t="shared" si="27"/>
        <v>-7.8961967400629107E-2</v>
      </c>
      <c r="AJ67" s="39">
        <v>0</v>
      </c>
      <c r="AK67" s="39">
        <f t="shared" si="28"/>
        <v>1</v>
      </c>
      <c r="AL67" s="39" t="s">
        <v>82</v>
      </c>
      <c r="AM67" s="39" t="s">
        <v>1333</v>
      </c>
      <c r="AN67" s="39">
        <v>10.42</v>
      </c>
      <c r="AO67" s="39">
        <v>1</v>
      </c>
      <c r="AQ67" s="39">
        <v>10.14</v>
      </c>
      <c r="AR67" s="39">
        <v>1.9</v>
      </c>
      <c r="AS67" s="39">
        <v>59.7</v>
      </c>
      <c r="AT67" s="39" t="s">
        <v>83</v>
      </c>
      <c r="AU67" s="39" t="s">
        <v>109</v>
      </c>
      <c r="AV67" s="39" t="s">
        <v>133</v>
      </c>
      <c r="AW67" s="39" t="s">
        <v>85</v>
      </c>
      <c r="AX67" s="39" t="s">
        <v>86</v>
      </c>
      <c r="AY67" s="39">
        <v>0</v>
      </c>
      <c r="AZ67" s="39">
        <v>0</v>
      </c>
      <c r="BA67" s="39" t="s">
        <v>391</v>
      </c>
      <c r="BB67" s="39" t="s">
        <v>88</v>
      </c>
      <c r="BC67" s="39" t="s">
        <v>89</v>
      </c>
      <c r="BD67" s="39" t="s">
        <v>90</v>
      </c>
      <c r="BE67" s="39" t="s">
        <v>392</v>
      </c>
      <c r="BF67" s="39">
        <v>6.9939999999999998</v>
      </c>
      <c r="BG67" s="39">
        <v>1</v>
      </c>
      <c r="BH67" s="39" t="s">
        <v>312</v>
      </c>
      <c r="BI67" s="39" t="s">
        <v>312</v>
      </c>
      <c r="BJ67" s="39" t="s">
        <v>312</v>
      </c>
      <c r="BK67" s="39" t="s">
        <v>91</v>
      </c>
      <c r="BL67" s="39" t="s">
        <v>84</v>
      </c>
      <c r="BM67" s="39">
        <v>1</v>
      </c>
      <c r="BN67" s="39" t="s">
        <v>2177</v>
      </c>
      <c r="BO67" s="39" t="s">
        <v>398</v>
      </c>
      <c r="BP67" s="39" t="s">
        <v>394</v>
      </c>
      <c r="BQ67" s="39" t="s">
        <v>92</v>
      </c>
      <c r="BR67" s="39" t="s">
        <v>312</v>
      </c>
      <c r="BS67" s="39" t="s">
        <v>312</v>
      </c>
      <c r="BT67" s="39" t="s">
        <v>312</v>
      </c>
      <c r="BU67" s="41">
        <v>2001</v>
      </c>
      <c r="BV67" s="41">
        <v>2003</v>
      </c>
      <c r="BW67" s="39" t="s">
        <v>94</v>
      </c>
      <c r="BX67" s="39" t="s">
        <v>95</v>
      </c>
      <c r="BY67" s="39" t="s">
        <v>96</v>
      </c>
      <c r="BZ67" s="39">
        <v>0</v>
      </c>
      <c r="CA67" s="39">
        <v>0</v>
      </c>
      <c r="CB67" s="39" t="s">
        <v>97</v>
      </c>
      <c r="CC67" s="39" t="s">
        <v>313</v>
      </c>
      <c r="CD67" s="39">
        <v>1</v>
      </c>
      <c r="CE67" s="39" t="s">
        <v>395</v>
      </c>
      <c r="CF67" s="39">
        <v>1</v>
      </c>
      <c r="CG67" s="39" t="s">
        <v>396</v>
      </c>
      <c r="CH67" s="39">
        <v>1</v>
      </c>
      <c r="CI67" s="39" t="s">
        <v>393</v>
      </c>
      <c r="CJ67" s="39" t="s">
        <v>98</v>
      </c>
      <c r="CK67" s="39">
        <v>18</v>
      </c>
      <c r="CL67" s="39">
        <v>0</v>
      </c>
      <c r="CM67" s="39">
        <v>0</v>
      </c>
      <c r="CN67" s="39" t="s">
        <v>99</v>
      </c>
      <c r="CO67" s="39" t="s">
        <v>944</v>
      </c>
      <c r="CP67" s="39" t="s">
        <v>100</v>
      </c>
      <c r="CQ67" s="39" t="s">
        <v>126</v>
      </c>
      <c r="CR67" s="42">
        <v>46213</v>
      </c>
      <c r="CT67" s="39" t="s">
        <v>403</v>
      </c>
    </row>
    <row r="68" spans="1:98" s="39" customFormat="1" x14ac:dyDescent="0.35">
      <c r="A68" s="38" t="s">
        <v>386</v>
      </c>
      <c r="B68" s="38" t="s">
        <v>414</v>
      </c>
      <c r="C68" s="39" t="s">
        <v>387</v>
      </c>
      <c r="D68" s="39">
        <v>2016</v>
      </c>
      <c r="E68" s="40" t="s">
        <v>388</v>
      </c>
      <c r="F68" s="38" t="s">
        <v>389</v>
      </c>
      <c r="G68" s="39" t="s">
        <v>78</v>
      </c>
      <c r="H68" s="39">
        <v>1</v>
      </c>
      <c r="I68" s="39" t="s">
        <v>390</v>
      </c>
      <c r="J68" s="39" t="s">
        <v>79</v>
      </c>
      <c r="K68" s="39">
        <v>815</v>
      </c>
      <c r="L68" s="39" t="s">
        <v>104</v>
      </c>
      <c r="M68" s="39" t="s">
        <v>380</v>
      </c>
      <c r="N68" s="39">
        <v>-8.0000000000000002E-3</v>
      </c>
      <c r="O68" s="39">
        <v>1E-3</v>
      </c>
      <c r="P68" s="90">
        <f t="shared" si="18"/>
        <v>-8</v>
      </c>
      <c r="Q68" s="39" t="s">
        <v>312</v>
      </c>
      <c r="R68" s="90">
        <f t="shared" si="19"/>
        <v>-9.9600000000000001E-3</v>
      </c>
      <c r="S68" s="90">
        <f t="shared" si="20"/>
        <v>-6.0400000000000002E-3</v>
      </c>
      <c r="T68" s="39">
        <v>1</v>
      </c>
      <c r="U68" s="39">
        <v>7242</v>
      </c>
      <c r="V68" s="39">
        <v>8</v>
      </c>
      <c r="W68" s="39">
        <v>1</v>
      </c>
      <c r="X68" s="39">
        <f t="shared" si="21"/>
        <v>7234</v>
      </c>
      <c r="Y68" s="90">
        <f t="shared" si="22"/>
        <v>-9.3645746820163522E-2</v>
      </c>
      <c r="Z68" s="90">
        <f t="shared" si="23"/>
        <v>1.170571835252044E-2</v>
      </c>
      <c r="AA68" s="90">
        <f t="shared" si="24"/>
        <v>-9.3645746820163522E-2</v>
      </c>
      <c r="AB68" s="39" t="s">
        <v>81</v>
      </c>
      <c r="AC68" s="90">
        <f>N68*AN66</f>
        <v>-8.3360000000000004E-2</v>
      </c>
      <c r="AD68" s="90" cm="1">
        <f t="array" ref="AD68">_xlfn.IFS(
AND(L68="marginal_effect",M68="level"),N68*AN68/BF68,
AND(L68="marginal_effect",M68="sd (Y)"),N68*BH68*AN68/BF68,
AND(L68="marginal_effect",M68="sd (X)"),N68/AQ68*AN68/BF68,
AND(L68="semi_elasticity",M68="level"),N68*AN68,
AND(L68="semi_elasticity",M68="sd (Y)"),N68*AN68*BH68,
AND(L68="semi_elasticity",M68="sd (X)"),N68*AN68/AQ68,
AND(L68="level-log",M68="level"),N68/BF68,
AND(L68="level-log",M68="sd (X)"),N68/BF68/AQ68,
AND(L68="level-log",M68="sd (Y)"),N68/BF68*BH68,
AND(L68="elasticity",M68="level"),N68,
AND(L68="elasticity",M68="sd (X)"),N68/AQ68,
AND(L68="elasticity",M68="sd (Y)"),N68*BH68,
AND(L68="marginal_effect",M68="percent_of_mean"),N68*AN68/BF68/10)</f>
        <v>-8.3360000000000004E-2</v>
      </c>
      <c r="AE68" s="41">
        <f t="shared" si="25"/>
        <v>1</v>
      </c>
      <c r="AF68" s="90">
        <f>O68*AN66</f>
        <v>1.042E-2</v>
      </c>
      <c r="AG68" s="90" cm="1">
        <f t="array" ref="AG68">_xlfn.IFS(
AND(L68="marginal_effect",M68="level"),O68*AN68/BF68,
AND(L68="marginal_effect",M68="sd (Y)"),O68*BH68*AN68/BF68,
AND(L68="marginal_effect",M68="sd (X)"),O68/AQ68*AN68/BF68,
AND(L68="semi_elasticity",M68="level"),O68*AN68,
AND(L68="semi_elasticity",M68="sd (Y)"),O68*AN68*BH68,
AND(L68="semi_elasticity",M68="sd (X)"),O68*AN68/AQ68,
AND(L68="level-log",M68="level"),O68/BF68,
AND(L68="level-log",M68="sd (X)"),O68/BF68/AQ68,
AND(L68="level-log",M68="sd (Y)"),O68/BF68*BH68,
AND(L68="elasticity",M68="level"),O68,
AND(L68="elasticity",M68="sd (X)"),O68/AQ68,
AND(L68="elasticity",M68="sd (Y)"),O68*BH68,
AND(L68="marginal_effect",M68="percent_of_mean"),O68*AN68/BF68/10)</f>
        <v>1.042E-2</v>
      </c>
      <c r="AH68" s="41">
        <f t="shared" si="26"/>
        <v>1</v>
      </c>
      <c r="AI68" s="90">
        <f t="shared" si="27"/>
        <v>-8.3360000000000004E-2</v>
      </c>
      <c r="AJ68" s="39">
        <v>0</v>
      </c>
      <c r="AK68" s="39">
        <f t="shared" si="28"/>
        <v>1</v>
      </c>
      <c r="AL68" s="39" t="s">
        <v>82</v>
      </c>
      <c r="AM68" s="39" t="s">
        <v>1333</v>
      </c>
      <c r="AN68" s="39">
        <v>10.42</v>
      </c>
      <c r="AO68" s="39">
        <v>0</v>
      </c>
      <c r="AQ68" s="39" t="s">
        <v>312</v>
      </c>
      <c r="AR68" s="39" t="s">
        <v>312</v>
      </c>
      <c r="AS68" s="39" t="s">
        <v>312</v>
      </c>
      <c r="AT68" s="39" t="s">
        <v>83</v>
      </c>
      <c r="AU68" s="39" t="s">
        <v>109</v>
      </c>
      <c r="AV68" s="39" t="s">
        <v>133</v>
      </c>
      <c r="AW68" s="39" t="s">
        <v>85</v>
      </c>
      <c r="AX68" s="39" t="s">
        <v>86</v>
      </c>
      <c r="AY68" s="39">
        <v>0</v>
      </c>
      <c r="AZ68" s="39">
        <v>0</v>
      </c>
      <c r="BA68" s="39" t="s">
        <v>391</v>
      </c>
      <c r="BB68" s="39" t="s">
        <v>88</v>
      </c>
      <c r="BC68" s="39" t="s">
        <v>89</v>
      </c>
      <c r="BD68" s="39" t="s">
        <v>90</v>
      </c>
      <c r="BE68" s="39" t="s">
        <v>392</v>
      </c>
      <c r="BF68" s="39">
        <v>6.9939999999999998</v>
      </c>
      <c r="BG68" s="39">
        <v>0</v>
      </c>
      <c r="BH68" s="39" t="s">
        <v>312</v>
      </c>
      <c r="BI68" s="39" t="s">
        <v>312</v>
      </c>
      <c r="BJ68" s="39" t="s">
        <v>312</v>
      </c>
      <c r="BK68" s="39" t="s">
        <v>91</v>
      </c>
      <c r="BL68" s="39" t="s">
        <v>84</v>
      </c>
      <c r="BM68" s="39">
        <v>1</v>
      </c>
      <c r="BN68" s="39" t="s">
        <v>2177</v>
      </c>
      <c r="BO68" s="39" t="s">
        <v>398</v>
      </c>
      <c r="BP68" s="39" t="s">
        <v>394</v>
      </c>
      <c r="BQ68" s="39" t="s">
        <v>92</v>
      </c>
      <c r="BR68" s="39" t="s">
        <v>312</v>
      </c>
      <c r="BS68" s="39" t="s">
        <v>312</v>
      </c>
      <c r="BT68" s="39" t="s">
        <v>312</v>
      </c>
      <c r="BU68" s="41">
        <v>2001</v>
      </c>
      <c r="BV68" s="41">
        <v>2003</v>
      </c>
      <c r="BW68" s="39" t="s">
        <v>94</v>
      </c>
      <c r="BX68" s="39" t="s">
        <v>95</v>
      </c>
      <c r="BY68" s="39" t="s">
        <v>96</v>
      </c>
      <c r="BZ68" s="39">
        <v>0</v>
      </c>
      <c r="CA68" s="39">
        <v>0</v>
      </c>
      <c r="CB68" s="39" t="s">
        <v>97</v>
      </c>
      <c r="CC68" s="39" t="s">
        <v>313</v>
      </c>
      <c r="CD68" s="39">
        <v>1</v>
      </c>
      <c r="CE68" s="39" t="s">
        <v>395</v>
      </c>
      <c r="CF68" s="39">
        <v>1</v>
      </c>
      <c r="CG68" s="39" t="s">
        <v>396</v>
      </c>
      <c r="CH68" s="39">
        <v>1</v>
      </c>
      <c r="CI68" s="39" t="s">
        <v>393</v>
      </c>
      <c r="CJ68" s="39" t="s">
        <v>98</v>
      </c>
      <c r="CK68" s="39">
        <v>18</v>
      </c>
      <c r="CL68" s="39">
        <v>0</v>
      </c>
      <c r="CM68" s="39">
        <v>0</v>
      </c>
      <c r="CN68" s="39" t="s">
        <v>99</v>
      </c>
      <c r="CO68" s="39" t="s">
        <v>97</v>
      </c>
      <c r="CP68" s="39" t="s">
        <v>100</v>
      </c>
      <c r="CQ68" s="39" t="s">
        <v>126</v>
      </c>
      <c r="CR68" s="42">
        <v>46213</v>
      </c>
      <c r="CT68" s="39" t="s">
        <v>404</v>
      </c>
    </row>
    <row r="69" spans="1:98" s="39" customFormat="1" x14ac:dyDescent="0.35">
      <c r="A69" s="38" t="s">
        <v>386</v>
      </c>
      <c r="B69" s="38" t="s">
        <v>413</v>
      </c>
      <c r="C69" s="39" t="s">
        <v>387</v>
      </c>
      <c r="D69" s="39">
        <v>2016</v>
      </c>
      <c r="E69" s="40" t="s">
        <v>388</v>
      </c>
      <c r="F69" s="38" t="s">
        <v>389</v>
      </c>
      <c r="G69" s="39" t="s">
        <v>78</v>
      </c>
      <c r="H69" s="39">
        <v>1</v>
      </c>
      <c r="I69" s="39" t="s">
        <v>390</v>
      </c>
      <c r="J69" s="39" t="s">
        <v>79</v>
      </c>
      <c r="K69" s="39">
        <v>815</v>
      </c>
      <c r="L69" s="39" t="s">
        <v>104</v>
      </c>
      <c r="M69" s="39" t="s">
        <v>380</v>
      </c>
      <c r="N69" s="39">
        <v>-7.0000000000000001E-3</v>
      </c>
      <c r="O69" s="39">
        <v>6.0000000000000001E-3</v>
      </c>
      <c r="P69" s="90">
        <f t="shared" si="18"/>
        <v>-1.1666666666666667</v>
      </c>
      <c r="Q69" s="39" t="s">
        <v>312</v>
      </c>
      <c r="R69" s="90">
        <f t="shared" si="19"/>
        <v>-1.8759999999999999E-2</v>
      </c>
      <c r="S69" s="90">
        <f t="shared" si="20"/>
        <v>4.7599999999999995E-3</v>
      </c>
      <c r="T69" s="39">
        <v>1</v>
      </c>
      <c r="U69" s="39">
        <v>6808</v>
      </c>
      <c r="V69" s="39">
        <v>8</v>
      </c>
      <c r="W69" s="39">
        <v>1</v>
      </c>
      <c r="X69" s="39">
        <f t="shared" si="21"/>
        <v>6800</v>
      </c>
      <c r="Y69" s="90">
        <f t="shared" si="22"/>
        <v>-1.414649572596172E-2</v>
      </c>
      <c r="Z69" s="90">
        <f t="shared" si="23"/>
        <v>1.2125567765110043E-2</v>
      </c>
      <c r="AA69" s="90">
        <f t="shared" si="24"/>
        <v>-1.414649572596172E-2</v>
      </c>
      <c r="AB69" s="39" t="s">
        <v>81</v>
      </c>
      <c r="AC69" s="90">
        <f>N69*AN67</f>
        <v>-7.2940000000000005E-2</v>
      </c>
      <c r="AD69" s="90" cm="1">
        <f t="array" ref="AD69">_xlfn.IFS(
AND(L69="marginal_effect",M69="level"),N69*AN69/BF69,
AND(L69="marginal_effect",M69="sd (Y)"),N69*BH69*AN69/BF69,
AND(L69="marginal_effect",M69="sd (X)"),N69/AQ69*AN69/BF69,
AND(L69="semi_elasticity",M69="level"),N69*AN69,
AND(L69="semi_elasticity",M69="sd (Y)"),N69*AN69*BH69,
AND(L69="semi_elasticity",M69="sd (X)"),N69*AN69/AQ69,
AND(L69="level-log",M69="level"),N69/BF69,
AND(L69="level-log",M69="sd (X)"),N69/BF69/AQ69,
AND(L69="level-log",M69="sd (Y)"),N69/BF69*BH69,
AND(L69="elasticity",M69="level"),N69,
AND(L69="elasticity",M69="sd (X)"),N69/AQ69,
AND(L69="elasticity",M69="sd (Y)"),N69*BH69,
AND(L69="marginal_effect",M69="percent_of_mean"),N69*AN69/BF69/10)</f>
        <v>-7.2940000000000005E-2</v>
      </c>
      <c r="AE69" s="41">
        <f t="shared" si="25"/>
        <v>1</v>
      </c>
      <c r="AF69" s="90">
        <f>O69*AN67</f>
        <v>6.2520000000000006E-2</v>
      </c>
      <c r="AG69" s="90" cm="1">
        <f t="array" ref="AG69">_xlfn.IFS(
AND(L69="marginal_effect",M69="level"),O69*AN69/BF69,
AND(L69="marginal_effect",M69="sd (Y)"),O69*BH69*AN69/BF69,
AND(L69="marginal_effect",M69="sd (X)"),O69/AQ69*AN69/BF69,
AND(L69="semi_elasticity",M69="level"),O69*AN69,
AND(L69="semi_elasticity",M69="sd (Y)"),O69*AN69*BH69,
AND(L69="semi_elasticity",M69="sd (X)"),O69*AN69/AQ69,
AND(L69="level-log",M69="level"),O69/BF69,
AND(L69="level-log",M69="sd (X)"),O69/BF69/AQ69,
AND(L69="level-log",M69="sd (Y)"),O69/BF69*BH69,
AND(L69="elasticity",M69="level"),O69,
AND(L69="elasticity",M69="sd (X)"),O69/AQ69,
AND(L69="elasticity",M69="sd (Y)"),O69*BH69,
AND(L69="marginal_effect",M69="percent_of_mean"),O69*AN69/BF69/10)</f>
        <v>6.2520000000000006E-2</v>
      </c>
      <c r="AH69" s="41">
        <f t="shared" si="26"/>
        <v>1</v>
      </c>
      <c r="AI69" s="90">
        <f t="shared" si="27"/>
        <v>-7.2940000000000005E-2</v>
      </c>
      <c r="AJ69" s="39">
        <v>0</v>
      </c>
      <c r="AK69" s="39">
        <f t="shared" si="28"/>
        <v>1</v>
      </c>
      <c r="AL69" s="39" t="s">
        <v>82</v>
      </c>
      <c r="AM69" s="39" t="s">
        <v>1333</v>
      </c>
      <c r="AN69" s="39">
        <v>10.42</v>
      </c>
      <c r="AO69" s="39">
        <v>1</v>
      </c>
      <c r="AQ69" s="39" t="s">
        <v>312</v>
      </c>
      <c r="AR69" s="39" t="s">
        <v>312</v>
      </c>
      <c r="AS69" s="39" t="s">
        <v>312</v>
      </c>
      <c r="AT69" s="39" t="s">
        <v>83</v>
      </c>
      <c r="AU69" s="39" t="s">
        <v>109</v>
      </c>
      <c r="AV69" s="39" t="s">
        <v>133</v>
      </c>
      <c r="AW69" s="39" t="s">
        <v>85</v>
      </c>
      <c r="AX69" s="39" t="s">
        <v>86</v>
      </c>
      <c r="AY69" s="39">
        <v>0</v>
      </c>
      <c r="AZ69" s="39">
        <v>0</v>
      </c>
      <c r="BA69" s="39" t="s">
        <v>391</v>
      </c>
      <c r="BB69" s="39" t="s">
        <v>88</v>
      </c>
      <c r="BC69" s="39" t="s">
        <v>89</v>
      </c>
      <c r="BD69" s="39" t="s">
        <v>90</v>
      </c>
      <c r="BE69" s="39" t="s">
        <v>392</v>
      </c>
      <c r="BF69" s="39">
        <v>6.9939999999999998</v>
      </c>
      <c r="BG69" s="39">
        <v>1</v>
      </c>
      <c r="BH69" s="39" t="s">
        <v>312</v>
      </c>
      <c r="BI69" s="39" t="s">
        <v>312</v>
      </c>
      <c r="BJ69" s="39" t="s">
        <v>312</v>
      </c>
      <c r="BK69" s="39" t="s">
        <v>91</v>
      </c>
      <c r="BL69" s="39" t="s">
        <v>84</v>
      </c>
      <c r="BM69" s="39">
        <v>1</v>
      </c>
      <c r="BN69" s="39" t="s">
        <v>2177</v>
      </c>
      <c r="BO69" s="39" t="s">
        <v>398</v>
      </c>
      <c r="BP69" s="39" t="s">
        <v>394</v>
      </c>
      <c r="BQ69" s="39" t="s">
        <v>92</v>
      </c>
      <c r="BR69" s="39" t="s">
        <v>312</v>
      </c>
      <c r="BS69" s="39" t="s">
        <v>312</v>
      </c>
      <c r="BT69" s="39" t="s">
        <v>312</v>
      </c>
      <c r="BU69" s="41">
        <v>2001</v>
      </c>
      <c r="BV69" s="41">
        <v>2003</v>
      </c>
      <c r="BW69" s="39" t="s">
        <v>94</v>
      </c>
      <c r="BX69" s="39" t="s">
        <v>95</v>
      </c>
      <c r="BY69" s="39" t="s">
        <v>96</v>
      </c>
      <c r="BZ69" s="39">
        <v>0</v>
      </c>
      <c r="CA69" s="39">
        <v>0</v>
      </c>
      <c r="CB69" s="39" t="s">
        <v>97</v>
      </c>
      <c r="CC69" s="39" t="s">
        <v>313</v>
      </c>
      <c r="CD69" s="39">
        <v>1</v>
      </c>
      <c r="CE69" s="39" t="s">
        <v>395</v>
      </c>
      <c r="CF69" s="39">
        <v>1</v>
      </c>
      <c r="CG69" s="39" t="s">
        <v>396</v>
      </c>
      <c r="CH69" s="39">
        <v>1</v>
      </c>
      <c r="CI69" s="39" t="s">
        <v>393</v>
      </c>
      <c r="CJ69" s="39" t="s">
        <v>98</v>
      </c>
      <c r="CK69" s="39">
        <v>18</v>
      </c>
      <c r="CL69" s="39">
        <v>0</v>
      </c>
      <c r="CM69" s="39">
        <v>0</v>
      </c>
      <c r="CN69" s="39" t="s">
        <v>99</v>
      </c>
      <c r="CO69" s="39" t="s">
        <v>944</v>
      </c>
      <c r="CP69" s="39" t="s">
        <v>100</v>
      </c>
      <c r="CQ69" s="39" t="s">
        <v>126</v>
      </c>
      <c r="CR69" s="42">
        <v>46213</v>
      </c>
      <c r="CT69" s="39" t="s">
        <v>405</v>
      </c>
    </row>
    <row r="70" spans="1:98" s="39" customFormat="1" x14ac:dyDescent="0.35">
      <c r="A70" s="38" t="s">
        <v>386</v>
      </c>
      <c r="B70" s="38" t="s">
        <v>415</v>
      </c>
      <c r="C70" s="39" t="s">
        <v>387</v>
      </c>
      <c r="D70" s="39">
        <v>2016</v>
      </c>
      <c r="E70" s="40" t="s">
        <v>388</v>
      </c>
      <c r="F70" s="38" t="s">
        <v>389</v>
      </c>
      <c r="G70" s="39" t="s">
        <v>78</v>
      </c>
      <c r="H70" s="39">
        <v>1</v>
      </c>
      <c r="I70" s="39" t="s">
        <v>390</v>
      </c>
      <c r="J70" s="39" t="s">
        <v>79</v>
      </c>
      <c r="K70" s="39">
        <v>815</v>
      </c>
      <c r="L70" s="39" t="s">
        <v>129</v>
      </c>
      <c r="M70" s="39" t="s">
        <v>380</v>
      </c>
      <c r="N70" s="39">
        <v>-3.5999999999999997E-2</v>
      </c>
      <c r="O70" s="39">
        <v>8.9999999999999993E-3</v>
      </c>
      <c r="P70" s="90">
        <f t="shared" si="18"/>
        <v>-4</v>
      </c>
      <c r="Q70" s="39" t="s">
        <v>312</v>
      </c>
      <c r="R70" s="90">
        <f t="shared" si="19"/>
        <v>-5.3639999999999993E-2</v>
      </c>
      <c r="S70" s="90">
        <f t="shared" si="20"/>
        <v>-1.8359999999999998E-2</v>
      </c>
      <c r="T70" s="39">
        <v>1</v>
      </c>
      <c r="U70" s="39">
        <v>7242</v>
      </c>
      <c r="V70" s="39">
        <v>1</v>
      </c>
      <c r="W70" s="39">
        <v>1</v>
      </c>
      <c r="X70" s="39">
        <f t="shared" si="21"/>
        <v>7241</v>
      </c>
      <c r="Y70" s="90">
        <f t="shared" si="22"/>
        <v>-4.6954955120732132E-2</v>
      </c>
      <c r="Z70" s="90">
        <f t="shared" si="23"/>
        <v>1.1738738780183033E-2</v>
      </c>
      <c r="AA70" s="90">
        <f t="shared" si="24"/>
        <v>-4.6954955120732132E-2</v>
      </c>
      <c r="AB70" s="39" t="s">
        <v>81</v>
      </c>
      <c r="AC70" s="90">
        <f t="shared" ref="AC70:AC78" si="29">N70*AN70/BF70</f>
        <v>-5.3634543894766941E-2</v>
      </c>
      <c r="AD70" s="90" cm="1">
        <f t="array" ref="AD70">_xlfn.IFS(
AND(L70="marginal_effect",M70="level"),N70*AN70/BF70,
AND(L70="marginal_effect",M70="sd (Y)"),N70*BH70*AN70/BF70,
AND(L70="marginal_effect",M70="sd (X)"),N70/AQ70*AN70/BF70,
AND(L70="semi_elasticity",M70="level"),N70*AN70,
AND(L70="semi_elasticity",M70="sd (Y)"),N70*AN70*BH70,
AND(L70="semi_elasticity",M70="sd (X)"),N70*AN70/AQ70,
AND(L70="level-log",M70="level"),N70/BF70,
AND(L70="level-log",M70="sd (X)"),N70/BF70/AQ70,
AND(L70="level-log",M70="sd (Y)"),N70/BF70*BH70,
AND(L70="elasticity",M70="level"),N70,
AND(L70="elasticity",M70="sd (X)"),N70/AQ70,
AND(L70="elasticity",M70="sd (Y)"),N70*BH70,
AND(L70="marginal_effect",M70="percent_of_mean"),N70*AN70/BF70/10)</f>
        <v>-5.3634543894766941E-2</v>
      </c>
      <c r="AE70" s="41">
        <f t="shared" si="25"/>
        <v>1</v>
      </c>
      <c r="AF70" s="90">
        <f t="shared" ref="AF70:AF78" si="30">O70*AN70/BF70</f>
        <v>1.3408635973691735E-2</v>
      </c>
      <c r="AG70" s="90" cm="1">
        <f t="array" ref="AG70">_xlfn.IFS(
AND(L70="marginal_effect",M70="level"),O70*AN70/BF70,
AND(L70="marginal_effect",M70="sd (Y)"),O70*BH70*AN70/BF70,
AND(L70="marginal_effect",M70="sd (X)"),O70/AQ70*AN70/BF70,
AND(L70="semi_elasticity",M70="level"),O70*AN70,
AND(L70="semi_elasticity",M70="sd (Y)"),O70*AN70*BH70,
AND(L70="semi_elasticity",M70="sd (X)"),O70*AN70/AQ70,
AND(L70="level-log",M70="level"),O70/BF70,
AND(L70="level-log",M70="sd (X)"),O70/BF70/AQ70,
AND(L70="level-log",M70="sd (Y)"),O70/BF70*BH70,
AND(L70="elasticity",M70="level"),O70,
AND(L70="elasticity",M70="sd (X)"),O70/AQ70,
AND(L70="elasticity",M70="sd (Y)"),O70*BH70,
AND(L70="marginal_effect",M70="percent_of_mean"),O70*AN70/BF70/10)</f>
        <v>1.3408635973691735E-2</v>
      </c>
      <c r="AH70" s="41">
        <f t="shared" si="26"/>
        <v>1</v>
      </c>
      <c r="AI70" s="90">
        <f t="shared" si="27"/>
        <v>-5.3634543894766941E-2</v>
      </c>
      <c r="AJ70" s="39">
        <v>0</v>
      </c>
      <c r="AK70" s="39">
        <f t="shared" si="28"/>
        <v>1</v>
      </c>
      <c r="AL70" s="39" t="s">
        <v>82</v>
      </c>
      <c r="AM70" s="39" t="s">
        <v>1333</v>
      </c>
      <c r="AN70" s="39">
        <v>10.42</v>
      </c>
      <c r="AO70" s="39">
        <v>0</v>
      </c>
      <c r="AQ70" s="39">
        <v>10.14</v>
      </c>
      <c r="AR70" s="39">
        <v>1.9</v>
      </c>
      <c r="AS70" s="39">
        <v>59.7</v>
      </c>
      <c r="AT70" s="39" t="s">
        <v>83</v>
      </c>
      <c r="AU70" s="39" t="s">
        <v>109</v>
      </c>
      <c r="AV70" s="39" t="s">
        <v>133</v>
      </c>
      <c r="AW70" s="39" t="s">
        <v>85</v>
      </c>
      <c r="AX70" s="39" t="s">
        <v>86</v>
      </c>
      <c r="AY70" s="39">
        <v>0</v>
      </c>
      <c r="AZ70" s="39">
        <v>0</v>
      </c>
      <c r="BA70" s="39" t="s">
        <v>391</v>
      </c>
      <c r="BB70" s="39" t="s">
        <v>88</v>
      </c>
      <c r="BC70" s="39" t="s">
        <v>89</v>
      </c>
      <c r="BD70" s="39" t="s">
        <v>90</v>
      </c>
      <c r="BE70" s="39" t="s">
        <v>392</v>
      </c>
      <c r="BF70" s="39">
        <v>6.9939999999999998</v>
      </c>
      <c r="BG70" s="39">
        <v>0</v>
      </c>
      <c r="BH70" s="39" t="s">
        <v>312</v>
      </c>
      <c r="BI70" s="39" t="s">
        <v>312</v>
      </c>
      <c r="BJ70" s="39" t="s">
        <v>312</v>
      </c>
      <c r="BK70" s="39" t="s">
        <v>91</v>
      </c>
      <c r="BL70" s="39" t="s">
        <v>84</v>
      </c>
      <c r="BM70" s="39">
        <v>1</v>
      </c>
      <c r="BN70" s="39" t="s">
        <v>2177</v>
      </c>
      <c r="BO70" s="39" t="s">
        <v>398</v>
      </c>
      <c r="BP70" s="39" t="s">
        <v>394</v>
      </c>
      <c r="BQ70" s="39" t="s">
        <v>92</v>
      </c>
      <c r="BR70" s="39" t="s">
        <v>312</v>
      </c>
      <c r="BS70" s="39" t="s">
        <v>312</v>
      </c>
      <c r="BT70" s="39" t="s">
        <v>312</v>
      </c>
      <c r="BU70" s="41">
        <v>2001</v>
      </c>
      <c r="BV70" s="41">
        <v>2003</v>
      </c>
      <c r="BW70" s="39" t="s">
        <v>94</v>
      </c>
      <c r="BX70" s="39" t="s">
        <v>95</v>
      </c>
      <c r="BY70" s="39" t="s">
        <v>96</v>
      </c>
      <c r="BZ70" s="39">
        <v>0</v>
      </c>
      <c r="CA70" s="39">
        <v>0</v>
      </c>
      <c r="CB70" s="39" t="s">
        <v>97</v>
      </c>
      <c r="CC70" s="39" t="s">
        <v>313</v>
      </c>
      <c r="CD70" s="39">
        <v>0</v>
      </c>
      <c r="CE70" s="39" t="s">
        <v>97</v>
      </c>
      <c r="CF70" s="39">
        <v>0</v>
      </c>
      <c r="CG70" s="39" t="s">
        <v>97</v>
      </c>
      <c r="CH70" s="39">
        <v>1</v>
      </c>
      <c r="CI70" s="39" t="s">
        <v>393</v>
      </c>
      <c r="CJ70" s="39" t="s">
        <v>98</v>
      </c>
      <c r="CK70" s="39">
        <v>18</v>
      </c>
      <c r="CL70" s="39">
        <v>0</v>
      </c>
      <c r="CM70" s="39">
        <v>0</v>
      </c>
      <c r="CN70" s="39" t="s">
        <v>124</v>
      </c>
      <c r="CO70" s="39" t="s">
        <v>97</v>
      </c>
      <c r="CP70" s="39" t="s">
        <v>100</v>
      </c>
      <c r="CQ70" s="39" t="s">
        <v>126</v>
      </c>
      <c r="CR70" s="42">
        <v>46213</v>
      </c>
      <c r="CT70" s="39" t="s">
        <v>406</v>
      </c>
    </row>
    <row r="71" spans="1:98" s="39" customFormat="1" x14ac:dyDescent="0.35">
      <c r="A71" s="38" t="s">
        <v>386</v>
      </c>
      <c r="B71" s="38" t="s">
        <v>416</v>
      </c>
      <c r="C71" s="39" t="s">
        <v>387</v>
      </c>
      <c r="D71" s="39">
        <v>2016</v>
      </c>
      <c r="E71" s="40" t="s">
        <v>388</v>
      </c>
      <c r="F71" s="38" t="s">
        <v>389</v>
      </c>
      <c r="G71" s="39" t="s">
        <v>78</v>
      </c>
      <c r="H71" s="39">
        <v>1</v>
      </c>
      <c r="I71" s="39" t="s">
        <v>390</v>
      </c>
      <c r="J71" s="39" t="s">
        <v>79</v>
      </c>
      <c r="K71" s="39">
        <v>815</v>
      </c>
      <c r="L71" s="39" t="s">
        <v>129</v>
      </c>
      <c r="M71" s="39" t="s">
        <v>380</v>
      </c>
      <c r="N71" s="39">
        <v>-0.04</v>
      </c>
      <c r="O71" s="39">
        <v>8.0000000000000002E-3</v>
      </c>
      <c r="P71" s="90">
        <f t="shared" si="18"/>
        <v>-5</v>
      </c>
      <c r="Q71" s="39" t="s">
        <v>312</v>
      </c>
      <c r="R71" s="90">
        <f t="shared" si="19"/>
        <v>-5.568E-2</v>
      </c>
      <c r="S71" s="90">
        <f t="shared" si="20"/>
        <v>-2.4320000000000001E-2</v>
      </c>
      <c r="T71" s="39">
        <v>1</v>
      </c>
      <c r="U71" s="39">
        <v>7242</v>
      </c>
      <c r="V71" s="39" t="s">
        <v>312</v>
      </c>
      <c r="W71" s="39" t="s">
        <v>312</v>
      </c>
      <c r="X71" s="39">
        <f t="shared" si="21"/>
        <v>7242</v>
      </c>
      <c r="Y71" s="90">
        <f t="shared" si="22"/>
        <v>-5.8653296281771031E-2</v>
      </c>
      <c r="Z71" s="90">
        <f t="shared" si="23"/>
        <v>1.1730659256354206E-2</v>
      </c>
      <c r="AA71" s="90">
        <f t="shared" si="24"/>
        <v>-5.8653296281771031E-2</v>
      </c>
      <c r="AB71" s="39" t="s">
        <v>81</v>
      </c>
      <c r="AC71" s="90">
        <f t="shared" si="29"/>
        <v>-5.9593937660852164E-2</v>
      </c>
      <c r="AD71" s="90" cm="1">
        <f t="array" ref="AD71">_xlfn.IFS(
AND(L71="marginal_effect",M71="level"),N71*AN71/BF71,
AND(L71="marginal_effect",M71="sd (Y)"),N71*BH71*AN71/BF71,
AND(L71="marginal_effect",M71="sd (X)"),N71/AQ71*AN71/BF71,
AND(L71="semi_elasticity",M71="level"),N71*AN71,
AND(L71="semi_elasticity",M71="sd (Y)"),N71*AN71*BH71,
AND(L71="semi_elasticity",M71="sd (X)"),N71*AN71/AQ71,
AND(L71="level-log",M71="level"),N71/BF71,
AND(L71="level-log",M71="sd (X)"),N71/BF71/AQ71,
AND(L71="level-log",M71="sd (Y)"),N71/BF71*BH71,
AND(L71="elasticity",M71="level"),N71,
AND(L71="elasticity",M71="sd (X)"),N71/AQ71,
AND(L71="elasticity",M71="sd (Y)"),N71*BH71,
AND(L71="marginal_effect",M71="percent_of_mean"),N71*AN71/BF71/10)</f>
        <v>-5.9593937660852164E-2</v>
      </c>
      <c r="AE71" s="41">
        <f t="shared" si="25"/>
        <v>1</v>
      </c>
      <c r="AF71" s="90">
        <f t="shared" si="30"/>
        <v>1.1918787532170433E-2</v>
      </c>
      <c r="AG71" s="90" cm="1">
        <f t="array" ref="AG71">_xlfn.IFS(
AND(L71="marginal_effect",M71="level"),O71*AN71/BF71,
AND(L71="marginal_effect",M71="sd (Y)"),O71*BH71*AN71/BF71,
AND(L71="marginal_effect",M71="sd (X)"),O71/AQ71*AN71/BF71,
AND(L71="semi_elasticity",M71="level"),O71*AN71,
AND(L71="semi_elasticity",M71="sd (Y)"),O71*AN71*BH71,
AND(L71="semi_elasticity",M71="sd (X)"),O71*AN71/AQ71,
AND(L71="level-log",M71="level"),O71/BF71,
AND(L71="level-log",M71="sd (X)"),O71/BF71/AQ71,
AND(L71="level-log",M71="sd (Y)"),O71/BF71*BH71,
AND(L71="elasticity",M71="level"),O71,
AND(L71="elasticity",M71="sd (X)"),O71/AQ71,
AND(L71="elasticity",M71="sd (Y)"),O71*BH71,
AND(L71="marginal_effect",M71="percent_of_mean"),O71*AN71/BF71/10)</f>
        <v>1.1918787532170433E-2</v>
      </c>
      <c r="AH71" s="41">
        <f t="shared" si="26"/>
        <v>1</v>
      </c>
      <c r="AI71" s="90">
        <f t="shared" si="27"/>
        <v>-5.9593937660852164E-2</v>
      </c>
      <c r="AJ71" s="39">
        <v>0</v>
      </c>
      <c r="AK71" s="39">
        <f t="shared" si="28"/>
        <v>1</v>
      </c>
      <c r="AL71" s="39" t="s">
        <v>82</v>
      </c>
      <c r="AM71" s="39" t="s">
        <v>1333</v>
      </c>
      <c r="AN71" s="39">
        <v>10.42</v>
      </c>
      <c r="AO71" s="39">
        <v>0</v>
      </c>
      <c r="AQ71" s="39">
        <v>10.14</v>
      </c>
      <c r="AR71" s="39">
        <v>1.9</v>
      </c>
      <c r="AS71" s="39">
        <v>59.7</v>
      </c>
      <c r="AT71" s="39" t="s">
        <v>83</v>
      </c>
      <c r="AU71" s="39" t="s">
        <v>109</v>
      </c>
      <c r="AV71" s="39" t="s">
        <v>133</v>
      </c>
      <c r="AW71" s="39" t="s">
        <v>85</v>
      </c>
      <c r="AX71" s="39" t="s">
        <v>86</v>
      </c>
      <c r="AY71" s="39">
        <v>0</v>
      </c>
      <c r="AZ71" s="39">
        <v>0</v>
      </c>
      <c r="BA71" s="39" t="s">
        <v>391</v>
      </c>
      <c r="BB71" s="39" t="s">
        <v>88</v>
      </c>
      <c r="BC71" s="39" t="s">
        <v>89</v>
      </c>
      <c r="BD71" s="39" t="s">
        <v>90</v>
      </c>
      <c r="BE71" s="39" t="s">
        <v>392</v>
      </c>
      <c r="BF71" s="39">
        <v>6.9939999999999998</v>
      </c>
      <c r="BG71" s="39">
        <v>0</v>
      </c>
      <c r="BH71" s="39" t="s">
        <v>312</v>
      </c>
      <c r="BI71" s="39" t="s">
        <v>312</v>
      </c>
      <c r="BJ71" s="39" t="s">
        <v>312</v>
      </c>
      <c r="BK71" s="39" t="s">
        <v>91</v>
      </c>
      <c r="BL71" s="39" t="s">
        <v>84</v>
      </c>
      <c r="BM71" s="39">
        <v>1</v>
      </c>
      <c r="BN71" s="39" t="s">
        <v>2177</v>
      </c>
      <c r="BO71" s="39" t="s">
        <v>398</v>
      </c>
      <c r="BP71" s="39" t="s">
        <v>394</v>
      </c>
      <c r="BQ71" s="39" t="s">
        <v>92</v>
      </c>
      <c r="BR71" s="39" t="s">
        <v>312</v>
      </c>
      <c r="BS71" s="39" t="s">
        <v>312</v>
      </c>
      <c r="BT71" s="39" t="s">
        <v>312</v>
      </c>
      <c r="BU71" s="41">
        <v>2001</v>
      </c>
      <c r="BV71" s="41">
        <v>2003</v>
      </c>
      <c r="BW71" s="39" t="s">
        <v>94</v>
      </c>
      <c r="BX71" s="39" t="s">
        <v>95</v>
      </c>
      <c r="BY71" s="39" t="s">
        <v>96</v>
      </c>
      <c r="BZ71" s="39">
        <v>0</v>
      </c>
      <c r="CA71" s="39">
        <v>0</v>
      </c>
      <c r="CB71" s="39" t="s">
        <v>97</v>
      </c>
      <c r="CC71" s="39" t="s">
        <v>313</v>
      </c>
      <c r="CD71" s="39">
        <v>1</v>
      </c>
      <c r="CE71" s="39" t="s">
        <v>395</v>
      </c>
      <c r="CF71" s="39">
        <v>1</v>
      </c>
      <c r="CG71" s="39" t="s">
        <v>396</v>
      </c>
      <c r="CH71" s="39">
        <v>1</v>
      </c>
      <c r="CI71" s="39" t="s">
        <v>393</v>
      </c>
      <c r="CJ71" s="39" t="s">
        <v>98</v>
      </c>
      <c r="CK71" s="39">
        <v>18</v>
      </c>
      <c r="CL71" s="39">
        <v>0</v>
      </c>
      <c r="CM71" s="39">
        <v>0</v>
      </c>
      <c r="CN71" s="39" t="s">
        <v>124</v>
      </c>
      <c r="CO71" s="39" t="s">
        <v>97</v>
      </c>
      <c r="CP71" s="39" t="s">
        <v>100</v>
      </c>
      <c r="CQ71" s="39" t="s">
        <v>126</v>
      </c>
      <c r="CR71" s="42">
        <v>46213</v>
      </c>
      <c r="CT71" s="39" t="s">
        <v>407</v>
      </c>
    </row>
    <row r="72" spans="1:98" s="39" customFormat="1" x14ac:dyDescent="0.35">
      <c r="A72" s="38" t="s">
        <v>386</v>
      </c>
      <c r="B72" s="38" t="s">
        <v>417</v>
      </c>
      <c r="C72" s="39" t="s">
        <v>387</v>
      </c>
      <c r="D72" s="39">
        <v>2016</v>
      </c>
      <c r="E72" s="40" t="s">
        <v>388</v>
      </c>
      <c r="F72" s="38" t="s">
        <v>389</v>
      </c>
      <c r="G72" s="39" t="s">
        <v>78</v>
      </c>
      <c r="H72" s="39">
        <v>1</v>
      </c>
      <c r="I72" s="39" t="s">
        <v>390</v>
      </c>
      <c r="J72" s="39" t="s">
        <v>79</v>
      </c>
      <c r="K72" s="39">
        <v>815</v>
      </c>
      <c r="L72" s="39" t="s">
        <v>129</v>
      </c>
      <c r="M72" s="39" t="s">
        <v>380</v>
      </c>
      <c r="N72" s="39">
        <v>-3.9E-2</v>
      </c>
      <c r="O72" s="39">
        <v>8.9999999999999993E-3</v>
      </c>
      <c r="P72" s="90">
        <f t="shared" si="18"/>
        <v>-4.3333333333333339</v>
      </c>
      <c r="Q72" s="39" t="s">
        <v>312</v>
      </c>
      <c r="R72" s="90">
        <f t="shared" si="19"/>
        <v>-5.6639999999999996E-2</v>
      </c>
      <c r="S72" s="90">
        <f t="shared" si="20"/>
        <v>-2.1360000000000001E-2</v>
      </c>
      <c r="T72" s="39">
        <v>1</v>
      </c>
      <c r="U72" s="39">
        <v>7242</v>
      </c>
      <c r="V72" s="39">
        <v>11</v>
      </c>
      <c r="W72" s="39">
        <v>1</v>
      </c>
      <c r="X72" s="39">
        <f t="shared" si="21"/>
        <v>7231</v>
      </c>
      <c r="Y72" s="90">
        <f t="shared" si="22"/>
        <v>-5.0893199002983051E-2</v>
      </c>
      <c r="Z72" s="90">
        <f t="shared" si="23"/>
        <v>1.1744584385303777E-2</v>
      </c>
      <c r="AA72" s="90">
        <f t="shared" si="24"/>
        <v>-5.0893199002983051E-2</v>
      </c>
      <c r="AB72" s="39" t="s">
        <v>81</v>
      </c>
      <c r="AC72" s="90">
        <f t="shared" si="29"/>
        <v>-5.8104089219330857E-2</v>
      </c>
      <c r="AD72" s="90" cm="1">
        <f t="array" ref="AD72">_xlfn.IFS(
AND(L72="marginal_effect",M72="level"),N72*AN72/BF72,
AND(L72="marginal_effect",M72="sd (Y)"),N72*BH72*AN72/BF72,
AND(L72="marginal_effect",M72="sd (X)"),N72/AQ72*AN72/BF72,
AND(L72="semi_elasticity",M72="level"),N72*AN72,
AND(L72="semi_elasticity",M72="sd (Y)"),N72*AN72*BH72,
AND(L72="semi_elasticity",M72="sd (X)"),N72*AN72/AQ72,
AND(L72="level-log",M72="level"),N72/BF72,
AND(L72="level-log",M72="sd (X)"),N72/BF72/AQ72,
AND(L72="level-log",M72="sd (Y)"),N72/BF72*BH72,
AND(L72="elasticity",M72="level"),N72,
AND(L72="elasticity",M72="sd (X)"),N72/AQ72,
AND(L72="elasticity",M72="sd (Y)"),N72*BH72,
AND(L72="marginal_effect",M72="percent_of_mean"),N72*AN72/BF72/10)</f>
        <v>-5.8104089219330857E-2</v>
      </c>
      <c r="AE72" s="41">
        <f t="shared" si="25"/>
        <v>1</v>
      </c>
      <c r="AF72" s="90">
        <f t="shared" si="30"/>
        <v>1.3408635973691735E-2</v>
      </c>
      <c r="AG72" s="90" cm="1">
        <f t="array" ref="AG72">_xlfn.IFS(
AND(L72="marginal_effect",M72="level"),O72*AN72/BF72,
AND(L72="marginal_effect",M72="sd (Y)"),O72*BH72*AN72/BF72,
AND(L72="marginal_effect",M72="sd (X)"),O72/AQ72*AN72/BF72,
AND(L72="semi_elasticity",M72="level"),O72*AN72,
AND(L72="semi_elasticity",M72="sd (Y)"),O72*AN72*BH72,
AND(L72="semi_elasticity",M72="sd (X)"),O72*AN72/AQ72,
AND(L72="level-log",M72="level"),O72/BF72,
AND(L72="level-log",M72="sd (X)"),O72/BF72/AQ72,
AND(L72="level-log",M72="sd (Y)"),O72/BF72*BH72,
AND(L72="elasticity",M72="level"),O72,
AND(L72="elasticity",M72="sd (X)"),O72/AQ72,
AND(L72="elasticity",M72="sd (Y)"),O72*BH72,
AND(L72="marginal_effect",M72="percent_of_mean"),O72*AN72/BF72/10)</f>
        <v>1.3408635973691735E-2</v>
      </c>
      <c r="AH72" s="41">
        <f t="shared" si="26"/>
        <v>1</v>
      </c>
      <c r="AI72" s="90">
        <f t="shared" si="27"/>
        <v>-5.8104089219330857E-2</v>
      </c>
      <c r="AJ72" s="39">
        <v>0</v>
      </c>
      <c r="AK72" s="39">
        <f t="shared" si="28"/>
        <v>1</v>
      </c>
      <c r="AL72" s="39" t="s">
        <v>82</v>
      </c>
      <c r="AM72" s="39" t="s">
        <v>1333</v>
      </c>
      <c r="AN72" s="39">
        <v>10.42</v>
      </c>
      <c r="AO72" s="39">
        <v>0</v>
      </c>
      <c r="AQ72" s="39">
        <v>10.14</v>
      </c>
      <c r="AR72" s="39">
        <v>1.9</v>
      </c>
      <c r="AS72" s="39">
        <v>59.7</v>
      </c>
      <c r="AT72" s="39" t="s">
        <v>83</v>
      </c>
      <c r="AU72" s="39" t="s">
        <v>109</v>
      </c>
      <c r="AV72" s="39" t="s">
        <v>133</v>
      </c>
      <c r="AW72" s="39" t="s">
        <v>85</v>
      </c>
      <c r="AX72" s="39" t="s">
        <v>86</v>
      </c>
      <c r="AY72" s="39">
        <v>0</v>
      </c>
      <c r="AZ72" s="39">
        <v>0</v>
      </c>
      <c r="BA72" s="39" t="s">
        <v>391</v>
      </c>
      <c r="BB72" s="39" t="s">
        <v>88</v>
      </c>
      <c r="BC72" s="39" t="s">
        <v>89</v>
      </c>
      <c r="BD72" s="39" t="s">
        <v>90</v>
      </c>
      <c r="BE72" s="39" t="s">
        <v>392</v>
      </c>
      <c r="BF72" s="39">
        <v>6.9939999999999998</v>
      </c>
      <c r="BG72" s="39">
        <v>0</v>
      </c>
      <c r="BH72" s="39" t="s">
        <v>312</v>
      </c>
      <c r="BI72" s="39" t="s">
        <v>312</v>
      </c>
      <c r="BJ72" s="39" t="s">
        <v>312</v>
      </c>
      <c r="BK72" s="39" t="s">
        <v>91</v>
      </c>
      <c r="BL72" s="39" t="s">
        <v>84</v>
      </c>
      <c r="BM72" s="39">
        <v>1</v>
      </c>
      <c r="BN72" s="39" t="s">
        <v>2177</v>
      </c>
      <c r="BO72" s="39" t="s">
        <v>398</v>
      </c>
      <c r="BP72" s="39" t="s">
        <v>394</v>
      </c>
      <c r="BQ72" s="39" t="s">
        <v>92</v>
      </c>
      <c r="BR72" s="39" t="s">
        <v>312</v>
      </c>
      <c r="BS72" s="39" t="s">
        <v>312</v>
      </c>
      <c r="BT72" s="39" t="s">
        <v>312</v>
      </c>
      <c r="BU72" s="41">
        <v>2001</v>
      </c>
      <c r="BV72" s="41">
        <v>2003</v>
      </c>
      <c r="BW72" s="39" t="s">
        <v>94</v>
      </c>
      <c r="BX72" s="39" t="s">
        <v>95</v>
      </c>
      <c r="BY72" s="39" t="s">
        <v>96</v>
      </c>
      <c r="BZ72" s="39">
        <v>0</v>
      </c>
      <c r="CA72" s="39">
        <v>0</v>
      </c>
      <c r="CB72" s="39" t="s">
        <v>97</v>
      </c>
      <c r="CC72" s="39" t="s">
        <v>313</v>
      </c>
      <c r="CD72" s="39">
        <v>1</v>
      </c>
      <c r="CE72" s="39" t="s">
        <v>395</v>
      </c>
      <c r="CF72" s="39">
        <v>1</v>
      </c>
      <c r="CG72" s="39" t="s">
        <v>399</v>
      </c>
      <c r="CH72" s="39">
        <v>1</v>
      </c>
      <c r="CI72" s="39" t="s">
        <v>393</v>
      </c>
      <c r="CJ72" s="39" t="s">
        <v>98</v>
      </c>
      <c r="CK72" s="39">
        <v>18</v>
      </c>
      <c r="CL72" s="39">
        <v>0</v>
      </c>
      <c r="CM72" s="39">
        <v>0</v>
      </c>
      <c r="CN72" s="39" t="s">
        <v>124</v>
      </c>
      <c r="CO72" s="39" t="s">
        <v>97</v>
      </c>
      <c r="CP72" s="39" t="s">
        <v>100</v>
      </c>
      <c r="CQ72" s="39" t="s">
        <v>126</v>
      </c>
      <c r="CR72" s="42">
        <v>46213</v>
      </c>
      <c r="CT72" s="39" t="s">
        <v>408</v>
      </c>
    </row>
    <row r="73" spans="1:98" s="39" customFormat="1" x14ac:dyDescent="0.35">
      <c r="A73" s="38" t="s">
        <v>386</v>
      </c>
      <c r="B73" s="38" t="s">
        <v>418</v>
      </c>
      <c r="C73" s="39" t="s">
        <v>387</v>
      </c>
      <c r="D73" s="39">
        <v>2016</v>
      </c>
      <c r="E73" s="40" t="s">
        <v>388</v>
      </c>
      <c r="F73" s="38" t="s">
        <v>389</v>
      </c>
      <c r="G73" s="39" t="s">
        <v>78</v>
      </c>
      <c r="H73" s="39">
        <v>1</v>
      </c>
      <c r="I73" s="39" t="s">
        <v>390</v>
      </c>
      <c r="J73" s="39" t="s">
        <v>79</v>
      </c>
      <c r="K73" s="39">
        <v>815</v>
      </c>
      <c r="L73" s="39" t="s">
        <v>129</v>
      </c>
      <c r="M73" s="39" t="s">
        <v>380</v>
      </c>
      <c r="N73" s="39">
        <v>-3.9E-2</v>
      </c>
      <c r="O73" s="39">
        <v>1.6E-2</v>
      </c>
      <c r="P73" s="90">
        <f t="shared" si="18"/>
        <v>-2.4375</v>
      </c>
      <c r="Q73" s="39" t="s">
        <v>312</v>
      </c>
      <c r="R73" s="90">
        <f t="shared" si="19"/>
        <v>-7.0360000000000006E-2</v>
      </c>
      <c r="S73" s="90">
        <f t="shared" si="20"/>
        <v>-7.640000000000001E-3</v>
      </c>
      <c r="T73" s="39">
        <v>1</v>
      </c>
      <c r="U73" s="39">
        <v>7242</v>
      </c>
      <c r="V73" s="39">
        <v>8</v>
      </c>
      <c r="W73" s="39">
        <v>1</v>
      </c>
      <c r="X73" s="39">
        <f t="shared" si="21"/>
        <v>7234</v>
      </c>
      <c r="Y73" s="90">
        <f t="shared" si="22"/>
        <v>-2.864686481776196E-2</v>
      </c>
      <c r="Z73" s="90">
        <f t="shared" si="23"/>
        <v>1.1752559925235675E-2</v>
      </c>
      <c r="AA73" s="90">
        <f t="shared" si="24"/>
        <v>-2.864686481776196E-2</v>
      </c>
      <c r="AB73" s="39" t="s">
        <v>81</v>
      </c>
      <c r="AC73" s="90">
        <f t="shared" si="29"/>
        <v>-5.8104089219330857E-2</v>
      </c>
      <c r="AD73" s="90" cm="1">
        <f t="array" ref="AD73">_xlfn.IFS(
AND(L73="marginal_effect",M73="level"),N73*AN73/BF73,
AND(L73="marginal_effect",M73="sd (Y)"),N73*BH73*AN73/BF73,
AND(L73="marginal_effect",M73="sd (X)"),N73/AQ73*AN73/BF73,
AND(L73="semi_elasticity",M73="level"),N73*AN73,
AND(L73="semi_elasticity",M73="sd (Y)"),N73*AN73*BH73,
AND(L73="semi_elasticity",M73="sd (X)"),N73*AN73/AQ73,
AND(L73="level-log",M73="level"),N73/BF73,
AND(L73="level-log",M73="sd (X)"),N73/BF73/AQ73,
AND(L73="level-log",M73="sd (Y)"),N73/BF73*BH73,
AND(L73="elasticity",M73="level"),N73,
AND(L73="elasticity",M73="sd (X)"),N73/AQ73,
AND(L73="elasticity",M73="sd (Y)"),N73*BH73,
AND(L73="marginal_effect",M73="percent_of_mean"),N73*AN73/BF73/10)</f>
        <v>-5.8104089219330857E-2</v>
      </c>
      <c r="AE73" s="41">
        <f t="shared" si="25"/>
        <v>1</v>
      </c>
      <c r="AF73" s="90">
        <f t="shared" si="30"/>
        <v>2.3837575064340866E-2</v>
      </c>
      <c r="AG73" s="90" cm="1">
        <f t="array" ref="AG73">_xlfn.IFS(
AND(L73="marginal_effect",M73="level"),O73*AN73/BF73,
AND(L73="marginal_effect",M73="sd (Y)"),O73*BH73*AN73/BF73,
AND(L73="marginal_effect",M73="sd (X)"),O73/AQ73*AN73/BF73,
AND(L73="semi_elasticity",M73="level"),O73*AN73,
AND(L73="semi_elasticity",M73="sd (Y)"),O73*AN73*BH73,
AND(L73="semi_elasticity",M73="sd (X)"),O73*AN73/AQ73,
AND(L73="level-log",M73="level"),O73/BF73,
AND(L73="level-log",M73="sd (X)"),O73/BF73/AQ73,
AND(L73="level-log",M73="sd (Y)"),O73/BF73*BH73,
AND(L73="elasticity",M73="level"),O73,
AND(L73="elasticity",M73="sd (X)"),O73/AQ73,
AND(L73="elasticity",M73="sd (Y)"),O73*BH73,
AND(L73="marginal_effect",M73="percent_of_mean"),O73*AN73/BF73/10)</f>
        <v>2.3837575064340866E-2</v>
      </c>
      <c r="AH73" s="41">
        <f t="shared" si="26"/>
        <v>1</v>
      </c>
      <c r="AI73" s="90">
        <f t="shared" si="27"/>
        <v>-5.8104089219330857E-2</v>
      </c>
      <c r="AJ73" s="39">
        <v>0</v>
      </c>
      <c r="AK73" s="39">
        <f t="shared" si="28"/>
        <v>1</v>
      </c>
      <c r="AL73" s="39" t="s">
        <v>82</v>
      </c>
      <c r="AM73" s="39" t="s">
        <v>1333</v>
      </c>
      <c r="AN73" s="39">
        <v>10.42</v>
      </c>
      <c r="AO73" s="39">
        <v>0</v>
      </c>
      <c r="AQ73" s="39">
        <v>10.14</v>
      </c>
      <c r="AR73" s="39">
        <v>1.9</v>
      </c>
      <c r="AS73" s="39">
        <v>59.7</v>
      </c>
      <c r="AT73" s="39" t="s">
        <v>83</v>
      </c>
      <c r="AU73" s="39" t="s">
        <v>109</v>
      </c>
      <c r="AV73" s="39" t="s">
        <v>133</v>
      </c>
      <c r="AW73" s="39" t="s">
        <v>85</v>
      </c>
      <c r="AX73" s="39" t="s">
        <v>86</v>
      </c>
      <c r="AY73" s="39">
        <v>0</v>
      </c>
      <c r="AZ73" s="39">
        <v>0</v>
      </c>
      <c r="BA73" s="39" t="s">
        <v>391</v>
      </c>
      <c r="BB73" s="39" t="s">
        <v>88</v>
      </c>
      <c r="BC73" s="39" t="s">
        <v>89</v>
      </c>
      <c r="BD73" s="39" t="s">
        <v>90</v>
      </c>
      <c r="BE73" s="39" t="s">
        <v>392</v>
      </c>
      <c r="BF73" s="39">
        <v>6.9939999999999998</v>
      </c>
      <c r="BG73" s="39">
        <v>0</v>
      </c>
      <c r="BH73" s="39" t="s">
        <v>312</v>
      </c>
      <c r="BI73" s="39" t="s">
        <v>312</v>
      </c>
      <c r="BJ73" s="39" t="s">
        <v>312</v>
      </c>
      <c r="BK73" s="39" t="s">
        <v>91</v>
      </c>
      <c r="BL73" s="39" t="s">
        <v>84</v>
      </c>
      <c r="BM73" s="39">
        <v>1</v>
      </c>
      <c r="BN73" s="39" t="s">
        <v>2177</v>
      </c>
      <c r="BO73" s="39" t="s">
        <v>398</v>
      </c>
      <c r="BP73" s="39" t="s">
        <v>394</v>
      </c>
      <c r="BQ73" s="39" t="s">
        <v>92</v>
      </c>
      <c r="BR73" s="39" t="s">
        <v>312</v>
      </c>
      <c r="BS73" s="39" t="s">
        <v>312</v>
      </c>
      <c r="BT73" s="39" t="s">
        <v>312</v>
      </c>
      <c r="BU73" s="41">
        <v>2001</v>
      </c>
      <c r="BV73" s="41">
        <v>2003</v>
      </c>
      <c r="BW73" s="39" t="s">
        <v>94</v>
      </c>
      <c r="BX73" s="39" t="s">
        <v>95</v>
      </c>
      <c r="BY73" s="39" t="s">
        <v>96</v>
      </c>
      <c r="BZ73" s="39">
        <v>0</v>
      </c>
      <c r="CA73" s="39">
        <v>0</v>
      </c>
      <c r="CB73" s="39" t="s">
        <v>97</v>
      </c>
      <c r="CC73" s="39" t="s">
        <v>314</v>
      </c>
      <c r="CD73" s="39">
        <v>1</v>
      </c>
      <c r="CE73" s="39" t="s">
        <v>395</v>
      </c>
      <c r="CF73" s="39">
        <v>1</v>
      </c>
      <c r="CG73" s="39" t="s">
        <v>396</v>
      </c>
      <c r="CH73" s="39">
        <v>1</v>
      </c>
      <c r="CI73" s="39" t="s">
        <v>393</v>
      </c>
      <c r="CJ73" s="39" t="s">
        <v>98</v>
      </c>
      <c r="CK73" s="39">
        <v>18</v>
      </c>
      <c r="CL73" s="39">
        <v>0</v>
      </c>
      <c r="CM73" s="39">
        <v>0</v>
      </c>
      <c r="CN73" s="39" t="s">
        <v>124</v>
      </c>
      <c r="CO73" s="39" t="s">
        <v>97</v>
      </c>
      <c r="CP73" s="39" t="s">
        <v>100</v>
      </c>
      <c r="CQ73" s="39" t="s">
        <v>126</v>
      </c>
      <c r="CR73" s="42">
        <v>46213</v>
      </c>
      <c r="CT73" s="39" t="s">
        <v>409</v>
      </c>
    </row>
    <row r="74" spans="1:98" s="39" customFormat="1" x14ac:dyDescent="0.35">
      <c r="A74" s="38" t="s">
        <v>386</v>
      </c>
      <c r="B74" s="38" t="s">
        <v>419</v>
      </c>
      <c r="C74" s="39" t="s">
        <v>387</v>
      </c>
      <c r="D74" s="39">
        <v>2016</v>
      </c>
      <c r="E74" s="40" t="s">
        <v>388</v>
      </c>
      <c r="F74" s="38" t="s">
        <v>389</v>
      </c>
      <c r="G74" s="39" t="s">
        <v>78</v>
      </c>
      <c r="H74" s="39">
        <v>1</v>
      </c>
      <c r="I74" s="39" t="s">
        <v>390</v>
      </c>
      <c r="J74" s="39" t="s">
        <v>79</v>
      </c>
      <c r="K74" s="39">
        <v>815</v>
      </c>
      <c r="L74" s="39" t="s">
        <v>129</v>
      </c>
      <c r="M74" s="39" t="s">
        <v>380</v>
      </c>
      <c r="N74" s="53">
        <v>-4.2000000000000003E-2</v>
      </c>
      <c r="O74" s="39">
        <v>0.02</v>
      </c>
      <c r="P74" s="90">
        <f t="shared" si="18"/>
        <v>-2.1</v>
      </c>
      <c r="Q74" s="39" t="s">
        <v>312</v>
      </c>
      <c r="R74" s="90">
        <f t="shared" si="19"/>
        <v>-8.1199999999999994E-2</v>
      </c>
      <c r="S74" s="90">
        <f t="shared" si="20"/>
        <v>-2.8000000000000039E-3</v>
      </c>
      <c r="T74" s="39">
        <v>1</v>
      </c>
      <c r="U74" s="39">
        <v>2058</v>
      </c>
      <c r="V74" s="39">
        <v>8</v>
      </c>
      <c r="W74" s="39">
        <v>1</v>
      </c>
      <c r="X74" s="39">
        <f t="shared" si="21"/>
        <v>2050</v>
      </c>
      <c r="Y74" s="90">
        <f t="shared" si="22"/>
        <v>-4.6331433182361166E-2</v>
      </c>
      <c r="Z74" s="90">
        <f t="shared" si="23"/>
        <v>2.2062587229695792E-2</v>
      </c>
      <c r="AA74" s="90">
        <f t="shared" si="24"/>
        <v>-4.6331433182361166E-2</v>
      </c>
      <c r="AB74" s="39" t="s">
        <v>81</v>
      </c>
      <c r="AC74" s="90">
        <f t="shared" si="29"/>
        <v>-6.2573634543894779E-2</v>
      </c>
      <c r="AD74" s="90" cm="1">
        <f t="array" ref="AD74">_xlfn.IFS(
AND(L74="marginal_effect",M74="level"),N74*AN74/BF74,
AND(L74="marginal_effect",M74="sd (Y)"),N74*BH74*AN74/BF74,
AND(L74="marginal_effect",M74="sd (X)"),N74/AQ74*AN74/BF74,
AND(L74="semi_elasticity",M74="level"),N74*AN74,
AND(L74="semi_elasticity",M74="sd (Y)"),N74*AN74*BH74,
AND(L74="semi_elasticity",M74="sd (X)"),N74*AN74/AQ74,
AND(L74="level-log",M74="level"),N74/BF74,
AND(L74="level-log",M74="sd (X)"),N74/BF74/AQ74,
AND(L74="level-log",M74="sd (Y)"),N74/BF74*BH74,
AND(L74="elasticity",M74="level"),N74,
AND(L74="elasticity",M74="sd (X)"),N74/AQ74,
AND(L74="elasticity",M74="sd (Y)"),N74*BH74,
AND(L74="marginal_effect",M74="percent_of_mean"),N74*AN74/BF74/10)</f>
        <v>-6.2573634543894779E-2</v>
      </c>
      <c r="AE74" s="41">
        <f t="shared" si="25"/>
        <v>1</v>
      </c>
      <c r="AF74" s="90">
        <f t="shared" si="30"/>
        <v>2.9796968830426082E-2</v>
      </c>
      <c r="AG74" s="90" cm="1">
        <f t="array" ref="AG74">_xlfn.IFS(
AND(L74="marginal_effect",M74="level"),O74*AN74/BF74,
AND(L74="marginal_effect",M74="sd (Y)"),O74*BH74*AN74/BF74,
AND(L74="marginal_effect",M74="sd (X)"),O74/AQ74*AN74/BF74,
AND(L74="semi_elasticity",M74="level"),O74*AN74,
AND(L74="semi_elasticity",M74="sd (Y)"),O74*AN74*BH74,
AND(L74="semi_elasticity",M74="sd (X)"),O74*AN74/AQ74,
AND(L74="level-log",M74="level"),O74/BF74,
AND(L74="level-log",M74="sd (X)"),O74/BF74/AQ74,
AND(L74="level-log",M74="sd (Y)"),O74/BF74*BH74,
AND(L74="elasticity",M74="level"),O74,
AND(L74="elasticity",M74="sd (X)"),O74/AQ74,
AND(L74="elasticity",M74="sd (Y)"),O74*BH74,
AND(L74="marginal_effect",M74="percent_of_mean"),O74*AN74/BF74/10)</f>
        <v>2.9796968830426082E-2</v>
      </c>
      <c r="AH74" s="41">
        <f t="shared" si="26"/>
        <v>1</v>
      </c>
      <c r="AI74" s="90">
        <f t="shared" si="27"/>
        <v>-6.2573634543894779E-2</v>
      </c>
      <c r="AJ74" s="39">
        <v>0</v>
      </c>
      <c r="AK74" s="39">
        <f t="shared" si="28"/>
        <v>1</v>
      </c>
      <c r="AL74" s="39" t="s">
        <v>82</v>
      </c>
      <c r="AM74" s="39" t="s">
        <v>1333</v>
      </c>
      <c r="AN74" s="39">
        <v>10.42</v>
      </c>
      <c r="AO74" s="39">
        <v>0</v>
      </c>
      <c r="AQ74" s="39">
        <v>10.14</v>
      </c>
      <c r="AR74" s="39">
        <v>1.9</v>
      </c>
      <c r="AS74" s="39">
        <v>59.7</v>
      </c>
      <c r="AT74" s="39" t="s">
        <v>83</v>
      </c>
      <c r="AU74" s="39" t="s">
        <v>109</v>
      </c>
      <c r="AV74" s="39" t="s">
        <v>133</v>
      </c>
      <c r="AW74" s="39" t="s">
        <v>85</v>
      </c>
      <c r="AX74" s="39" t="s">
        <v>86</v>
      </c>
      <c r="AY74" s="39">
        <v>0</v>
      </c>
      <c r="AZ74" s="39">
        <v>0</v>
      </c>
      <c r="BA74" s="39" t="s">
        <v>391</v>
      </c>
      <c r="BB74" s="39" t="s">
        <v>88</v>
      </c>
      <c r="BC74" s="39" t="s">
        <v>89</v>
      </c>
      <c r="BD74" s="39" t="s">
        <v>90</v>
      </c>
      <c r="BE74" s="39" t="s">
        <v>400</v>
      </c>
      <c r="BF74" s="39">
        <v>6.9939999999999998</v>
      </c>
      <c r="BG74" s="39">
        <v>0</v>
      </c>
      <c r="BH74" s="39" t="s">
        <v>312</v>
      </c>
      <c r="BI74" s="39" t="s">
        <v>312</v>
      </c>
      <c r="BJ74" s="39" t="s">
        <v>312</v>
      </c>
      <c r="BK74" s="39" t="s">
        <v>91</v>
      </c>
      <c r="BL74" s="39" t="s">
        <v>84</v>
      </c>
      <c r="BM74" s="39">
        <v>1</v>
      </c>
      <c r="BN74" s="39" t="s">
        <v>2177</v>
      </c>
      <c r="BO74" s="39" t="s">
        <v>398</v>
      </c>
      <c r="BP74" s="39" t="s">
        <v>394</v>
      </c>
      <c r="BQ74" s="39" t="s">
        <v>92</v>
      </c>
      <c r="BR74" s="39" t="s">
        <v>312</v>
      </c>
      <c r="BS74" s="39" t="s">
        <v>312</v>
      </c>
      <c r="BT74" s="39" t="s">
        <v>312</v>
      </c>
      <c r="BU74" s="41">
        <v>2001</v>
      </c>
      <c r="BV74" s="41">
        <v>2003</v>
      </c>
      <c r="BW74" s="39" t="s">
        <v>94</v>
      </c>
      <c r="BX74" s="39" t="s">
        <v>95</v>
      </c>
      <c r="BY74" s="39" t="s">
        <v>96</v>
      </c>
      <c r="BZ74" s="39">
        <v>0</v>
      </c>
      <c r="CA74" s="39">
        <v>0</v>
      </c>
      <c r="CB74" s="39" t="s">
        <v>97</v>
      </c>
      <c r="CC74" s="39" t="s">
        <v>313</v>
      </c>
      <c r="CD74" s="39">
        <v>1</v>
      </c>
      <c r="CE74" s="39" t="s">
        <v>395</v>
      </c>
      <c r="CF74" s="39">
        <v>1</v>
      </c>
      <c r="CG74" s="39" t="s">
        <v>396</v>
      </c>
      <c r="CH74" s="39">
        <v>1</v>
      </c>
      <c r="CI74" s="39" t="s">
        <v>393</v>
      </c>
      <c r="CJ74" s="39" t="s">
        <v>98</v>
      </c>
      <c r="CK74" s="39">
        <v>18</v>
      </c>
      <c r="CL74" s="39">
        <v>0</v>
      </c>
      <c r="CM74" s="39">
        <v>0</v>
      </c>
      <c r="CN74" s="39" t="s">
        <v>99</v>
      </c>
      <c r="CO74" s="39" t="s">
        <v>97</v>
      </c>
      <c r="CP74" s="39" t="s">
        <v>100</v>
      </c>
      <c r="CQ74" s="39" t="s">
        <v>126</v>
      </c>
      <c r="CR74" s="42">
        <v>46213</v>
      </c>
      <c r="CT74" s="39" t="s">
        <v>579</v>
      </c>
    </row>
    <row r="75" spans="1:98" s="39" customFormat="1" x14ac:dyDescent="0.35">
      <c r="A75" s="38" t="s">
        <v>386</v>
      </c>
      <c r="B75" s="38" t="s">
        <v>420</v>
      </c>
      <c r="C75" s="39" t="s">
        <v>387</v>
      </c>
      <c r="D75" s="39">
        <v>2016</v>
      </c>
      <c r="E75" s="40" t="s">
        <v>388</v>
      </c>
      <c r="F75" s="38" t="s">
        <v>389</v>
      </c>
      <c r="G75" s="39" t="s">
        <v>78</v>
      </c>
      <c r="H75" s="39">
        <v>1</v>
      </c>
      <c r="I75" s="39" t="s">
        <v>390</v>
      </c>
      <c r="J75" s="39" t="s">
        <v>79</v>
      </c>
      <c r="K75" s="39">
        <v>815</v>
      </c>
      <c r="L75" s="39" t="s">
        <v>129</v>
      </c>
      <c r="M75" s="39" t="s">
        <v>380</v>
      </c>
      <c r="N75" s="39">
        <v>-0.106</v>
      </c>
      <c r="O75" s="39">
        <v>2.7E-2</v>
      </c>
      <c r="P75" s="90">
        <f t="shared" si="18"/>
        <v>-3.925925925925926</v>
      </c>
      <c r="Q75" s="39" t="s">
        <v>312</v>
      </c>
      <c r="R75" s="90">
        <f t="shared" si="19"/>
        <v>-0.15892000000000001</v>
      </c>
      <c r="S75" s="90">
        <f t="shared" si="20"/>
        <v>-5.3079999999999995E-2</v>
      </c>
      <c r="T75" s="39">
        <v>1</v>
      </c>
      <c r="U75" s="39">
        <v>2058</v>
      </c>
      <c r="V75" s="39">
        <v>8</v>
      </c>
      <c r="W75" s="39">
        <v>1</v>
      </c>
      <c r="X75" s="39">
        <f t="shared" si="21"/>
        <v>2050</v>
      </c>
      <c r="Y75" s="90">
        <f t="shared" si="22"/>
        <v>-8.6385063953773655E-2</v>
      </c>
      <c r="Z75" s="90">
        <f t="shared" si="23"/>
        <v>2.2003742705206494E-2</v>
      </c>
      <c r="AA75" s="90">
        <f t="shared" si="24"/>
        <v>-8.6385063953773655E-2</v>
      </c>
      <c r="AB75" s="39" t="s">
        <v>81</v>
      </c>
      <c r="AC75" s="90">
        <f t="shared" si="29"/>
        <v>-9.6045217391304338E-2</v>
      </c>
      <c r="AD75" s="90" cm="1">
        <f t="array" ref="AD75">_xlfn.IFS(
AND(L75="marginal_effect",M75="level"),N75*AN75/BF75,
AND(L75="marginal_effect",M75="sd (Y)"),N75*BH75*AN75/BF75,
AND(L75="marginal_effect",M75="sd (X)"),N75/AQ75*AN75/BF75,
AND(L75="semi_elasticity",M75="level"),N75*AN75,
AND(L75="semi_elasticity",M75="sd (Y)"),N75*AN75*BH75,
AND(L75="semi_elasticity",M75="sd (X)"),N75*AN75/AQ75,
AND(L75="level-log",M75="level"),N75/BF75,
AND(L75="level-log",M75="sd (X)"),N75/BF75/AQ75,
AND(L75="level-log",M75="sd (Y)"),N75/BF75*BH75,
AND(L75="elasticity",M75="level"),N75,
AND(L75="elasticity",M75="sd (X)"),N75/AQ75,
AND(L75="elasticity",M75="sd (Y)"),N75*BH75,
AND(L75="marginal_effect",M75="percent_of_mean"),N75*AN75/BF75/10)</f>
        <v>-9.6045217391304338E-2</v>
      </c>
      <c r="AE75" s="41">
        <f t="shared" si="25"/>
        <v>1</v>
      </c>
      <c r="AF75" s="90">
        <f t="shared" si="30"/>
        <v>2.4464347826086953E-2</v>
      </c>
      <c r="AG75" s="90" cm="1">
        <f t="array" ref="AG75">_xlfn.IFS(
AND(L75="marginal_effect",M75="level"),O75*AN75/BF75,
AND(L75="marginal_effect",M75="sd (Y)"),O75*BH75*AN75/BF75,
AND(L75="marginal_effect",M75="sd (X)"),O75/AQ75*AN75/BF75,
AND(L75="semi_elasticity",M75="level"),O75*AN75,
AND(L75="semi_elasticity",M75="sd (Y)"),O75*AN75*BH75,
AND(L75="semi_elasticity",M75="sd (X)"),O75*AN75/AQ75,
AND(L75="level-log",M75="level"),O75/BF75,
AND(L75="level-log",M75="sd (X)"),O75/BF75/AQ75,
AND(L75="level-log",M75="sd (Y)"),O75/BF75*BH75,
AND(L75="elasticity",M75="level"),O75,
AND(L75="elasticity",M75="sd (X)"),O75/AQ75,
AND(L75="elasticity",M75="sd (Y)"),O75*BH75,
AND(L75="marginal_effect",M75="percent_of_mean"),O75*AN75/BF75/10)</f>
        <v>2.4464347826086953E-2</v>
      </c>
      <c r="AH75" s="41">
        <f t="shared" si="26"/>
        <v>1</v>
      </c>
      <c r="AI75" s="90">
        <f t="shared" si="27"/>
        <v>-9.6045217391304338E-2</v>
      </c>
      <c r="AJ75" s="39">
        <v>0</v>
      </c>
      <c r="AK75" s="39">
        <f t="shared" si="28"/>
        <v>1</v>
      </c>
      <c r="AL75" s="39" t="s">
        <v>82</v>
      </c>
      <c r="AM75" s="39" t="s">
        <v>1333</v>
      </c>
      <c r="AN75" s="39">
        <v>10.42</v>
      </c>
      <c r="AO75" s="39">
        <v>0</v>
      </c>
      <c r="AQ75" s="39">
        <v>10.14</v>
      </c>
      <c r="AR75" s="39">
        <v>1.9</v>
      </c>
      <c r="AS75" s="39">
        <v>59.7</v>
      </c>
      <c r="AT75" s="39" t="s">
        <v>83</v>
      </c>
      <c r="AU75" s="39" t="s">
        <v>109</v>
      </c>
      <c r="AV75" s="39" t="s">
        <v>133</v>
      </c>
      <c r="AW75" s="39" t="s">
        <v>85</v>
      </c>
      <c r="AX75" s="39" t="s">
        <v>86</v>
      </c>
      <c r="AY75" s="39">
        <v>0</v>
      </c>
      <c r="AZ75" s="39">
        <v>0</v>
      </c>
      <c r="BA75" s="39" t="s">
        <v>391</v>
      </c>
      <c r="BB75" s="39" t="s">
        <v>88</v>
      </c>
      <c r="BC75" s="39" t="s">
        <v>89</v>
      </c>
      <c r="BD75" s="39" t="s">
        <v>90</v>
      </c>
      <c r="BE75" s="39" t="s">
        <v>401</v>
      </c>
      <c r="BF75" s="39">
        <v>11.5</v>
      </c>
      <c r="BG75" s="39">
        <v>0</v>
      </c>
      <c r="BH75" s="39">
        <v>5.37</v>
      </c>
      <c r="BI75" s="39">
        <v>0.14000000000000001</v>
      </c>
      <c r="BJ75" s="39">
        <v>41.4</v>
      </c>
      <c r="BK75" s="39" t="s">
        <v>91</v>
      </c>
      <c r="BL75" s="39" t="s">
        <v>84</v>
      </c>
      <c r="BM75" s="39">
        <v>1</v>
      </c>
      <c r="BN75" s="39" t="s">
        <v>2177</v>
      </c>
      <c r="BO75" s="39" t="s">
        <v>398</v>
      </c>
      <c r="BP75" s="39" t="s">
        <v>394</v>
      </c>
      <c r="BQ75" s="39" t="s">
        <v>92</v>
      </c>
      <c r="BR75" s="39" t="s">
        <v>312</v>
      </c>
      <c r="BS75" s="39" t="s">
        <v>312</v>
      </c>
      <c r="BT75" s="39" t="s">
        <v>312</v>
      </c>
      <c r="BU75" s="41">
        <v>2001</v>
      </c>
      <c r="BV75" s="41">
        <v>2003</v>
      </c>
      <c r="BW75" s="39" t="s">
        <v>94</v>
      </c>
      <c r="BX75" s="39" t="s">
        <v>95</v>
      </c>
      <c r="BY75" s="39" t="s">
        <v>96</v>
      </c>
      <c r="BZ75" s="39">
        <v>0</v>
      </c>
      <c r="CA75" s="39">
        <v>0</v>
      </c>
      <c r="CB75" s="39" t="s">
        <v>97</v>
      </c>
      <c r="CC75" s="39" t="s">
        <v>313</v>
      </c>
      <c r="CD75" s="39">
        <v>1</v>
      </c>
      <c r="CE75" s="39" t="s">
        <v>395</v>
      </c>
      <c r="CF75" s="39">
        <v>1</v>
      </c>
      <c r="CG75" s="39" t="s">
        <v>396</v>
      </c>
      <c r="CH75" s="39">
        <v>1</v>
      </c>
      <c r="CI75" s="39" t="s">
        <v>393</v>
      </c>
      <c r="CJ75" s="39" t="s">
        <v>98</v>
      </c>
      <c r="CK75" s="39">
        <v>18</v>
      </c>
      <c r="CL75" s="39">
        <v>0</v>
      </c>
      <c r="CM75" s="39">
        <v>0</v>
      </c>
      <c r="CN75" s="39" t="s">
        <v>99</v>
      </c>
      <c r="CO75" s="39" t="s">
        <v>956</v>
      </c>
      <c r="CP75" s="39" t="s">
        <v>100</v>
      </c>
      <c r="CQ75" s="39" t="s">
        <v>126</v>
      </c>
      <c r="CR75" s="42">
        <v>46213</v>
      </c>
      <c r="CT75" s="39" t="s">
        <v>580</v>
      </c>
    </row>
    <row r="76" spans="1:98" s="39" customFormat="1" x14ac:dyDescent="0.35">
      <c r="A76" s="38" t="s">
        <v>386</v>
      </c>
      <c r="B76" s="38" t="s">
        <v>581</v>
      </c>
      <c r="C76" s="39" t="s">
        <v>387</v>
      </c>
      <c r="D76" s="39">
        <v>2016</v>
      </c>
      <c r="E76" s="40" t="s">
        <v>388</v>
      </c>
      <c r="F76" s="38" t="s">
        <v>389</v>
      </c>
      <c r="G76" s="39" t="s">
        <v>78</v>
      </c>
      <c r="H76" s="39">
        <v>1</v>
      </c>
      <c r="I76" s="39" t="s">
        <v>390</v>
      </c>
      <c r="J76" s="39" t="s">
        <v>79</v>
      </c>
      <c r="K76" s="39">
        <v>815</v>
      </c>
      <c r="L76" s="39" t="s">
        <v>129</v>
      </c>
      <c r="M76" s="39" t="s">
        <v>380</v>
      </c>
      <c r="N76" s="39">
        <v>-8.1000000000000003E-2</v>
      </c>
      <c r="O76" s="39">
        <v>2.7E-2</v>
      </c>
      <c r="P76" s="90">
        <f t="shared" si="18"/>
        <v>-3</v>
      </c>
      <c r="Q76" s="39" t="s">
        <v>312</v>
      </c>
      <c r="R76" s="90">
        <f t="shared" si="19"/>
        <v>-0.13392000000000001</v>
      </c>
      <c r="S76" s="90">
        <f t="shared" si="20"/>
        <v>-2.8080000000000001E-2</v>
      </c>
      <c r="T76" s="39">
        <v>1</v>
      </c>
      <c r="U76" s="39">
        <v>2058</v>
      </c>
      <c r="V76" s="39">
        <v>8</v>
      </c>
      <c r="W76" s="39">
        <v>1</v>
      </c>
      <c r="X76" s="39">
        <f t="shared" si="21"/>
        <v>2050</v>
      </c>
      <c r="Y76" s="90">
        <f t="shared" si="22"/>
        <v>-6.6113946408188989E-2</v>
      </c>
      <c r="Z76" s="90">
        <f t="shared" si="23"/>
        <v>2.2037982136062999E-2</v>
      </c>
      <c r="AA76" s="90">
        <f t="shared" si="24"/>
        <v>-6.6113946408188989E-2</v>
      </c>
      <c r="AB76" s="39" t="s">
        <v>81</v>
      </c>
      <c r="AC76" s="90">
        <f t="shared" si="29"/>
        <v>-7.3393043478260866E-2</v>
      </c>
      <c r="AD76" s="90" cm="1">
        <f t="array" ref="AD76">_xlfn.IFS(
AND(L76="marginal_effect",M76="level"),N76*AN76/BF76,
AND(L76="marginal_effect",M76="sd (Y)"),N76*BH76*AN76/BF76,
AND(L76="marginal_effect",M76="sd (X)"),N76/AQ76*AN76/BF76,
AND(L76="semi_elasticity",M76="level"),N76*AN76,
AND(L76="semi_elasticity",M76="sd (Y)"),N76*AN76*BH76,
AND(L76="semi_elasticity",M76="sd (X)"),N76*AN76/AQ76,
AND(L76="level-log",M76="level"),N76/BF76,
AND(L76="level-log",M76="sd (X)"),N76/BF76/AQ76,
AND(L76="level-log",M76="sd (Y)"),N76/BF76*BH76,
AND(L76="elasticity",M76="level"),N76,
AND(L76="elasticity",M76="sd (X)"),N76/AQ76,
AND(L76="elasticity",M76="sd (Y)"),N76*BH76,
AND(L76="marginal_effect",M76="percent_of_mean"),N76*AN76/BF76/10)</f>
        <v>-7.3393043478260866E-2</v>
      </c>
      <c r="AE76" s="41">
        <f t="shared" si="25"/>
        <v>1</v>
      </c>
      <c r="AF76" s="90">
        <f t="shared" si="30"/>
        <v>2.4464347826086953E-2</v>
      </c>
      <c r="AG76" s="90" cm="1">
        <f t="array" ref="AG76">_xlfn.IFS(
AND(L76="marginal_effect",M76="level"),O76*AN76/BF76,
AND(L76="marginal_effect",M76="sd (Y)"),O76*BH76*AN76/BF76,
AND(L76="marginal_effect",M76="sd (X)"),O76/AQ76*AN76/BF76,
AND(L76="semi_elasticity",M76="level"),O76*AN76,
AND(L76="semi_elasticity",M76="sd (Y)"),O76*AN76*BH76,
AND(L76="semi_elasticity",M76="sd (X)"),O76*AN76/AQ76,
AND(L76="level-log",M76="level"),O76/BF76,
AND(L76="level-log",M76="sd (X)"),O76/BF76/AQ76,
AND(L76="level-log",M76="sd (Y)"),O76/BF76*BH76,
AND(L76="elasticity",M76="level"),O76,
AND(L76="elasticity",M76="sd (X)"),O76/AQ76,
AND(L76="elasticity",M76="sd (Y)"),O76*BH76,
AND(L76="marginal_effect",M76="percent_of_mean"),O76*AN76/BF76/10)</f>
        <v>2.4464347826086953E-2</v>
      </c>
      <c r="AH76" s="41">
        <f t="shared" si="26"/>
        <v>1</v>
      </c>
      <c r="AI76" s="90">
        <f t="shared" si="27"/>
        <v>-7.3393043478260866E-2</v>
      </c>
      <c r="AJ76" s="39">
        <v>0</v>
      </c>
      <c r="AK76" s="39">
        <f t="shared" si="28"/>
        <v>1</v>
      </c>
      <c r="AL76" s="39" t="s">
        <v>82</v>
      </c>
      <c r="AM76" s="39" t="s">
        <v>1333</v>
      </c>
      <c r="AN76" s="39">
        <v>10.42</v>
      </c>
      <c r="AO76" s="39">
        <v>0</v>
      </c>
      <c r="AQ76" s="39">
        <v>10.14</v>
      </c>
      <c r="AR76" s="39">
        <v>1.9</v>
      </c>
      <c r="AS76" s="39">
        <v>59.7</v>
      </c>
      <c r="AT76" s="39" t="s">
        <v>83</v>
      </c>
      <c r="AU76" s="39" t="s">
        <v>109</v>
      </c>
      <c r="AV76" s="39" t="s">
        <v>133</v>
      </c>
      <c r="AW76" s="39" t="s">
        <v>85</v>
      </c>
      <c r="AX76" s="39" t="s">
        <v>86</v>
      </c>
      <c r="AY76" s="39">
        <v>0</v>
      </c>
      <c r="AZ76" s="39">
        <v>0</v>
      </c>
      <c r="BA76" s="39" t="s">
        <v>391</v>
      </c>
      <c r="BB76" s="39" t="s">
        <v>88</v>
      </c>
      <c r="BC76" s="39" t="s">
        <v>89</v>
      </c>
      <c r="BD76" s="39" t="s">
        <v>90</v>
      </c>
      <c r="BE76" s="39" t="s">
        <v>401</v>
      </c>
      <c r="BF76" s="39">
        <v>11.5</v>
      </c>
      <c r="BG76" s="39">
        <v>0</v>
      </c>
      <c r="BH76" s="39">
        <v>5.37</v>
      </c>
      <c r="BI76" s="39">
        <v>0.14000000000000001</v>
      </c>
      <c r="BJ76" s="39">
        <v>41.4</v>
      </c>
      <c r="BK76" s="39" t="s">
        <v>91</v>
      </c>
      <c r="BL76" s="39" t="s">
        <v>84</v>
      </c>
      <c r="BM76" s="39">
        <v>1</v>
      </c>
      <c r="BN76" s="39" t="s">
        <v>2177</v>
      </c>
      <c r="BO76" s="39" t="s">
        <v>398</v>
      </c>
      <c r="BP76" s="39" t="s">
        <v>394</v>
      </c>
      <c r="BQ76" s="39" t="s">
        <v>92</v>
      </c>
      <c r="BR76" s="39" t="s">
        <v>312</v>
      </c>
      <c r="BS76" s="39" t="s">
        <v>312</v>
      </c>
      <c r="BT76" s="39" t="s">
        <v>312</v>
      </c>
      <c r="BU76" s="41">
        <v>2001</v>
      </c>
      <c r="BV76" s="41">
        <v>2003</v>
      </c>
      <c r="BW76" s="39" t="s">
        <v>94</v>
      </c>
      <c r="BX76" s="39" t="s">
        <v>95</v>
      </c>
      <c r="BY76" s="39" t="s">
        <v>96</v>
      </c>
      <c r="BZ76" s="39">
        <v>0</v>
      </c>
      <c r="CA76" s="39">
        <v>0</v>
      </c>
      <c r="CB76" s="39" t="s">
        <v>97</v>
      </c>
      <c r="CC76" s="39" t="s">
        <v>313</v>
      </c>
      <c r="CD76" s="39">
        <v>1</v>
      </c>
      <c r="CE76" s="39" t="s">
        <v>395</v>
      </c>
      <c r="CF76" s="39">
        <v>1</v>
      </c>
      <c r="CG76" s="39" t="s">
        <v>396</v>
      </c>
      <c r="CH76" s="39">
        <v>1</v>
      </c>
      <c r="CI76" s="39" t="s">
        <v>393</v>
      </c>
      <c r="CJ76" s="39" t="s">
        <v>98</v>
      </c>
      <c r="CK76" s="39">
        <v>18</v>
      </c>
      <c r="CL76" s="39">
        <v>0</v>
      </c>
      <c r="CM76" s="39">
        <v>0</v>
      </c>
      <c r="CN76" s="39" t="s">
        <v>99</v>
      </c>
      <c r="CO76" s="39" t="s">
        <v>956</v>
      </c>
      <c r="CP76" s="39" t="s">
        <v>100</v>
      </c>
      <c r="CQ76" s="39" t="s">
        <v>126</v>
      </c>
      <c r="CR76" s="42">
        <v>46213</v>
      </c>
      <c r="CT76" s="39" t="s">
        <v>582</v>
      </c>
    </row>
    <row r="77" spans="1:98" s="39" customFormat="1" x14ac:dyDescent="0.35">
      <c r="A77" s="38" t="s">
        <v>386</v>
      </c>
      <c r="B77" s="38" t="s">
        <v>421</v>
      </c>
      <c r="C77" s="39" t="s">
        <v>387</v>
      </c>
      <c r="D77" s="39">
        <v>2016</v>
      </c>
      <c r="E77" s="40" t="s">
        <v>388</v>
      </c>
      <c r="F77" s="38" t="s">
        <v>389</v>
      </c>
      <c r="G77" s="39" t="s">
        <v>78</v>
      </c>
      <c r="H77" s="39">
        <v>1</v>
      </c>
      <c r="I77" s="39" t="s">
        <v>390</v>
      </c>
      <c r="J77" s="39" t="s">
        <v>79</v>
      </c>
      <c r="K77" s="39">
        <v>815</v>
      </c>
      <c r="L77" s="39" t="s">
        <v>129</v>
      </c>
      <c r="M77" s="39" t="s">
        <v>380</v>
      </c>
      <c r="N77" s="39">
        <v>1.2E-2</v>
      </c>
      <c r="O77" s="39">
        <v>1.7000000000000001E-2</v>
      </c>
      <c r="P77" s="90">
        <f t="shared" si="18"/>
        <v>0.70588235294117641</v>
      </c>
      <c r="Q77" s="39" t="s">
        <v>312</v>
      </c>
      <c r="R77" s="90">
        <f t="shared" si="19"/>
        <v>-2.1320000000000002E-2</v>
      </c>
      <c r="S77" s="90">
        <f t="shared" si="20"/>
        <v>4.5319999999999999E-2</v>
      </c>
      <c r="T77" s="39">
        <v>1</v>
      </c>
      <c r="U77" s="39">
        <v>7242</v>
      </c>
      <c r="V77" s="39">
        <v>8</v>
      </c>
      <c r="W77" s="39">
        <v>1</v>
      </c>
      <c r="X77" s="39">
        <f t="shared" si="21"/>
        <v>7234</v>
      </c>
      <c r="Y77" s="90">
        <f t="shared" si="22"/>
        <v>8.2990449357393265E-3</v>
      </c>
      <c r="Z77" s="90">
        <f t="shared" si="23"/>
        <v>1.1756980325630715E-2</v>
      </c>
      <c r="AA77" s="90">
        <f t="shared" si="24"/>
        <v>8.2990449357393265E-3</v>
      </c>
      <c r="AB77" s="39" t="s">
        <v>81</v>
      </c>
      <c r="AC77" s="90">
        <f t="shared" si="29"/>
        <v>5.4320846439805552E-2</v>
      </c>
      <c r="AD77" s="90" cm="1">
        <f t="array" ref="AD77">_xlfn.IFS(
AND(L77="marginal_effect",M77="level"),N77*AN77/BF77,
AND(L77="marginal_effect",M77="sd (Y)"),N77*BH77*AN77/BF77,
AND(L77="marginal_effect",M77="sd (X)"),N77/AQ77*AN77/BF77,
AND(L77="semi_elasticity",M77="level"),N77*AN77,
AND(L77="semi_elasticity",M77="sd (Y)"),N77*AN77*BH77,
AND(L77="semi_elasticity",M77="sd (X)"),N77*AN77/AQ77,
AND(L77="level-log",M77="level"),N77/BF77,
AND(L77="level-log",M77="sd (X)"),N77/BF77/AQ77,
AND(L77="level-log",M77="sd (Y)"),N77/BF77*BH77,
AND(L77="elasticity",M77="level"),N77,
AND(L77="elasticity",M77="sd (X)"),N77/AQ77,
AND(L77="elasticity",M77="sd (Y)"),N77*BH77,
AND(L77="marginal_effect",M77="percent_of_mean"),N77*AN77/BF77/10)</f>
        <v>5.4320846439805552E-2</v>
      </c>
      <c r="AE77" s="41">
        <f t="shared" si="25"/>
        <v>1</v>
      </c>
      <c r="AF77" s="90">
        <f t="shared" si="30"/>
        <v>7.6954532456391195E-2</v>
      </c>
      <c r="AG77" s="90" cm="1">
        <f t="array" ref="AG77">_xlfn.IFS(
AND(L77="marginal_effect",M77="level"),O77*AN77/BF77,
AND(L77="marginal_effect",M77="sd (Y)"),O77*BH77*AN77/BF77,
AND(L77="marginal_effect",M77="sd (X)"),O77/AQ77*AN77/BF77,
AND(L77="semi_elasticity",M77="level"),O77*AN77,
AND(L77="semi_elasticity",M77="sd (Y)"),O77*AN77*BH77,
AND(L77="semi_elasticity",M77="sd (X)"),O77*AN77/AQ77,
AND(L77="level-log",M77="level"),O77/BF77,
AND(L77="level-log",M77="sd (X)"),O77/BF77/AQ77,
AND(L77="level-log",M77="sd (Y)"),O77/BF77*BH77,
AND(L77="elasticity",M77="level"),O77,
AND(L77="elasticity",M77="sd (X)"),O77/AQ77,
AND(L77="elasticity",M77="sd (Y)"),O77*BH77,
AND(L77="marginal_effect",M77="percent_of_mean"),O77*AN77/BF77/10)</f>
        <v>7.6954532456391195E-2</v>
      </c>
      <c r="AH77" s="41">
        <f t="shared" si="26"/>
        <v>1</v>
      </c>
      <c r="AI77" s="90">
        <f t="shared" si="27"/>
        <v>5.4320846439805552E-2</v>
      </c>
      <c r="AJ77" s="39">
        <v>0</v>
      </c>
      <c r="AK77" s="39">
        <f>IF(P77=(AC77/AF77),1,0)</f>
        <v>0</v>
      </c>
      <c r="AL77" s="39" t="s">
        <v>148</v>
      </c>
      <c r="AM77" s="39" t="s">
        <v>410</v>
      </c>
      <c r="AN77" s="39">
        <v>31.66</v>
      </c>
      <c r="AO77" s="39">
        <v>0</v>
      </c>
      <c r="AQ77" s="39">
        <v>9.73</v>
      </c>
      <c r="AR77" s="39">
        <v>9.8800000000000008</v>
      </c>
      <c r="AS77" s="39">
        <v>56.88</v>
      </c>
      <c r="AT77" s="39" t="s">
        <v>83</v>
      </c>
      <c r="AU77" s="39" t="s">
        <v>109</v>
      </c>
      <c r="AV77" s="39" t="s">
        <v>133</v>
      </c>
      <c r="AW77" s="39" t="s">
        <v>85</v>
      </c>
      <c r="AX77" s="39" t="s">
        <v>86</v>
      </c>
      <c r="AY77" s="39">
        <v>0</v>
      </c>
      <c r="AZ77" s="39">
        <v>0</v>
      </c>
      <c r="BA77" s="39" t="s">
        <v>391</v>
      </c>
      <c r="BB77" s="39" t="s">
        <v>88</v>
      </c>
      <c r="BC77" s="39" t="s">
        <v>89</v>
      </c>
      <c r="BD77" s="39" t="s">
        <v>90</v>
      </c>
      <c r="BE77" s="39" t="s">
        <v>392</v>
      </c>
      <c r="BF77" s="39">
        <v>6.9939999999999998</v>
      </c>
      <c r="BG77" s="39">
        <v>0</v>
      </c>
      <c r="BH77" s="39">
        <v>2.79</v>
      </c>
      <c r="BI77" s="39">
        <v>0.04</v>
      </c>
      <c r="BJ77" s="39">
        <v>17.18</v>
      </c>
      <c r="BK77" s="39" t="s">
        <v>91</v>
      </c>
      <c r="BL77" s="39" t="s">
        <v>84</v>
      </c>
      <c r="BM77" s="39">
        <v>1</v>
      </c>
      <c r="BN77" s="39" t="s">
        <v>2177</v>
      </c>
      <c r="BO77" s="39" t="s">
        <v>398</v>
      </c>
      <c r="BP77" s="39" t="s">
        <v>394</v>
      </c>
      <c r="BQ77" s="39" t="s">
        <v>92</v>
      </c>
      <c r="BR77" s="39" t="s">
        <v>312</v>
      </c>
      <c r="BS77" s="39" t="s">
        <v>312</v>
      </c>
      <c r="BT77" s="39" t="s">
        <v>312</v>
      </c>
      <c r="BU77" s="41">
        <v>2001</v>
      </c>
      <c r="BV77" s="41">
        <v>2003</v>
      </c>
      <c r="BW77" s="39" t="s">
        <v>94</v>
      </c>
      <c r="BX77" s="39" t="s">
        <v>95</v>
      </c>
      <c r="BY77" s="39" t="s">
        <v>96</v>
      </c>
      <c r="BZ77" s="39">
        <v>0</v>
      </c>
      <c r="CA77" s="39">
        <v>0</v>
      </c>
      <c r="CB77" s="39" t="s">
        <v>97</v>
      </c>
      <c r="CC77" s="39" t="s">
        <v>313</v>
      </c>
      <c r="CD77" s="39">
        <v>1</v>
      </c>
      <c r="CE77" s="39" t="s">
        <v>395</v>
      </c>
      <c r="CF77" s="39">
        <v>1</v>
      </c>
      <c r="CG77" s="39" t="s">
        <v>396</v>
      </c>
      <c r="CH77" s="39">
        <v>1</v>
      </c>
      <c r="CI77" s="39" t="s">
        <v>393</v>
      </c>
      <c r="CJ77" s="39" t="s">
        <v>98</v>
      </c>
      <c r="CK77" s="39">
        <v>18</v>
      </c>
      <c r="CL77" s="39">
        <v>0</v>
      </c>
      <c r="CM77" s="39">
        <v>0</v>
      </c>
      <c r="CN77" s="39" t="s">
        <v>99</v>
      </c>
      <c r="CO77" s="39" t="s">
        <v>97</v>
      </c>
      <c r="CP77" s="39" t="s">
        <v>100</v>
      </c>
      <c r="CQ77" s="39" t="s">
        <v>126</v>
      </c>
      <c r="CR77" s="42">
        <v>46213</v>
      </c>
      <c r="CT77" s="39" t="s">
        <v>402</v>
      </c>
    </row>
    <row r="78" spans="1:98" s="39" customFormat="1" x14ac:dyDescent="0.35">
      <c r="A78" s="38" t="s">
        <v>386</v>
      </c>
      <c r="B78" s="38" t="s">
        <v>422</v>
      </c>
      <c r="C78" s="39" t="s">
        <v>387</v>
      </c>
      <c r="D78" s="39">
        <v>2016</v>
      </c>
      <c r="E78" s="40" t="s">
        <v>388</v>
      </c>
      <c r="F78" s="38" t="s">
        <v>389</v>
      </c>
      <c r="G78" s="39" t="s">
        <v>78</v>
      </c>
      <c r="H78" s="39">
        <v>1</v>
      </c>
      <c r="I78" s="39" t="s">
        <v>390</v>
      </c>
      <c r="J78" s="39" t="s">
        <v>79</v>
      </c>
      <c r="K78" s="39">
        <v>815</v>
      </c>
      <c r="L78" s="39" t="s">
        <v>129</v>
      </c>
      <c r="M78" s="39" t="s">
        <v>380</v>
      </c>
      <c r="N78" s="39">
        <v>1.2999999999999999E-2</v>
      </c>
      <c r="O78" s="39">
        <v>1.9E-2</v>
      </c>
      <c r="P78" s="90">
        <f t="shared" si="18"/>
        <v>0.68421052631578949</v>
      </c>
      <c r="Q78" s="39" t="s">
        <v>312</v>
      </c>
      <c r="R78" s="90">
        <f t="shared" si="19"/>
        <v>-2.4239999999999998E-2</v>
      </c>
      <c r="S78" s="90">
        <f t="shared" si="20"/>
        <v>5.0239999999999993E-2</v>
      </c>
      <c r="T78" s="39">
        <v>1</v>
      </c>
      <c r="U78" s="39">
        <v>6808</v>
      </c>
      <c r="V78" s="39">
        <v>8</v>
      </c>
      <c r="W78" s="39">
        <v>1</v>
      </c>
      <c r="X78" s="39">
        <f t="shared" si="21"/>
        <v>6800</v>
      </c>
      <c r="Y78" s="90">
        <f t="shared" si="22"/>
        <v>8.2969857859371814E-3</v>
      </c>
      <c r="Z78" s="90">
        <f t="shared" si="23"/>
        <v>1.2126363840985111E-2</v>
      </c>
      <c r="AA78" s="90">
        <f t="shared" si="24"/>
        <v>8.2969857859371814E-3</v>
      </c>
      <c r="AB78" s="39" t="s">
        <v>81</v>
      </c>
      <c r="AC78" s="90">
        <f t="shared" si="29"/>
        <v>5.8847583643122682E-2</v>
      </c>
      <c r="AD78" s="90" cm="1">
        <f t="array" ref="AD78">_xlfn.IFS(
AND(L78="marginal_effect",M78="level"),N78*AN78/BF78,
AND(L78="marginal_effect",M78="sd (Y)"),N78*BH78*AN78/BF78,
AND(L78="marginal_effect",M78="sd (X)"),N78/AQ78*AN78/BF78,
AND(L78="semi_elasticity",M78="level"),N78*AN78,
AND(L78="semi_elasticity",M78="sd (Y)"),N78*AN78*BH78,
AND(L78="semi_elasticity",M78="sd (X)"),N78*AN78/AQ78,
AND(L78="level-log",M78="level"),N78/BF78,
AND(L78="level-log",M78="sd (X)"),N78/BF78/AQ78,
AND(L78="level-log",M78="sd (Y)"),N78/BF78*BH78,
AND(L78="elasticity",M78="level"),N78,
AND(L78="elasticity",M78="sd (X)"),N78/AQ78,
AND(L78="elasticity",M78="sd (Y)"),N78*BH78,
AND(L78="marginal_effect",M78="percent_of_mean"),N78*AN78/BF78/10)</f>
        <v>5.8847583643122682E-2</v>
      </c>
      <c r="AE78" s="41">
        <f t="shared" si="25"/>
        <v>1</v>
      </c>
      <c r="AF78" s="90">
        <f t="shared" si="30"/>
        <v>8.6008006863025455E-2</v>
      </c>
      <c r="AG78" s="90" cm="1">
        <f t="array" ref="AG78">_xlfn.IFS(
AND(L78="marginal_effect",M78="level"),O78*AN78/BF78,
AND(L78="marginal_effect",M78="sd (Y)"),O78*BH78*AN78/BF78,
AND(L78="marginal_effect",M78="sd (X)"),O78/AQ78*AN78/BF78,
AND(L78="semi_elasticity",M78="level"),O78*AN78,
AND(L78="semi_elasticity",M78="sd (Y)"),O78*AN78*BH78,
AND(L78="semi_elasticity",M78="sd (X)"),O78*AN78/AQ78,
AND(L78="level-log",M78="level"),O78/BF78,
AND(L78="level-log",M78="sd (X)"),O78/BF78/AQ78,
AND(L78="level-log",M78="sd (Y)"),O78/BF78*BH78,
AND(L78="elasticity",M78="level"),O78,
AND(L78="elasticity",M78="sd (X)"),O78/AQ78,
AND(L78="elasticity",M78="sd (Y)"),O78*BH78,
AND(L78="marginal_effect",M78="percent_of_mean"),O78*AN78/BF78/10)</f>
        <v>8.6008006863025455E-2</v>
      </c>
      <c r="AH78" s="41">
        <f t="shared" si="26"/>
        <v>1</v>
      </c>
      <c r="AI78" s="90">
        <f t="shared" si="27"/>
        <v>5.8847583643122682E-2</v>
      </c>
      <c r="AJ78" s="39">
        <v>0</v>
      </c>
      <c r="AK78" s="39">
        <f t="shared" si="28"/>
        <v>1</v>
      </c>
      <c r="AL78" s="39" t="s">
        <v>148</v>
      </c>
      <c r="AM78" s="39" t="s">
        <v>410</v>
      </c>
      <c r="AN78" s="39">
        <v>31.66</v>
      </c>
      <c r="AO78" s="39">
        <v>1</v>
      </c>
      <c r="AQ78" s="39">
        <v>9.73</v>
      </c>
      <c r="AR78" s="39">
        <v>9.8800000000000008</v>
      </c>
      <c r="AS78" s="39">
        <v>56.88</v>
      </c>
      <c r="AT78" s="39" t="s">
        <v>83</v>
      </c>
      <c r="AU78" s="39" t="s">
        <v>109</v>
      </c>
      <c r="AV78" s="39" t="s">
        <v>133</v>
      </c>
      <c r="AW78" s="39" t="s">
        <v>85</v>
      </c>
      <c r="AX78" s="39" t="s">
        <v>86</v>
      </c>
      <c r="AY78" s="39">
        <v>0</v>
      </c>
      <c r="AZ78" s="39">
        <v>0</v>
      </c>
      <c r="BA78" s="39" t="s">
        <v>391</v>
      </c>
      <c r="BB78" s="39" t="s">
        <v>88</v>
      </c>
      <c r="BC78" s="39" t="s">
        <v>89</v>
      </c>
      <c r="BD78" s="39" t="s">
        <v>90</v>
      </c>
      <c r="BE78" s="39" t="s">
        <v>392</v>
      </c>
      <c r="BF78" s="39">
        <v>6.9939999999999998</v>
      </c>
      <c r="BG78" s="39">
        <v>1</v>
      </c>
      <c r="BH78" s="39" t="s">
        <v>312</v>
      </c>
      <c r="BI78" s="39" t="s">
        <v>312</v>
      </c>
      <c r="BJ78" s="39" t="s">
        <v>312</v>
      </c>
      <c r="BK78" s="39" t="s">
        <v>91</v>
      </c>
      <c r="BL78" s="39" t="s">
        <v>84</v>
      </c>
      <c r="BM78" s="39">
        <v>1</v>
      </c>
      <c r="BN78" s="39" t="s">
        <v>2177</v>
      </c>
      <c r="BO78" s="39" t="s">
        <v>398</v>
      </c>
      <c r="BP78" s="39" t="s">
        <v>394</v>
      </c>
      <c r="BQ78" s="39" t="s">
        <v>92</v>
      </c>
      <c r="BR78" s="39" t="s">
        <v>312</v>
      </c>
      <c r="BS78" s="39" t="s">
        <v>312</v>
      </c>
      <c r="BT78" s="39" t="s">
        <v>312</v>
      </c>
      <c r="BU78" s="41">
        <v>2001</v>
      </c>
      <c r="BV78" s="41">
        <v>2003</v>
      </c>
      <c r="BW78" s="39" t="s">
        <v>94</v>
      </c>
      <c r="BX78" s="39" t="s">
        <v>95</v>
      </c>
      <c r="BY78" s="39" t="s">
        <v>96</v>
      </c>
      <c r="BZ78" s="39">
        <v>0</v>
      </c>
      <c r="CA78" s="39">
        <v>0</v>
      </c>
      <c r="CB78" s="39" t="s">
        <v>97</v>
      </c>
      <c r="CC78" s="39" t="s">
        <v>313</v>
      </c>
      <c r="CD78" s="39">
        <v>1</v>
      </c>
      <c r="CE78" s="39" t="s">
        <v>395</v>
      </c>
      <c r="CF78" s="39">
        <v>1</v>
      </c>
      <c r="CG78" s="39" t="s">
        <v>396</v>
      </c>
      <c r="CH78" s="39">
        <v>1</v>
      </c>
      <c r="CI78" s="39" t="s">
        <v>393</v>
      </c>
      <c r="CJ78" s="39" t="s">
        <v>98</v>
      </c>
      <c r="CK78" s="39">
        <v>18</v>
      </c>
      <c r="CL78" s="39">
        <v>0</v>
      </c>
      <c r="CM78" s="39">
        <v>0</v>
      </c>
      <c r="CN78" s="39" t="s">
        <v>99</v>
      </c>
      <c r="CO78" s="39" t="s">
        <v>944</v>
      </c>
      <c r="CP78" s="39" t="s">
        <v>100</v>
      </c>
      <c r="CQ78" s="39" t="s">
        <v>126</v>
      </c>
      <c r="CR78" s="42">
        <v>46213</v>
      </c>
      <c r="CT78" s="39" t="s">
        <v>403</v>
      </c>
    </row>
    <row r="79" spans="1:98" s="39" customFormat="1" x14ac:dyDescent="0.35">
      <c r="A79" s="38" t="s">
        <v>386</v>
      </c>
      <c r="B79" s="38" t="s">
        <v>423</v>
      </c>
      <c r="C79" s="39" t="s">
        <v>387</v>
      </c>
      <c r="D79" s="39">
        <v>2016</v>
      </c>
      <c r="E79" s="40" t="s">
        <v>388</v>
      </c>
      <c r="F79" s="38" t="s">
        <v>389</v>
      </c>
      <c r="G79" s="39" t="s">
        <v>78</v>
      </c>
      <c r="H79" s="39">
        <v>1</v>
      </c>
      <c r="I79" s="39" t="s">
        <v>390</v>
      </c>
      <c r="J79" s="39" t="s">
        <v>79</v>
      </c>
      <c r="K79" s="39">
        <v>815</v>
      </c>
      <c r="L79" s="39" t="s">
        <v>104</v>
      </c>
      <c r="M79" s="39" t="s">
        <v>380</v>
      </c>
      <c r="N79" s="39">
        <v>4.0000000000000001E-3</v>
      </c>
      <c r="O79" s="39">
        <v>3.0000000000000001E-3</v>
      </c>
      <c r="P79" s="90">
        <f t="shared" si="18"/>
        <v>1.3333333333333333</v>
      </c>
      <c r="Q79" s="39" t="s">
        <v>312</v>
      </c>
      <c r="R79" s="90">
        <f t="shared" si="19"/>
        <v>-1.8799999999999997E-3</v>
      </c>
      <c r="S79" s="90">
        <f t="shared" si="20"/>
        <v>9.8799999999999999E-3</v>
      </c>
      <c r="T79" s="39">
        <v>1</v>
      </c>
      <c r="U79" s="39">
        <v>7242</v>
      </c>
      <c r="V79" s="39">
        <v>8</v>
      </c>
      <c r="W79" s="39">
        <v>1</v>
      </c>
      <c r="X79" s="39">
        <f t="shared" si="21"/>
        <v>7234</v>
      </c>
      <c r="Y79" s="90">
        <f t="shared" si="22"/>
        <v>1.5674587709271829E-2</v>
      </c>
      <c r="Z79" s="90">
        <f t="shared" si="23"/>
        <v>1.1755940781953873E-2</v>
      </c>
      <c r="AA79" s="90">
        <f t="shared" si="24"/>
        <v>1.5674587709271829E-2</v>
      </c>
      <c r="AB79" s="39" t="s">
        <v>81</v>
      </c>
      <c r="AC79" s="90">
        <f>N79*AN79</f>
        <v>0.12664</v>
      </c>
      <c r="AD79" s="90" cm="1">
        <f t="array" ref="AD79">_xlfn.IFS(
AND(L79="marginal_effect",M79="level"),N79*AN79/BF79,
AND(L79="marginal_effect",M79="sd (Y)"),N79*BH79*AN79/BF79,
AND(L79="marginal_effect",M79="sd (X)"),N79/AQ79*AN79/BF79,
AND(L79="semi_elasticity",M79="level"),N79*AN79,
AND(L79="semi_elasticity",M79="sd (Y)"),N79*AN79*BH79,
AND(L79="semi_elasticity",M79="sd (X)"),N79*AN79/AQ79,
AND(L79="level-log",M79="level"),N79/BF79,
AND(L79="level-log",M79="sd (X)"),N79/BF79/AQ79,
AND(L79="level-log",M79="sd (Y)"),N79/BF79*BH79,
AND(L79="elasticity",M79="level"),N79,
AND(L79="elasticity",M79="sd (X)"),N79/AQ79,
AND(L79="elasticity",M79="sd (Y)"),N79*BH79,
AND(L79="marginal_effect",M79="percent_of_mean"),N79*AN79/BF79/10)</f>
        <v>0.12664</v>
      </c>
      <c r="AE79" s="41">
        <f t="shared" si="25"/>
        <v>1</v>
      </c>
      <c r="AF79" s="90">
        <f>O79*AN77</f>
        <v>9.4980000000000009E-2</v>
      </c>
      <c r="AG79" s="90" cm="1">
        <f t="array" ref="AG79">_xlfn.IFS(
AND(L79="marginal_effect",M79="level"),O79*AN79/BF79,
AND(L79="marginal_effect",M79="sd (Y)"),O79*BH79*AN79/BF79,
AND(L79="marginal_effect",M79="sd (X)"),O79/AQ79*AN79/BF79,
AND(L79="semi_elasticity",M79="level"),O79*AN79,
AND(L79="semi_elasticity",M79="sd (Y)"),O79*AN79*BH79,
AND(L79="semi_elasticity",M79="sd (X)"),O79*AN79/AQ79,
AND(L79="level-log",M79="level"),O79/BF79,
AND(L79="level-log",M79="sd (X)"),O79/BF79/AQ79,
AND(L79="level-log",M79="sd (Y)"),O79/BF79*BH79,
AND(L79="elasticity",M79="level"),O79,
AND(L79="elasticity",M79="sd (X)"),O79/AQ79,
AND(L79="elasticity",M79="sd (Y)"),O79*BH79,
AND(L79="marginal_effect",M79="percent_of_mean"),O79*AN79/BF79/10)</f>
        <v>9.4980000000000009E-2</v>
      </c>
      <c r="AH79" s="41">
        <f t="shared" si="26"/>
        <v>1</v>
      </c>
      <c r="AI79" s="90">
        <f t="shared" si="27"/>
        <v>0.12664</v>
      </c>
      <c r="AJ79" s="39">
        <v>0</v>
      </c>
      <c r="AK79" s="39">
        <f t="shared" si="28"/>
        <v>1</v>
      </c>
      <c r="AL79" s="39" t="s">
        <v>148</v>
      </c>
      <c r="AM79" s="39" t="s">
        <v>410</v>
      </c>
      <c r="AN79" s="39">
        <v>31.66</v>
      </c>
      <c r="AO79" s="39">
        <v>0</v>
      </c>
      <c r="AQ79" s="39">
        <v>9.73</v>
      </c>
      <c r="AR79" s="39">
        <v>9.8800000000000008</v>
      </c>
      <c r="AS79" s="39">
        <v>56.88</v>
      </c>
      <c r="AT79" s="39" t="s">
        <v>83</v>
      </c>
      <c r="AU79" s="39" t="s">
        <v>109</v>
      </c>
      <c r="AV79" s="39" t="s">
        <v>133</v>
      </c>
      <c r="AW79" s="39" t="s">
        <v>85</v>
      </c>
      <c r="AX79" s="39" t="s">
        <v>86</v>
      </c>
      <c r="AY79" s="39">
        <v>0</v>
      </c>
      <c r="AZ79" s="39">
        <v>0</v>
      </c>
      <c r="BA79" s="39" t="s">
        <v>391</v>
      </c>
      <c r="BB79" s="39" t="s">
        <v>88</v>
      </c>
      <c r="BC79" s="39" t="s">
        <v>89</v>
      </c>
      <c r="BD79" s="39" t="s">
        <v>90</v>
      </c>
      <c r="BE79" s="39" t="s">
        <v>392</v>
      </c>
      <c r="BF79" s="39">
        <v>6.9939999999999998</v>
      </c>
      <c r="BG79" s="39">
        <v>0</v>
      </c>
      <c r="BH79" s="39" t="s">
        <v>312</v>
      </c>
      <c r="BI79" s="39" t="s">
        <v>312</v>
      </c>
      <c r="BJ79" s="39" t="s">
        <v>312</v>
      </c>
      <c r="BK79" s="39" t="s">
        <v>91</v>
      </c>
      <c r="BL79" s="39" t="s">
        <v>84</v>
      </c>
      <c r="BM79" s="39">
        <v>1</v>
      </c>
      <c r="BN79" s="39" t="s">
        <v>2177</v>
      </c>
      <c r="BO79" s="39" t="s">
        <v>398</v>
      </c>
      <c r="BP79" s="39" t="s">
        <v>394</v>
      </c>
      <c r="BQ79" s="39" t="s">
        <v>92</v>
      </c>
      <c r="BR79" s="39" t="s">
        <v>312</v>
      </c>
      <c r="BS79" s="39" t="s">
        <v>312</v>
      </c>
      <c r="BT79" s="39" t="s">
        <v>312</v>
      </c>
      <c r="BU79" s="41">
        <v>2001</v>
      </c>
      <c r="BV79" s="41">
        <v>2003</v>
      </c>
      <c r="BW79" s="39" t="s">
        <v>94</v>
      </c>
      <c r="BX79" s="39" t="s">
        <v>95</v>
      </c>
      <c r="BY79" s="39" t="s">
        <v>96</v>
      </c>
      <c r="BZ79" s="39">
        <v>0</v>
      </c>
      <c r="CA79" s="39">
        <v>0</v>
      </c>
      <c r="CB79" s="39" t="s">
        <v>97</v>
      </c>
      <c r="CC79" s="39" t="s">
        <v>313</v>
      </c>
      <c r="CD79" s="39">
        <v>1</v>
      </c>
      <c r="CE79" s="39" t="s">
        <v>395</v>
      </c>
      <c r="CF79" s="39">
        <v>1</v>
      </c>
      <c r="CG79" s="39" t="s">
        <v>396</v>
      </c>
      <c r="CH79" s="39">
        <v>1</v>
      </c>
      <c r="CI79" s="39" t="s">
        <v>393</v>
      </c>
      <c r="CJ79" s="39" t="s">
        <v>98</v>
      </c>
      <c r="CK79" s="39">
        <v>18</v>
      </c>
      <c r="CL79" s="39">
        <v>0</v>
      </c>
      <c r="CM79" s="39">
        <v>0</v>
      </c>
      <c r="CN79" s="39" t="s">
        <v>99</v>
      </c>
      <c r="CO79" s="39" t="s">
        <v>97</v>
      </c>
      <c r="CP79" s="39" t="s">
        <v>100</v>
      </c>
      <c r="CQ79" s="39" t="s">
        <v>126</v>
      </c>
      <c r="CR79" s="42">
        <v>46213</v>
      </c>
      <c r="CT79" s="39" t="s">
        <v>404</v>
      </c>
    </row>
    <row r="80" spans="1:98" s="39" customFormat="1" x14ac:dyDescent="0.35">
      <c r="A80" s="38" t="s">
        <v>386</v>
      </c>
      <c r="B80" s="38" t="s">
        <v>424</v>
      </c>
      <c r="C80" s="39" t="s">
        <v>387</v>
      </c>
      <c r="D80" s="39">
        <v>2016</v>
      </c>
      <c r="E80" s="40" t="s">
        <v>388</v>
      </c>
      <c r="F80" s="38" t="s">
        <v>389</v>
      </c>
      <c r="G80" s="39" t="s">
        <v>78</v>
      </c>
      <c r="H80" s="39">
        <v>1</v>
      </c>
      <c r="I80" s="39" t="s">
        <v>390</v>
      </c>
      <c r="J80" s="39" t="s">
        <v>79</v>
      </c>
      <c r="K80" s="39">
        <v>815</v>
      </c>
      <c r="L80" s="39" t="s">
        <v>104</v>
      </c>
      <c r="M80" s="39" t="s">
        <v>380</v>
      </c>
      <c r="N80" s="39">
        <v>4.0000000000000001E-3</v>
      </c>
      <c r="O80" s="39">
        <v>4.0000000000000001E-3</v>
      </c>
      <c r="P80" s="90">
        <f t="shared" si="18"/>
        <v>1</v>
      </c>
      <c r="Q80" s="39" t="s">
        <v>312</v>
      </c>
      <c r="R80" s="90">
        <f t="shared" si="19"/>
        <v>-3.8399999999999997E-3</v>
      </c>
      <c r="S80" s="90">
        <f t="shared" si="20"/>
        <v>1.184E-2</v>
      </c>
      <c r="T80" s="39">
        <v>1</v>
      </c>
      <c r="U80" s="39">
        <v>6808</v>
      </c>
      <c r="V80" s="39">
        <v>8</v>
      </c>
      <c r="W80" s="39">
        <v>1</v>
      </c>
      <c r="X80" s="39">
        <f t="shared" si="21"/>
        <v>6800</v>
      </c>
      <c r="Y80" s="90">
        <f t="shared" si="22"/>
        <v>1.212588967505907E-2</v>
      </c>
      <c r="Z80" s="90">
        <f t="shared" si="23"/>
        <v>1.2125889675059068E-2</v>
      </c>
      <c r="AA80" s="90">
        <f t="shared" si="24"/>
        <v>1.212588967505907E-2</v>
      </c>
      <c r="AB80" s="39" t="s">
        <v>81</v>
      </c>
      <c r="AC80" s="90">
        <f>N80*AN80</f>
        <v>0.12664</v>
      </c>
      <c r="AD80" s="90" cm="1">
        <f t="array" ref="AD80">_xlfn.IFS(
AND(L80="marginal_effect",M80="level"),N80*AN80/BF80,
AND(L80="marginal_effect",M80="sd (Y)"),N80*BH80*AN80/BF80,
AND(L80="marginal_effect",M80="sd (X)"),N80/AQ80*AN80/BF80,
AND(L80="semi_elasticity",M80="level"),N80*AN80,
AND(L80="semi_elasticity",M80="sd (Y)"),N80*AN80*BH80,
AND(L80="semi_elasticity",M80="sd (X)"),N80*AN80/AQ80,
AND(L80="level-log",M80="level"),N80/BF80,
AND(L80="level-log",M80="sd (X)"),N80/BF80/AQ80,
AND(L80="level-log",M80="sd (Y)"),N80/BF80*BH80,
AND(L80="elasticity",M80="level"),N80,
AND(L80="elasticity",M80="sd (X)"),N80/AQ80,
AND(L80="elasticity",M80="sd (Y)"),N80*BH80,
AND(L80="marginal_effect",M80="percent_of_mean"),N80*AN80/BF80/10)</f>
        <v>0.12664</v>
      </c>
      <c r="AE80" s="41">
        <f t="shared" si="25"/>
        <v>1</v>
      </c>
      <c r="AF80" s="90">
        <f>O80*AN80</f>
        <v>0.12664</v>
      </c>
      <c r="AG80" s="90" cm="1">
        <f t="array" ref="AG80">_xlfn.IFS(
AND(L80="marginal_effect",M80="level"),O80*AN80/BF80,
AND(L80="marginal_effect",M80="sd (Y)"),O80*BH80*AN80/BF80,
AND(L80="marginal_effect",M80="sd (X)"),O80/AQ80*AN80/BF80,
AND(L80="semi_elasticity",M80="level"),O80*AN80,
AND(L80="semi_elasticity",M80="sd (Y)"),O80*AN80*BH80,
AND(L80="semi_elasticity",M80="sd (X)"),O80*AN80/AQ80,
AND(L80="level-log",M80="level"),O80/BF80,
AND(L80="level-log",M80="sd (X)"),O80/BF80/AQ80,
AND(L80="level-log",M80="sd (Y)"),O80/BF80*BH80,
AND(L80="elasticity",M80="level"),O80,
AND(L80="elasticity",M80="sd (X)"),O80/AQ80,
AND(L80="elasticity",M80="sd (Y)"),O80*BH80,
AND(L80="marginal_effect",M80="percent_of_mean"),O80*AN80/BF80/10)</f>
        <v>0.12664</v>
      </c>
      <c r="AH80" s="41">
        <f t="shared" si="26"/>
        <v>1</v>
      </c>
      <c r="AI80" s="90">
        <f t="shared" si="27"/>
        <v>0.12664</v>
      </c>
      <c r="AJ80" s="39">
        <v>0</v>
      </c>
      <c r="AK80" s="39">
        <f t="shared" si="28"/>
        <v>1</v>
      </c>
      <c r="AL80" s="39" t="s">
        <v>148</v>
      </c>
      <c r="AM80" s="39" t="s">
        <v>410</v>
      </c>
      <c r="AN80" s="39">
        <v>31.66</v>
      </c>
      <c r="AO80" s="39">
        <v>1</v>
      </c>
      <c r="AQ80" s="39">
        <v>9.73</v>
      </c>
      <c r="AR80" s="39">
        <v>9.8800000000000008</v>
      </c>
      <c r="AS80" s="39">
        <v>56.88</v>
      </c>
      <c r="AT80" s="39" t="s">
        <v>83</v>
      </c>
      <c r="AU80" s="39" t="s">
        <v>109</v>
      </c>
      <c r="AV80" s="39" t="s">
        <v>133</v>
      </c>
      <c r="AW80" s="39" t="s">
        <v>85</v>
      </c>
      <c r="AX80" s="39" t="s">
        <v>86</v>
      </c>
      <c r="AY80" s="39">
        <v>0</v>
      </c>
      <c r="AZ80" s="39">
        <v>0</v>
      </c>
      <c r="BA80" s="39" t="s">
        <v>391</v>
      </c>
      <c r="BB80" s="39" t="s">
        <v>88</v>
      </c>
      <c r="BC80" s="39" t="s">
        <v>89</v>
      </c>
      <c r="BD80" s="39" t="s">
        <v>90</v>
      </c>
      <c r="BE80" s="39" t="s">
        <v>392</v>
      </c>
      <c r="BF80" s="39">
        <v>6.9939999999999998</v>
      </c>
      <c r="BG80" s="39">
        <v>1</v>
      </c>
      <c r="BH80" s="39" t="s">
        <v>312</v>
      </c>
      <c r="BI80" s="39" t="s">
        <v>312</v>
      </c>
      <c r="BJ80" s="39" t="s">
        <v>312</v>
      </c>
      <c r="BK80" s="39" t="s">
        <v>91</v>
      </c>
      <c r="BL80" s="39" t="s">
        <v>84</v>
      </c>
      <c r="BM80" s="39">
        <v>1</v>
      </c>
      <c r="BN80" s="39" t="s">
        <v>2177</v>
      </c>
      <c r="BO80" s="39" t="s">
        <v>398</v>
      </c>
      <c r="BP80" s="39" t="s">
        <v>394</v>
      </c>
      <c r="BQ80" s="39" t="s">
        <v>92</v>
      </c>
      <c r="BR80" s="39" t="s">
        <v>312</v>
      </c>
      <c r="BS80" s="39" t="s">
        <v>312</v>
      </c>
      <c r="BT80" s="39" t="s">
        <v>312</v>
      </c>
      <c r="BU80" s="41">
        <v>2001</v>
      </c>
      <c r="BV80" s="41">
        <v>2003</v>
      </c>
      <c r="BW80" s="39" t="s">
        <v>94</v>
      </c>
      <c r="BX80" s="39" t="s">
        <v>95</v>
      </c>
      <c r="BY80" s="39" t="s">
        <v>96</v>
      </c>
      <c r="BZ80" s="39">
        <v>0</v>
      </c>
      <c r="CA80" s="39">
        <v>0</v>
      </c>
      <c r="CB80" s="39" t="s">
        <v>97</v>
      </c>
      <c r="CC80" s="39" t="s">
        <v>313</v>
      </c>
      <c r="CD80" s="39">
        <v>1</v>
      </c>
      <c r="CE80" s="39" t="s">
        <v>395</v>
      </c>
      <c r="CF80" s="39">
        <v>1</v>
      </c>
      <c r="CG80" s="39" t="s">
        <v>396</v>
      </c>
      <c r="CH80" s="39">
        <v>1</v>
      </c>
      <c r="CI80" s="39" t="s">
        <v>393</v>
      </c>
      <c r="CJ80" s="39" t="s">
        <v>98</v>
      </c>
      <c r="CK80" s="39">
        <v>18</v>
      </c>
      <c r="CL80" s="39">
        <v>0</v>
      </c>
      <c r="CM80" s="39">
        <v>0</v>
      </c>
      <c r="CN80" s="39" t="s">
        <v>99</v>
      </c>
      <c r="CO80" s="39" t="s">
        <v>944</v>
      </c>
      <c r="CP80" s="39" t="s">
        <v>100</v>
      </c>
      <c r="CQ80" s="39" t="s">
        <v>126</v>
      </c>
      <c r="CR80" s="42">
        <v>46213</v>
      </c>
      <c r="CT80" s="39" t="s">
        <v>405</v>
      </c>
    </row>
    <row r="81" spans="1:98" s="39" customFormat="1" x14ac:dyDescent="0.35">
      <c r="A81" s="38" t="s">
        <v>386</v>
      </c>
      <c r="B81" s="38" t="s">
        <v>514</v>
      </c>
      <c r="C81" s="39" t="s">
        <v>387</v>
      </c>
      <c r="D81" s="39">
        <v>2016</v>
      </c>
      <c r="E81" s="40" t="s">
        <v>388</v>
      </c>
      <c r="F81" s="38" t="s">
        <v>389</v>
      </c>
      <c r="G81" s="39" t="s">
        <v>78</v>
      </c>
      <c r="H81" s="39">
        <v>1</v>
      </c>
      <c r="I81" s="39" t="s">
        <v>390</v>
      </c>
      <c r="J81" s="39" t="s">
        <v>79</v>
      </c>
      <c r="K81" s="39">
        <v>815</v>
      </c>
      <c r="L81" s="39" t="s">
        <v>129</v>
      </c>
      <c r="M81" s="39" t="s">
        <v>380</v>
      </c>
      <c r="N81" s="39">
        <v>-4.7E-2</v>
      </c>
      <c r="O81" s="39">
        <v>1.2999999999999999E-2</v>
      </c>
      <c r="P81" s="90">
        <f t="shared" si="18"/>
        <v>-3.6153846153846154</v>
      </c>
      <c r="Q81" s="39" t="s">
        <v>312</v>
      </c>
      <c r="R81" s="90">
        <f t="shared" si="19"/>
        <v>-7.2480000000000003E-2</v>
      </c>
      <c r="S81" s="90">
        <f t="shared" si="20"/>
        <v>-2.1520000000000001E-2</v>
      </c>
      <c r="T81" s="39">
        <v>1</v>
      </c>
      <c r="U81" s="39">
        <v>1810</v>
      </c>
      <c r="V81" s="39">
        <v>8</v>
      </c>
      <c r="W81" s="39">
        <v>1</v>
      </c>
      <c r="X81" s="39">
        <f t="shared" si="21"/>
        <v>1802</v>
      </c>
      <c r="Y81" s="90">
        <f t="shared" si="22"/>
        <v>-8.4860912218581178E-2</v>
      </c>
      <c r="Z81" s="90">
        <f t="shared" si="23"/>
        <v>2.3472167209394795E-2</v>
      </c>
      <c r="AA81" s="90">
        <f t="shared" si="24"/>
        <v>-8.4860912218581178E-2</v>
      </c>
      <c r="AB81" s="39" t="s">
        <v>81</v>
      </c>
      <c r="AC81" s="90">
        <f>N81*AN81/BF81</f>
        <v>-7.002287675150129E-2</v>
      </c>
      <c r="AD81" s="90" cm="1">
        <f t="array" ref="AD81">_xlfn.IFS(
AND(L81="marginal_effect",M81="level"),N81*AN81/BF81,
AND(L81="marginal_effect",M81="sd (Y)"),N81*BH81*AN81/BF81,
AND(L81="marginal_effect",M81="sd (X)"),N81/AQ81*AN81/BF81,
AND(L81="semi_elasticity",M81="level"),N81*AN81,
AND(L81="semi_elasticity",M81="sd (Y)"),N81*AN81*BH81,
AND(L81="semi_elasticity",M81="sd (X)"),N81*AN81/AQ81,
AND(L81="level-log",M81="level"),N81/BF81,
AND(L81="level-log",M81="sd (X)"),N81/BF81/AQ81,
AND(L81="level-log",M81="sd (Y)"),N81/BF81*BH81,
AND(L81="elasticity",M81="level"),N81,
AND(L81="elasticity",M81="sd (X)"),N81/AQ81,
AND(L81="elasticity",M81="sd (Y)"),N81*BH81,
AND(L81="marginal_effect",M81="percent_of_mean"),N81*AN81/BF81/10)</f>
        <v>-7.002287675150129E-2</v>
      </c>
      <c r="AE81" s="41">
        <f t="shared" si="25"/>
        <v>1</v>
      </c>
      <c r="AF81" s="90">
        <f>O81*AN81/BF81</f>
        <v>1.9368029739776953E-2</v>
      </c>
      <c r="AG81" s="90" cm="1">
        <f t="array" ref="AG81">_xlfn.IFS(
AND(L81="marginal_effect",M81="level"),O81*AN81/BF81,
AND(L81="marginal_effect",M81="sd (Y)"),O81*BH81*AN81/BF81,
AND(L81="marginal_effect",M81="sd (X)"),O81/AQ81*AN81/BF81,
AND(L81="semi_elasticity",M81="level"),O81*AN81,
AND(L81="semi_elasticity",M81="sd (Y)"),O81*AN81*BH81,
AND(L81="semi_elasticity",M81="sd (X)"),O81*AN81/AQ81,
AND(L81="level-log",M81="level"),O81/BF81,
AND(L81="level-log",M81="sd (X)"),O81/BF81/AQ81,
AND(L81="level-log",M81="sd (Y)"),O81/BF81*BH81,
AND(L81="elasticity",M81="level"),O81,
AND(L81="elasticity",M81="sd (X)"),O81/AQ81,
AND(L81="elasticity",M81="sd (Y)"),O81*BH81,
AND(L81="marginal_effect",M81="percent_of_mean"),O81*AN81/BF81/10)</f>
        <v>1.9368029739776953E-2</v>
      </c>
      <c r="AH81" s="41">
        <f t="shared" si="26"/>
        <v>1</v>
      </c>
      <c r="AI81" s="90">
        <f t="shared" si="27"/>
        <v>-7.002287675150129E-2</v>
      </c>
      <c r="AJ81" s="39">
        <v>0</v>
      </c>
      <c r="AK81" s="39">
        <f t="shared" si="28"/>
        <v>1</v>
      </c>
      <c r="AL81" s="39" t="s">
        <v>82</v>
      </c>
      <c r="AM81" s="39" t="s">
        <v>1333</v>
      </c>
      <c r="AN81" s="39">
        <v>10.42</v>
      </c>
      <c r="AO81" s="39">
        <v>0</v>
      </c>
      <c r="AQ81" s="39" t="s">
        <v>312</v>
      </c>
      <c r="AR81" s="39" t="s">
        <v>312</v>
      </c>
      <c r="AS81" s="39" t="s">
        <v>312</v>
      </c>
      <c r="AT81" s="39" t="s">
        <v>83</v>
      </c>
      <c r="AU81" s="39" t="s">
        <v>109</v>
      </c>
      <c r="AV81" s="39" t="s">
        <v>133</v>
      </c>
      <c r="AW81" s="39" t="s">
        <v>85</v>
      </c>
      <c r="AX81" s="39" t="s">
        <v>86</v>
      </c>
      <c r="AY81" s="39">
        <v>0</v>
      </c>
      <c r="AZ81" s="39">
        <v>6</v>
      </c>
      <c r="BA81" s="39" t="s">
        <v>391</v>
      </c>
      <c r="BB81" s="39" t="s">
        <v>88</v>
      </c>
      <c r="BC81" s="39" t="s">
        <v>89</v>
      </c>
      <c r="BD81" s="39" t="s">
        <v>90</v>
      </c>
      <c r="BE81" s="39" t="s">
        <v>392</v>
      </c>
      <c r="BF81" s="39">
        <v>6.9939999999999998</v>
      </c>
      <c r="BG81" s="39">
        <v>0</v>
      </c>
      <c r="BH81" s="39">
        <v>2.79</v>
      </c>
      <c r="BI81" s="39" t="s">
        <v>312</v>
      </c>
      <c r="BJ81" s="39" t="s">
        <v>312</v>
      </c>
      <c r="BK81" s="39" t="s">
        <v>91</v>
      </c>
      <c r="BL81" s="39" t="s">
        <v>84</v>
      </c>
      <c r="BM81" s="39">
        <v>1</v>
      </c>
      <c r="BN81" s="39" t="s">
        <v>2177</v>
      </c>
      <c r="BO81" s="39" t="s">
        <v>398</v>
      </c>
      <c r="BP81" s="39" t="s">
        <v>394</v>
      </c>
      <c r="BQ81" s="39" t="s">
        <v>92</v>
      </c>
      <c r="BR81" s="39" t="s">
        <v>312</v>
      </c>
      <c r="BS81" s="39" t="s">
        <v>312</v>
      </c>
      <c r="BT81" s="39" t="s">
        <v>312</v>
      </c>
      <c r="BU81" s="41">
        <v>2001</v>
      </c>
      <c r="BV81" s="41">
        <v>2003</v>
      </c>
      <c r="BW81" s="39" t="s">
        <v>508</v>
      </c>
      <c r="BX81" s="39" t="s">
        <v>95</v>
      </c>
      <c r="BY81" s="39" t="s">
        <v>96</v>
      </c>
      <c r="BZ81" s="39">
        <v>0</v>
      </c>
      <c r="CA81" s="39">
        <v>0</v>
      </c>
      <c r="CB81" s="39" t="s">
        <v>97</v>
      </c>
      <c r="CC81" s="39" t="s">
        <v>313</v>
      </c>
      <c r="CD81" s="39">
        <v>1</v>
      </c>
      <c r="CE81" s="39" t="s">
        <v>395</v>
      </c>
      <c r="CF81" s="39">
        <v>1</v>
      </c>
      <c r="CG81" s="39" t="s">
        <v>396</v>
      </c>
      <c r="CH81" s="39">
        <v>1</v>
      </c>
      <c r="CI81" s="39" t="s">
        <v>509</v>
      </c>
      <c r="CJ81" s="39" t="s">
        <v>98</v>
      </c>
      <c r="CK81" s="39">
        <v>18</v>
      </c>
      <c r="CL81" s="39">
        <v>0</v>
      </c>
      <c r="CM81" s="39">
        <v>0</v>
      </c>
      <c r="CN81" s="39" t="s">
        <v>124</v>
      </c>
      <c r="CO81" s="39" t="s">
        <v>97</v>
      </c>
      <c r="CP81" s="39" t="s">
        <v>100</v>
      </c>
      <c r="CQ81" s="39" t="s">
        <v>126</v>
      </c>
      <c r="CR81" s="42">
        <v>46218</v>
      </c>
      <c r="CT81" s="39" t="s">
        <v>510</v>
      </c>
    </row>
    <row r="82" spans="1:98" s="39" customFormat="1" x14ac:dyDescent="0.35">
      <c r="A82" s="38" t="s">
        <v>386</v>
      </c>
      <c r="B82" s="38" t="s">
        <v>515</v>
      </c>
      <c r="C82" s="39" t="s">
        <v>387</v>
      </c>
      <c r="D82" s="39">
        <v>2016</v>
      </c>
      <c r="E82" s="40" t="s">
        <v>388</v>
      </c>
      <c r="F82" s="38" t="s">
        <v>389</v>
      </c>
      <c r="G82" s="39" t="s">
        <v>78</v>
      </c>
      <c r="H82" s="39">
        <v>1</v>
      </c>
      <c r="I82" s="39" t="s">
        <v>390</v>
      </c>
      <c r="J82" s="39" t="s">
        <v>79</v>
      </c>
      <c r="K82" s="39">
        <v>815</v>
      </c>
      <c r="L82" s="39" t="s">
        <v>129</v>
      </c>
      <c r="M82" s="39" t="s">
        <v>380</v>
      </c>
      <c r="N82" s="39">
        <v>-4.3999999999999997E-2</v>
      </c>
      <c r="O82" s="39">
        <v>8.9999999999999993E-3</v>
      </c>
      <c r="P82" s="90">
        <f t="shared" si="18"/>
        <v>-4.8888888888888893</v>
      </c>
      <c r="Q82" s="39" t="s">
        <v>312</v>
      </c>
      <c r="R82" s="90">
        <f t="shared" si="19"/>
        <v>-6.164E-2</v>
      </c>
      <c r="S82" s="90">
        <f t="shared" si="20"/>
        <v>-2.6359999999999998E-2</v>
      </c>
      <c r="T82" s="39">
        <v>1</v>
      </c>
      <c r="U82" s="39">
        <v>7242</v>
      </c>
      <c r="V82" s="39">
        <v>8</v>
      </c>
      <c r="W82" s="39">
        <v>1</v>
      </c>
      <c r="X82" s="39">
        <f t="shared" si="21"/>
        <v>7234</v>
      </c>
      <c r="Y82" s="90">
        <f t="shared" si="22"/>
        <v>-5.7385826378223127E-2</v>
      </c>
      <c r="Z82" s="90">
        <f t="shared" si="23"/>
        <v>1.1738009941000183E-2</v>
      </c>
      <c r="AA82" s="90">
        <f t="shared" si="24"/>
        <v>-5.7385826378223127E-2</v>
      </c>
      <c r="AB82" s="39" t="s">
        <v>81</v>
      </c>
      <c r="AC82" s="90">
        <f>N82*AN82/BF82</f>
        <v>-6.5553331426937367E-2</v>
      </c>
      <c r="AD82" s="90" cm="1">
        <f t="array" ref="AD82">_xlfn.IFS(
AND(L82="marginal_effect",M82="level"),N82*AN82/BF82,
AND(L82="marginal_effect",M82="sd (Y)"),N82*BH82*AN82/BF82,
AND(L82="marginal_effect",M82="sd (X)"),N82/AQ82*AN82/BF82,
AND(L82="semi_elasticity",M82="level"),N82*AN82,
AND(L82="semi_elasticity",M82="sd (Y)"),N82*AN82*BH82,
AND(L82="semi_elasticity",M82="sd (X)"),N82*AN82/AQ82,
AND(L82="level-log",M82="level"),N82/BF82,
AND(L82="level-log",M82="sd (X)"),N82/BF82/AQ82,
AND(L82="level-log",M82="sd (Y)"),N82/BF82*BH82,
AND(L82="elasticity",M82="level"),N82,
AND(L82="elasticity",M82="sd (X)"),N82/AQ82,
AND(L82="elasticity",M82="sd (Y)"),N82*BH82,
AND(L82="marginal_effect",M82="percent_of_mean"),N82*AN82/BF82/10)</f>
        <v>-6.5553331426937367E-2</v>
      </c>
      <c r="AE82" s="41">
        <f t="shared" si="25"/>
        <v>1</v>
      </c>
      <c r="AF82" s="90">
        <f>O82*AN82/BF82</f>
        <v>1.3408635973691735E-2</v>
      </c>
      <c r="AG82" s="90" cm="1">
        <f t="array" ref="AG82">_xlfn.IFS(
AND(L82="marginal_effect",M82="level"),O82*AN82/BF82,
AND(L82="marginal_effect",M82="sd (Y)"),O82*BH82*AN82/BF82,
AND(L82="marginal_effect",M82="sd (X)"),O82/AQ82*AN82/BF82,
AND(L82="semi_elasticity",M82="level"),O82*AN82,
AND(L82="semi_elasticity",M82="sd (Y)"),O82*AN82*BH82,
AND(L82="semi_elasticity",M82="sd (X)"),O82*AN82/AQ82,
AND(L82="level-log",M82="level"),O82/BF82,
AND(L82="level-log",M82="sd (X)"),O82/BF82/AQ82,
AND(L82="level-log",M82="sd (Y)"),O82/BF82*BH82,
AND(L82="elasticity",M82="level"),O82,
AND(L82="elasticity",M82="sd (X)"),O82/AQ82,
AND(L82="elasticity",M82="sd (Y)"),O82*BH82,
AND(L82="marginal_effect",M82="percent_of_mean"),O82*AN82/BF82/10)</f>
        <v>1.3408635973691735E-2</v>
      </c>
      <c r="AH82" s="41">
        <f t="shared" si="26"/>
        <v>1</v>
      </c>
      <c r="AI82" s="90">
        <f t="shared" si="27"/>
        <v>-6.5553331426937367E-2</v>
      </c>
      <c r="AJ82" s="39">
        <v>0</v>
      </c>
      <c r="AK82" s="39">
        <f t="shared" si="28"/>
        <v>1</v>
      </c>
      <c r="AL82" s="39" t="s">
        <v>82</v>
      </c>
      <c r="AM82" s="39" t="s">
        <v>1333</v>
      </c>
      <c r="AN82" s="39">
        <v>10.42</v>
      </c>
      <c r="AO82" s="39">
        <v>0</v>
      </c>
      <c r="AQ82" s="39" t="s">
        <v>312</v>
      </c>
      <c r="AR82" s="39" t="s">
        <v>312</v>
      </c>
      <c r="AS82" s="39" t="s">
        <v>312</v>
      </c>
      <c r="AT82" s="39" t="s">
        <v>83</v>
      </c>
      <c r="AU82" s="39" t="s">
        <v>109</v>
      </c>
      <c r="AV82" s="39" t="s">
        <v>133</v>
      </c>
      <c r="AW82" s="39" t="s">
        <v>85</v>
      </c>
      <c r="AX82" s="39" t="s">
        <v>86</v>
      </c>
      <c r="AY82" s="39">
        <v>0</v>
      </c>
      <c r="AZ82" s="39">
        <v>0</v>
      </c>
      <c r="BA82" s="39" t="s">
        <v>391</v>
      </c>
      <c r="BB82" s="39" t="s">
        <v>88</v>
      </c>
      <c r="BC82" s="39" t="s">
        <v>89</v>
      </c>
      <c r="BD82" s="39" t="s">
        <v>90</v>
      </c>
      <c r="BE82" s="39" t="s">
        <v>392</v>
      </c>
      <c r="BF82" s="39">
        <v>6.9939999999999998</v>
      </c>
      <c r="BG82" s="39">
        <v>0</v>
      </c>
      <c r="BH82" s="39">
        <v>2.79</v>
      </c>
      <c r="BI82" s="39" t="s">
        <v>312</v>
      </c>
      <c r="BJ82" s="39" t="s">
        <v>312</v>
      </c>
      <c r="BK82" s="39" t="s">
        <v>91</v>
      </c>
      <c r="BL82" s="39" t="s">
        <v>84</v>
      </c>
      <c r="BM82" s="39">
        <v>1</v>
      </c>
      <c r="BN82" s="39" t="s">
        <v>2177</v>
      </c>
      <c r="BO82" s="39" t="s">
        <v>398</v>
      </c>
      <c r="BP82" s="39" t="s">
        <v>394</v>
      </c>
      <c r="BQ82" s="39" t="s">
        <v>92</v>
      </c>
      <c r="BR82" s="39" t="s">
        <v>312</v>
      </c>
      <c r="BS82" s="39" t="s">
        <v>312</v>
      </c>
      <c r="BT82" s="39" t="s">
        <v>312</v>
      </c>
      <c r="BU82" s="41">
        <v>2001</v>
      </c>
      <c r="BV82" s="41">
        <v>2003</v>
      </c>
      <c r="BW82" s="39" t="s">
        <v>94</v>
      </c>
      <c r="BX82" s="39" t="s">
        <v>95</v>
      </c>
      <c r="BY82" s="39" t="s">
        <v>495</v>
      </c>
      <c r="BZ82" s="39">
        <v>0</v>
      </c>
      <c r="CA82" s="39">
        <v>0</v>
      </c>
      <c r="CB82" s="39" t="s">
        <v>97</v>
      </c>
      <c r="CC82" s="39" t="s">
        <v>313</v>
      </c>
      <c r="CD82" s="39">
        <v>1</v>
      </c>
      <c r="CE82" s="39" t="s">
        <v>395</v>
      </c>
      <c r="CF82" s="39">
        <v>1</v>
      </c>
      <c r="CG82" s="39" t="s">
        <v>396</v>
      </c>
      <c r="CH82" s="39">
        <v>1</v>
      </c>
      <c r="CI82" s="39" t="s">
        <v>393</v>
      </c>
      <c r="CJ82" s="39" t="s">
        <v>98</v>
      </c>
      <c r="CK82" s="39">
        <v>18</v>
      </c>
      <c r="CL82" s="39">
        <v>0</v>
      </c>
      <c r="CM82" s="39">
        <v>0</v>
      </c>
      <c r="CN82" s="39" t="s">
        <v>124</v>
      </c>
      <c r="CO82" s="39" t="s">
        <v>97</v>
      </c>
      <c r="CP82" s="39" t="s">
        <v>100</v>
      </c>
      <c r="CQ82" s="39" t="s">
        <v>126</v>
      </c>
      <c r="CR82" s="42">
        <v>46218</v>
      </c>
      <c r="CT82" s="39" t="s">
        <v>511</v>
      </c>
    </row>
    <row r="83" spans="1:98" s="39" customFormat="1" x14ac:dyDescent="0.35">
      <c r="A83" s="38" t="s">
        <v>386</v>
      </c>
      <c r="B83" s="38" t="s">
        <v>516</v>
      </c>
      <c r="C83" s="39" t="s">
        <v>387</v>
      </c>
      <c r="D83" s="39">
        <v>2016</v>
      </c>
      <c r="E83" s="40" t="s">
        <v>388</v>
      </c>
      <c r="F83" s="38" t="s">
        <v>389</v>
      </c>
      <c r="G83" s="39" t="s">
        <v>78</v>
      </c>
      <c r="H83" s="39">
        <v>1</v>
      </c>
      <c r="I83" s="39" t="s">
        <v>390</v>
      </c>
      <c r="J83" s="39" t="s">
        <v>79</v>
      </c>
      <c r="K83" s="39">
        <v>815</v>
      </c>
      <c r="L83" s="39" t="s">
        <v>129</v>
      </c>
      <c r="M83" s="39" t="s">
        <v>380</v>
      </c>
      <c r="N83" s="39">
        <v>-0.04</v>
      </c>
      <c r="O83" s="39">
        <v>3.5000000000000003E-2</v>
      </c>
      <c r="P83" s="90">
        <f t="shared" si="18"/>
        <v>-1.1428571428571428</v>
      </c>
      <c r="Q83" s="39" t="s">
        <v>312</v>
      </c>
      <c r="R83" s="90">
        <f t="shared" si="19"/>
        <v>-0.1086</v>
      </c>
      <c r="S83" s="90">
        <f t="shared" si="20"/>
        <v>2.8600000000000007E-2</v>
      </c>
      <c r="T83" s="39">
        <v>1</v>
      </c>
      <c r="U83" s="39">
        <v>5084</v>
      </c>
      <c r="V83" s="39">
        <v>8</v>
      </c>
      <c r="W83" s="39">
        <v>1</v>
      </c>
      <c r="X83" s="39">
        <f t="shared" si="21"/>
        <v>5076</v>
      </c>
      <c r="Y83" s="90">
        <f t="shared" si="22"/>
        <v>-1.6038925590766563E-2</v>
      </c>
      <c r="Z83" s="90">
        <f t="shared" si="23"/>
        <v>1.4034059891920744E-2</v>
      </c>
      <c r="AA83" s="90">
        <f t="shared" si="24"/>
        <v>-1.6038925590766563E-2</v>
      </c>
      <c r="AB83" s="39" t="s">
        <v>81</v>
      </c>
      <c r="AC83" s="90">
        <f>N83*AN83/BF83</f>
        <v>-5.9593937660852164E-2</v>
      </c>
      <c r="AD83" s="90" cm="1">
        <f t="array" ref="AD83">_xlfn.IFS(
AND(L83="marginal_effect",M83="level"),N83*AN83/BF83,
AND(L83="marginal_effect",M83="sd (Y)"),N83*BH83*AN83/BF83,
AND(L83="marginal_effect",M83="sd (X)"),N83/AQ83*AN83/BF83,
AND(L83="semi_elasticity",M83="level"),N83*AN83,
AND(L83="semi_elasticity",M83="sd (Y)"),N83*AN83*BH83,
AND(L83="semi_elasticity",M83="sd (X)"),N83*AN83/AQ83,
AND(L83="level-log",M83="level"),N83/BF83,
AND(L83="level-log",M83="sd (X)"),N83/BF83/AQ83,
AND(L83="level-log",M83="sd (Y)"),N83/BF83*BH83,
AND(L83="elasticity",M83="level"),N83,
AND(L83="elasticity",M83="sd (X)"),N83/AQ83,
AND(L83="elasticity",M83="sd (Y)"),N83*BH83,
AND(L83="marginal_effect",M83="percent_of_mean"),N83*AN83/BF83/10)</f>
        <v>-5.9593937660852164E-2</v>
      </c>
      <c r="AE83" s="41">
        <f t="shared" si="25"/>
        <v>1</v>
      </c>
      <c r="AF83" s="90">
        <f>O83*AN83/BF83</f>
        <v>5.2144695453245647E-2</v>
      </c>
      <c r="AG83" s="90" cm="1">
        <f t="array" ref="AG83">_xlfn.IFS(
AND(L83="marginal_effect",M83="level"),O83*AN83/BF83,
AND(L83="marginal_effect",M83="sd (Y)"),O83*BH83*AN83/BF83,
AND(L83="marginal_effect",M83="sd (X)"),O83/AQ83*AN83/BF83,
AND(L83="semi_elasticity",M83="level"),O83*AN83,
AND(L83="semi_elasticity",M83="sd (Y)"),O83*AN83*BH83,
AND(L83="semi_elasticity",M83="sd (X)"),O83*AN83/AQ83,
AND(L83="level-log",M83="level"),O83/BF83,
AND(L83="level-log",M83="sd (X)"),O83/BF83/AQ83,
AND(L83="level-log",M83="sd (Y)"),O83/BF83*BH83,
AND(L83="elasticity",M83="level"),O83,
AND(L83="elasticity",M83="sd (X)"),O83/AQ83,
AND(L83="elasticity",M83="sd (Y)"),O83*BH83,
AND(L83="marginal_effect",M83="percent_of_mean"),O83*AN83/BF83/10)</f>
        <v>5.2144695453245647E-2</v>
      </c>
      <c r="AH83" s="41">
        <f t="shared" si="26"/>
        <v>1</v>
      </c>
      <c r="AI83" s="90">
        <f t="shared" si="27"/>
        <v>-5.9593937660852164E-2</v>
      </c>
      <c r="AJ83" s="39">
        <v>1</v>
      </c>
      <c r="AK83" s="39">
        <f t="shared" si="28"/>
        <v>1</v>
      </c>
      <c r="AL83" s="39" t="s">
        <v>82</v>
      </c>
      <c r="AM83" s="39" t="s">
        <v>1333</v>
      </c>
      <c r="AN83" s="39">
        <v>10.42</v>
      </c>
      <c r="AO83" s="39">
        <v>0</v>
      </c>
      <c r="AQ83" s="39" t="s">
        <v>312</v>
      </c>
      <c r="AR83" s="39" t="s">
        <v>312</v>
      </c>
      <c r="AS83" s="39" t="s">
        <v>312</v>
      </c>
      <c r="AT83" s="39" t="s">
        <v>83</v>
      </c>
      <c r="AU83" s="39" t="s">
        <v>109</v>
      </c>
      <c r="AV83" s="39" t="s">
        <v>133</v>
      </c>
      <c r="AW83" s="39" t="s">
        <v>85</v>
      </c>
      <c r="AX83" s="39" t="s">
        <v>86</v>
      </c>
      <c r="AY83" s="39">
        <v>0</v>
      </c>
      <c r="AZ83" s="39">
        <v>0</v>
      </c>
      <c r="BA83" s="39" t="s">
        <v>391</v>
      </c>
      <c r="BB83" s="39" t="s">
        <v>88</v>
      </c>
      <c r="BC83" s="39" t="s">
        <v>89</v>
      </c>
      <c r="BD83" s="39" t="s">
        <v>90</v>
      </c>
      <c r="BE83" s="39" t="s">
        <v>392</v>
      </c>
      <c r="BF83" s="39">
        <v>6.9939999999999998</v>
      </c>
      <c r="BG83" s="39">
        <v>0</v>
      </c>
      <c r="BH83" s="39">
        <v>2.79</v>
      </c>
      <c r="BI83" s="39" t="s">
        <v>312</v>
      </c>
      <c r="BJ83" s="39" t="s">
        <v>312</v>
      </c>
      <c r="BK83" s="39" t="s">
        <v>91</v>
      </c>
      <c r="BL83" s="39" t="s">
        <v>84</v>
      </c>
      <c r="BM83" s="39">
        <v>1</v>
      </c>
      <c r="BN83" s="39" t="s">
        <v>2177</v>
      </c>
      <c r="BO83" s="39" t="s">
        <v>398</v>
      </c>
      <c r="BP83" s="39" t="s">
        <v>394</v>
      </c>
      <c r="BQ83" s="39" t="s">
        <v>92</v>
      </c>
      <c r="BR83" s="39" t="s">
        <v>312</v>
      </c>
      <c r="BS83" s="39" t="s">
        <v>312</v>
      </c>
      <c r="BT83" s="39" t="s">
        <v>312</v>
      </c>
      <c r="BU83" s="41">
        <v>2001</v>
      </c>
      <c r="BV83" s="41">
        <v>2003</v>
      </c>
      <c r="BW83" s="39" t="s">
        <v>94</v>
      </c>
      <c r="BX83" s="39" t="s">
        <v>95</v>
      </c>
      <c r="BY83" s="39" t="s">
        <v>512</v>
      </c>
      <c r="BZ83" s="39">
        <v>0</v>
      </c>
      <c r="CA83" s="39">
        <v>0</v>
      </c>
      <c r="CB83" s="39" t="s">
        <v>97</v>
      </c>
      <c r="CC83" s="39" t="s">
        <v>313</v>
      </c>
      <c r="CD83" s="39">
        <v>1</v>
      </c>
      <c r="CE83" s="39" t="s">
        <v>395</v>
      </c>
      <c r="CF83" s="39">
        <v>1</v>
      </c>
      <c r="CG83" s="39" t="s">
        <v>396</v>
      </c>
      <c r="CH83" s="39">
        <v>1</v>
      </c>
      <c r="CI83" s="39" t="s">
        <v>393</v>
      </c>
      <c r="CJ83" s="39" t="s">
        <v>98</v>
      </c>
      <c r="CK83" s="39">
        <v>18</v>
      </c>
      <c r="CL83" s="39">
        <v>0</v>
      </c>
      <c r="CM83" s="39">
        <v>0</v>
      </c>
      <c r="CN83" s="39" t="s">
        <v>124</v>
      </c>
      <c r="CO83" s="39" t="s">
        <v>97</v>
      </c>
      <c r="CP83" s="39" t="s">
        <v>100</v>
      </c>
      <c r="CQ83" s="39" t="s">
        <v>126</v>
      </c>
      <c r="CR83" s="42">
        <v>46218</v>
      </c>
      <c r="CT83" s="39" t="s">
        <v>513</v>
      </c>
    </row>
    <row r="84" spans="1:98" s="44" customFormat="1" x14ac:dyDescent="0.35">
      <c r="A84" s="43" t="s">
        <v>425</v>
      </c>
      <c r="B84" s="43" t="s">
        <v>442</v>
      </c>
      <c r="C84" s="44" t="s">
        <v>387</v>
      </c>
      <c r="D84" s="44">
        <v>2019</v>
      </c>
      <c r="E84" s="43" t="s">
        <v>426</v>
      </c>
      <c r="F84" s="43" t="s">
        <v>427</v>
      </c>
      <c r="G84" s="44" t="s">
        <v>78</v>
      </c>
      <c r="H84" s="44">
        <v>1</v>
      </c>
      <c r="I84" s="44" t="s">
        <v>290</v>
      </c>
      <c r="J84" s="44" t="s">
        <v>79</v>
      </c>
      <c r="K84" s="44">
        <v>864</v>
      </c>
      <c r="L84" s="44" t="s">
        <v>104</v>
      </c>
      <c r="M84" s="44" t="s">
        <v>380</v>
      </c>
      <c r="N84" s="44">
        <v>-3.5000000000000001E-3</v>
      </c>
      <c r="O84" s="44">
        <v>1.2999999999999999E-3</v>
      </c>
      <c r="P84" s="91">
        <f t="shared" si="18"/>
        <v>-2.6923076923076925</v>
      </c>
      <c r="Q84" s="44" t="s">
        <v>312</v>
      </c>
      <c r="R84" s="91">
        <f t="shared" si="19"/>
        <v>-6.0479999999999996E-3</v>
      </c>
      <c r="S84" s="91">
        <f t="shared" si="20"/>
        <v>-9.5200000000000016E-4</v>
      </c>
      <c r="T84" s="44">
        <v>1</v>
      </c>
      <c r="U84" s="44">
        <v>359013</v>
      </c>
      <c r="V84" s="44">
        <v>3</v>
      </c>
      <c r="W84" s="44">
        <v>1</v>
      </c>
      <c r="X84" s="44">
        <f t="shared" si="21"/>
        <v>359010</v>
      </c>
      <c r="Y84" s="91">
        <f t="shared" si="22"/>
        <v>-4.4933167530829786E-3</v>
      </c>
      <c r="Z84" s="91">
        <f t="shared" si="23"/>
        <v>1.6689462225736775E-3</v>
      </c>
      <c r="AA84" s="91">
        <f t="shared" si="24"/>
        <v>-4.4933167530829786E-3</v>
      </c>
      <c r="AB84" s="44" t="s">
        <v>81</v>
      </c>
      <c r="AC84" s="91">
        <f t="shared" ref="AC84:AC101" si="31">N84*AN84</f>
        <v>-2.2995000000000002E-2</v>
      </c>
      <c r="AD84" s="91" cm="1">
        <f t="array" ref="AD84">_xlfn.IFS(
AND(L84="marginal_effect",M84="level"),N84*AN84/BF84,
AND(L84="marginal_effect",M84="sd (Y)"),N84*BH84*AN84/BF84,
AND(L84="marginal_effect",M84="sd (X)"),N84/AQ84*AN84/BF84,
AND(L84="semi_elasticity",M84="level"),N84*AN84,
AND(L84="semi_elasticity",M84="sd (Y)"),N84*AN84*BH84,
AND(L84="semi_elasticity",M84="sd (X)"),N84*AN84/AQ84,
AND(L84="level-log",M84="level"),N84/BF84,
AND(L84="level-log",M84="sd (X)"),N84/BF84/AQ84,
AND(L84="level-log",M84="sd (Y)"),N84/BF84*BH84,
AND(L84="elasticity",M84="level"),N84,
AND(L84="elasticity",M84="sd (X)"),N84/AQ84,
AND(L84="elasticity",M84="sd (Y)"),N84*BH84,
AND(L84="marginal_effect",M84="percent_of_mean"),N84*AN84/BF84/10)</f>
        <v>-2.2995000000000002E-2</v>
      </c>
      <c r="AE84" s="50">
        <f t="shared" si="25"/>
        <v>1</v>
      </c>
      <c r="AF84" s="91">
        <f t="shared" ref="AF84:AF101" si="32">O84*AN84</f>
        <v>8.541E-3</v>
      </c>
      <c r="AG84" s="91" cm="1">
        <f t="array" ref="AG84">_xlfn.IFS(
AND(L84="marginal_effect",M84="level"),O84*AN84/BF84,
AND(L84="marginal_effect",M84="sd (Y)"),O84*BH84*AN84/BF84,
AND(L84="marginal_effect",M84="sd (X)"),O84/AQ84*AN84/BF84,
AND(L84="semi_elasticity",M84="level"),O84*AN84,
AND(L84="semi_elasticity",M84="sd (Y)"),O84*AN84*BH84,
AND(L84="semi_elasticity",M84="sd (X)"),O84*AN84/AQ84,
AND(L84="level-log",M84="level"),O84/BF84,
AND(L84="level-log",M84="sd (X)"),O84/BF84/AQ84,
AND(L84="level-log",M84="sd (Y)"),O84/BF84*BH84,
AND(L84="elasticity",M84="level"),O84,
AND(L84="elasticity",M84="sd (X)"),O84/AQ84,
AND(L84="elasticity",M84="sd (Y)"),O84*BH84,
AND(L84="marginal_effect",M84="percent_of_mean"),O84*AN84/BF84/10)</f>
        <v>8.541E-3</v>
      </c>
      <c r="AH84" s="50">
        <f t="shared" si="26"/>
        <v>1</v>
      </c>
      <c r="AI84" s="91">
        <f t="shared" si="27"/>
        <v>-2.2995000000000002E-2</v>
      </c>
      <c r="AJ84" s="50">
        <v>0</v>
      </c>
      <c r="AK84" s="50">
        <f t="shared" si="28"/>
        <v>1</v>
      </c>
      <c r="AL84" s="44" t="s">
        <v>431</v>
      </c>
      <c r="AM84" s="44" t="s">
        <v>441</v>
      </c>
      <c r="AN84" s="44">
        <v>6.57</v>
      </c>
      <c r="AO84" s="44">
        <v>0</v>
      </c>
      <c r="AP84" s="44">
        <f t="shared" ref="AP84:AP118" si="33">AN84*10</f>
        <v>65.7</v>
      </c>
      <c r="AQ84" s="44">
        <v>41.4</v>
      </c>
      <c r="AR84" s="44" t="s">
        <v>312</v>
      </c>
      <c r="AS84" s="44" t="s">
        <v>312</v>
      </c>
      <c r="AT84" s="44" t="s">
        <v>83</v>
      </c>
      <c r="AU84" s="44" t="s">
        <v>109</v>
      </c>
      <c r="AV84" s="44" t="s">
        <v>133</v>
      </c>
      <c r="AW84" s="44" t="s">
        <v>85</v>
      </c>
      <c r="AX84" s="44" t="s">
        <v>86</v>
      </c>
      <c r="AY84" s="44">
        <v>0</v>
      </c>
      <c r="AZ84" s="44">
        <v>0</v>
      </c>
      <c r="BA84" s="44" t="s">
        <v>87</v>
      </c>
      <c r="BB84" s="44" t="s">
        <v>88</v>
      </c>
      <c r="BC84" s="44" t="s">
        <v>113</v>
      </c>
      <c r="BD84" s="44" t="s">
        <v>433</v>
      </c>
      <c r="BE84" s="44" t="s">
        <v>434</v>
      </c>
      <c r="BF84" s="44">
        <v>70.900000000000006</v>
      </c>
      <c r="BG84" s="44">
        <v>0</v>
      </c>
      <c r="BH84" s="44">
        <v>45.1</v>
      </c>
      <c r="BI84" s="44" t="s">
        <v>312</v>
      </c>
      <c r="BJ84" s="44" t="s">
        <v>312</v>
      </c>
      <c r="BK84" s="44" t="s">
        <v>91</v>
      </c>
      <c r="BL84" s="44" t="s">
        <v>84</v>
      </c>
      <c r="BM84" s="44">
        <v>1</v>
      </c>
      <c r="BN84" s="44" t="s">
        <v>428</v>
      </c>
      <c r="BO84" s="44" t="s">
        <v>429</v>
      </c>
      <c r="BP84" s="44" t="s">
        <v>430</v>
      </c>
      <c r="BQ84" s="44" t="s">
        <v>117</v>
      </c>
      <c r="BR84" s="44" t="s">
        <v>93</v>
      </c>
      <c r="BS84" s="44" t="s">
        <v>312</v>
      </c>
      <c r="BT84" s="44" t="s">
        <v>312</v>
      </c>
      <c r="BU84" s="45">
        <v>40179</v>
      </c>
      <c r="BV84" s="45">
        <v>41252</v>
      </c>
      <c r="BW84" s="44" t="s">
        <v>432</v>
      </c>
      <c r="BX84" s="44" t="s">
        <v>95</v>
      </c>
      <c r="BY84" s="44" t="s">
        <v>96</v>
      </c>
      <c r="BZ84" s="44">
        <v>0</v>
      </c>
      <c r="CA84" s="44">
        <v>0</v>
      </c>
      <c r="CB84" s="44" t="s">
        <v>97</v>
      </c>
      <c r="CC84" s="44" t="s">
        <v>313</v>
      </c>
      <c r="CD84" s="44">
        <v>1</v>
      </c>
      <c r="CE84" s="44" t="s">
        <v>435</v>
      </c>
      <c r="CF84" s="44">
        <v>0</v>
      </c>
      <c r="CG84" s="44" t="s">
        <v>97</v>
      </c>
      <c r="CH84" s="44">
        <v>1</v>
      </c>
      <c r="CI84" s="44" t="s">
        <v>436</v>
      </c>
      <c r="CJ84" s="44" t="s">
        <v>98</v>
      </c>
      <c r="CK84" s="44">
        <v>18</v>
      </c>
      <c r="CL84" s="44">
        <v>1</v>
      </c>
      <c r="CM84" s="44">
        <v>1</v>
      </c>
      <c r="CN84" s="44" t="s">
        <v>99</v>
      </c>
      <c r="CO84" s="44" t="s">
        <v>97</v>
      </c>
      <c r="CP84" s="44" t="s">
        <v>100</v>
      </c>
      <c r="CQ84" s="44" t="s">
        <v>126</v>
      </c>
      <c r="CR84" s="45">
        <v>46216</v>
      </c>
      <c r="CT84" s="44" t="s">
        <v>437</v>
      </c>
    </row>
    <row r="85" spans="1:98" s="44" customFormat="1" x14ac:dyDescent="0.35">
      <c r="A85" s="43" t="s">
        <v>425</v>
      </c>
      <c r="B85" s="43" t="s">
        <v>443</v>
      </c>
      <c r="C85" s="44" t="s">
        <v>387</v>
      </c>
      <c r="D85" s="44">
        <v>2019</v>
      </c>
      <c r="E85" s="43" t="s">
        <v>426</v>
      </c>
      <c r="F85" s="43" t="s">
        <v>427</v>
      </c>
      <c r="G85" s="44" t="s">
        <v>78</v>
      </c>
      <c r="H85" s="44">
        <v>1</v>
      </c>
      <c r="I85" s="44" t="s">
        <v>290</v>
      </c>
      <c r="J85" s="44" t="s">
        <v>79</v>
      </c>
      <c r="K85" s="44">
        <v>864</v>
      </c>
      <c r="L85" s="44" t="s">
        <v>104</v>
      </c>
      <c r="M85" s="44" t="s">
        <v>380</v>
      </c>
      <c r="N85" s="44">
        <v>-2.8999999999999998E-3</v>
      </c>
      <c r="O85" s="44">
        <v>1.1999999999999999E-3</v>
      </c>
      <c r="P85" s="91">
        <f t="shared" si="18"/>
        <v>-2.4166666666666665</v>
      </c>
      <c r="Q85" s="44" t="s">
        <v>312</v>
      </c>
      <c r="R85" s="91">
        <f t="shared" si="19"/>
        <v>-5.2519999999999997E-3</v>
      </c>
      <c r="S85" s="91">
        <f t="shared" si="20"/>
        <v>-5.4799999999999988E-4</v>
      </c>
      <c r="T85" s="44">
        <v>1</v>
      </c>
      <c r="U85" s="44">
        <v>359013</v>
      </c>
      <c r="V85" s="44">
        <v>3</v>
      </c>
      <c r="W85" s="44">
        <v>1</v>
      </c>
      <c r="X85" s="44">
        <f t="shared" si="21"/>
        <v>359010</v>
      </c>
      <c r="Y85" s="91">
        <f t="shared" si="22"/>
        <v>-4.0332946148473759E-3</v>
      </c>
      <c r="Z85" s="91">
        <f t="shared" si="23"/>
        <v>1.6689494957989142E-3</v>
      </c>
      <c r="AA85" s="91">
        <f t="shared" si="24"/>
        <v>-4.0332946148473759E-3</v>
      </c>
      <c r="AB85" s="44" t="s">
        <v>81</v>
      </c>
      <c r="AC85" s="91">
        <f t="shared" si="31"/>
        <v>-1.9053E-2</v>
      </c>
      <c r="AD85" s="91" cm="1">
        <f t="array" ref="AD85">_xlfn.IFS(
AND(L85="marginal_effect",M85="level"),N85*AN85/BF85,
AND(L85="marginal_effect",M85="sd (Y)"),N85*BH85*AN85/BF85,
AND(L85="marginal_effect",M85="sd (X)"),N85/AQ85*AN85/BF85,
AND(L85="semi_elasticity",M85="level"),N85*AN85,
AND(L85="semi_elasticity",M85="sd (Y)"),N85*AN85*BH85,
AND(L85="semi_elasticity",M85="sd (X)"),N85*AN85/AQ85,
AND(L85="level-log",M85="level"),N85/BF85,
AND(L85="level-log",M85="sd (X)"),N85/BF85/AQ85,
AND(L85="level-log",M85="sd (Y)"),N85/BF85*BH85,
AND(L85="elasticity",M85="level"),N85,
AND(L85="elasticity",M85="sd (X)"),N85/AQ85,
AND(L85="elasticity",M85="sd (Y)"),N85*BH85,
AND(L85="marginal_effect",M85="percent_of_mean"),N85*AN85/BF85/10)</f>
        <v>-1.9053E-2</v>
      </c>
      <c r="AE85" s="50">
        <f t="shared" si="25"/>
        <v>1</v>
      </c>
      <c r="AF85" s="91">
        <f t="shared" si="32"/>
        <v>7.8840000000000004E-3</v>
      </c>
      <c r="AG85" s="91" cm="1">
        <f t="array" ref="AG85">_xlfn.IFS(
AND(L85="marginal_effect",M85="level"),O85*AN85/BF85,
AND(L85="marginal_effect",M85="sd (Y)"),O85*BH85*AN85/BF85,
AND(L85="marginal_effect",M85="sd (X)"),O85/AQ85*AN85/BF85,
AND(L85="semi_elasticity",M85="level"),O85*AN85,
AND(L85="semi_elasticity",M85="sd (Y)"),O85*AN85*BH85,
AND(L85="semi_elasticity",M85="sd (X)"),O85*AN85/AQ85,
AND(L85="level-log",M85="level"),O85/BF85,
AND(L85="level-log",M85="sd (X)"),O85/BF85/AQ85,
AND(L85="level-log",M85="sd (Y)"),O85/BF85*BH85,
AND(L85="elasticity",M85="level"),O85,
AND(L85="elasticity",M85="sd (X)"),O85/AQ85,
AND(L85="elasticity",M85="sd (Y)"),O85*BH85,
AND(L85="marginal_effect",M85="percent_of_mean"),O85*AN85/BF85/10)</f>
        <v>7.8840000000000004E-3</v>
      </c>
      <c r="AH85" s="50">
        <f t="shared" si="26"/>
        <v>1</v>
      </c>
      <c r="AI85" s="91">
        <f t="shared" si="27"/>
        <v>-1.9053E-2</v>
      </c>
      <c r="AJ85" s="50">
        <v>0</v>
      </c>
      <c r="AK85" s="50">
        <f t="shared" si="28"/>
        <v>1</v>
      </c>
      <c r="AL85" s="44" t="s">
        <v>431</v>
      </c>
      <c r="AM85" s="44" t="s">
        <v>441</v>
      </c>
      <c r="AN85" s="44">
        <v>6.57</v>
      </c>
      <c r="AO85" s="44">
        <v>0</v>
      </c>
      <c r="AP85" s="44">
        <f t="shared" si="33"/>
        <v>65.7</v>
      </c>
      <c r="AQ85" s="44">
        <v>41.4</v>
      </c>
      <c r="AR85" s="44" t="s">
        <v>312</v>
      </c>
      <c r="AS85" s="44" t="s">
        <v>312</v>
      </c>
      <c r="AT85" s="44" t="s">
        <v>83</v>
      </c>
      <c r="AU85" s="44" t="s">
        <v>109</v>
      </c>
      <c r="AV85" s="44" t="s">
        <v>133</v>
      </c>
      <c r="AW85" s="44" t="s">
        <v>85</v>
      </c>
      <c r="AX85" s="44" t="s">
        <v>86</v>
      </c>
      <c r="AY85" s="44">
        <v>0</v>
      </c>
      <c r="AZ85" s="44">
        <v>0</v>
      </c>
      <c r="BA85" s="44" t="s">
        <v>87</v>
      </c>
      <c r="BB85" s="44" t="s">
        <v>88</v>
      </c>
      <c r="BC85" s="44" t="s">
        <v>113</v>
      </c>
      <c r="BD85" s="44" t="s">
        <v>433</v>
      </c>
      <c r="BE85" s="44" t="s">
        <v>434</v>
      </c>
      <c r="BF85" s="44">
        <v>70.900000000000006</v>
      </c>
      <c r="BG85" s="44">
        <v>0</v>
      </c>
      <c r="BH85" s="44">
        <v>45.1</v>
      </c>
      <c r="BI85" s="44" t="s">
        <v>312</v>
      </c>
      <c r="BJ85" s="44" t="s">
        <v>312</v>
      </c>
      <c r="BK85" s="44" t="s">
        <v>91</v>
      </c>
      <c r="BL85" s="44" t="s">
        <v>84</v>
      </c>
      <c r="BM85" s="44">
        <v>1</v>
      </c>
      <c r="BN85" s="44" t="s">
        <v>428</v>
      </c>
      <c r="BO85" s="44" t="s">
        <v>429</v>
      </c>
      <c r="BP85" s="44" t="s">
        <v>430</v>
      </c>
      <c r="BQ85" s="44" t="s">
        <v>117</v>
      </c>
      <c r="BR85" s="44" t="s">
        <v>93</v>
      </c>
      <c r="BS85" s="44" t="s">
        <v>312</v>
      </c>
      <c r="BT85" s="44" t="s">
        <v>312</v>
      </c>
      <c r="BU85" s="45">
        <v>40179</v>
      </c>
      <c r="BV85" s="45">
        <v>41252</v>
      </c>
      <c r="BW85" s="44" t="s">
        <v>432</v>
      </c>
      <c r="BX85" s="44" t="s">
        <v>95</v>
      </c>
      <c r="BY85" s="44" t="s">
        <v>96</v>
      </c>
      <c r="BZ85" s="44">
        <v>0</v>
      </c>
      <c r="CA85" s="44">
        <v>0</v>
      </c>
      <c r="CB85" s="44" t="s">
        <v>97</v>
      </c>
      <c r="CC85" s="44" t="s">
        <v>314</v>
      </c>
      <c r="CD85" s="44">
        <v>1</v>
      </c>
      <c r="CE85" s="44" t="s">
        <v>435</v>
      </c>
      <c r="CF85" s="44">
        <v>0</v>
      </c>
      <c r="CG85" s="44" t="s">
        <v>97</v>
      </c>
      <c r="CH85" s="44">
        <v>1</v>
      </c>
      <c r="CI85" s="44" t="s">
        <v>436</v>
      </c>
      <c r="CJ85" s="44" t="s">
        <v>98</v>
      </c>
      <c r="CK85" s="44">
        <v>18</v>
      </c>
      <c r="CL85" s="44">
        <v>0</v>
      </c>
      <c r="CM85" s="44">
        <v>0</v>
      </c>
      <c r="CN85" s="44" t="s">
        <v>99</v>
      </c>
      <c r="CO85" s="44" t="s">
        <v>97</v>
      </c>
      <c r="CP85" s="44" t="s">
        <v>100</v>
      </c>
      <c r="CQ85" s="44" t="s">
        <v>126</v>
      </c>
      <c r="CR85" s="45">
        <v>46216</v>
      </c>
      <c r="CT85" s="44" t="s">
        <v>438</v>
      </c>
    </row>
    <row r="86" spans="1:98" s="44" customFormat="1" x14ac:dyDescent="0.35">
      <c r="A86" s="43" t="s">
        <v>425</v>
      </c>
      <c r="B86" s="43" t="s">
        <v>444</v>
      </c>
      <c r="C86" s="44" t="s">
        <v>387</v>
      </c>
      <c r="D86" s="44">
        <v>2019</v>
      </c>
      <c r="E86" s="43" t="s">
        <v>426</v>
      </c>
      <c r="F86" s="43" t="s">
        <v>427</v>
      </c>
      <c r="G86" s="44" t="s">
        <v>78</v>
      </c>
      <c r="H86" s="44">
        <v>1</v>
      </c>
      <c r="I86" s="44" t="s">
        <v>290</v>
      </c>
      <c r="J86" s="44" t="s">
        <v>79</v>
      </c>
      <c r="K86" s="44">
        <v>864</v>
      </c>
      <c r="L86" s="44" t="s">
        <v>104</v>
      </c>
      <c r="M86" s="44" t="s">
        <v>380</v>
      </c>
      <c r="N86" s="44">
        <v>-2.5000000000000001E-3</v>
      </c>
      <c r="O86" s="44">
        <v>1E-3</v>
      </c>
      <c r="P86" s="91">
        <f t="shared" si="18"/>
        <v>-2.5</v>
      </c>
      <c r="Q86" s="44" t="s">
        <v>312</v>
      </c>
      <c r="R86" s="91">
        <f t="shared" si="19"/>
        <v>-4.4600000000000004E-3</v>
      </c>
      <c r="S86" s="91">
        <f t="shared" si="20"/>
        <v>-5.4000000000000012E-4</v>
      </c>
      <c r="T86" s="44">
        <v>1</v>
      </c>
      <c r="U86" s="44">
        <v>359013</v>
      </c>
      <c r="V86" s="44">
        <v>3</v>
      </c>
      <c r="W86" s="44">
        <v>1</v>
      </c>
      <c r="X86" s="44">
        <f t="shared" si="21"/>
        <v>359010</v>
      </c>
      <c r="Y86" s="91">
        <f t="shared" si="22"/>
        <v>-4.1723713586653199E-3</v>
      </c>
      <c r="Z86" s="91">
        <f t="shared" si="23"/>
        <v>1.6689485434661282E-3</v>
      </c>
      <c r="AA86" s="91">
        <f t="shared" si="24"/>
        <v>-4.1723713586653199E-3</v>
      </c>
      <c r="AB86" s="44" t="s">
        <v>81</v>
      </c>
      <c r="AC86" s="91">
        <f t="shared" si="31"/>
        <v>-1.6425000000000002E-2</v>
      </c>
      <c r="AD86" s="91" cm="1">
        <f t="array" ref="AD86">_xlfn.IFS(
AND(L86="marginal_effect",M86="level"),N86*AN86/BF86,
AND(L86="marginal_effect",M86="sd (Y)"),N86*BH86*AN86/BF86,
AND(L86="marginal_effect",M86="sd (X)"),N86/AQ86*AN86/BF86,
AND(L86="semi_elasticity",M86="level"),N86*AN86,
AND(L86="semi_elasticity",M86="sd (Y)"),N86*AN86*BH86,
AND(L86="semi_elasticity",M86="sd (X)"),N86*AN86/AQ86,
AND(L86="level-log",M86="level"),N86/BF86,
AND(L86="level-log",M86="sd (X)"),N86/BF86/AQ86,
AND(L86="level-log",M86="sd (Y)"),N86/BF86*BH86,
AND(L86="elasticity",M86="level"),N86,
AND(L86="elasticity",M86="sd (X)"),N86/AQ86,
AND(L86="elasticity",M86="sd (Y)"),N86*BH86,
AND(L86="marginal_effect",M86="percent_of_mean"),N86*AN86/BF86/10)</f>
        <v>-1.6425000000000002E-2</v>
      </c>
      <c r="AE86" s="50">
        <f t="shared" si="25"/>
        <v>1</v>
      </c>
      <c r="AF86" s="91">
        <f t="shared" si="32"/>
        <v>6.5700000000000003E-3</v>
      </c>
      <c r="AG86" s="91" cm="1">
        <f t="array" ref="AG86">_xlfn.IFS(
AND(L86="marginal_effect",M86="level"),O86*AN86/BF86,
AND(L86="marginal_effect",M86="sd (Y)"),O86*BH86*AN86/BF86,
AND(L86="marginal_effect",M86="sd (X)"),O86/AQ86*AN86/BF86,
AND(L86="semi_elasticity",M86="level"),O86*AN86,
AND(L86="semi_elasticity",M86="sd (Y)"),O86*AN86*BH86,
AND(L86="semi_elasticity",M86="sd (X)"),O86*AN86/AQ86,
AND(L86="level-log",M86="level"),O86/BF86,
AND(L86="level-log",M86="sd (X)"),O86/BF86/AQ86,
AND(L86="level-log",M86="sd (Y)"),O86/BF86*BH86,
AND(L86="elasticity",M86="level"),O86,
AND(L86="elasticity",M86="sd (X)"),O86/AQ86,
AND(L86="elasticity",M86="sd (Y)"),O86*BH86,
AND(L86="marginal_effect",M86="percent_of_mean"),O86*AN86/BF86/10)</f>
        <v>6.5700000000000003E-3</v>
      </c>
      <c r="AH86" s="50">
        <f t="shared" si="26"/>
        <v>1</v>
      </c>
      <c r="AI86" s="91">
        <f t="shared" si="27"/>
        <v>-1.6425000000000002E-2</v>
      </c>
      <c r="AJ86" s="50">
        <v>0</v>
      </c>
      <c r="AK86" s="50">
        <f t="shared" si="28"/>
        <v>1</v>
      </c>
      <c r="AL86" s="44" t="s">
        <v>431</v>
      </c>
      <c r="AM86" s="44" t="s">
        <v>441</v>
      </c>
      <c r="AN86" s="44">
        <v>6.57</v>
      </c>
      <c r="AO86" s="44">
        <v>0</v>
      </c>
      <c r="AP86" s="44">
        <f t="shared" si="33"/>
        <v>65.7</v>
      </c>
      <c r="AQ86" s="44">
        <v>41.4</v>
      </c>
      <c r="AR86" s="44" t="s">
        <v>312</v>
      </c>
      <c r="AS86" s="44" t="s">
        <v>312</v>
      </c>
      <c r="AT86" s="44" t="s">
        <v>83</v>
      </c>
      <c r="AU86" s="44" t="s">
        <v>109</v>
      </c>
      <c r="AV86" s="44" t="s">
        <v>133</v>
      </c>
      <c r="AW86" s="44" t="s">
        <v>85</v>
      </c>
      <c r="AX86" s="44" t="s">
        <v>86</v>
      </c>
      <c r="AY86" s="44">
        <v>0</v>
      </c>
      <c r="AZ86" s="44">
        <v>0</v>
      </c>
      <c r="BA86" s="44" t="s">
        <v>87</v>
      </c>
      <c r="BB86" s="44" t="s">
        <v>88</v>
      </c>
      <c r="BC86" s="44" t="s">
        <v>113</v>
      </c>
      <c r="BD86" s="44" t="s">
        <v>433</v>
      </c>
      <c r="BE86" s="44" t="s">
        <v>447</v>
      </c>
      <c r="BF86" s="44">
        <v>413.3</v>
      </c>
      <c r="BG86" s="44">
        <v>0</v>
      </c>
      <c r="BH86" s="44">
        <v>167.7</v>
      </c>
      <c r="BI86" s="44" t="s">
        <v>312</v>
      </c>
      <c r="BJ86" s="44" t="s">
        <v>312</v>
      </c>
      <c r="BK86" s="44" t="s">
        <v>91</v>
      </c>
      <c r="BL86" s="44" t="s">
        <v>84</v>
      </c>
      <c r="BM86" s="44">
        <v>1</v>
      </c>
      <c r="BN86" s="44" t="s">
        <v>428</v>
      </c>
      <c r="BO86" s="44" t="s">
        <v>429</v>
      </c>
      <c r="BP86" s="44" t="s">
        <v>430</v>
      </c>
      <c r="BQ86" s="44" t="s">
        <v>117</v>
      </c>
      <c r="BR86" s="44" t="s">
        <v>93</v>
      </c>
      <c r="BS86" s="44" t="s">
        <v>312</v>
      </c>
      <c r="BT86" s="44" t="s">
        <v>312</v>
      </c>
      <c r="BU86" s="45">
        <v>40179</v>
      </c>
      <c r="BV86" s="45">
        <v>41252</v>
      </c>
      <c r="BW86" s="44" t="s">
        <v>432</v>
      </c>
      <c r="BX86" s="44" t="s">
        <v>95</v>
      </c>
      <c r="BY86" s="44" t="s">
        <v>96</v>
      </c>
      <c r="BZ86" s="44">
        <v>0</v>
      </c>
      <c r="CA86" s="44">
        <v>0</v>
      </c>
      <c r="CB86" s="44" t="s">
        <v>97</v>
      </c>
      <c r="CC86" s="44" t="s">
        <v>313</v>
      </c>
      <c r="CD86" s="44">
        <v>1</v>
      </c>
      <c r="CE86" s="44" t="s">
        <v>435</v>
      </c>
      <c r="CF86" s="44">
        <v>0</v>
      </c>
      <c r="CG86" s="44" t="s">
        <v>97</v>
      </c>
      <c r="CH86" s="44">
        <v>1</v>
      </c>
      <c r="CI86" s="44" t="s">
        <v>436</v>
      </c>
      <c r="CJ86" s="44" t="s">
        <v>98</v>
      </c>
      <c r="CK86" s="44">
        <v>18</v>
      </c>
      <c r="CL86" s="44">
        <v>0</v>
      </c>
      <c r="CM86" s="44">
        <v>1</v>
      </c>
      <c r="CN86" s="44" t="s">
        <v>99</v>
      </c>
      <c r="CO86" s="44" t="s">
        <v>97</v>
      </c>
      <c r="CP86" s="44" t="s">
        <v>100</v>
      </c>
      <c r="CQ86" s="44" t="s">
        <v>126</v>
      </c>
      <c r="CR86" s="45">
        <v>46216</v>
      </c>
      <c r="CT86" s="44" t="s">
        <v>439</v>
      </c>
    </row>
    <row r="87" spans="1:98" s="44" customFormat="1" x14ac:dyDescent="0.35">
      <c r="A87" s="43" t="s">
        <v>425</v>
      </c>
      <c r="B87" s="43" t="s">
        <v>445</v>
      </c>
      <c r="C87" s="44" t="s">
        <v>387</v>
      </c>
      <c r="D87" s="44">
        <v>2019</v>
      </c>
      <c r="E87" s="43" t="s">
        <v>426</v>
      </c>
      <c r="F87" s="43" t="s">
        <v>427</v>
      </c>
      <c r="G87" s="44" t="s">
        <v>78</v>
      </c>
      <c r="H87" s="44">
        <v>1</v>
      </c>
      <c r="I87" s="44" t="s">
        <v>290</v>
      </c>
      <c r="J87" s="44" t="s">
        <v>79</v>
      </c>
      <c r="K87" s="44">
        <v>864</v>
      </c>
      <c r="L87" s="44" t="s">
        <v>104</v>
      </c>
      <c r="M87" s="44" t="s">
        <v>380</v>
      </c>
      <c r="N87" s="44">
        <v>-2.0999999999999999E-3</v>
      </c>
      <c r="O87" s="44">
        <v>8.9999999999999998E-4</v>
      </c>
      <c r="P87" s="91">
        <f t="shared" si="18"/>
        <v>-2.333333333333333</v>
      </c>
      <c r="Q87" s="44" t="s">
        <v>312</v>
      </c>
      <c r="R87" s="91">
        <f t="shared" si="19"/>
        <v>-3.8639999999999998E-3</v>
      </c>
      <c r="S87" s="91">
        <f t="shared" si="20"/>
        <v>-3.3599999999999993E-4</v>
      </c>
      <c r="T87" s="44">
        <v>1</v>
      </c>
      <c r="U87" s="44">
        <v>359013</v>
      </c>
      <c r="V87" s="44">
        <v>3</v>
      </c>
      <c r="W87" s="44">
        <v>1</v>
      </c>
      <c r="X87" s="44">
        <f t="shared" si="21"/>
        <v>359010</v>
      </c>
      <c r="Y87" s="91">
        <f t="shared" si="22"/>
        <v>-3.8942176369851562E-3</v>
      </c>
      <c r="Z87" s="91">
        <f t="shared" si="23"/>
        <v>1.6689504158507815E-3</v>
      </c>
      <c r="AA87" s="91">
        <f t="shared" si="24"/>
        <v>-3.8942176369851562E-3</v>
      </c>
      <c r="AB87" s="44" t="s">
        <v>81</v>
      </c>
      <c r="AC87" s="91">
        <f t="shared" si="31"/>
        <v>-1.3797E-2</v>
      </c>
      <c r="AD87" s="91" cm="1">
        <f t="array" ref="AD87">_xlfn.IFS(
AND(L87="marginal_effect",M87="level"),N87*AN87/BF87,
AND(L87="marginal_effect",M87="sd (Y)"),N87*BH87*AN87/BF87,
AND(L87="marginal_effect",M87="sd (X)"),N87/AQ87*AN87/BF87,
AND(L87="semi_elasticity",M87="level"),N87*AN87,
AND(L87="semi_elasticity",M87="sd (Y)"),N87*AN87*BH87,
AND(L87="semi_elasticity",M87="sd (X)"),N87*AN87/AQ87,
AND(L87="level-log",M87="level"),N87/BF87,
AND(L87="level-log",M87="sd (X)"),N87/BF87/AQ87,
AND(L87="level-log",M87="sd (Y)"),N87/BF87*BH87,
AND(L87="elasticity",M87="level"),N87,
AND(L87="elasticity",M87="sd (X)"),N87/AQ87,
AND(L87="elasticity",M87="sd (Y)"),N87*BH87,
AND(L87="marginal_effect",M87="percent_of_mean"),N87*AN87/BF87/10)</f>
        <v>-1.3797E-2</v>
      </c>
      <c r="AE87" s="50">
        <f t="shared" si="25"/>
        <v>1</v>
      </c>
      <c r="AF87" s="91">
        <f t="shared" si="32"/>
        <v>5.9129999999999999E-3</v>
      </c>
      <c r="AG87" s="91" cm="1">
        <f t="array" ref="AG87">_xlfn.IFS(
AND(L87="marginal_effect",M87="level"),O87*AN87/BF87,
AND(L87="marginal_effect",M87="sd (Y)"),O87*BH87*AN87/BF87,
AND(L87="marginal_effect",M87="sd (X)"),O87/AQ87*AN87/BF87,
AND(L87="semi_elasticity",M87="level"),O87*AN87,
AND(L87="semi_elasticity",M87="sd (Y)"),O87*AN87*BH87,
AND(L87="semi_elasticity",M87="sd (X)"),O87*AN87/AQ87,
AND(L87="level-log",M87="level"),O87/BF87,
AND(L87="level-log",M87="sd (X)"),O87/BF87/AQ87,
AND(L87="level-log",M87="sd (Y)"),O87/BF87*BH87,
AND(L87="elasticity",M87="level"),O87,
AND(L87="elasticity",M87="sd (X)"),O87/AQ87,
AND(L87="elasticity",M87="sd (Y)"),O87*BH87,
AND(L87="marginal_effect",M87="percent_of_mean"),O87*AN87/BF87/10)</f>
        <v>5.9129999999999999E-3</v>
      </c>
      <c r="AH87" s="50">
        <f t="shared" si="26"/>
        <v>1</v>
      </c>
      <c r="AI87" s="91">
        <f t="shared" si="27"/>
        <v>-1.3797E-2</v>
      </c>
      <c r="AJ87" s="50">
        <v>0</v>
      </c>
      <c r="AK87" s="50">
        <f t="shared" si="28"/>
        <v>1</v>
      </c>
      <c r="AL87" s="44" t="s">
        <v>431</v>
      </c>
      <c r="AM87" s="44" t="s">
        <v>441</v>
      </c>
      <c r="AN87" s="44">
        <v>6.57</v>
      </c>
      <c r="AO87" s="44">
        <v>0</v>
      </c>
      <c r="AP87" s="44">
        <f t="shared" si="33"/>
        <v>65.7</v>
      </c>
      <c r="AQ87" s="44">
        <v>41.4</v>
      </c>
      <c r="AR87" s="44" t="s">
        <v>312</v>
      </c>
      <c r="AS87" s="44" t="s">
        <v>312</v>
      </c>
      <c r="AT87" s="44" t="s">
        <v>83</v>
      </c>
      <c r="AU87" s="44" t="s">
        <v>109</v>
      </c>
      <c r="AV87" s="44" t="s">
        <v>133</v>
      </c>
      <c r="AW87" s="44" t="s">
        <v>85</v>
      </c>
      <c r="AX87" s="44" t="s">
        <v>86</v>
      </c>
      <c r="AY87" s="44">
        <v>0</v>
      </c>
      <c r="AZ87" s="44">
        <v>0</v>
      </c>
      <c r="BA87" s="44" t="s">
        <v>87</v>
      </c>
      <c r="BB87" s="44" t="s">
        <v>88</v>
      </c>
      <c r="BC87" s="44" t="s">
        <v>113</v>
      </c>
      <c r="BD87" s="44" t="s">
        <v>433</v>
      </c>
      <c r="BE87" s="44" t="s">
        <v>447</v>
      </c>
      <c r="BF87" s="44">
        <v>413.3</v>
      </c>
      <c r="BG87" s="44">
        <v>0</v>
      </c>
      <c r="BH87" s="44">
        <v>167.7</v>
      </c>
      <c r="BI87" s="44" t="s">
        <v>312</v>
      </c>
      <c r="BJ87" s="44" t="s">
        <v>312</v>
      </c>
      <c r="BK87" s="44" t="s">
        <v>91</v>
      </c>
      <c r="BL87" s="44" t="s">
        <v>84</v>
      </c>
      <c r="BM87" s="44">
        <v>1</v>
      </c>
      <c r="BN87" s="44" t="s">
        <v>428</v>
      </c>
      <c r="BO87" s="44" t="s">
        <v>429</v>
      </c>
      <c r="BP87" s="44" t="s">
        <v>430</v>
      </c>
      <c r="BQ87" s="44" t="s">
        <v>117</v>
      </c>
      <c r="BR87" s="44" t="s">
        <v>93</v>
      </c>
      <c r="BS87" s="44" t="s">
        <v>312</v>
      </c>
      <c r="BT87" s="44" t="s">
        <v>312</v>
      </c>
      <c r="BU87" s="45">
        <v>40179</v>
      </c>
      <c r="BV87" s="45">
        <v>41252</v>
      </c>
      <c r="BW87" s="44" t="s">
        <v>432</v>
      </c>
      <c r="BX87" s="44" t="s">
        <v>95</v>
      </c>
      <c r="BY87" s="44" t="s">
        <v>96</v>
      </c>
      <c r="BZ87" s="44">
        <v>0</v>
      </c>
      <c r="CA87" s="44">
        <v>0</v>
      </c>
      <c r="CB87" s="44" t="s">
        <v>97</v>
      </c>
      <c r="CC87" s="44" t="s">
        <v>314</v>
      </c>
      <c r="CD87" s="44">
        <v>1</v>
      </c>
      <c r="CE87" s="44" t="s">
        <v>435</v>
      </c>
      <c r="CF87" s="44">
        <v>0</v>
      </c>
      <c r="CG87" s="44" t="s">
        <v>97</v>
      </c>
      <c r="CH87" s="44">
        <v>1</v>
      </c>
      <c r="CI87" s="44" t="s">
        <v>436</v>
      </c>
      <c r="CJ87" s="44" t="s">
        <v>98</v>
      </c>
      <c r="CK87" s="44">
        <v>18</v>
      </c>
      <c r="CL87" s="44">
        <v>0</v>
      </c>
      <c r="CM87" s="44">
        <v>0</v>
      </c>
      <c r="CN87" s="44" t="s">
        <v>99</v>
      </c>
      <c r="CO87" s="44" t="s">
        <v>97</v>
      </c>
      <c r="CP87" s="44" t="s">
        <v>100</v>
      </c>
      <c r="CQ87" s="44" t="s">
        <v>126</v>
      </c>
      <c r="CR87" s="45">
        <v>46216</v>
      </c>
      <c r="CT87" s="44" t="s">
        <v>440</v>
      </c>
    </row>
    <row r="88" spans="1:98" s="44" customFormat="1" x14ac:dyDescent="0.35">
      <c r="A88" s="43" t="s">
        <v>425</v>
      </c>
      <c r="B88" s="43" t="s">
        <v>453</v>
      </c>
      <c r="C88" s="44" t="s">
        <v>387</v>
      </c>
      <c r="D88" s="44">
        <v>2019</v>
      </c>
      <c r="E88" s="43" t="s">
        <v>426</v>
      </c>
      <c r="F88" s="43" t="s">
        <v>427</v>
      </c>
      <c r="G88" s="44" t="s">
        <v>78</v>
      </c>
      <c r="H88" s="44">
        <v>1</v>
      </c>
      <c r="I88" s="44" t="s">
        <v>290</v>
      </c>
      <c r="J88" s="44" t="s">
        <v>79</v>
      </c>
      <c r="K88" s="44">
        <v>864</v>
      </c>
      <c r="L88" s="44" t="s">
        <v>104</v>
      </c>
      <c r="M88" s="44" t="s">
        <v>380</v>
      </c>
      <c r="N88" s="44">
        <v>-3.5999999999999999E-3</v>
      </c>
      <c r="O88" s="44">
        <v>1.5E-3</v>
      </c>
      <c r="P88" s="91">
        <f t="shared" si="18"/>
        <v>-2.4</v>
      </c>
      <c r="Q88" s="44" t="s">
        <v>312</v>
      </c>
      <c r="R88" s="91">
        <f t="shared" si="19"/>
        <v>-6.5399999999999998E-3</v>
      </c>
      <c r="S88" s="91">
        <f t="shared" si="20"/>
        <v>-6.6E-4</v>
      </c>
      <c r="T88" s="44">
        <v>1</v>
      </c>
      <c r="U88" s="44">
        <v>359013</v>
      </c>
      <c r="V88" s="44">
        <v>3</v>
      </c>
      <c r="W88" s="44">
        <v>1</v>
      </c>
      <c r="X88" s="44">
        <f t="shared" si="21"/>
        <v>359010</v>
      </c>
      <c r="Y88" s="91">
        <f t="shared" si="22"/>
        <v>-4.0054792377402391E-3</v>
      </c>
      <c r="Z88" s="91">
        <f t="shared" si="23"/>
        <v>1.6689496823917664E-3</v>
      </c>
      <c r="AA88" s="91">
        <f t="shared" si="24"/>
        <v>-4.0054792377402391E-3</v>
      </c>
      <c r="AB88" s="44" t="s">
        <v>81</v>
      </c>
      <c r="AC88" s="91">
        <f t="shared" si="31"/>
        <v>-2.3651999999999999E-2</v>
      </c>
      <c r="AD88" s="91" cm="1">
        <f t="array" ref="AD88">_xlfn.IFS(
AND(L88="marginal_effect",M88="level"),N88*AN88/BF88,
AND(L88="marginal_effect",M88="sd (Y)"),N88*BH88*AN88/BF88,
AND(L88="marginal_effect",M88="sd (X)"),N88/AQ88*AN88/BF88,
AND(L88="semi_elasticity",M88="level"),N88*AN88,
AND(L88="semi_elasticity",M88="sd (Y)"),N88*AN88*BH88,
AND(L88="semi_elasticity",M88="sd (X)"),N88*AN88/AQ88,
AND(L88="level-log",M88="level"),N88/BF88,
AND(L88="level-log",M88="sd (X)"),N88/BF88/AQ88,
AND(L88="level-log",M88="sd (Y)"),N88/BF88*BH88,
AND(L88="elasticity",M88="level"),N88,
AND(L88="elasticity",M88="sd (X)"),N88/AQ88,
AND(L88="elasticity",M88="sd (Y)"),N88*BH88,
AND(L88="marginal_effect",M88="percent_of_mean"),N88*AN88/BF88/10)</f>
        <v>-2.3651999999999999E-2</v>
      </c>
      <c r="AE88" s="50">
        <f t="shared" si="25"/>
        <v>1</v>
      </c>
      <c r="AF88" s="91">
        <f t="shared" si="32"/>
        <v>9.8550000000000009E-3</v>
      </c>
      <c r="AG88" s="91" cm="1">
        <f t="array" ref="AG88">_xlfn.IFS(
AND(L88="marginal_effect",M88="level"),O88*AN88/BF88,
AND(L88="marginal_effect",M88="sd (Y)"),O88*BH88*AN88/BF88,
AND(L88="marginal_effect",M88="sd (X)"),O88/AQ88*AN88/BF88,
AND(L88="semi_elasticity",M88="level"),O88*AN88,
AND(L88="semi_elasticity",M88="sd (Y)"),O88*AN88*BH88,
AND(L88="semi_elasticity",M88="sd (X)"),O88*AN88/AQ88,
AND(L88="level-log",M88="level"),O88/BF88,
AND(L88="level-log",M88="sd (X)"),O88/BF88/AQ88,
AND(L88="level-log",M88="sd (Y)"),O88/BF88*BH88,
AND(L88="elasticity",M88="level"),O88,
AND(L88="elasticity",M88="sd (X)"),O88/AQ88,
AND(L88="elasticity",M88="sd (Y)"),O88*BH88,
AND(L88="marginal_effect",M88="percent_of_mean"),O88*AN88/BF88/10)</f>
        <v>9.8550000000000009E-3</v>
      </c>
      <c r="AH88" s="50">
        <f t="shared" si="26"/>
        <v>1</v>
      </c>
      <c r="AI88" s="91">
        <f t="shared" si="27"/>
        <v>-2.3651999999999999E-2</v>
      </c>
      <c r="AJ88" s="50">
        <v>0</v>
      </c>
      <c r="AK88" s="50">
        <f t="shared" si="28"/>
        <v>1</v>
      </c>
      <c r="AL88" s="44" t="s">
        <v>431</v>
      </c>
      <c r="AM88" s="44" t="s">
        <v>441</v>
      </c>
      <c r="AN88" s="44">
        <v>6.57</v>
      </c>
      <c r="AO88" s="44">
        <v>0</v>
      </c>
      <c r="AP88" s="44">
        <f t="shared" si="33"/>
        <v>65.7</v>
      </c>
      <c r="AQ88" s="44">
        <v>41.4</v>
      </c>
      <c r="AR88" s="44" t="s">
        <v>312</v>
      </c>
      <c r="AS88" s="44" t="s">
        <v>312</v>
      </c>
      <c r="AT88" s="44" t="s">
        <v>83</v>
      </c>
      <c r="AU88" s="44" t="s">
        <v>109</v>
      </c>
      <c r="AV88" s="44" t="s">
        <v>133</v>
      </c>
      <c r="AW88" s="44" t="s">
        <v>85</v>
      </c>
      <c r="AX88" s="44" t="s">
        <v>86</v>
      </c>
      <c r="AY88" s="44">
        <v>0</v>
      </c>
      <c r="AZ88" s="44">
        <v>0</v>
      </c>
      <c r="BA88" s="44" t="s">
        <v>87</v>
      </c>
      <c r="BB88" s="44" t="s">
        <v>88</v>
      </c>
      <c r="BC88" s="44" t="s">
        <v>113</v>
      </c>
      <c r="BD88" s="44" t="s">
        <v>433</v>
      </c>
      <c r="BE88" s="44" t="s">
        <v>446</v>
      </c>
      <c r="BF88" s="44">
        <v>222.5</v>
      </c>
      <c r="BG88" s="44">
        <v>0</v>
      </c>
      <c r="BH88" s="44">
        <v>144.80000000000001</v>
      </c>
      <c r="BI88" s="44" t="s">
        <v>312</v>
      </c>
      <c r="BJ88" s="44" t="s">
        <v>312</v>
      </c>
      <c r="BK88" s="44" t="s">
        <v>91</v>
      </c>
      <c r="BL88" s="44" t="s">
        <v>84</v>
      </c>
      <c r="BM88" s="44">
        <v>1</v>
      </c>
      <c r="BN88" s="44" t="s">
        <v>428</v>
      </c>
      <c r="BO88" s="44" t="s">
        <v>429</v>
      </c>
      <c r="BP88" s="44" t="s">
        <v>430</v>
      </c>
      <c r="BQ88" s="44" t="s">
        <v>117</v>
      </c>
      <c r="BR88" s="44" t="s">
        <v>93</v>
      </c>
      <c r="BS88" s="44" t="s">
        <v>312</v>
      </c>
      <c r="BT88" s="44" t="s">
        <v>312</v>
      </c>
      <c r="BU88" s="45">
        <v>40179</v>
      </c>
      <c r="BV88" s="45">
        <v>41252</v>
      </c>
      <c r="BW88" s="44" t="s">
        <v>432</v>
      </c>
      <c r="BX88" s="44" t="s">
        <v>95</v>
      </c>
      <c r="BY88" s="44" t="s">
        <v>96</v>
      </c>
      <c r="BZ88" s="44">
        <v>0</v>
      </c>
      <c r="CA88" s="44">
        <v>0</v>
      </c>
      <c r="CB88" s="44" t="s">
        <v>97</v>
      </c>
      <c r="CC88" s="44" t="s">
        <v>313</v>
      </c>
      <c r="CD88" s="44">
        <v>1</v>
      </c>
      <c r="CE88" s="44" t="s">
        <v>435</v>
      </c>
      <c r="CF88" s="44">
        <v>0</v>
      </c>
      <c r="CG88" s="44" t="s">
        <v>97</v>
      </c>
      <c r="CH88" s="44">
        <v>1</v>
      </c>
      <c r="CI88" s="44" t="s">
        <v>436</v>
      </c>
      <c r="CJ88" s="44" t="s">
        <v>98</v>
      </c>
      <c r="CK88" s="44">
        <v>18</v>
      </c>
      <c r="CL88" s="44">
        <v>0</v>
      </c>
      <c r="CM88" s="44">
        <v>0</v>
      </c>
      <c r="CN88" s="44" t="s">
        <v>99</v>
      </c>
      <c r="CO88" s="44" t="s">
        <v>97</v>
      </c>
      <c r="CP88" s="44" t="s">
        <v>100</v>
      </c>
      <c r="CQ88" s="44" t="s">
        <v>126</v>
      </c>
      <c r="CR88" s="45">
        <v>46216</v>
      </c>
      <c r="CT88" s="44" t="s">
        <v>449</v>
      </c>
    </row>
    <row r="89" spans="1:98" s="44" customFormat="1" x14ac:dyDescent="0.35">
      <c r="A89" s="43" t="s">
        <v>425</v>
      </c>
      <c r="B89" s="43" t="s">
        <v>454</v>
      </c>
      <c r="C89" s="44" t="s">
        <v>387</v>
      </c>
      <c r="D89" s="44">
        <v>2019</v>
      </c>
      <c r="E89" s="43" t="s">
        <v>426</v>
      </c>
      <c r="F89" s="43" t="s">
        <v>427</v>
      </c>
      <c r="G89" s="44" t="s">
        <v>78</v>
      </c>
      <c r="H89" s="44">
        <v>1</v>
      </c>
      <c r="I89" s="44" t="s">
        <v>290</v>
      </c>
      <c r="J89" s="44" t="s">
        <v>79</v>
      </c>
      <c r="K89" s="44">
        <v>864</v>
      </c>
      <c r="L89" s="44" t="s">
        <v>104</v>
      </c>
      <c r="M89" s="44" t="s">
        <v>380</v>
      </c>
      <c r="N89" s="44">
        <v>-2.8E-3</v>
      </c>
      <c r="O89" s="44">
        <v>1.2999999999999999E-3</v>
      </c>
      <c r="P89" s="91">
        <f t="shared" si="18"/>
        <v>-2.1538461538461537</v>
      </c>
      <c r="Q89" s="44" t="s">
        <v>312</v>
      </c>
      <c r="R89" s="91">
        <f t="shared" si="19"/>
        <v>-5.3480000000000003E-3</v>
      </c>
      <c r="S89" s="91">
        <f t="shared" si="20"/>
        <v>-2.5200000000000005E-4</v>
      </c>
      <c r="T89" s="44">
        <v>1</v>
      </c>
      <c r="U89" s="44">
        <v>359013</v>
      </c>
      <c r="V89" s="44">
        <v>3</v>
      </c>
      <c r="W89" s="44">
        <v>1</v>
      </c>
      <c r="X89" s="44">
        <f t="shared" si="21"/>
        <v>359010</v>
      </c>
      <c r="Y89" s="91">
        <f t="shared" si="22"/>
        <v>-3.5946664661593393E-3</v>
      </c>
      <c r="Z89" s="91">
        <f t="shared" si="23"/>
        <v>1.6689522878596931E-3</v>
      </c>
      <c r="AA89" s="91">
        <f t="shared" si="24"/>
        <v>-3.5946664661593393E-3</v>
      </c>
      <c r="AB89" s="44" t="s">
        <v>81</v>
      </c>
      <c r="AC89" s="91">
        <f t="shared" si="31"/>
        <v>-1.8395999999999999E-2</v>
      </c>
      <c r="AD89" s="91" cm="1">
        <f t="array" ref="AD89">_xlfn.IFS(
AND(L89="marginal_effect",M89="level"),N89*AN89/BF89,
AND(L89="marginal_effect",M89="sd (Y)"),N89*BH89*AN89/BF89,
AND(L89="marginal_effect",M89="sd (X)"),N89/AQ89*AN89/BF89,
AND(L89="semi_elasticity",M89="level"),N89*AN89,
AND(L89="semi_elasticity",M89="sd (Y)"),N89*AN89*BH89,
AND(L89="semi_elasticity",M89="sd (X)"),N89*AN89/AQ89,
AND(L89="level-log",M89="level"),N89/BF89,
AND(L89="level-log",M89="sd (X)"),N89/BF89/AQ89,
AND(L89="level-log",M89="sd (Y)"),N89/BF89*BH89,
AND(L89="elasticity",M89="level"),N89,
AND(L89="elasticity",M89="sd (X)"),N89/AQ89,
AND(L89="elasticity",M89="sd (Y)"),N89*BH89,
AND(L89="marginal_effect",M89="percent_of_mean"),N89*AN89/BF89/10)</f>
        <v>-1.8395999999999999E-2</v>
      </c>
      <c r="AE89" s="50">
        <f t="shared" si="25"/>
        <v>1</v>
      </c>
      <c r="AF89" s="91">
        <f t="shared" si="32"/>
        <v>8.541E-3</v>
      </c>
      <c r="AG89" s="91" cm="1">
        <f t="array" ref="AG89">_xlfn.IFS(
AND(L89="marginal_effect",M89="level"),O89*AN89/BF89,
AND(L89="marginal_effect",M89="sd (Y)"),O89*BH89*AN89/BF89,
AND(L89="marginal_effect",M89="sd (X)"),O89/AQ89*AN89/BF89,
AND(L89="semi_elasticity",M89="level"),O89*AN89,
AND(L89="semi_elasticity",M89="sd (Y)"),O89*AN89*BH89,
AND(L89="semi_elasticity",M89="sd (X)"),O89*AN89/AQ89,
AND(L89="level-log",M89="level"),O89/BF89,
AND(L89="level-log",M89="sd (X)"),O89/BF89/AQ89,
AND(L89="level-log",M89="sd (Y)"),O89/BF89*BH89,
AND(L89="elasticity",M89="level"),O89,
AND(L89="elasticity",M89="sd (X)"),O89/AQ89,
AND(L89="elasticity",M89="sd (Y)"),O89*BH89,
AND(L89="marginal_effect",M89="percent_of_mean"),O89*AN89/BF89/10)</f>
        <v>8.541E-3</v>
      </c>
      <c r="AH89" s="50">
        <f t="shared" si="26"/>
        <v>1</v>
      </c>
      <c r="AI89" s="91">
        <f t="shared" si="27"/>
        <v>-1.8395999999999999E-2</v>
      </c>
      <c r="AJ89" s="50">
        <v>0</v>
      </c>
      <c r="AK89" s="50">
        <f t="shared" si="28"/>
        <v>1</v>
      </c>
      <c r="AL89" s="44" t="s">
        <v>431</v>
      </c>
      <c r="AM89" s="44" t="s">
        <v>441</v>
      </c>
      <c r="AN89" s="44">
        <v>6.57</v>
      </c>
      <c r="AO89" s="44">
        <v>0</v>
      </c>
      <c r="AP89" s="44">
        <f t="shared" si="33"/>
        <v>65.7</v>
      </c>
      <c r="AQ89" s="44">
        <v>41.4</v>
      </c>
      <c r="AR89" s="44" t="s">
        <v>312</v>
      </c>
      <c r="AS89" s="44" t="s">
        <v>312</v>
      </c>
      <c r="AT89" s="44" t="s">
        <v>83</v>
      </c>
      <c r="AU89" s="44" t="s">
        <v>109</v>
      </c>
      <c r="AV89" s="44" t="s">
        <v>133</v>
      </c>
      <c r="AW89" s="44" t="s">
        <v>85</v>
      </c>
      <c r="AX89" s="44" t="s">
        <v>86</v>
      </c>
      <c r="AY89" s="44">
        <v>0</v>
      </c>
      <c r="AZ89" s="44">
        <v>0</v>
      </c>
      <c r="BA89" s="44" t="s">
        <v>87</v>
      </c>
      <c r="BB89" s="44" t="s">
        <v>88</v>
      </c>
      <c r="BC89" s="44" t="s">
        <v>113</v>
      </c>
      <c r="BD89" s="44" t="s">
        <v>433</v>
      </c>
      <c r="BE89" s="44" t="s">
        <v>446</v>
      </c>
      <c r="BF89" s="44">
        <v>222.5</v>
      </c>
      <c r="BG89" s="44">
        <v>0</v>
      </c>
      <c r="BH89" s="44">
        <v>144.80000000000001</v>
      </c>
      <c r="BI89" s="44" t="s">
        <v>312</v>
      </c>
      <c r="BJ89" s="44" t="s">
        <v>312</v>
      </c>
      <c r="BK89" s="44" t="s">
        <v>91</v>
      </c>
      <c r="BL89" s="44" t="s">
        <v>84</v>
      </c>
      <c r="BM89" s="44">
        <v>1</v>
      </c>
      <c r="BN89" s="44" t="s">
        <v>428</v>
      </c>
      <c r="BO89" s="44" t="s">
        <v>429</v>
      </c>
      <c r="BP89" s="44" t="s">
        <v>430</v>
      </c>
      <c r="BQ89" s="44" t="s">
        <v>117</v>
      </c>
      <c r="BR89" s="44" t="s">
        <v>93</v>
      </c>
      <c r="BS89" s="44" t="s">
        <v>312</v>
      </c>
      <c r="BT89" s="44" t="s">
        <v>312</v>
      </c>
      <c r="BU89" s="45">
        <v>40179</v>
      </c>
      <c r="BV89" s="45">
        <v>41252</v>
      </c>
      <c r="BW89" s="44" t="s">
        <v>432</v>
      </c>
      <c r="BX89" s="44" t="s">
        <v>95</v>
      </c>
      <c r="BY89" s="44" t="s">
        <v>96</v>
      </c>
      <c r="BZ89" s="44">
        <v>0</v>
      </c>
      <c r="CA89" s="44">
        <v>0</v>
      </c>
      <c r="CB89" s="44" t="s">
        <v>97</v>
      </c>
      <c r="CC89" s="44" t="s">
        <v>314</v>
      </c>
      <c r="CD89" s="44">
        <v>1</v>
      </c>
      <c r="CE89" s="44" t="s">
        <v>435</v>
      </c>
      <c r="CF89" s="44">
        <v>0</v>
      </c>
      <c r="CG89" s="44" t="s">
        <v>97</v>
      </c>
      <c r="CH89" s="44">
        <v>1</v>
      </c>
      <c r="CI89" s="44" t="s">
        <v>436</v>
      </c>
      <c r="CJ89" s="44" t="s">
        <v>98</v>
      </c>
      <c r="CK89" s="44">
        <v>18</v>
      </c>
      <c r="CL89" s="44">
        <v>0</v>
      </c>
      <c r="CM89" s="44">
        <v>0</v>
      </c>
      <c r="CN89" s="44" t="s">
        <v>99</v>
      </c>
      <c r="CO89" s="44" t="s">
        <v>97</v>
      </c>
      <c r="CP89" s="44" t="s">
        <v>100</v>
      </c>
      <c r="CQ89" s="44" t="s">
        <v>126</v>
      </c>
      <c r="CR89" s="45">
        <v>46216</v>
      </c>
      <c r="CT89" s="44" t="s">
        <v>450</v>
      </c>
    </row>
    <row r="90" spans="1:98" s="44" customFormat="1" x14ac:dyDescent="0.35">
      <c r="A90" s="43" t="s">
        <v>425</v>
      </c>
      <c r="B90" s="43" t="s">
        <v>455</v>
      </c>
      <c r="C90" s="44" t="s">
        <v>387</v>
      </c>
      <c r="D90" s="44">
        <v>2019</v>
      </c>
      <c r="E90" s="43" t="s">
        <v>426</v>
      </c>
      <c r="F90" s="43" t="s">
        <v>427</v>
      </c>
      <c r="G90" s="44" t="s">
        <v>78</v>
      </c>
      <c r="H90" s="44">
        <v>1</v>
      </c>
      <c r="I90" s="44" t="s">
        <v>290</v>
      </c>
      <c r="J90" s="44" t="s">
        <v>79</v>
      </c>
      <c r="K90" s="44">
        <v>864</v>
      </c>
      <c r="L90" s="44" t="s">
        <v>104</v>
      </c>
      <c r="M90" s="44" t="s">
        <v>380</v>
      </c>
      <c r="N90" s="44">
        <v>0</v>
      </c>
      <c r="O90" s="44">
        <v>5.9999999999999995E-4</v>
      </c>
      <c r="P90" s="91">
        <f t="shared" si="18"/>
        <v>0</v>
      </c>
      <c r="Q90" s="44" t="s">
        <v>312</v>
      </c>
      <c r="R90" s="91">
        <f t="shared" si="19"/>
        <v>-1.176E-3</v>
      </c>
      <c r="S90" s="91">
        <f t="shared" si="20"/>
        <v>1.176E-3</v>
      </c>
      <c r="T90" s="44">
        <v>1</v>
      </c>
      <c r="U90" s="44">
        <v>359013</v>
      </c>
      <c r="V90" s="44">
        <v>3</v>
      </c>
      <c r="W90" s="44">
        <v>1</v>
      </c>
      <c r="X90" s="44">
        <f t="shared" si="21"/>
        <v>359010</v>
      </c>
      <c r="Y90" s="91">
        <f t="shared" si="22"/>
        <v>0</v>
      </c>
      <c r="Z90" s="91">
        <f t="shared" si="23"/>
        <v>1.6689630707536676E-3</v>
      </c>
      <c r="AA90" s="91">
        <f t="shared" si="24"/>
        <v>0</v>
      </c>
      <c r="AB90" s="44" t="s">
        <v>81</v>
      </c>
      <c r="AC90" s="91">
        <f t="shared" si="31"/>
        <v>0</v>
      </c>
      <c r="AD90" s="91" cm="1">
        <f t="array" ref="AD90">_xlfn.IFS(
AND(L90="marginal_effect",M90="level"),N90*AN90/BF90,
AND(L90="marginal_effect",M90="sd (Y)"),N90*BH90*AN90/BF90,
AND(L90="marginal_effect",M90="sd (X)"),N90/AQ90*AN90/BF90,
AND(L90="semi_elasticity",M90="level"),N90*AN90,
AND(L90="semi_elasticity",M90="sd (Y)"),N90*AN90*BH90,
AND(L90="semi_elasticity",M90="sd (X)"),N90*AN90/AQ90,
AND(L90="level-log",M90="level"),N90/BF90,
AND(L90="level-log",M90="sd (X)"),N90/BF90/AQ90,
AND(L90="level-log",M90="sd (Y)"),N90/BF90*BH90,
AND(L90="elasticity",M90="level"),N90,
AND(L90="elasticity",M90="sd (X)"),N90/AQ90,
AND(L90="elasticity",M90="sd (Y)"),N90*BH90,
AND(L90="marginal_effect",M90="percent_of_mean"),N90*AN90/BF90/10)</f>
        <v>0</v>
      </c>
      <c r="AE90" s="50">
        <f t="shared" si="25"/>
        <v>1</v>
      </c>
      <c r="AF90" s="91">
        <f t="shared" si="32"/>
        <v>3.9420000000000002E-3</v>
      </c>
      <c r="AG90" s="91" cm="1">
        <f t="array" ref="AG90">_xlfn.IFS(
AND(L90="marginal_effect",M90="level"),O90*AN90/BF90,
AND(L90="marginal_effect",M90="sd (Y)"),O90*BH90*AN90/BF90,
AND(L90="marginal_effect",M90="sd (X)"),O90/AQ90*AN90/BF90,
AND(L90="semi_elasticity",M90="level"),O90*AN90,
AND(L90="semi_elasticity",M90="sd (Y)"),O90*AN90*BH90,
AND(L90="semi_elasticity",M90="sd (X)"),O90*AN90/AQ90,
AND(L90="level-log",M90="level"),O90/BF90,
AND(L90="level-log",M90="sd (X)"),O90/BF90/AQ90,
AND(L90="level-log",M90="sd (Y)"),O90/BF90*BH90,
AND(L90="elasticity",M90="level"),O90,
AND(L90="elasticity",M90="sd (X)"),O90/AQ90,
AND(L90="elasticity",M90="sd (Y)"),O90*BH90,
AND(L90="marginal_effect",M90="percent_of_mean"),O90*AN90/BF90/10)</f>
        <v>3.9420000000000002E-3</v>
      </c>
      <c r="AH90" s="50">
        <f t="shared" si="26"/>
        <v>1</v>
      </c>
      <c r="AI90" s="91">
        <f t="shared" si="27"/>
        <v>0</v>
      </c>
      <c r="AJ90" s="50">
        <v>0</v>
      </c>
      <c r="AK90" s="50">
        <f t="shared" si="28"/>
        <v>1</v>
      </c>
      <c r="AL90" s="44" t="s">
        <v>431</v>
      </c>
      <c r="AM90" s="44" t="s">
        <v>441</v>
      </c>
      <c r="AN90" s="44">
        <v>6.57</v>
      </c>
      <c r="AO90" s="44">
        <v>0</v>
      </c>
      <c r="AP90" s="44">
        <f t="shared" si="33"/>
        <v>65.7</v>
      </c>
      <c r="AQ90" s="44">
        <v>41.4</v>
      </c>
      <c r="AR90" s="44" t="s">
        <v>312</v>
      </c>
      <c r="AS90" s="44" t="s">
        <v>312</v>
      </c>
      <c r="AT90" s="44" t="s">
        <v>83</v>
      </c>
      <c r="AU90" s="44" t="s">
        <v>109</v>
      </c>
      <c r="AV90" s="44" t="s">
        <v>133</v>
      </c>
      <c r="AW90" s="44" t="s">
        <v>85</v>
      </c>
      <c r="AX90" s="44" t="s">
        <v>86</v>
      </c>
      <c r="AY90" s="44">
        <v>0</v>
      </c>
      <c r="AZ90" s="44">
        <v>0</v>
      </c>
      <c r="BA90" s="44" t="s">
        <v>87</v>
      </c>
      <c r="BB90" s="44" t="s">
        <v>88</v>
      </c>
      <c r="BC90" s="44" t="s">
        <v>113</v>
      </c>
      <c r="BD90" s="44" t="s">
        <v>433</v>
      </c>
      <c r="BE90" s="44" t="s">
        <v>448</v>
      </c>
      <c r="BF90" s="44">
        <v>3</v>
      </c>
      <c r="BG90" s="44">
        <v>0</v>
      </c>
      <c r="BH90" s="44">
        <v>1.2</v>
      </c>
      <c r="BI90" s="44" t="s">
        <v>312</v>
      </c>
      <c r="BJ90" s="44" t="s">
        <v>312</v>
      </c>
      <c r="BK90" s="44" t="s">
        <v>91</v>
      </c>
      <c r="BL90" s="44" t="s">
        <v>84</v>
      </c>
      <c r="BM90" s="44">
        <v>1</v>
      </c>
      <c r="BN90" s="44" t="s">
        <v>428</v>
      </c>
      <c r="BO90" s="44" t="s">
        <v>429</v>
      </c>
      <c r="BP90" s="44" t="s">
        <v>430</v>
      </c>
      <c r="BQ90" s="44" t="s">
        <v>117</v>
      </c>
      <c r="BR90" s="44" t="s">
        <v>93</v>
      </c>
      <c r="BS90" s="44" t="s">
        <v>312</v>
      </c>
      <c r="BT90" s="44" t="s">
        <v>312</v>
      </c>
      <c r="BU90" s="45">
        <v>40179</v>
      </c>
      <c r="BV90" s="45">
        <v>41252</v>
      </c>
      <c r="BW90" s="44" t="s">
        <v>432</v>
      </c>
      <c r="BX90" s="44" t="s">
        <v>95</v>
      </c>
      <c r="BY90" s="44" t="s">
        <v>96</v>
      </c>
      <c r="BZ90" s="44">
        <v>0</v>
      </c>
      <c r="CA90" s="44">
        <v>0</v>
      </c>
      <c r="CB90" s="44" t="s">
        <v>97</v>
      </c>
      <c r="CC90" s="44" t="s">
        <v>313</v>
      </c>
      <c r="CD90" s="44">
        <v>1</v>
      </c>
      <c r="CE90" s="44" t="s">
        <v>435</v>
      </c>
      <c r="CF90" s="44">
        <v>0</v>
      </c>
      <c r="CG90" s="44" t="s">
        <v>97</v>
      </c>
      <c r="CH90" s="44">
        <v>1</v>
      </c>
      <c r="CI90" s="44" t="s">
        <v>436</v>
      </c>
      <c r="CJ90" s="44" t="s">
        <v>98</v>
      </c>
      <c r="CK90" s="44">
        <v>18</v>
      </c>
      <c r="CL90" s="44">
        <v>0</v>
      </c>
      <c r="CM90" s="44">
        <v>0</v>
      </c>
      <c r="CN90" s="44" t="s">
        <v>99</v>
      </c>
      <c r="CO90" s="44" t="s">
        <v>97</v>
      </c>
      <c r="CP90" s="44" t="s">
        <v>100</v>
      </c>
      <c r="CQ90" s="44" t="s">
        <v>126</v>
      </c>
      <c r="CR90" s="45">
        <v>46216</v>
      </c>
      <c r="CT90" s="44" t="s">
        <v>451</v>
      </c>
    </row>
    <row r="91" spans="1:98" s="44" customFormat="1" x14ac:dyDescent="0.35">
      <c r="A91" s="43" t="s">
        <v>425</v>
      </c>
      <c r="B91" s="43" t="s">
        <v>456</v>
      </c>
      <c r="C91" s="44" t="s">
        <v>387</v>
      </c>
      <c r="D91" s="44">
        <v>2019</v>
      </c>
      <c r="E91" s="43" t="s">
        <v>426</v>
      </c>
      <c r="F91" s="43" t="s">
        <v>427</v>
      </c>
      <c r="G91" s="44" t="s">
        <v>78</v>
      </c>
      <c r="H91" s="44">
        <v>1</v>
      </c>
      <c r="I91" s="44" t="s">
        <v>290</v>
      </c>
      <c r="J91" s="44" t="s">
        <v>79</v>
      </c>
      <c r="K91" s="44">
        <v>864</v>
      </c>
      <c r="L91" s="44" t="s">
        <v>104</v>
      </c>
      <c r="M91" s="44" t="s">
        <v>380</v>
      </c>
      <c r="N91" s="44">
        <v>1E-4</v>
      </c>
      <c r="O91" s="44">
        <v>5.0000000000000001E-4</v>
      </c>
      <c r="P91" s="91">
        <f t="shared" si="18"/>
        <v>0.2</v>
      </c>
      <c r="Q91" s="44" t="s">
        <v>312</v>
      </c>
      <c r="R91" s="91">
        <f t="shared" si="19"/>
        <v>-8.7999999999999992E-4</v>
      </c>
      <c r="S91" s="91">
        <f t="shared" si="20"/>
        <v>1.08E-3</v>
      </c>
      <c r="T91" s="44">
        <v>1</v>
      </c>
      <c r="U91" s="44">
        <v>359013</v>
      </c>
      <c r="V91" s="44">
        <v>3</v>
      </c>
      <c r="W91" s="44">
        <v>1</v>
      </c>
      <c r="X91" s="44">
        <f t="shared" si="21"/>
        <v>359010</v>
      </c>
      <c r="Y91" s="91">
        <f t="shared" si="22"/>
        <v>3.337925955555643E-4</v>
      </c>
      <c r="Z91" s="91">
        <f t="shared" si="23"/>
        <v>1.6689629777778209E-3</v>
      </c>
      <c r="AA91" s="91">
        <f t="shared" si="24"/>
        <v>3.337925955555643E-4</v>
      </c>
      <c r="AB91" s="44" t="s">
        <v>81</v>
      </c>
      <c r="AC91" s="91">
        <f t="shared" si="31"/>
        <v>6.5700000000000003E-4</v>
      </c>
      <c r="AD91" s="91" cm="1">
        <f t="array" ref="AD91">_xlfn.IFS(
AND(L91="marginal_effect",M91="level"),N91*AN91/BF91,
AND(L91="marginal_effect",M91="sd (Y)"),N91*BH91*AN91/BF91,
AND(L91="marginal_effect",M91="sd (X)"),N91/AQ91*AN91/BF91,
AND(L91="semi_elasticity",M91="level"),N91*AN91,
AND(L91="semi_elasticity",M91="sd (Y)"),N91*AN91*BH91,
AND(L91="semi_elasticity",M91="sd (X)"),N91*AN91/AQ91,
AND(L91="level-log",M91="level"),N91/BF91,
AND(L91="level-log",M91="sd (X)"),N91/BF91/AQ91,
AND(L91="level-log",M91="sd (Y)"),N91/BF91*BH91,
AND(L91="elasticity",M91="level"),N91,
AND(L91="elasticity",M91="sd (X)"),N91/AQ91,
AND(L91="elasticity",M91="sd (Y)"),N91*BH91,
AND(L91="marginal_effect",M91="percent_of_mean"),N91*AN91/BF91/10)</f>
        <v>6.5700000000000003E-4</v>
      </c>
      <c r="AE91" s="50">
        <f t="shared" si="25"/>
        <v>1</v>
      </c>
      <c r="AF91" s="91">
        <f t="shared" si="32"/>
        <v>3.2850000000000002E-3</v>
      </c>
      <c r="AG91" s="91" cm="1">
        <f t="array" ref="AG91">_xlfn.IFS(
AND(L91="marginal_effect",M91="level"),O91*AN91/BF91,
AND(L91="marginal_effect",M91="sd (Y)"),O91*BH91*AN91/BF91,
AND(L91="marginal_effect",M91="sd (X)"),O91/AQ91*AN91/BF91,
AND(L91="semi_elasticity",M91="level"),O91*AN91,
AND(L91="semi_elasticity",M91="sd (Y)"),O91*AN91*BH91,
AND(L91="semi_elasticity",M91="sd (X)"),O91*AN91/AQ91,
AND(L91="level-log",M91="level"),O91/BF91,
AND(L91="level-log",M91="sd (X)"),O91/BF91/AQ91,
AND(L91="level-log",M91="sd (Y)"),O91/BF91*BH91,
AND(L91="elasticity",M91="level"),O91,
AND(L91="elasticity",M91="sd (X)"),O91/AQ91,
AND(L91="elasticity",M91="sd (Y)"),O91*BH91,
AND(L91="marginal_effect",M91="percent_of_mean"),O91*AN91/BF91/10)</f>
        <v>3.2850000000000002E-3</v>
      </c>
      <c r="AH91" s="50">
        <f t="shared" si="26"/>
        <v>1</v>
      </c>
      <c r="AI91" s="91">
        <f t="shared" si="27"/>
        <v>6.5700000000000003E-4</v>
      </c>
      <c r="AJ91" s="50">
        <v>0</v>
      </c>
      <c r="AK91" s="50">
        <f t="shared" si="28"/>
        <v>1</v>
      </c>
      <c r="AL91" s="44" t="s">
        <v>431</v>
      </c>
      <c r="AM91" s="44" t="s">
        <v>441</v>
      </c>
      <c r="AN91" s="44">
        <v>6.57</v>
      </c>
      <c r="AO91" s="44">
        <v>0</v>
      </c>
      <c r="AP91" s="44">
        <f t="shared" si="33"/>
        <v>65.7</v>
      </c>
      <c r="AQ91" s="44">
        <v>41.4</v>
      </c>
      <c r="AR91" s="44" t="s">
        <v>312</v>
      </c>
      <c r="AS91" s="44" t="s">
        <v>312</v>
      </c>
      <c r="AT91" s="44" t="s">
        <v>83</v>
      </c>
      <c r="AU91" s="44" t="s">
        <v>109</v>
      </c>
      <c r="AV91" s="44" t="s">
        <v>133</v>
      </c>
      <c r="AW91" s="44" t="s">
        <v>85</v>
      </c>
      <c r="AX91" s="44" t="s">
        <v>86</v>
      </c>
      <c r="AY91" s="44">
        <v>0</v>
      </c>
      <c r="AZ91" s="44">
        <v>0</v>
      </c>
      <c r="BA91" s="44" t="s">
        <v>87</v>
      </c>
      <c r="BB91" s="44" t="s">
        <v>88</v>
      </c>
      <c r="BC91" s="44" t="s">
        <v>113</v>
      </c>
      <c r="BD91" s="44" t="s">
        <v>433</v>
      </c>
      <c r="BE91" s="44" t="s">
        <v>448</v>
      </c>
      <c r="BF91" s="44">
        <v>3</v>
      </c>
      <c r="BG91" s="44">
        <v>0</v>
      </c>
      <c r="BH91" s="44">
        <v>1.2</v>
      </c>
      <c r="BI91" s="44" t="s">
        <v>312</v>
      </c>
      <c r="BJ91" s="44" t="s">
        <v>312</v>
      </c>
      <c r="BK91" s="44" t="s">
        <v>91</v>
      </c>
      <c r="BL91" s="44" t="s">
        <v>84</v>
      </c>
      <c r="BM91" s="44">
        <v>1</v>
      </c>
      <c r="BN91" s="44" t="s">
        <v>428</v>
      </c>
      <c r="BO91" s="44" t="s">
        <v>429</v>
      </c>
      <c r="BP91" s="44" t="s">
        <v>430</v>
      </c>
      <c r="BQ91" s="44" t="s">
        <v>117</v>
      </c>
      <c r="BR91" s="44" t="s">
        <v>93</v>
      </c>
      <c r="BS91" s="44" t="s">
        <v>312</v>
      </c>
      <c r="BT91" s="44" t="s">
        <v>312</v>
      </c>
      <c r="BU91" s="45">
        <v>40179</v>
      </c>
      <c r="BV91" s="45">
        <v>41252</v>
      </c>
      <c r="BW91" s="44" t="s">
        <v>432</v>
      </c>
      <c r="BX91" s="44" t="s">
        <v>95</v>
      </c>
      <c r="BY91" s="44" t="s">
        <v>96</v>
      </c>
      <c r="BZ91" s="44">
        <v>0</v>
      </c>
      <c r="CA91" s="44">
        <v>0</v>
      </c>
      <c r="CB91" s="44" t="s">
        <v>97</v>
      </c>
      <c r="CC91" s="44" t="s">
        <v>314</v>
      </c>
      <c r="CD91" s="44">
        <v>1</v>
      </c>
      <c r="CE91" s="44" t="s">
        <v>435</v>
      </c>
      <c r="CF91" s="44">
        <v>0</v>
      </c>
      <c r="CG91" s="44" t="s">
        <v>97</v>
      </c>
      <c r="CH91" s="44">
        <v>1</v>
      </c>
      <c r="CI91" s="44" t="s">
        <v>436</v>
      </c>
      <c r="CJ91" s="44" t="s">
        <v>98</v>
      </c>
      <c r="CK91" s="44">
        <v>18</v>
      </c>
      <c r="CL91" s="44">
        <v>0</v>
      </c>
      <c r="CM91" s="44">
        <v>0</v>
      </c>
      <c r="CN91" s="44" t="s">
        <v>99</v>
      </c>
      <c r="CO91" s="44" t="s">
        <v>97</v>
      </c>
      <c r="CP91" s="44" t="s">
        <v>100</v>
      </c>
      <c r="CQ91" s="44" t="s">
        <v>126</v>
      </c>
      <c r="CR91" s="45">
        <v>46216</v>
      </c>
      <c r="CT91" s="44" t="s">
        <v>452</v>
      </c>
    </row>
    <row r="92" spans="1:98" s="44" customFormat="1" x14ac:dyDescent="0.35">
      <c r="A92" s="43" t="s">
        <v>425</v>
      </c>
      <c r="B92" s="43" t="s">
        <v>458</v>
      </c>
      <c r="C92" s="44" t="s">
        <v>387</v>
      </c>
      <c r="D92" s="44">
        <v>2019</v>
      </c>
      <c r="E92" s="43" t="s">
        <v>426</v>
      </c>
      <c r="F92" s="43" t="s">
        <v>427</v>
      </c>
      <c r="G92" s="44" t="s">
        <v>78</v>
      </c>
      <c r="H92" s="44">
        <v>1</v>
      </c>
      <c r="I92" s="44" t="s">
        <v>290</v>
      </c>
      <c r="J92" s="44" t="s">
        <v>79</v>
      </c>
      <c r="K92" s="44">
        <v>864</v>
      </c>
      <c r="L92" s="44" t="s">
        <v>104</v>
      </c>
      <c r="M92" s="44" t="s">
        <v>380</v>
      </c>
      <c r="N92" s="44">
        <v>-2.5999999999999999E-3</v>
      </c>
      <c r="O92" s="44">
        <v>4.0000000000000002E-4</v>
      </c>
      <c r="P92" s="91">
        <f t="shared" si="18"/>
        <v>-6.4999999999999991</v>
      </c>
      <c r="Q92" s="44" t="s">
        <v>312</v>
      </c>
      <c r="R92" s="91">
        <f t="shared" si="19"/>
        <v>-3.3839999999999999E-3</v>
      </c>
      <c r="S92" s="91">
        <f t="shared" si="20"/>
        <v>-1.8159999999999999E-3</v>
      </c>
      <c r="T92" s="44">
        <v>1</v>
      </c>
      <c r="U92" s="44">
        <v>112678</v>
      </c>
      <c r="V92" s="44">
        <v>3</v>
      </c>
      <c r="W92" s="44">
        <v>1</v>
      </c>
      <c r="X92" s="44">
        <f t="shared" si="21"/>
        <v>112675</v>
      </c>
      <c r="Y92" s="91">
        <f t="shared" si="22"/>
        <v>-1.9360571114202904E-2</v>
      </c>
      <c r="Z92" s="91">
        <f t="shared" si="23"/>
        <v>2.9785494021850626E-3</v>
      </c>
      <c r="AA92" s="91">
        <f t="shared" si="24"/>
        <v>-1.9360571114202904E-2</v>
      </c>
      <c r="AB92" s="44" t="s">
        <v>81</v>
      </c>
      <c r="AC92" s="91">
        <f t="shared" si="31"/>
        <v>-1.7082E-2</v>
      </c>
      <c r="AD92" s="91" cm="1">
        <f t="array" ref="AD92">_xlfn.IFS(
AND(L92="marginal_effect",M92="level"),N92*AN92/BF92,
AND(L92="marginal_effect",M92="sd (Y)"),N92*BH92*AN92/BF92,
AND(L92="marginal_effect",M92="sd (X)"),N92/AQ92*AN92/BF92,
AND(L92="semi_elasticity",M92="level"),N92*AN92,
AND(L92="semi_elasticity",M92="sd (Y)"),N92*AN92*BH92,
AND(L92="semi_elasticity",M92="sd (X)"),N92*AN92/AQ92,
AND(L92="level-log",M92="level"),N92/BF92,
AND(L92="level-log",M92="sd (X)"),N92/BF92/AQ92,
AND(L92="level-log",M92="sd (Y)"),N92/BF92*BH92,
AND(L92="elasticity",M92="level"),N92,
AND(L92="elasticity",M92="sd (X)"),N92/AQ92,
AND(L92="elasticity",M92="sd (Y)"),N92*BH92,
AND(L92="marginal_effect",M92="percent_of_mean"),N92*AN92/BF92/10)</f>
        <v>-1.7082E-2</v>
      </c>
      <c r="AE92" s="50">
        <f t="shared" si="25"/>
        <v>1</v>
      </c>
      <c r="AF92" s="91">
        <f t="shared" si="32"/>
        <v>2.6280000000000001E-3</v>
      </c>
      <c r="AG92" s="91" cm="1">
        <f t="array" ref="AG92">_xlfn.IFS(
AND(L92="marginal_effect",M92="level"),O92*AN92/BF92,
AND(L92="marginal_effect",M92="sd (Y)"),O92*BH92*AN92/BF92,
AND(L92="marginal_effect",M92="sd (X)"),O92/AQ92*AN92/BF92,
AND(L92="semi_elasticity",M92="level"),O92*AN92,
AND(L92="semi_elasticity",M92="sd (Y)"),O92*AN92*BH92,
AND(L92="semi_elasticity",M92="sd (X)"),O92*AN92/AQ92,
AND(L92="level-log",M92="level"),O92/BF92,
AND(L92="level-log",M92="sd (X)"),O92/BF92/AQ92,
AND(L92="level-log",M92="sd (Y)"),O92/BF92*BH92,
AND(L92="elasticity",M92="level"),O92,
AND(L92="elasticity",M92="sd (X)"),O92/AQ92,
AND(L92="elasticity",M92="sd (Y)"),O92*BH92,
AND(L92="marginal_effect",M92="percent_of_mean"),O92*AN92/BF92/10)</f>
        <v>2.6280000000000001E-3</v>
      </c>
      <c r="AH92" s="50">
        <f t="shared" si="26"/>
        <v>1</v>
      </c>
      <c r="AI92" s="91">
        <f t="shared" si="27"/>
        <v>-1.7082E-2</v>
      </c>
      <c r="AJ92" s="50">
        <v>0</v>
      </c>
      <c r="AK92" s="50">
        <f t="shared" si="28"/>
        <v>1</v>
      </c>
      <c r="AL92" s="44" t="s">
        <v>431</v>
      </c>
      <c r="AM92" s="44" t="s">
        <v>441</v>
      </c>
      <c r="AN92" s="44">
        <v>6.57</v>
      </c>
      <c r="AO92" s="44">
        <v>0</v>
      </c>
      <c r="AP92" s="44">
        <f t="shared" si="33"/>
        <v>65.7</v>
      </c>
      <c r="AQ92" s="44">
        <v>44.7</v>
      </c>
      <c r="AR92" s="44" t="s">
        <v>312</v>
      </c>
      <c r="AS92" s="44" t="s">
        <v>312</v>
      </c>
      <c r="AT92" s="44" t="s">
        <v>83</v>
      </c>
      <c r="AU92" s="44" t="s">
        <v>109</v>
      </c>
      <c r="AV92" s="44" t="s">
        <v>133</v>
      </c>
      <c r="AW92" s="44" t="s">
        <v>85</v>
      </c>
      <c r="AX92" s="44" t="s">
        <v>86</v>
      </c>
      <c r="AY92" s="44">
        <v>0</v>
      </c>
      <c r="AZ92" s="44">
        <v>0</v>
      </c>
      <c r="BA92" s="44" t="s">
        <v>87</v>
      </c>
      <c r="BB92" s="44" t="s">
        <v>88</v>
      </c>
      <c r="BC92" s="44" t="s">
        <v>113</v>
      </c>
      <c r="BD92" s="44" t="s">
        <v>433</v>
      </c>
      <c r="BE92" s="44" t="s">
        <v>434</v>
      </c>
      <c r="BF92" s="44">
        <v>64.099999999999994</v>
      </c>
      <c r="BG92" s="44">
        <v>0</v>
      </c>
      <c r="BH92" s="44">
        <v>47</v>
      </c>
      <c r="BI92" s="44" t="s">
        <v>312</v>
      </c>
      <c r="BJ92" s="44" t="s">
        <v>312</v>
      </c>
      <c r="BK92" s="44" t="s">
        <v>91</v>
      </c>
      <c r="BL92" s="44" t="s">
        <v>84</v>
      </c>
      <c r="BM92" s="44">
        <v>1</v>
      </c>
      <c r="BN92" s="44" t="s">
        <v>428</v>
      </c>
      <c r="BO92" s="44" t="s">
        <v>429</v>
      </c>
      <c r="BP92" s="44" t="s">
        <v>430</v>
      </c>
      <c r="BQ92" s="44" t="s">
        <v>117</v>
      </c>
      <c r="BR92" s="44" t="s">
        <v>93</v>
      </c>
      <c r="BS92" s="44" t="s">
        <v>312</v>
      </c>
      <c r="BT92" s="44" t="s">
        <v>312</v>
      </c>
      <c r="BU92" s="45">
        <v>40179</v>
      </c>
      <c r="BV92" s="45">
        <v>41252</v>
      </c>
      <c r="BW92" s="44" t="s">
        <v>432</v>
      </c>
      <c r="BX92" s="44" t="s">
        <v>95</v>
      </c>
      <c r="BY92" s="44" t="s">
        <v>96</v>
      </c>
      <c r="BZ92" s="44">
        <v>0</v>
      </c>
      <c r="CA92" s="44">
        <v>0</v>
      </c>
      <c r="CB92" s="44" t="s">
        <v>97</v>
      </c>
      <c r="CC92" s="44" t="s">
        <v>313</v>
      </c>
      <c r="CD92" s="44">
        <v>1</v>
      </c>
      <c r="CE92" s="44" t="s">
        <v>435</v>
      </c>
      <c r="CF92" s="44">
        <v>0</v>
      </c>
      <c r="CG92" s="44" t="s">
        <v>97</v>
      </c>
      <c r="CH92" s="44">
        <v>1</v>
      </c>
      <c r="CI92" s="44" t="s">
        <v>436</v>
      </c>
      <c r="CJ92" s="44" t="s">
        <v>98</v>
      </c>
      <c r="CK92" s="44">
        <v>18</v>
      </c>
      <c r="CL92" s="44">
        <v>0</v>
      </c>
      <c r="CM92" s="44">
        <v>0</v>
      </c>
      <c r="CN92" s="44" t="s">
        <v>124</v>
      </c>
      <c r="CO92" s="44" t="s">
        <v>97</v>
      </c>
      <c r="CP92" s="44" t="s">
        <v>100</v>
      </c>
      <c r="CQ92" s="44" t="s">
        <v>126</v>
      </c>
      <c r="CR92" s="45">
        <v>46216</v>
      </c>
      <c r="CT92" s="44" t="s">
        <v>462</v>
      </c>
    </row>
    <row r="93" spans="1:98" s="44" customFormat="1" x14ac:dyDescent="0.35">
      <c r="A93" s="43" t="s">
        <v>425</v>
      </c>
      <c r="B93" s="43" t="s">
        <v>459</v>
      </c>
      <c r="C93" s="44" t="s">
        <v>387</v>
      </c>
      <c r="D93" s="44">
        <v>2019</v>
      </c>
      <c r="E93" s="43" t="s">
        <v>426</v>
      </c>
      <c r="F93" s="43" t="s">
        <v>427</v>
      </c>
      <c r="G93" s="44" t="s">
        <v>78</v>
      </c>
      <c r="H93" s="44">
        <v>1</v>
      </c>
      <c r="I93" s="44" t="s">
        <v>290</v>
      </c>
      <c r="J93" s="44" t="s">
        <v>79</v>
      </c>
      <c r="K93" s="44">
        <v>864</v>
      </c>
      <c r="L93" s="44" t="s">
        <v>104</v>
      </c>
      <c r="M93" s="44" t="s">
        <v>380</v>
      </c>
      <c r="N93" s="44">
        <v>-1E-3</v>
      </c>
      <c r="O93" s="44">
        <v>4.0000000000000002E-4</v>
      </c>
      <c r="P93" s="91">
        <f t="shared" si="18"/>
        <v>-2.5</v>
      </c>
      <c r="Q93" s="44" t="s">
        <v>312</v>
      </c>
      <c r="R93" s="91">
        <f t="shared" si="19"/>
        <v>-1.784E-3</v>
      </c>
      <c r="S93" s="91">
        <f t="shared" si="20"/>
        <v>-2.1600000000000005E-4</v>
      </c>
      <c r="T93" s="44">
        <v>1</v>
      </c>
      <c r="U93" s="44">
        <v>112678</v>
      </c>
      <c r="V93" s="44">
        <v>3</v>
      </c>
      <c r="W93" s="44">
        <v>1</v>
      </c>
      <c r="X93" s="44">
        <f t="shared" si="21"/>
        <v>112675</v>
      </c>
      <c r="Y93" s="91">
        <f t="shared" si="22"/>
        <v>-7.4475629138094582E-3</v>
      </c>
      <c r="Z93" s="91">
        <f t="shared" si="23"/>
        <v>2.9790251655237836E-3</v>
      </c>
      <c r="AA93" s="91">
        <f t="shared" si="24"/>
        <v>-7.4475629138094582E-3</v>
      </c>
      <c r="AB93" s="44" t="s">
        <v>81</v>
      </c>
      <c r="AC93" s="91">
        <f t="shared" si="31"/>
        <v>-6.5700000000000003E-3</v>
      </c>
      <c r="AD93" s="91" cm="1">
        <f t="array" ref="AD93">_xlfn.IFS(
AND(L93="marginal_effect",M93="level"),N93*AN93/BF93,
AND(L93="marginal_effect",M93="sd (Y)"),N93*BH93*AN93/BF93,
AND(L93="marginal_effect",M93="sd (X)"),N93/AQ93*AN93/BF93,
AND(L93="semi_elasticity",M93="level"),N93*AN93,
AND(L93="semi_elasticity",M93="sd (Y)"),N93*AN93*BH93,
AND(L93="semi_elasticity",M93="sd (X)"),N93*AN93/AQ93,
AND(L93="level-log",M93="level"),N93/BF93,
AND(L93="level-log",M93="sd (X)"),N93/BF93/AQ93,
AND(L93="level-log",M93="sd (Y)"),N93/BF93*BH93,
AND(L93="elasticity",M93="level"),N93,
AND(L93="elasticity",M93="sd (X)"),N93/AQ93,
AND(L93="elasticity",M93="sd (Y)"),N93*BH93,
AND(L93="marginal_effect",M93="percent_of_mean"),N93*AN93/BF93/10)</f>
        <v>-6.5700000000000003E-3</v>
      </c>
      <c r="AE93" s="50">
        <f t="shared" si="25"/>
        <v>1</v>
      </c>
      <c r="AF93" s="91">
        <f t="shared" si="32"/>
        <v>2.6280000000000001E-3</v>
      </c>
      <c r="AG93" s="91" cm="1">
        <f t="array" ref="AG93">_xlfn.IFS(
AND(L93="marginal_effect",M93="level"),O93*AN93/BF93,
AND(L93="marginal_effect",M93="sd (Y)"),O93*BH93*AN93/BF93,
AND(L93="marginal_effect",M93="sd (X)"),O93/AQ93*AN93/BF93,
AND(L93="semi_elasticity",M93="level"),O93*AN93,
AND(L93="semi_elasticity",M93="sd (Y)"),O93*AN93*BH93,
AND(L93="semi_elasticity",M93="sd (X)"),O93*AN93/AQ93,
AND(L93="level-log",M93="level"),O93/BF93,
AND(L93="level-log",M93="sd (X)"),O93/BF93/AQ93,
AND(L93="level-log",M93="sd (Y)"),O93/BF93*BH93,
AND(L93="elasticity",M93="level"),O93,
AND(L93="elasticity",M93="sd (X)"),O93/AQ93,
AND(L93="elasticity",M93="sd (Y)"),O93*BH93,
AND(L93="marginal_effect",M93="percent_of_mean"),O93*AN93/BF93/10)</f>
        <v>2.6280000000000001E-3</v>
      </c>
      <c r="AH93" s="50">
        <f t="shared" si="26"/>
        <v>1</v>
      </c>
      <c r="AI93" s="91">
        <f t="shared" si="27"/>
        <v>-6.5700000000000003E-3</v>
      </c>
      <c r="AJ93" s="50">
        <v>0</v>
      </c>
      <c r="AK93" s="50">
        <f t="shared" si="28"/>
        <v>1</v>
      </c>
      <c r="AL93" s="44" t="s">
        <v>431</v>
      </c>
      <c r="AM93" s="44" t="s">
        <v>441</v>
      </c>
      <c r="AN93" s="44">
        <v>6.57</v>
      </c>
      <c r="AO93" s="44">
        <v>0</v>
      </c>
      <c r="AP93" s="44">
        <f t="shared" si="33"/>
        <v>65.7</v>
      </c>
      <c r="AQ93" s="44">
        <v>44.7</v>
      </c>
      <c r="AR93" s="44" t="s">
        <v>312</v>
      </c>
      <c r="AS93" s="44" t="s">
        <v>312</v>
      </c>
      <c r="AT93" s="44" t="s">
        <v>83</v>
      </c>
      <c r="AU93" s="44" t="s">
        <v>109</v>
      </c>
      <c r="AV93" s="44" t="s">
        <v>133</v>
      </c>
      <c r="AW93" s="44" t="s">
        <v>85</v>
      </c>
      <c r="AX93" s="44" t="s">
        <v>86</v>
      </c>
      <c r="AY93" s="44">
        <v>0</v>
      </c>
      <c r="AZ93" s="44">
        <v>0</v>
      </c>
      <c r="BA93" s="44" t="s">
        <v>87</v>
      </c>
      <c r="BB93" s="44" t="s">
        <v>88</v>
      </c>
      <c r="BC93" s="44" t="s">
        <v>113</v>
      </c>
      <c r="BD93" s="44" t="s">
        <v>433</v>
      </c>
      <c r="BE93" s="44" t="s">
        <v>447</v>
      </c>
      <c r="BF93" s="44">
        <v>441.5</v>
      </c>
      <c r="BG93" s="44">
        <v>0</v>
      </c>
      <c r="BH93" s="44">
        <v>144.80000000000001</v>
      </c>
      <c r="BI93" s="44" t="s">
        <v>312</v>
      </c>
      <c r="BJ93" s="44" t="s">
        <v>312</v>
      </c>
      <c r="BK93" s="44" t="s">
        <v>91</v>
      </c>
      <c r="BL93" s="44" t="s">
        <v>84</v>
      </c>
      <c r="BM93" s="44">
        <v>1</v>
      </c>
      <c r="BN93" s="44" t="s">
        <v>428</v>
      </c>
      <c r="BO93" s="44" t="s">
        <v>429</v>
      </c>
      <c r="BP93" s="44" t="s">
        <v>430</v>
      </c>
      <c r="BQ93" s="44" t="s">
        <v>117</v>
      </c>
      <c r="BR93" s="44" t="s">
        <v>93</v>
      </c>
      <c r="BS93" s="44" t="s">
        <v>312</v>
      </c>
      <c r="BT93" s="44" t="s">
        <v>312</v>
      </c>
      <c r="BU93" s="45">
        <v>40179</v>
      </c>
      <c r="BV93" s="45">
        <v>41252</v>
      </c>
      <c r="BW93" s="44" t="s">
        <v>432</v>
      </c>
      <c r="BX93" s="44" t="s">
        <v>95</v>
      </c>
      <c r="BY93" s="44" t="s">
        <v>96</v>
      </c>
      <c r="BZ93" s="44">
        <v>0</v>
      </c>
      <c r="CA93" s="44">
        <v>0</v>
      </c>
      <c r="CB93" s="44" t="s">
        <v>97</v>
      </c>
      <c r="CC93" s="44" t="s">
        <v>313</v>
      </c>
      <c r="CD93" s="44">
        <v>1</v>
      </c>
      <c r="CE93" s="44" t="s">
        <v>435</v>
      </c>
      <c r="CF93" s="44">
        <v>0</v>
      </c>
      <c r="CG93" s="44" t="s">
        <v>97</v>
      </c>
      <c r="CH93" s="44">
        <v>1</v>
      </c>
      <c r="CI93" s="44" t="s">
        <v>436</v>
      </c>
      <c r="CJ93" s="44" t="s">
        <v>98</v>
      </c>
      <c r="CK93" s="44">
        <v>18</v>
      </c>
      <c r="CL93" s="44">
        <v>0</v>
      </c>
      <c r="CM93" s="44">
        <v>0</v>
      </c>
      <c r="CN93" s="44" t="s">
        <v>124</v>
      </c>
      <c r="CO93" s="44" t="s">
        <v>97</v>
      </c>
      <c r="CP93" s="44" t="s">
        <v>100</v>
      </c>
      <c r="CQ93" s="44" t="s">
        <v>126</v>
      </c>
      <c r="CR93" s="45">
        <v>46216</v>
      </c>
      <c r="CT93" s="44" t="s">
        <v>463</v>
      </c>
    </row>
    <row r="94" spans="1:98" s="44" customFormat="1" x14ac:dyDescent="0.35">
      <c r="A94" s="43" t="s">
        <v>425</v>
      </c>
      <c r="B94" s="43" t="s">
        <v>460</v>
      </c>
      <c r="C94" s="44" t="s">
        <v>387</v>
      </c>
      <c r="D94" s="44">
        <v>2019</v>
      </c>
      <c r="E94" s="43" t="s">
        <v>426</v>
      </c>
      <c r="F94" s="43" t="s">
        <v>427</v>
      </c>
      <c r="G94" s="44" t="s">
        <v>78</v>
      </c>
      <c r="H94" s="44">
        <v>1</v>
      </c>
      <c r="I94" s="44" t="s">
        <v>290</v>
      </c>
      <c r="J94" s="44" t="s">
        <v>79</v>
      </c>
      <c r="K94" s="44">
        <v>864</v>
      </c>
      <c r="L94" s="44" t="s">
        <v>104</v>
      </c>
      <c r="M94" s="44" t="s">
        <v>380</v>
      </c>
      <c r="N94" s="44">
        <v>-4.1000000000000003E-3</v>
      </c>
      <c r="O94" s="44">
        <v>2.2000000000000001E-3</v>
      </c>
      <c r="P94" s="91">
        <f t="shared" si="18"/>
        <v>-1.8636363636363638</v>
      </c>
      <c r="Q94" s="44" t="s">
        <v>312</v>
      </c>
      <c r="R94" s="91">
        <f t="shared" si="19"/>
        <v>-8.4119999999999993E-3</v>
      </c>
      <c r="S94" s="91">
        <f t="shared" si="20"/>
        <v>2.1199999999999952E-4</v>
      </c>
      <c r="T94" s="44">
        <v>1</v>
      </c>
      <c r="U94" s="44">
        <v>246335</v>
      </c>
      <c r="V94" s="44">
        <v>3</v>
      </c>
      <c r="W94" s="44">
        <v>1</v>
      </c>
      <c r="X94" s="44">
        <f t="shared" si="21"/>
        <v>246332</v>
      </c>
      <c r="Y94" s="91">
        <f t="shared" si="22"/>
        <v>-3.7548941412211623E-3</v>
      </c>
      <c r="Z94" s="91">
        <f t="shared" si="23"/>
        <v>2.0148212465089166E-3</v>
      </c>
      <c r="AA94" s="91">
        <f t="shared" si="24"/>
        <v>-3.7548941412211623E-3</v>
      </c>
      <c r="AB94" s="44" t="s">
        <v>81</v>
      </c>
      <c r="AC94" s="91">
        <f t="shared" si="31"/>
        <v>-2.6937000000000003E-2</v>
      </c>
      <c r="AD94" s="91" cm="1">
        <f t="array" ref="AD94">_xlfn.IFS(
AND(L94="marginal_effect",M94="level"),N94*AN94/BF94,
AND(L94="marginal_effect",M94="sd (Y)"),N94*BH94*AN94/BF94,
AND(L94="marginal_effect",M94="sd (X)"),N94/AQ94*AN94/BF94,
AND(L94="semi_elasticity",M94="level"),N94*AN94,
AND(L94="semi_elasticity",M94="sd (Y)"),N94*AN94*BH94,
AND(L94="semi_elasticity",M94="sd (X)"),N94*AN94/AQ94,
AND(L94="level-log",M94="level"),N94/BF94,
AND(L94="level-log",M94="sd (X)"),N94/BF94/AQ94,
AND(L94="level-log",M94="sd (Y)"),N94/BF94*BH94,
AND(L94="elasticity",M94="level"),N94,
AND(L94="elasticity",M94="sd (X)"),N94/AQ94,
AND(L94="elasticity",M94="sd (Y)"),N94*BH94,
AND(L94="marginal_effect",M94="percent_of_mean"),N94*AN94/BF94/10)</f>
        <v>-2.6937000000000003E-2</v>
      </c>
      <c r="AE94" s="50">
        <f t="shared" si="25"/>
        <v>1</v>
      </c>
      <c r="AF94" s="91">
        <f t="shared" si="32"/>
        <v>1.4454000000000002E-2</v>
      </c>
      <c r="AG94" s="91" cm="1">
        <f t="array" ref="AG94">_xlfn.IFS(
AND(L94="marginal_effect",M94="level"),O94*AN94/BF94,
AND(L94="marginal_effect",M94="sd (Y)"),O94*BH94*AN94/BF94,
AND(L94="marginal_effect",M94="sd (X)"),O94/AQ94*AN94/BF94,
AND(L94="semi_elasticity",M94="level"),O94*AN94,
AND(L94="semi_elasticity",M94="sd (Y)"),O94*AN94*BH94,
AND(L94="semi_elasticity",M94="sd (X)"),O94*AN94/AQ94,
AND(L94="level-log",M94="level"),O94/BF94,
AND(L94="level-log",M94="sd (X)"),O94/BF94/AQ94,
AND(L94="level-log",M94="sd (Y)"),O94/BF94*BH94,
AND(L94="elasticity",M94="level"),O94,
AND(L94="elasticity",M94="sd (X)"),O94/AQ94,
AND(L94="elasticity",M94="sd (Y)"),O94*BH94,
AND(L94="marginal_effect",M94="percent_of_mean"),O94*AN94/BF94/10)</f>
        <v>1.4454000000000002E-2</v>
      </c>
      <c r="AH94" s="50">
        <f t="shared" si="26"/>
        <v>1</v>
      </c>
      <c r="AI94" s="91">
        <f t="shared" si="27"/>
        <v>-2.6937000000000003E-2</v>
      </c>
      <c r="AJ94" s="50">
        <v>0</v>
      </c>
      <c r="AK94" s="50">
        <f t="shared" si="28"/>
        <v>1</v>
      </c>
      <c r="AL94" s="44" t="s">
        <v>431</v>
      </c>
      <c r="AM94" s="44" t="s">
        <v>441</v>
      </c>
      <c r="AN94" s="44">
        <v>6.57</v>
      </c>
      <c r="AO94" s="44">
        <v>0</v>
      </c>
      <c r="AP94" s="44">
        <f t="shared" si="33"/>
        <v>65.7</v>
      </c>
      <c r="AQ94" s="44">
        <v>29</v>
      </c>
      <c r="AR94" s="44" t="s">
        <v>312</v>
      </c>
      <c r="AS94" s="44" t="s">
        <v>312</v>
      </c>
      <c r="AT94" s="44" t="s">
        <v>83</v>
      </c>
      <c r="AU94" s="44" t="s">
        <v>109</v>
      </c>
      <c r="AV94" s="44" t="s">
        <v>133</v>
      </c>
      <c r="AW94" s="44" t="s">
        <v>85</v>
      </c>
      <c r="AX94" s="44" t="s">
        <v>86</v>
      </c>
      <c r="AY94" s="44">
        <v>0</v>
      </c>
      <c r="AZ94" s="44">
        <v>0</v>
      </c>
      <c r="BA94" s="44" t="s">
        <v>87</v>
      </c>
      <c r="BB94" s="44" t="s">
        <v>88</v>
      </c>
      <c r="BC94" s="44" t="s">
        <v>113</v>
      </c>
      <c r="BD94" s="44" t="s">
        <v>433</v>
      </c>
      <c r="BE94" s="44" t="s">
        <v>434</v>
      </c>
      <c r="BF94" s="44">
        <v>74</v>
      </c>
      <c r="BG94" s="44">
        <v>0</v>
      </c>
      <c r="BH94" s="44">
        <v>43.9</v>
      </c>
      <c r="BI94" s="44" t="s">
        <v>312</v>
      </c>
      <c r="BJ94" s="44" t="s">
        <v>312</v>
      </c>
      <c r="BK94" s="44" t="s">
        <v>91</v>
      </c>
      <c r="BL94" s="44" t="s">
        <v>84</v>
      </c>
      <c r="BM94" s="44">
        <v>1</v>
      </c>
      <c r="BN94" s="44" t="s">
        <v>428</v>
      </c>
      <c r="BO94" s="44" t="s">
        <v>429</v>
      </c>
      <c r="BP94" s="44" t="s">
        <v>430</v>
      </c>
      <c r="BQ94" s="44" t="s">
        <v>117</v>
      </c>
      <c r="BR94" s="44" t="s">
        <v>93</v>
      </c>
      <c r="BS94" s="44" t="s">
        <v>312</v>
      </c>
      <c r="BT94" s="44" t="s">
        <v>312</v>
      </c>
      <c r="BU94" s="45">
        <v>40179</v>
      </c>
      <c r="BV94" s="45">
        <v>41252</v>
      </c>
      <c r="BW94" s="44" t="s">
        <v>432</v>
      </c>
      <c r="BX94" s="44" t="s">
        <v>95</v>
      </c>
      <c r="BY94" s="44" t="s">
        <v>96</v>
      </c>
      <c r="BZ94" s="44">
        <v>0</v>
      </c>
      <c r="CA94" s="44">
        <v>0</v>
      </c>
      <c r="CB94" s="44" t="s">
        <v>97</v>
      </c>
      <c r="CC94" s="44" t="s">
        <v>313</v>
      </c>
      <c r="CD94" s="44">
        <v>1</v>
      </c>
      <c r="CE94" s="44" t="s">
        <v>435</v>
      </c>
      <c r="CF94" s="44">
        <v>0</v>
      </c>
      <c r="CG94" s="44" t="s">
        <v>97</v>
      </c>
      <c r="CH94" s="44">
        <v>1</v>
      </c>
      <c r="CI94" s="44" t="s">
        <v>436</v>
      </c>
      <c r="CJ94" s="44" t="s">
        <v>98</v>
      </c>
      <c r="CK94" s="44">
        <v>18</v>
      </c>
      <c r="CL94" s="44">
        <v>0</v>
      </c>
      <c r="CM94" s="44">
        <v>0</v>
      </c>
      <c r="CN94" s="44" t="s">
        <v>124</v>
      </c>
      <c r="CO94" s="44" t="s">
        <v>97</v>
      </c>
      <c r="CP94" s="44" t="s">
        <v>100</v>
      </c>
      <c r="CQ94" s="44" t="s">
        <v>126</v>
      </c>
      <c r="CR94" s="45">
        <v>46216</v>
      </c>
      <c r="CT94" s="44" t="s">
        <v>464</v>
      </c>
    </row>
    <row r="95" spans="1:98" s="44" customFormat="1" x14ac:dyDescent="0.35">
      <c r="A95" s="43" t="s">
        <v>425</v>
      </c>
      <c r="B95" s="43" t="s">
        <v>461</v>
      </c>
      <c r="C95" s="44" t="s">
        <v>387</v>
      </c>
      <c r="D95" s="44">
        <v>2019</v>
      </c>
      <c r="E95" s="43" t="s">
        <v>426</v>
      </c>
      <c r="F95" s="43" t="s">
        <v>427</v>
      </c>
      <c r="G95" s="44" t="s">
        <v>78</v>
      </c>
      <c r="H95" s="44">
        <v>1</v>
      </c>
      <c r="I95" s="44" t="s">
        <v>290</v>
      </c>
      <c r="J95" s="44" t="s">
        <v>79</v>
      </c>
      <c r="K95" s="44">
        <v>864</v>
      </c>
      <c r="L95" s="44" t="s">
        <v>104</v>
      </c>
      <c r="M95" s="44" t="s">
        <v>380</v>
      </c>
      <c r="N95" s="44">
        <v>-3.8E-3</v>
      </c>
      <c r="O95" s="44">
        <v>1.6999999999999999E-3</v>
      </c>
      <c r="P95" s="91">
        <f t="shared" si="18"/>
        <v>-2.2352941176470589</v>
      </c>
      <c r="Q95" s="44" t="s">
        <v>312</v>
      </c>
      <c r="R95" s="91">
        <f t="shared" si="19"/>
        <v>-7.1319999999999995E-3</v>
      </c>
      <c r="S95" s="91">
        <f t="shared" si="20"/>
        <v>-4.680000000000001E-4</v>
      </c>
      <c r="T95" s="44">
        <v>1</v>
      </c>
      <c r="U95" s="44">
        <v>246335</v>
      </c>
      <c r="V95" s="44">
        <v>3</v>
      </c>
      <c r="W95" s="44">
        <v>1</v>
      </c>
      <c r="X95" s="44">
        <f t="shared" si="21"/>
        <v>246332</v>
      </c>
      <c r="Y95" s="91">
        <f t="shared" si="22"/>
        <v>-4.503704154444817E-3</v>
      </c>
      <c r="Z95" s="91">
        <f t="shared" si="23"/>
        <v>2.0148150164621551E-3</v>
      </c>
      <c r="AA95" s="91">
        <f t="shared" si="24"/>
        <v>-4.503704154444817E-3</v>
      </c>
      <c r="AB95" s="44" t="s">
        <v>81</v>
      </c>
      <c r="AC95" s="91">
        <f t="shared" si="31"/>
        <v>-2.4966000000000002E-2</v>
      </c>
      <c r="AD95" s="91" cm="1">
        <f t="array" ref="AD95">_xlfn.IFS(
AND(L95="marginal_effect",M95="level"),N95*AN95/BF95,
AND(L95="marginal_effect",M95="sd (Y)"),N95*BH95*AN95/BF95,
AND(L95="marginal_effect",M95="sd (X)"),N95/AQ95*AN95/BF95,
AND(L95="semi_elasticity",M95="level"),N95*AN95,
AND(L95="semi_elasticity",M95="sd (Y)"),N95*AN95*BH95,
AND(L95="semi_elasticity",M95="sd (X)"),N95*AN95/AQ95,
AND(L95="level-log",M95="level"),N95/BF95,
AND(L95="level-log",M95="sd (X)"),N95/BF95/AQ95,
AND(L95="level-log",M95="sd (Y)"),N95/BF95*BH95,
AND(L95="elasticity",M95="level"),N95,
AND(L95="elasticity",M95="sd (X)"),N95/AQ95,
AND(L95="elasticity",M95="sd (Y)"),N95*BH95,
AND(L95="marginal_effect",M95="percent_of_mean"),N95*AN95/BF95/10)</f>
        <v>-2.4966000000000002E-2</v>
      </c>
      <c r="AE95" s="50">
        <f t="shared" si="25"/>
        <v>1</v>
      </c>
      <c r="AF95" s="91">
        <f t="shared" si="32"/>
        <v>1.1169E-2</v>
      </c>
      <c r="AG95" s="91" cm="1">
        <f t="array" ref="AG95">_xlfn.IFS(
AND(L95="marginal_effect",M95="level"),O95*AN95/BF95,
AND(L95="marginal_effect",M95="sd (Y)"),O95*BH95*AN95/BF95,
AND(L95="marginal_effect",M95="sd (X)"),O95/AQ95*AN95/BF95,
AND(L95="semi_elasticity",M95="level"),O95*AN95,
AND(L95="semi_elasticity",M95="sd (Y)"),O95*AN95*BH95,
AND(L95="semi_elasticity",M95="sd (X)"),O95*AN95/AQ95,
AND(L95="level-log",M95="level"),O95/BF95,
AND(L95="level-log",M95="sd (X)"),O95/BF95/AQ95,
AND(L95="level-log",M95="sd (Y)"),O95/BF95*BH95,
AND(L95="elasticity",M95="level"),O95,
AND(L95="elasticity",M95="sd (X)"),O95/AQ95,
AND(L95="elasticity",M95="sd (Y)"),O95*BH95,
AND(L95="marginal_effect",M95="percent_of_mean"),O95*AN95/BF95/10)</f>
        <v>1.1169E-2</v>
      </c>
      <c r="AH95" s="50">
        <f t="shared" si="26"/>
        <v>1</v>
      </c>
      <c r="AI95" s="91">
        <f t="shared" si="27"/>
        <v>-2.4966000000000002E-2</v>
      </c>
      <c r="AJ95" s="50">
        <v>0</v>
      </c>
      <c r="AK95" s="50">
        <f t="shared" si="28"/>
        <v>1</v>
      </c>
      <c r="AL95" s="44" t="s">
        <v>431</v>
      </c>
      <c r="AM95" s="44" t="s">
        <v>441</v>
      </c>
      <c r="AN95" s="44">
        <v>6.57</v>
      </c>
      <c r="AO95" s="44">
        <v>0</v>
      </c>
      <c r="AP95" s="44">
        <f t="shared" si="33"/>
        <v>65.7</v>
      </c>
      <c r="AQ95" s="44">
        <v>29</v>
      </c>
      <c r="AR95" s="44" t="s">
        <v>312</v>
      </c>
      <c r="AS95" s="44" t="s">
        <v>312</v>
      </c>
      <c r="AT95" s="44" t="s">
        <v>83</v>
      </c>
      <c r="AU95" s="44" t="s">
        <v>109</v>
      </c>
      <c r="AV95" s="44" t="s">
        <v>133</v>
      </c>
      <c r="AW95" s="44" t="s">
        <v>85</v>
      </c>
      <c r="AX95" s="44" t="s">
        <v>86</v>
      </c>
      <c r="AY95" s="44">
        <v>0</v>
      </c>
      <c r="AZ95" s="44">
        <v>0</v>
      </c>
      <c r="BA95" s="44" t="s">
        <v>87</v>
      </c>
      <c r="BB95" s="44" t="s">
        <v>88</v>
      </c>
      <c r="BC95" s="44" t="s">
        <v>113</v>
      </c>
      <c r="BD95" s="44" t="s">
        <v>433</v>
      </c>
      <c r="BE95" s="44" t="s">
        <v>447</v>
      </c>
      <c r="BF95" s="44">
        <v>400.4</v>
      </c>
      <c r="BG95" s="44">
        <v>0</v>
      </c>
      <c r="BH95" s="44">
        <v>167.4</v>
      </c>
      <c r="BI95" s="44" t="s">
        <v>312</v>
      </c>
      <c r="BJ95" s="44" t="s">
        <v>312</v>
      </c>
      <c r="BK95" s="44" t="s">
        <v>91</v>
      </c>
      <c r="BL95" s="44" t="s">
        <v>84</v>
      </c>
      <c r="BM95" s="44">
        <v>1</v>
      </c>
      <c r="BN95" s="44" t="s">
        <v>428</v>
      </c>
      <c r="BO95" s="44" t="s">
        <v>429</v>
      </c>
      <c r="BP95" s="44" t="s">
        <v>430</v>
      </c>
      <c r="BQ95" s="44" t="s">
        <v>117</v>
      </c>
      <c r="BR95" s="44" t="s">
        <v>93</v>
      </c>
      <c r="BS95" s="44" t="s">
        <v>312</v>
      </c>
      <c r="BT95" s="44" t="s">
        <v>312</v>
      </c>
      <c r="BU95" s="45">
        <v>40179</v>
      </c>
      <c r="BV95" s="45">
        <v>41252</v>
      </c>
      <c r="BW95" s="44" t="s">
        <v>432</v>
      </c>
      <c r="BX95" s="44" t="s">
        <v>95</v>
      </c>
      <c r="BY95" s="44" t="s">
        <v>96</v>
      </c>
      <c r="BZ95" s="44">
        <v>0</v>
      </c>
      <c r="CA95" s="44">
        <v>0</v>
      </c>
      <c r="CB95" s="44" t="s">
        <v>97</v>
      </c>
      <c r="CC95" s="44" t="s">
        <v>313</v>
      </c>
      <c r="CD95" s="44">
        <v>1</v>
      </c>
      <c r="CE95" s="44" t="s">
        <v>435</v>
      </c>
      <c r="CF95" s="44">
        <v>0</v>
      </c>
      <c r="CG95" s="44" t="s">
        <v>97</v>
      </c>
      <c r="CH95" s="44">
        <v>1</v>
      </c>
      <c r="CI95" s="44" t="s">
        <v>436</v>
      </c>
      <c r="CJ95" s="44" t="s">
        <v>98</v>
      </c>
      <c r="CK95" s="44">
        <v>18</v>
      </c>
      <c r="CL95" s="44">
        <v>0</v>
      </c>
      <c r="CM95" s="44">
        <v>0</v>
      </c>
      <c r="CN95" s="44" t="s">
        <v>124</v>
      </c>
      <c r="CO95" s="44" t="s">
        <v>97</v>
      </c>
      <c r="CP95" s="44" t="s">
        <v>100</v>
      </c>
      <c r="CQ95" s="44" t="s">
        <v>126</v>
      </c>
      <c r="CR95" s="45">
        <v>46216</v>
      </c>
      <c r="CT95" s="44" t="s">
        <v>465</v>
      </c>
    </row>
    <row r="96" spans="1:98" s="44" customFormat="1" x14ac:dyDescent="0.35">
      <c r="A96" s="43" t="s">
        <v>425</v>
      </c>
      <c r="B96" s="43" t="s">
        <v>468</v>
      </c>
      <c r="C96" s="44" t="s">
        <v>387</v>
      </c>
      <c r="D96" s="44">
        <v>2019</v>
      </c>
      <c r="E96" s="43" t="s">
        <v>426</v>
      </c>
      <c r="F96" s="43" t="s">
        <v>427</v>
      </c>
      <c r="G96" s="44" t="s">
        <v>78</v>
      </c>
      <c r="H96" s="44">
        <v>1</v>
      </c>
      <c r="I96" s="44" t="s">
        <v>290</v>
      </c>
      <c r="J96" s="44" t="s">
        <v>79</v>
      </c>
      <c r="K96" s="44">
        <v>864</v>
      </c>
      <c r="L96" s="44" t="s">
        <v>104</v>
      </c>
      <c r="M96" s="44" t="s">
        <v>380</v>
      </c>
      <c r="N96" s="44">
        <v>-3.5000000000000001E-3</v>
      </c>
      <c r="O96" s="44">
        <v>1.2999999999999999E-3</v>
      </c>
      <c r="P96" s="91">
        <f t="shared" si="18"/>
        <v>-2.6923076923076925</v>
      </c>
      <c r="Q96" s="44" t="s">
        <v>312</v>
      </c>
      <c r="R96" s="91">
        <f t="shared" si="19"/>
        <v>-6.0479999999999996E-3</v>
      </c>
      <c r="S96" s="91">
        <f t="shared" si="20"/>
        <v>-9.5200000000000016E-4</v>
      </c>
      <c r="T96" s="44">
        <v>1</v>
      </c>
      <c r="U96" s="44">
        <v>359013</v>
      </c>
      <c r="V96" s="44">
        <v>1</v>
      </c>
      <c r="W96" s="44">
        <v>1</v>
      </c>
      <c r="X96" s="44">
        <f t="shared" si="21"/>
        <v>359012</v>
      </c>
      <c r="Y96" s="91">
        <f t="shared" si="22"/>
        <v>-4.4933042375339396E-3</v>
      </c>
      <c r="Z96" s="91">
        <f t="shared" si="23"/>
        <v>1.6689415739411773E-3</v>
      </c>
      <c r="AA96" s="91">
        <f t="shared" si="24"/>
        <v>-4.4933042375339396E-3</v>
      </c>
      <c r="AB96" s="44" t="s">
        <v>81</v>
      </c>
      <c r="AC96" s="91">
        <f t="shared" si="31"/>
        <v>-2.2995000000000002E-2</v>
      </c>
      <c r="AD96" s="91" cm="1">
        <f t="array" ref="AD96">_xlfn.IFS(
AND(L96="marginal_effect",M96="level"),N96*AN96/BF96,
AND(L96="marginal_effect",M96="sd (Y)"),N96*BH96*AN96/BF96,
AND(L96="marginal_effect",M96="sd (X)"),N96/AQ96*AN96/BF96,
AND(L96="semi_elasticity",M96="level"),N96*AN96,
AND(L96="semi_elasticity",M96="sd (Y)"),N96*AN96*BH96,
AND(L96="semi_elasticity",M96="sd (X)"),N96*AN96/AQ96,
AND(L96="level-log",M96="level"),N96/BF96,
AND(L96="level-log",M96="sd (X)"),N96/BF96/AQ96,
AND(L96="level-log",M96="sd (Y)"),N96/BF96*BH96,
AND(L96="elasticity",M96="level"),N96,
AND(L96="elasticity",M96="sd (X)"),N96/AQ96,
AND(L96="elasticity",M96="sd (Y)"),N96*BH96,
AND(L96="marginal_effect",M96="percent_of_mean"),N96*AN96/BF96/10)</f>
        <v>-2.2995000000000002E-2</v>
      </c>
      <c r="AE96" s="50">
        <f t="shared" si="25"/>
        <v>1</v>
      </c>
      <c r="AF96" s="91">
        <f t="shared" si="32"/>
        <v>8.541E-3</v>
      </c>
      <c r="AG96" s="91" cm="1">
        <f t="array" ref="AG96">_xlfn.IFS(
AND(L96="marginal_effect",M96="level"),O96*AN96/BF96,
AND(L96="marginal_effect",M96="sd (Y)"),O96*BH96*AN96/BF96,
AND(L96="marginal_effect",M96="sd (X)"),O96/AQ96*AN96/BF96,
AND(L96="semi_elasticity",M96="level"),O96*AN96,
AND(L96="semi_elasticity",M96="sd (Y)"),O96*AN96*BH96,
AND(L96="semi_elasticity",M96="sd (X)"),O96*AN96/AQ96,
AND(L96="level-log",M96="level"),O96/BF96,
AND(L96="level-log",M96="sd (X)"),O96/BF96/AQ96,
AND(L96="level-log",M96="sd (Y)"),O96/BF96*BH96,
AND(L96="elasticity",M96="level"),O96,
AND(L96="elasticity",M96="sd (X)"),O96/AQ96,
AND(L96="elasticity",M96="sd (Y)"),O96*BH96,
AND(L96="marginal_effect",M96="percent_of_mean"),O96*AN96/BF96/10)</f>
        <v>8.541E-3</v>
      </c>
      <c r="AH96" s="50">
        <f t="shared" si="26"/>
        <v>1</v>
      </c>
      <c r="AI96" s="91">
        <f t="shared" si="27"/>
        <v>-2.2995000000000002E-2</v>
      </c>
      <c r="AJ96" s="50">
        <v>0</v>
      </c>
      <c r="AK96" s="50">
        <f t="shared" si="28"/>
        <v>1</v>
      </c>
      <c r="AL96" s="44" t="s">
        <v>431</v>
      </c>
      <c r="AM96" s="44" t="s">
        <v>441</v>
      </c>
      <c r="AN96" s="44">
        <v>6.57</v>
      </c>
      <c r="AO96" s="44">
        <v>0</v>
      </c>
      <c r="AP96" s="44">
        <f t="shared" si="33"/>
        <v>65.7</v>
      </c>
      <c r="AQ96" s="44">
        <v>41.4</v>
      </c>
      <c r="AR96" s="44" t="s">
        <v>312</v>
      </c>
      <c r="AS96" s="44" t="s">
        <v>312</v>
      </c>
      <c r="AT96" s="44" t="s">
        <v>83</v>
      </c>
      <c r="AU96" s="44" t="s">
        <v>109</v>
      </c>
      <c r="AV96" s="44" t="s">
        <v>133</v>
      </c>
      <c r="AW96" s="44" t="s">
        <v>85</v>
      </c>
      <c r="AX96" s="44" t="s">
        <v>86</v>
      </c>
      <c r="AY96" s="44">
        <v>0</v>
      </c>
      <c r="AZ96" s="44">
        <v>0</v>
      </c>
      <c r="BA96" s="44" t="s">
        <v>87</v>
      </c>
      <c r="BB96" s="44" t="s">
        <v>88</v>
      </c>
      <c r="BC96" s="44" t="s">
        <v>113</v>
      </c>
      <c r="BD96" s="44" t="s">
        <v>433</v>
      </c>
      <c r="BE96" s="44" t="s">
        <v>434</v>
      </c>
      <c r="BF96" s="44">
        <v>70.900000000000006</v>
      </c>
      <c r="BG96" s="44">
        <v>0</v>
      </c>
      <c r="BH96" s="44">
        <v>45.1</v>
      </c>
      <c r="BI96" s="44" t="s">
        <v>312</v>
      </c>
      <c r="BJ96" s="44" t="s">
        <v>312</v>
      </c>
      <c r="BK96" s="44" t="s">
        <v>91</v>
      </c>
      <c r="BL96" s="44" t="s">
        <v>84</v>
      </c>
      <c r="BM96" s="44">
        <v>1</v>
      </c>
      <c r="BN96" s="44" t="s">
        <v>428</v>
      </c>
      <c r="BO96" s="44" t="s">
        <v>429</v>
      </c>
      <c r="BP96" s="44" t="s">
        <v>430</v>
      </c>
      <c r="BQ96" s="44" t="s">
        <v>117</v>
      </c>
      <c r="BR96" s="44" t="s">
        <v>93</v>
      </c>
      <c r="BS96" s="44" t="s">
        <v>312</v>
      </c>
      <c r="BT96" s="44" t="s">
        <v>312</v>
      </c>
      <c r="BU96" s="45">
        <v>40179</v>
      </c>
      <c r="BV96" s="45">
        <v>41252</v>
      </c>
      <c r="BW96" s="44" t="s">
        <v>432</v>
      </c>
      <c r="BX96" s="44" t="s">
        <v>95</v>
      </c>
      <c r="BY96" s="44" t="s">
        <v>96</v>
      </c>
      <c r="BZ96" s="44">
        <v>0</v>
      </c>
      <c r="CA96" s="44">
        <v>0</v>
      </c>
      <c r="CB96" s="44" t="s">
        <v>97</v>
      </c>
      <c r="CC96" s="44" t="s">
        <v>313</v>
      </c>
      <c r="CD96" s="44">
        <v>0</v>
      </c>
      <c r="CE96" s="44" t="s">
        <v>97</v>
      </c>
      <c r="CF96" s="44">
        <v>0</v>
      </c>
      <c r="CG96" s="44" t="s">
        <v>97</v>
      </c>
      <c r="CH96" s="44">
        <v>1</v>
      </c>
      <c r="CI96" s="44" t="s">
        <v>436</v>
      </c>
      <c r="CJ96" s="44" t="s">
        <v>98</v>
      </c>
      <c r="CK96" s="44">
        <v>18</v>
      </c>
      <c r="CL96" s="44">
        <v>0</v>
      </c>
      <c r="CM96" s="44">
        <v>0</v>
      </c>
      <c r="CN96" s="44" t="s">
        <v>124</v>
      </c>
      <c r="CO96" s="44" t="s">
        <v>97</v>
      </c>
      <c r="CP96" s="44" t="s">
        <v>100</v>
      </c>
      <c r="CQ96" s="44" t="s">
        <v>126</v>
      </c>
      <c r="CR96" s="45">
        <v>46216</v>
      </c>
      <c r="CT96" s="44" t="s">
        <v>466</v>
      </c>
    </row>
    <row r="97" spans="1:98" s="44" customFormat="1" x14ac:dyDescent="0.35">
      <c r="A97" s="43" t="s">
        <v>425</v>
      </c>
      <c r="B97" s="43" t="s">
        <v>469</v>
      </c>
      <c r="C97" s="44" t="s">
        <v>387</v>
      </c>
      <c r="D97" s="44">
        <v>2019</v>
      </c>
      <c r="E97" s="43" t="s">
        <v>426</v>
      </c>
      <c r="F97" s="43" t="s">
        <v>427</v>
      </c>
      <c r="G97" s="44" t="s">
        <v>78</v>
      </c>
      <c r="H97" s="44">
        <v>1</v>
      </c>
      <c r="I97" s="44" t="s">
        <v>290</v>
      </c>
      <c r="J97" s="44" t="s">
        <v>79</v>
      </c>
      <c r="K97" s="44">
        <v>864</v>
      </c>
      <c r="L97" s="44" t="s">
        <v>104</v>
      </c>
      <c r="M97" s="44" t="s">
        <v>380</v>
      </c>
      <c r="N97" s="44">
        <v>-2.3E-3</v>
      </c>
      <c r="O97" s="44">
        <v>1E-3</v>
      </c>
      <c r="P97" s="91">
        <f t="shared" si="18"/>
        <v>-2.2999999999999998</v>
      </c>
      <c r="Q97" s="44" t="s">
        <v>312</v>
      </c>
      <c r="R97" s="91">
        <f t="shared" si="19"/>
        <v>-4.2599999999999999E-3</v>
      </c>
      <c r="S97" s="91">
        <f t="shared" si="20"/>
        <v>-3.4000000000000002E-4</v>
      </c>
      <c r="T97" s="44">
        <v>1</v>
      </c>
      <c r="U97" s="44">
        <v>359013</v>
      </c>
      <c r="V97" s="44">
        <v>1</v>
      </c>
      <c r="W97" s="44">
        <v>1</v>
      </c>
      <c r="X97" s="44">
        <f t="shared" si="21"/>
        <v>359012</v>
      </c>
      <c r="Y97" s="91">
        <f t="shared" si="22"/>
        <v>-3.8385760901732788E-3</v>
      </c>
      <c r="Z97" s="91">
        <f t="shared" si="23"/>
        <v>1.6689461261622954E-3</v>
      </c>
      <c r="AA97" s="91">
        <f t="shared" si="24"/>
        <v>-3.8385760901732788E-3</v>
      </c>
      <c r="AB97" s="44" t="s">
        <v>81</v>
      </c>
      <c r="AC97" s="91">
        <f t="shared" si="31"/>
        <v>-1.5111000000000001E-2</v>
      </c>
      <c r="AD97" s="91" cm="1">
        <f t="array" ref="AD97">_xlfn.IFS(
AND(L97="marginal_effect",M97="level"),N97*AN97/BF97,
AND(L97="marginal_effect",M97="sd (Y)"),N97*BH97*AN97/BF97,
AND(L97="marginal_effect",M97="sd (X)"),N97/AQ97*AN97/BF97,
AND(L97="semi_elasticity",M97="level"),N97*AN97,
AND(L97="semi_elasticity",M97="sd (Y)"),N97*AN97*BH97,
AND(L97="semi_elasticity",M97="sd (X)"),N97*AN97/AQ97,
AND(L97="level-log",M97="level"),N97/BF97,
AND(L97="level-log",M97="sd (X)"),N97/BF97/AQ97,
AND(L97="level-log",M97="sd (Y)"),N97/BF97*BH97,
AND(L97="elasticity",M97="level"),N97,
AND(L97="elasticity",M97="sd (X)"),N97/AQ97,
AND(L97="elasticity",M97="sd (Y)"),N97*BH97,
AND(L97="marginal_effect",M97="percent_of_mean"),N97*AN97/BF97/10)</f>
        <v>-1.5111000000000001E-2</v>
      </c>
      <c r="AE97" s="50">
        <f t="shared" si="25"/>
        <v>1</v>
      </c>
      <c r="AF97" s="91">
        <f t="shared" si="32"/>
        <v>6.5700000000000003E-3</v>
      </c>
      <c r="AG97" s="91" cm="1">
        <f t="array" ref="AG97">_xlfn.IFS(
AND(L97="marginal_effect",M97="level"),O97*AN97/BF97,
AND(L97="marginal_effect",M97="sd (Y)"),O97*BH97*AN97/BF97,
AND(L97="marginal_effect",M97="sd (X)"),O97/AQ97*AN97/BF97,
AND(L97="semi_elasticity",M97="level"),O97*AN97,
AND(L97="semi_elasticity",M97="sd (Y)"),O97*AN97*BH97,
AND(L97="semi_elasticity",M97="sd (X)"),O97*AN97/AQ97,
AND(L97="level-log",M97="level"),O97/BF97,
AND(L97="level-log",M97="sd (X)"),O97/BF97/AQ97,
AND(L97="level-log",M97="sd (Y)"),O97/BF97*BH97,
AND(L97="elasticity",M97="level"),O97,
AND(L97="elasticity",M97="sd (X)"),O97/AQ97,
AND(L97="elasticity",M97="sd (Y)"),O97*BH97,
AND(L97="marginal_effect",M97="percent_of_mean"),O97*AN97/BF97/10)</f>
        <v>6.5700000000000003E-3</v>
      </c>
      <c r="AH97" s="50">
        <f t="shared" si="26"/>
        <v>1</v>
      </c>
      <c r="AI97" s="91">
        <f t="shared" si="27"/>
        <v>-1.5111000000000001E-2</v>
      </c>
      <c r="AJ97" s="50">
        <v>0</v>
      </c>
      <c r="AK97" s="50">
        <f t="shared" si="28"/>
        <v>1</v>
      </c>
      <c r="AL97" s="44" t="s">
        <v>431</v>
      </c>
      <c r="AM97" s="44" t="s">
        <v>441</v>
      </c>
      <c r="AN97" s="44">
        <v>6.57</v>
      </c>
      <c r="AO97" s="44">
        <v>0</v>
      </c>
      <c r="AP97" s="44">
        <f t="shared" si="33"/>
        <v>65.7</v>
      </c>
      <c r="AQ97" s="44">
        <v>41.4</v>
      </c>
      <c r="AR97" s="44" t="s">
        <v>312</v>
      </c>
      <c r="AS97" s="44" t="s">
        <v>312</v>
      </c>
      <c r="AT97" s="44" t="s">
        <v>83</v>
      </c>
      <c r="AU97" s="44" t="s">
        <v>109</v>
      </c>
      <c r="AV97" s="44" t="s">
        <v>133</v>
      </c>
      <c r="AW97" s="44" t="s">
        <v>85</v>
      </c>
      <c r="AX97" s="44" t="s">
        <v>86</v>
      </c>
      <c r="AY97" s="44">
        <v>0</v>
      </c>
      <c r="AZ97" s="44">
        <v>0</v>
      </c>
      <c r="BA97" s="44" t="s">
        <v>87</v>
      </c>
      <c r="BB97" s="44" t="s">
        <v>88</v>
      </c>
      <c r="BC97" s="44" t="s">
        <v>113</v>
      </c>
      <c r="BD97" s="44" t="s">
        <v>433</v>
      </c>
      <c r="BE97" s="44" t="s">
        <v>447</v>
      </c>
      <c r="BF97" s="44">
        <v>413.3</v>
      </c>
      <c r="BG97" s="44">
        <v>0</v>
      </c>
      <c r="BH97" s="44">
        <v>167.7</v>
      </c>
      <c r="BI97" s="44" t="s">
        <v>312</v>
      </c>
      <c r="BJ97" s="44" t="s">
        <v>312</v>
      </c>
      <c r="BK97" s="44" t="s">
        <v>91</v>
      </c>
      <c r="BL97" s="44" t="s">
        <v>84</v>
      </c>
      <c r="BM97" s="44">
        <v>1</v>
      </c>
      <c r="BN97" s="44" t="s">
        <v>428</v>
      </c>
      <c r="BO97" s="44" t="s">
        <v>429</v>
      </c>
      <c r="BP97" s="44" t="s">
        <v>430</v>
      </c>
      <c r="BQ97" s="44" t="s">
        <v>117</v>
      </c>
      <c r="BR97" s="44" t="s">
        <v>93</v>
      </c>
      <c r="BS97" s="44" t="s">
        <v>312</v>
      </c>
      <c r="BT97" s="44" t="s">
        <v>312</v>
      </c>
      <c r="BU97" s="45">
        <v>40179</v>
      </c>
      <c r="BV97" s="45">
        <v>41252</v>
      </c>
      <c r="BW97" s="44" t="s">
        <v>432</v>
      </c>
      <c r="BX97" s="44" t="s">
        <v>95</v>
      </c>
      <c r="BY97" s="44" t="s">
        <v>96</v>
      </c>
      <c r="BZ97" s="44">
        <v>0</v>
      </c>
      <c r="CA97" s="44">
        <v>0</v>
      </c>
      <c r="CB97" s="44" t="s">
        <v>97</v>
      </c>
      <c r="CC97" s="44" t="s">
        <v>313</v>
      </c>
      <c r="CD97" s="44">
        <v>0</v>
      </c>
      <c r="CE97" s="44" t="s">
        <v>97</v>
      </c>
      <c r="CF97" s="44">
        <v>0</v>
      </c>
      <c r="CG97" s="44" t="s">
        <v>97</v>
      </c>
      <c r="CH97" s="44">
        <v>1</v>
      </c>
      <c r="CI97" s="44" t="s">
        <v>436</v>
      </c>
      <c r="CJ97" s="44" t="s">
        <v>98</v>
      </c>
      <c r="CK97" s="44">
        <v>18</v>
      </c>
      <c r="CL97" s="44">
        <v>0</v>
      </c>
      <c r="CM97" s="44">
        <v>0</v>
      </c>
      <c r="CN97" s="44" t="s">
        <v>124</v>
      </c>
      <c r="CO97" s="44" t="s">
        <v>97</v>
      </c>
      <c r="CP97" s="44" t="s">
        <v>100</v>
      </c>
      <c r="CQ97" s="44" t="s">
        <v>126</v>
      </c>
      <c r="CR97" s="45">
        <v>46216</v>
      </c>
      <c r="CT97" s="44" t="s">
        <v>467</v>
      </c>
    </row>
    <row r="98" spans="1:98" s="44" customFormat="1" x14ac:dyDescent="0.35">
      <c r="A98" s="43" t="s">
        <v>425</v>
      </c>
      <c r="B98" s="43" t="s">
        <v>474</v>
      </c>
      <c r="C98" s="44" t="s">
        <v>387</v>
      </c>
      <c r="D98" s="44">
        <v>2019</v>
      </c>
      <c r="E98" s="43" t="s">
        <v>426</v>
      </c>
      <c r="F98" s="43" t="s">
        <v>427</v>
      </c>
      <c r="G98" s="44" t="s">
        <v>78</v>
      </c>
      <c r="H98" s="44">
        <v>1</v>
      </c>
      <c r="I98" s="44" t="s">
        <v>290</v>
      </c>
      <c r="J98" s="44" t="s">
        <v>79</v>
      </c>
      <c r="K98" s="44">
        <v>864</v>
      </c>
      <c r="L98" s="44" t="s">
        <v>104</v>
      </c>
      <c r="M98" s="44" t="s">
        <v>380</v>
      </c>
      <c r="N98" s="44">
        <v>-3.3E-3</v>
      </c>
      <c r="O98" s="44">
        <v>1.2999999999999999E-3</v>
      </c>
      <c r="P98" s="91">
        <f t="shared" si="18"/>
        <v>-2.5384615384615388</v>
      </c>
      <c r="Q98" s="44" t="s">
        <v>312</v>
      </c>
      <c r="R98" s="91">
        <f t="shared" si="19"/>
        <v>-5.8479999999999999E-3</v>
      </c>
      <c r="S98" s="91">
        <f t="shared" si="20"/>
        <v>-7.5200000000000006E-4</v>
      </c>
      <c r="T98" s="44">
        <v>1</v>
      </c>
      <c r="U98" s="44">
        <v>359013</v>
      </c>
      <c r="V98" s="44">
        <v>5</v>
      </c>
      <c r="W98" s="44">
        <v>1</v>
      </c>
      <c r="X98" s="44">
        <f t="shared" si="21"/>
        <v>359008</v>
      </c>
      <c r="Y98" s="91">
        <f t="shared" si="22"/>
        <v>-4.2365723443846667E-3</v>
      </c>
      <c r="Z98" s="91">
        <f t="shared" si="23"/>
        <v>1.6689527417272925E-3</v>
      </c>
      <c r="AA98" s="91">
        <f t="shared" ref="AA98:AA145" si="34">Y98</f>
        <v>-4.2365723443846667E-3</v>
      </c>
      <c r="AB98" s="44" t="s">
        <v>81</v>
      </c>
      <c r="AC98" s="91">
        <f t="shared" si="31"/>
        <v>-2.1681000000000002E-2</v>
      </c>
      <c r="AD98" s="91" cm="1">
        <f t="array" ref="AD98">_xlfn.IFS(
AND(L98="marginal_effect",M98="level"),N98*AN98/BF98,
AND(L98="marginal_effect",M98="sd (Y)"),N98*BH98*AN98/BF98,
AND(L98="marginal_effect",M98="sd (X)"),N98/AQ98*AN98/BF98,
AND(L98="semi_elasticity",M98="level"),N98*AN98,
AND(L98="semi_elasticity",M98="sd (Y)"),N98*AN98*BH98,
AND(L98="semi_elasticity",M98="sd (X)"),N98*AN98/AQ98,
AND(L98="level-log",M98="level"),N98/BF98,
AND(L98="level-log",M98="sd (X)"),N98/BF98/AQ98,
AND(L98="level-log",M98="sd (Y)"),N98/BF98*BH98,
AND(L98="elasticity",M98="level"),N98,
AND(L98="elasticity",M98="sd (X)"),N98/AQ98,
AND(L98="elasticity",M98="sd (Y)"),N98*BH98,
AND(L98="marginal_effect",M98="percent_of_mean"),N98*AN98/BF98/10)</f>
        <v>-2.1681000000000002E-2</v>
      </c>
      <c r="AE98" s="50">
        <f t="shared" si="25"/>
        <v>1</v>
      </c>
      <c r="AF98" s="91">
        <f t="shared" si="32"/>
        <v>8.541E-3</v>
      </c>
      <c r="AG98" s="91" cm="1">
        <f t="array" ref="AG98">_xlfn.IFS(
AND(L98="marginal_effect",M98="level"),O98*AN98/BF98,
AND(L98="marginal_effect",M98="sd (Y)"),O98*BH98*AN98/BF98,
AND(L98="marginal_effect",M98="sd (X)"),O98/AQ98*AN98/BF98,
AND(L98="semi_elasticity",M98="level"),O98*AN98,
AND(L98="semi_elasticity",M98="sd (Y)"),O98*AN98*BH98,
AND(L98="semi_elasticity",M98="sd (X)"),O98*AN98/AQ98,
AND(L98="level-log",M98="level"),O98/BF98,
AND(L98="level-log",M98="sd (X)"),O98/BF98/AQ98,
AND(L98="level-log",M98="sd (Y)"),O98/BF98*BH98,
AND(L98="elasticity",M98="level"),O98,
AND(L98="elasticity",M98="sd (X)"),O98/AQ98,
AND(L98="elasticity",M98="sd (Y)"),O98*BH98,
AND(L98="marginal_effect",M98="percent_of_mean"),O98*AN98/BF98/10)</f>
        <v>8.541E-3</v>
      </c>
      <c r="AH98" s="50">
        <f t="shared" si="26"/>
        <v>1</v>
      </c>
      <c r="AI98" s="91">
        <f t="shared" ref="AI98:AI145" si="35">AC98</f>
        <v>-2.1681000000000002E-2</v>
      </c>
      <c r="AJ98" s="50">
        <v>0</v>
      </c>
      <c r="AK98" s="50">
        <f t="shared" si="28"/>
        <v>1</v>
      </c>
      <c r="AL98" s="44" t="s">
        <v>431</v>
      </c>
      <c r="AM98" s="44" t="s">
        <v>441</v>
      </c>
      <c r="AN98" s="44">
        <v>6.57</v>
      </c>
      <c r="AO98" s="44">
        <v>0</v>
      </c>
      <c r="AP98" s="44">
        <f t="shared" si="33"/>
        <v>65.7</v>
      </c>
      <c r="AQ98" s="44">
        <v>41.4</v>
      </c>
      <c r="AR98" s="44" t="s">
        <v>312</v>
      </c>
      <c r="AS98" s="44" t="s">
        <v>312</v>
      </c>
      <c r="AT98" s="44" t="s">
        <v>83</v>
      </c>
      <c r="AU98" s="44" t="s">
        <v>109</v>
      </c>
      <c r="AV98" s="44" t="s">
        <v>133</v>
      </c>
      <c r="AW98" s="44" t="s">
        <v>85</v>
      </c>
      <c r="AX98" s="44" t="s">
        <v>86</v>
      </c>
      <c r="AY98" s="44">
        <v>0</v>
      </c>
      <c r="AZ98" s="44">
        <v>0</v>
      </c>
      <c r="BA98" s="44" t="s">
        <v>87</v>
      </c>
      <c r="BB98" s="44" t="s">
        <v>88</v>
      </c>
      <c r="BC98" s="44" t="s">
        <v>113</v>
      </c>
      <c r="BD98" s="44" t="s">
        <v>433</v>
      </c>
      <c r="BE98" s="44" t="s">
        <v>434</v>
      </c>
      <c r="BF98" s="44">
        <v>70.900000000000006</v>
      </c>
      <c r="BG98" s="44">
        <v>0</v>
      </c>
      <c r="BH98" s="44">
        <v>45.1</v>
      </c>
      <c r="BI98" s="44" t="s">
        <v>312</v>
      </c>
      <c r="BJ98" s="44" t="s">
        <v>312</v>
      </c>
      <c r="BK98" s="44" t="s">
        <v>91</v>
      </c>
      <c r="BL98" s="44" t="s">
        <v>84</v>
      </c>
      <c r="BM98" s="44">
        <v>1</v>
      </c>
      <c r="BN98" s="44" t="s">
        <v>428</v>
      </c>
      <c r="BO98" s="44" t="s">
        <v>429</v>
      </c>
      <c r="BP98" s="44" t="s">
        <v>430</v>
      </c>
      <c r="BQ98" s="44" t="s">
        <v>117</v>
      </c>
      <c r="BR98" s="44" t="s">
        <v>93</v>
      </c>
      <c r="BS98" s="44" t="s">
        <v>312</v>
      </c>
      <c r="BT98" s="44" t="s">
        <v>312</v>
      </c>
      <c r="BU98" s="45">
        <v>40179</v>
      </c>
      <c r="BV98" s="45">
        <v>41252</v>
      </c>
      <c r="BW98" s="44" t="s">
        <v>432</v>
      </c>
      <c r="BX98" s="44" t="s">
        <v>95</v>
      </c>
      <c r="BY98" s="44" t="s">
        <v>96</v>
      </c>
      <c r="BZ98" s="44">
        <v>0</v>
      </c>
      <c r="CA98" s="44">
        <v>0</v>
      </c>
      <c r="CB98" s="44" t="s">
        <v>97</v>
      </c>
      <c r="CC98" s="44" t="s">
        <v>313</v>
      </c>
      <c r="CD98" s="44">
        <v>1</v>
      </c>
      <c r="CE98" s="44" t="s">
        <v>435</v>
      </c>
      <c r="CF98" s="44">
        <v>0</v>
      </c>
      <c r="CG98" s="44" t="s">
        <v>97</v>
      </c>
      <c r="CH98" s="44">
        <v>1</v>
      </c>
      <c r="CI98" s="44" t="s">
        <v>436</v>
      </c>
      <c r="CJ98" s="44" t="s">
        <v>98</v>
      </c>
      <c r="CK98" s="44">
        <v>18</v>
      </c>
      <c r="CL98" s="44">
        <v>0</v>
      </c>
      <c r="CM98" s="44">
        <v>0</v>
      </c>
      <c r="CN98" s="44" t="s">
        <v>124</v>
      </c>
      <c r="CO98" s="44" t="s">
        <v>97</v>
      </c>
      <c r="CP98" s="44" t="s">
        <v>100</v>
      </c>
      <c r="CQ98" s="44" t="s">
        <v>126</v>
      </c>
      <c r="CR98" s="45">
        <v>46216</v>
      </c>
      <c r="CT98" s="44" t="s">
        <v>470</v>
      </c>
    </row>
    <row r="99" spans="1:98" s="44" customFormat="1" x14ac:dyDescent="0.35">
      <c r="A99" s="43" t="s">
        <v>425</v>
      </c>
      <c r="B99" s="43" t="s">
        <v>475</v>
      </c>
      <c r="C99" s="44" t="s">
        <v>387</v>
      </c>
      <c r="D99" s="44">
        <v>2019</v>
      </c>
      <c r="E99" s="43" t="s">
        <v>426</v>
      </c>
      <c r="F99" s="43" t="s">
        <v>427</v>
      </c>
      <c r="G99" s="44" t="s">
        <v>78</v>
      </c>
      <c r="H99" s="44">
        <v>1</v>
      </c>
      <c r="I99" s="44" t="s">
        <v>290</v>
      </c>
      <c r="J99" s="44" t="s">
        <v>79</v>
      </c>
      <c r="K99" s="44">
        <v>864</v>
      </c>
      <c r="L99" s="44" t="s">
        <v>104</v>
      </c>
      <c r="M99" s="44" t="s">
        <v>380</v>
      </c>
      <c r="N99" s="44">
        <v>-2.3E-3</v>
      </c>
      <c r="O99" s="44">
        <v>1E-3</v>
      </c>
      <c r="P99" s="91">
        <f t="shared" si="18"/>
        <v>-2.2999999999999998</v>
      </c>
      <c r="Q99" s="44" t="s">
        <v>312</v>
      </c>
      <c r="R99" s="91">
        <f t="shared" si="19"/>
        <v>-4.2599999999999999E-3</v>
      </c>
      <c r="S99" s="91">
        <f t="shared" si="20"/>
        <v>-3.4000000000000002E-4</v>
      </c>
      <c r="T99" s="44">
        <v>1</v>
      </c>
      <c r="U99" s="44">
        <v>359013</v>
      </c>
      <c r="V99" s="44">
        <v>5</v>
      </c>
      <c r="W99" s="44">
        <v>1</v>
      </c>
      <c r="X99" s="44">
        <f t="shared" si="21"/>
        <v>359008</v>
      </c>
      <c r="Y99" s="91">
        <f t="shared" si="22"/>
        <v>-3.8385974741471048E-3</v>
      </c>
      <c r="Z99" s="91">
        <f t="shared" si="23"/>
        <v>1.6689554235422195E-3</v>
      </c>
      <c r="AA99" s="91">
        <f t="shared" si="34"/>
        <v>-3.8385974741471048E-3</v>
      </c>
      <c r="AB99" s="44" t="s">
        <v>81</v>
      </c>
      <c r="AC99" s="91">
        <f t="shared" si="31"/>
        <v>-1.5111000000000001E-2</v>
      </c>
      <c r="AD99" s="91" cm="1">
        <f t="array" ref="AD99">_xlfn.IFS(
AND(L99="marginal_effect",M99="level"),N99*AN99/BF99,
AND(L99="marginal_effect",M99="sd (Y)"),N99*BH99*AN99/BF99,
AND(L99="marginal_effect",M99="sd (X)"),N99/AQ99*AN99/BF99,
AND(L99="semi_elasticity",M99="level"),N99*AN99,
AND(L99="semi_elasticity",M99="sd (Y)"),N99*AN99*BH99,
AND(L99="semi_elasticity",M99="sd (X)"),N99*AN99/AQ99,
AND(L99="level-log",M99="level"),N99/BF99,
AND(L99="level-log",M99="sd (X)"),N99/BF99/AQ99,
AND(L99="level-log",M99="sd (Y)"),N99/BF99*BH99,
AND(L99="elasticity",M99="level"),N99,
AND(L99="elasticity",M99="sd (X)"),N99/AQ99,
AND(L99="elasticity",M99="sd (Y)"),N99*BH99,
AND(L99="marginal_effect",M99="percent_of_mean"),N99*AN99/BF99/10)</f>
        <v>-1.5111000000000001E-2</v>
      </c>
      <c r="AE99" s="50">
        <f t="shared" si="25"/>
        <v>1</v>
      </c>
      <c r="AF99" s="91">
        <f t="shared" si="32"/>
        <v>6.5700000000000003E-3</v>
      </c>
      <c r="AG99" s="91" cm="1">
        <f t="array" ref="AG99">_xlfn.IFS(
AND(L99="marginal_effect",M99="level"),O99*AN99/BF99,
AND(L99="marginal_effect",M99="sd (Y)"),O99*BH99*AN99/BF99,
AND(L99="marginal_effect",M99="sd (X)"),O99/AQ99*AN99/BF99,
AND(L99="semi_elasticity",M99="level"),O99*AN99,
AND(L99="semi_elasticity",M99="sd (Y)"),O99*AN99*BH99,
AND(L99="semi_elasticity",M99="sd (X)"),O99*AN99/AQ99,
AND(L99="level-log",M99="level"),O99/BF99,
AND(L99="level-log",M99="sd (X)"),O99/BF99/AQ99,
AND(L99="level-log",M99="sd (Y)"),O99/BF99*BH99,
AND(L99="elasticity",M99="level"),O99,
AND(L99="elasticity",M99="sd (X)"),O99/AQ99,
AND(L99="elasticity",M99="sd (Y)"),O99*BH99,
AND(L99="marginal_effect",M99="percent_of_mean"),O99*AN99/BF99/10)</f>
        <v>6.5700000000000003E-3</v>
      </c>
      <c r="AH99" s="50">
        <f t="shared" si="26"/>
        <v>1</v>
      </c>
      <c r="AI99" s="91">
        <f t="shared" si="35"/>
        <v>-1.5111000000000001E-2</v>
      </c>
      <c r="AJ99" s="50">
        <v>0</v>
      </c>
      <c r="AK99" s="50">
        <f t="shared" si="28"/>
        <v>1</v>
      </c>
      <c r="AL99" s="44" t="s">
        <v>431</v>
      </c>
      <c r="AM99" s="44" t="s">
        <v>441</v>
      </c>
      <c r="AN99" s="44">
        <v>6.57</v>
      </c>
      <c r="AO99" s="44">
        <v>0</v>
      </c>
      <c r="AP99" s="44">
        <f t="shared" si="33"/>
        <v>65.7</v>
      </c>
      <c r="AQ99" s="44">
        <v>41.4</v>
      </c>
      <c r="AR99" s="44" t="s">
        <v>312</v>
      </c>
      <c r="AS99" s="44" t="s">
        <v>312</v>
      </c>
      <c r="AT99" s="44" t="s">
        <v>83</v>
      </c>
      <c r="AU99" s="44" t="s">
        <v>109</v>
      </c>
      <c r="AV99" s="44" t="s">
        <v>133</v>
      </c>
      <c r="AW99" s="44" t="s">
        <v>85</v>
      </c>
      <c r="AX99" s="44" t="s">
        <v>86</v>
      </c>
      <c r="AY99" s="44">
        <v>0</v>
      </c>
      <c r="AZ99" s="44">
        <v>0</v>
      </c>
      <c r="BA99" s="44" t="s">
        <v>87</v>
      </c>
      <c r="BB99" s="44" t="s">
        <v>88</v>
      </c>
      <c r="BC99" s="44" t="s">
        <v>113</v>
      </c>
      <c r="BD99" s="44" t="s">
        <v>433</v>
      </c>
      <c r="BE99" s="44" t="s">
        <v>447</v>
      </c>
      <c r="BF99" s="44">
        <v>413.3</v>
      </c>
      <c r="BG99" s="44">
        <v>0</v>
      </c>
      <c r="BH99" s="44">
        <v>167.7</v>
      </c>
      <c r="BI99" s="44" t="s">
        <v>312</v>
      </c>
      <c r="BJ99" s="44" t="s">
        <v>312</v>
      </c>
      <c r="BK99" s="44" t="s">
        <v>91</v>
      </c>
      <c r="BL99" s="44" t="s">
        <v>84</v>
      </c>
      <c r="BM99" s="44">
        <v>1</v>
      </c>
      <c r="BN99" s="44" t="s">
        <v>428</v>
      </c>
      <c r="BO99" s="44" t="s">
        <v>429</v>
      </c>
      <c r="BP99" s="44" t="s">
        <v>430</v>
      </c>
      <c r="BQ99" s="44" t="s">
        <v>117</v>
      </c>
      <c r="BR99" s="44" t="s">
        <v>93</v>
      </c>
      <c r="BS99" s="44" t="s">
        <v>312</v>
      </c>
      <c r="BT99" s="44" t="s">
        <v>312</v>
      </c>
      <c r="BU99" s="45">
        <v>40179</v>
      </c>
      <c r="BV99" s="45">
        <v>41252</v>
      </c>
      <c r="BW99" s="44" t="s">
        <v>432</v>
      </c>
      <c r="BX99" s="44" t="s">
        <v>95</v>
      </c>
      <c r="BY99" s="44" t="s">
        <v>96</v>
      </c>
      <c r="BZ99" s="44">
        <v>0</v>
      </c>
      <c r="CA99" s="44">
        <v>0</v>
      </c>
      <c r="CB99" s="44" t="s">
        <v>97</v>
      </c>
      <c r="CC99" s="44" t="s">
        <v>313</v>
      </c>
      <c r="CD99" s="44">
        <v>1</v>
      </c>
      <c r="CE99" s="44" t="s">
        <v>435</v>
      </c>
      <c r="CF99" s="44">
        <v>0</v>
      </c>
      <c r="CG99" s="44" t="s">
        <v>97</v>
      </c>
      <c r="CH99" s="44">
        <v>1</v>
      </c>
      <c r="CI99" s="44" t="s">
        <v>436</v>
      </c>
      <c r="CJ99" s="44" t="s">
        <v>98</v>
      </c>
      <c r="CK99" s="44">
        <v>18</v>
      </c>
      <c r="CL99" s="44">
        <v>0</v>
      </c>
      <c r="CM99" s="44">
        <v>0</v>
      </c>
      <c r="CN99" s="44" t="s">
        <v>124</v>
      </c>
      <c r="CO99" s="44" t="s">
        <v>97</v>
      </c>
      <c r="CP99" s="44" t="s">
        <v>100</v>
      </c>
      <c r="CQ99" s="44" t="s">
        <v>126</v>
      </c>
      <c r="CR99" s="45">
        <v>46216</v>
      </c>
      <c r="CT99" s="44" t="s">
        <v>471</v>
      </c>
    </row>
    <row r="100" spans="1:98" s="44" customFormat="1" x14ac:dyDescent="0.35">
      <c r="A100" s="43" t="s">
        <v>425</v>
      </c>
      <c r="B100" s="43" t="s">
        <v>472</v>
      </c>
      <c r="C100" s="44" t="s">
        <v>387</v>
      </c>
      <c r="D100" s="44">
        <v>2019</v>
      </c>
      <c r="E100" s="43" t="s">
        <v>426</v>
      </c>
      <c r="F100" s="43" t="s">
        <v>427</v>
      </c>
      <c r="G100" s="44" t="s">
        <v>78</v>
      </c>
      <c r="H100" s="44">
        <v>1</v>
      </c>
      <c r="I100" s="44" t="s">
        <v>290</v>
      </c>
      <c r="J100" s="44" t="s">
        <v>79</v>
      </c>
      <c r="K100" s="44">
        <v>864</v>
      </c>
      <c r="L100" s="44" t="s">
        <v>104</v>
      </c>
      <c r="M100" s="44" t="s">
        <v>380</v>
      </c>
      <c r="N100" s="44">
        <v>-2.7000000000000001E-3</v>
      </c>
      <c r="O100" s="44">
        <v>4.0000000000000002E-4</v>
      </c>
      <c r="P100" s="91">
        <f t="shared" si="18"/>
        <v>-6.75</v>
      </c>
      <c r="Q100" s="44" t="s">
        <v>312</v>
      </c>
      <c r="R100" s="91">
        <f t="shared" si="19"/>
        <v>-3.4840000000000001E-3</v>
      </c>
      <c r="S100" s="91">
        <f t="shared" si="20"/>
        <v>-1.9160000000000002E-3</v>
      </c>
      <c r="T100" s="44">
        <v>1</v>
      </c>
      <c r="U100" s="44">
        <v>112678</v>
      </c>
      <c r="V100" s="44">
        <v>4</v>
      </c>
      <c r="W100" s="44">
        <v>1</v>
      </c>
      <c r="X100" s="44">
        <f t="shared" si="21"/>
        <v>112674</v>
      </c>
      <c r="Y100" s="91">
        <f t="shared" si="22"/>
        <v>-2.010500222932737E-2</v>
      </c>
      <c r="Z100" s="91">
        <f t="shared" si="23"/>
        <v>2.9785188487892397E-3</v>
      </c>
      <c r="AA100" s="91">
        <f t="shared" si="34"/>
        <v>-2.010500222932737E-2</v>
      </c>
      <c r="AB100" s="44" t="s">
        <v>81</v>
      </c>
      <c r="AC100" s="91">
        <f t="shared" si="31"/>
        <v>-1.7739000000000001E-2</v>
      </c>
      <c r="AD100" s="91" cm="1">
        <f t="array" ref="AD100">_xlfn.IFS(
AND(L100="marginal_effect",M100="level"),N100*AN100/BF100,
AND(L100="marginal_effect",M100="sd (Y)"),N100*BH100*AN100/BF100,
AND(L100="marginal_effect",M100="sd (X)"),N100/AQ100*AN100/BF100,
AND(L100="semi_elasticity",M100="level"),N100*AN100,
AND(L100="semi_elasticity",M100="sd (Y)"),N100*AN100*BH100,
AND(L100="semi_elasticity",M100="sd (X)"),N100*AN100/AQ100,
AND(L100="level-log",M100="level"),N100/BF100,
AND(L100="level-log",M100="sd (X)"),N100/BF100/AQ100,
AND(L100="level-log",M100="sd (Y)"),N100/BF100*BH100,
AND(L100="elasticity",M100="level"),N100,
AND(L100="elasticity",M100="sd (X)"),N100/AQ100,
AND(L100="elasticity",M100="sd (Y)"),N100*BH100,
AND(L100="marginal_effect",M100="percent_of_mean"),N100*AN100/BF100/10)</f>
        <v>-1.7739000000000001E-2</v>
      </c>
      <c r="AE100" s="50">
        <f t="shared" si="25"/>
        <v>1</v>
      </c>
      <c r="AF100" s="91">
        <f t="shared" si="32"/>
        <v>2.6280000000000001E-3</v>
      </c>
      <c r="AG100" s="91" cm="1">
        <f t="array" ref="AG100">_xlfn.IFS(
AND(L100="marginal_effect",M100="level"),O100*AN100/BF100,
AND(L100="marginal_effect",M100="sd (Y)"),O100*BH100*AN100/BF100,
AND(L100="marginal_effect",M100="sd (X)"),O100/AQ100*AN100/BF100,
AND(L100="semi_elasticity",M100="level"),O100*AN100,
AND(L100="semi_elasticity",M100="sd (Y)"),O100*AN100*BH100,
AND(L100="semi_elasticity",M100="sd (X)"),O100*AN100/AQ100,
AND(L100="level-log",M100="level"),O100/BF100,
AND(L100="level-log",M100="sd (X)"),O100/BF100/AQ100,
AND(L100="level-log",M100="sd (Y)"),O100/BF100*BH100,
AND(L100="elasticity",M100="level"),O100,
AND(L100="elasticity",M100="sd (X)"),O100/AQ100,
AND(L100="elasticity",M100="sd (Y)"),O100*BH100,
AND(L100="marginal_effect",M100="percent_of_mean"),O100*AN100/BF100/10)</f>
        <v>2.6280000000000001E-3</v>
      </c>
      <c r="AH100" s="50">
        <f t="shared" si="26"/>
        <v>1</v>
      </c>
      <c r="AI100" s="91">
        <f t="shared" si="35"/>
        <v>-1.7739000000000001E-2</v>
      </c>
      <c r="AJ100" s="50">
        <v>0</v>
      </c>
      <c r="AK100" s="50">
        <f t="shared" si="28"/>
        <v>1</v>
      </c>
      <c r="AL100" s="44" t="s">
        <v>431</v>
      </c>
      <c r="AM100" s="44" t="s">
        <v>441</v>
      </c>
      <c r="AN100" s="44">
        <v>6.57</v>
      </c>
      <c r="AO100" s="44">
        <v>0</v>
      </c>
      <c r="AP100" s="44">
        <f t="shared" si="33"/>
        <v>65.7</v>
      </c>
      <c r="AQ100" s="44">
        <v>44.7</v>
      </c>
      <c r="AR100" s="44" t="s">
        <v>312</v>
      </c>
      <c r="AS100" s="44" t="s">
        <v>312</v>
      </c>
      <c r="AT100" s="44" t="s">
        <v>83</v>
      </c>
      <c r="AU100" s="44" t="s">
        <v>109</v>
      </c>
      <c r="AV100" s="44" t="s">
        <v>133</v>
      </c>
      <c r="AW100" s="44" t="s">
        <v>85</v>
      </c>
      <c r="AX100" s="44" t="s">
        <v>86</v>
      </c>
      <c r="AY100" s="44">
        <v>0</v>
      </c>
      <c r="AZ100" s="44">
        <v>0</v>
      </c>
      <c r="BA100" s="44" t="s">
        <v>87</v>
      </c>
      <c r="BB100" s="44" t="s">
        <v>88</v>
      </c>
      <c r="BC100" s="44" t="s">
        <v>113</v>
      </c>
      <c r="BD100" s="44" t="s">
        <v>433</v>
      </c>
      <c r="BE100" s="44" t="s">
        <v>434</v>
      </c>
      <c r="BF100" s="44">
        <v>64.099999999999994</v>
      </c>
      <c r="BG100" s="44">
        <v>0</v>
      </c>
      <c r="BH100" s="44">
        <v>47</v>
      </c>
      <c r="BI100" s="44" t="s">
        <v>312</v>
      </c>
      <c r="BJ100" s="44" t="s">
        <v>312</v>
      </c>
      <c r="BK100" s="44" t="s">
        <v>91</v>
      </c>
      <c r="BL100" s="44" t="s">
        <v>84</v>
      </c>
      <c r="BM100" s="44">
        <v>1</v>
      </c>
      <c r="BN100" s="44" t="s">
        <v>428</v>
      </c>
      <c r="BO100" s="44" t="s">
        <v>429</v>
      </c>
      <c r="BP100" s="44" t="s">
        <v>430</v>
      </c>
      <c r="BQ100" s="44" t="s">
        <v>117</v>
      </c>
      <c r="BR100" s="44" t="s">
        <v>93</v>
      </c>
      <c r="BS100" s="44" t="s">
        <v>312</v>
      </c>
      <c r="BT100" s="44" t="s">
        <v>312</v>
      </c>
      <c r="BU100" s="45">
        <v>40179</v>
      </c>
      <c r="BV100" s="45">
        <v>41252</v>
      </c>
      <c r="BW100" s="44" t="s">
        <v>432</v>
      </c>
      <c r="BX100" s="44" t="s">
        <v>95</v>
      </c>
      <c r="BY100" s="44" t="s">
        <v>96</v>
      </c>
      <c r="BZ100" s="44">
        <v>0</v>
      </c>
      <c r="CA100" s="44">
        <v>0</v>
      </c>
      <c r="CB100" s="44" t="s">
        <v>97</v>
      </c>
      <c r="CC100" s="44" t="s">
        <v>313</v>
      </c>
      <c r="CD100" s="44">
        <v>1</v>
      </c>
      <c r="CE100" s="44" t="s">
        <v>478</v>
      </c>
      <c r="CF100" s="44">
        <v>0</v>
      </c>
      <c r="CG100" s="44" t="s">
        <v>97</v>
      </c>
      <c r="CH100" s="44">
        <v>1</v>
      </c>
      <c r="CI100" s="44" t="s">
        <v>436</v>
      </c>
      <c r="CJ100" s="44" t="s">
        <v>98</v>
      </c>
      <c r="CK100" s="44">
        <v>18</v>
      </c>
      <c r="CL100" s="44">
        <v>0</v>
      </c>
      <c r="CM100" s="44">
        <v>0</v>
      </c>
      <c r="CN100" s="44" t="s">
        <v>124</v>
      </c>
      <c r="CO100" s="44" t="s">
        <v>97</v>
      </c>
      <c r="CP100" s="44" t="s">
        <v>100</v>
      </c>
      <c r="CQ100" s="44" t="s">
        <v>126</v>
      </c>
      <c r="CR100" s="45">
        <v>46216</v>
      </c>
      <c r="CT100" s="44" t="s">
        <v>476</v>
      </c>
    </row>
    <row r="101" spans="1:98" s="44" customFormat="1" x14ac:dyDescent="0.35">
      <c r="A101" s="43" t="s">
        <v>425</v>
      </c>
      <c r="B101" s="43" t="s">
        <v>473</v>
      </c>
      <c r="C101" s="44" t="s">
        <v>387</v>
      </c>
      <c r="D101" s="44">
        <v>2019</v>
      </c>
      <c r="E101" s="43" t="s">
        <v>426</v>
      </c>
      <c r="F101" s="43" t="s">
        <v>427</v>
      </c>
      <c r="G101" s="44" t="s">
        <v>78</v>
      </c>
      <c r="H101" s="44">
        <v>1</v>
      </c>
      <c r="I101" s="44" t="s">
        <v>290</v>
      </c>
      <c r="J101" s="44" t="s">
        <v>79</v>
      </c>
      <c r="K101" s="44">
        <v>864</v>
      </c>
      <c r="L101" s="44" t="s">
        <v>104</v>
      </c>
      <c r="M101" s="44" t="s">
        <v>380</v>
      </c>
      <c r="N101" s="44">
        <v>-1E-3</v>
      </c>
      <c r="O101" s="44">
        <v>5.0000000000000001E-4</v>
      </c>
      <c r="P101" s="91">
        <f t="shared" si="18"/>
        <v>-2</v>
      </c>
      <c r="Q101" s="44" t="s">
        <v>312</v>
      </c>
      <c r="R101" s="91">
        <f t="shared" si="19"/>
        <v>-1.98E-3</v>
      </c>
      <c r="S101" s="91">
        <f t="shared" si="20"/>
        <v>-2.0000000000000052E-5</v>
      </c>
      <c r="T101" s="44">
        <v>1</v>
      </c>
      <c r="U101" s="44">
        <v>112678</v>
      </c>
      <c r="V101" s="44">
        <v>4</v>
      </c>
      <c r="W101" s="44">
        <v>1</v>
      </c>
      <c r="X101" s="44">
        <f t="shared" si="21"/>
        <v>112674</v>
      </c>
      <c r="Y101" s="91">
        <f t="shared" si="22"/>
        <v>-5.9581362552029041E-3</v>
      </c>
      <c r="Z101" s="91">
        <f t="shared" si="23"/>
        <v>2.9790681276014521E-3</v>
      </c>
      <c r="AA101" s="91">
        <f t="shared" si="34"/>
        <v>-5.9581362552029041E-3</v>
      </c>
      <c r="AB101" s="44" t="s">
        <v>81</v>
      </c>
      <c r="AC101" s="91">
        <f t="shared" si="31"/>
        <v>-6.5700000000000003E-3</v>
      </c>
      <c r="AD101" s="91" cm="1">
        <f t="array" ref="AD101">_xlfn.IFS(
AND(L101="marginal_effect",M101="level"),N101*AN101/BF101,
AND(L101="marginal_effect",M101="sd (Y)"),N101*BH101*AN101/BF101,
AND(L101="marginal_effect",M101="sd (X)"),N101/AQ101*AN101/BF101,
AND(L101="semi_elasticity",M101="level"),N101*AN101,
AND(L101="semi_elasticity",M101="sd (Y)"),N101*AN101*BH101,
AND(L101="semi_elasticity",M101="sd (X)"),N101*AN101/AQ101,
AND(L101="level-log",M101="level"),N101/BF101,
AND(L101="level-log",M101="sd (X)"),N101/BF101/AQ101,
AND(L101="level-log",M101="sd (Y)"),N101/BF101*BH101,
AND(L101="elasticity",M101="level"),N101,
AND(L101="elasticity",M101="sd (X)"),N101/AQ101,
AND(L101="elasticity",M101="sd (Y)"),N101*BH101,
AND(L101="marginal_effect",M101="percent_of_mean"),N101*AN101/BF101/10)</f>
        <v>-6.5700000000000003E-3</v>
      </c>
      <c r="AE101" s="50">
        <f t="shared" si="25"/>
        <v>1</v>
      </c>
      <c r="AF101" s="91">
        <f t="shared" si="32"/>
        <v>3.2850000000000002E-3</v>
      </c>
      <c r="AG101" s="91" cm="1">
        <f t="array" ref="AG101">_xlfn.IFS(
AND(L101="marginal_effect",M101="level"),O101*AN101/BF101,
AND(L101="marginal_effect",M101="sd (Y)"),O101*BH101*AN101/BF101,
AND(L101="marginal_effect",M101="sd (X)"),O101/AQ101*AN101/BF101,
AND(L101="semi_elasticity",M101="level"),O101*AN101,
AND(L101="semi_elasticity",M101="sd (Y)"),O101*AN101*BH101,
AND(L101="semi_elasticity",M101="sd (X)"),O101*AN101/AQ101,
AND(L101="level-log",M101="level"),O101/BF101,
AND(L101="level-log",M101="sd (X)"),O101/BF101/AQ101,
AND(L101="level-log",M101="sd (Y)"),O101/BF101*BH101,
AND(L101="elasticity",M101="level"),O101,
AND(L101="elasticity",M101="sd (X)"),O101/AQ101,
AND(L101="elasticity",M101="sd (Y)"),O101*BH101,
AND(L101="marginal_effect",M101="percent_of_mean"),O101*AN101/BF101/10)</f>
        <v>3.2850000000000002E-3</v>
      </c>
      <c r="AH101" s="50">
        <f t="shared" si="26"/>
        <v>1</v>
      </c>
      <c r="AI101" s="91">
        <f t="shared" si="35"/>
        <v>-6.5700000000000003E-3</v>
      </c>
      <c r="AJ101" s="50">
        <v>0</v>
      </c>
      <c r="AK101" s="50">
        <f t="shared" si="28"/>
        <v>1</v>
      </c>
      <c r="AL101" s="44" t="s">
        <v>431</v>
      </c>
      <c r="AM101" s="44" t="s">
        <v>441</v>
      </c>
      <c r="AN101" s="44">
        <v>6.57</v>
      </c>
      <c r="AO101" s="44">
        <v>0</v>
      </c>
      <c r="AP101" s="44">
        <f t="shared" si="33"/>
        <v>65.7</v>
      </c>
      <c r="AQ101" s="44">
        <v>44.7</v>
      </c>
      <c r="AR101" s="44" t="s">
        <v>312</v>
      </c>
      <c r="AS101" s="44" t="s">
        <v>312</v>
      </c>
      <c r="AT101" s="44" t="s">
        <v>83</v>
      </c>
      <c r="AU101" s="44" t="s">
        <v>109</v>
      </c>
      <c r="AV101" s="44" t="s">
        <v>133</v>
      </c>
      <c r="AW101" s="44" t="s">
        <v>85</v>
      </c>
      <c r="AX101" s="44" t="s">
        <v>86</v>
      </c>
      <c r="AY101" s="44">
        <v>0</v>
      </c>
      <c r="AZ101" s="44">
        <v>0</v>
      </c>
      <c r="BA101" s="44" t="s">
        <v>87</v>
      </c>
      <c r="BB101" s="44" t="s">
        <v>88</v>
      </c>
      <c r="BC101" s="44" t="s">
        <v>113</v>
      </c>
      <c r="BD101" s="44" t="s">
        <v>433</v>
      </c>
      <c r="BE101" s="44" t="s">
        <v>447</v>
      </c>
      <c r="BF101" s="44">
        <v>441.5</v>
      </c>
      <c r="BG101" s="44">
        <v>0</v>
      </c>
      <c r="BH101" s="44">
        <v>144.80000000000001</v>
      </c>
      <c r="BI101" s="44" t="s">
        <v>312</v>
      </c>
      <c r="BJ101" s="44" t="s">
        <v>312</v>
      </c>
      <c r="BK101" s="44" t="s">
        <v>91</v>
      </c>
      <c r="BL101" s="44" t="s">
        <v>84</v>
      </c>
      <c r="BM101" s="44">
        <v>1</v>
      </c>
      <c r="BN101" s="44" t="s">
        <v>428</v>
      </c>
      <c r="BO101" s="44" t="s">
        <v>429</v>
      </c>
      <c r="BP101" s="44" t="s">
        <v>430</v>
      </c>
      <c r="BQ101" s="44" t="s">
        <v>117</v>
      </c>
      <c r="BR101" s="44" t="s">
        <v>93</v>
      </c>
      <c r="BS101" s="44" t="s">
        <v>312</v>
      </c>
      <c r="BT101" s="44" t="s">
        <v>312</v>
      </c>
      <c r="BU101" s="45">
        <v>40179</v>
      </c>
      <c r="BV101" s="45">
        <v>41252</v>
      </c>
      <c r="BW101" s="44" t="s">
        <v>432</v>
      </c>
      <c r="BX101" s="44" t="s">
        <v>95</v>
      </c>
      <c r="BY101" s="44" t="s">
        <v>96</v>
      </c>
      <c r="BZ101" s="44">
        <v>0</v>
      </c>
      <c r="CA101" s="44">
        <v>0</v>
      </c>
      <c r="CB101" s="44" t="s">
        <v>97</v>
      </c>
      <c r="CC101" s="44" t="s">
        <v>313</v>
      </c>
      <c r="CD101" s="44">
        <v>1</v>
      </c>
      <c r="CE101" s="44" t="s">
        <v>478</v>
      </c>
      <c r="CF101" s="44">
        <v>0</v>
      </c>
      <c r="CG101" s="44" t="s">
        <v>97</v>
      </c>
      <c r="CH101" s="44">
        <v>1</v>
      </c>
      <c r="CI101" s="44" t="s">
        <v>436</v>
      </c>
      <c r="CJ101" s="44" t="s">
        <v>98</v>
      </c>
      <c r="CK101" s="44">
        <v>18</v>
      </c>
      <c r="CL101" s="44">
        <v>0</v>
      </c>
      <c r="CM101" s="44">
        <v>0</v>
      </c>
      <c r="CN101" s="44" t="s">
        <v>124</v>
      </c>
      <c r="CO101" s="44" t="s">
        <v>97</v>
      </c>
      <c r="CP101" s="44" t="s">
        <v>100</v>
      </c>
      <c r="CQ101" s="44" t="s">
        <v>126</v>
      </c>
      <c r="CR101" s="45">
        <v>46216</v>
      </c>
      <c r="CT101" s="44" t="s">
        <v>477</v>
      </c>
    </row>
    <row r="102" spans="1:98" s="47" customFormat="1" x14ac:dyDescent="0.35">
      <c r="A102" s="46" t="s">
        <v>479</v>
      </c>
      <c r="B102" s="46" t="s">
        <v>490</v>
      </c>
      <c r="C102" s="47" t="s">
        <v>480</v>
      </c>
      <c r="D102" s="47">
        <v>2012</v>
      </c>
      <c r="E102" s="46" t="s">
        <v>481</v>
      </c>
      <c r="F102" s="46" t="s">
        <v>482</v>
      </c>
      <c r="G102" s="47" t="s">
        <v>78</v>
      </c>
      <c r="H102" s="47">
        <v>1</v>
      </c>
      <c r="I102" s="47" t="s">
        <v>390</v>
      </c>
      <c r="J102" s="47" t="s">
        <v>79</v>
      </c>
      <c r="K102" s="47">
        <v>1698</v>
      </c>
      <c r="L102" s="47" t="s">
        <v>129</v>
      </c>
      <c r="M102" s="47" t="s">
        <v>938</v>
      </c>
      <c r="N102" s="47">
        <v>-0.14299999999999999</v>
      </c>
      <c r="O102" s="47">
        <v>6.8000000000000005E-2</v>
      </c>
      <c r="P102" s="92">
        <f t="shared" si="18"/>
        <v>-2.1029411764705879</v>
      </c>
      <c r="Q102" s="47" t="s">
        <v>312</v>
      </c>
      <c r="R102" s="92">
        <f t="shared" si="19"/>
        <v>-0.27627999999999997</v>
      </c>
      <c r="S102" s="92">
        <f t="shared" si="20"/>
        <v>-9.7199999999999787E-3</v>
      </c>
      <c r="T102" s="47">
        <v>1</v>
      </c>
      <c r="U102" s="47">
        <v>35461</v>
      </c>
      <c r="V102" s="47" t="s">
        <v>312</v>
      </c>
      <c r="W102" s="47" t="s">
        <v>312</v>
      </c>
      <c r="X102" s="47">
        <f t="shared" si="21"/>
        <v>35461</v>
      </c>
      <c r="Y102" s="92">
        <f t="shared" si="22"/>
        <v>-1.1166692489555347E-2</v>
      </c>
      <c r="Z102" s="92">
        <f t="shared" si="23"/>
        <v>5.3100355894389068E-3</v>
      </c>
      <c r="AA102" s="92">
        <f t="shared" si="34"/>
        <v>-1.1166692489555347E-2</v>
      </c>
      <c r="AB102" s="47" t="s">
        <v>81</v>
      </c>
      <c r="AC102" s="92">
        <f>-0.055*AN102</f>
        <v>-0.262735</v>
      </c>
      <c r="AD102" s="92" t="e" cm="1">
        <f t="array" ref="AD102">_xlfn.IFS(
AND(L102="marginal_effect",M102="level"),N102*AN102/BF102,
AND(L102="marginal_effect",M102="sd (Y)"),N102*BH102*AN102/BF102,
AND(L102="marginal_effect",M102="sd (X)"),N102/AQ102*AN102/BF102,
AND(L102="semi_elasticity",M102="level"),N102*AN102,
AND(L102="semi_elasticity",M102="sd (Y)"),N102*AN102*BH102,
AND(L102="semi_elasticity",M102="sd (X)"),N102*AN102/AQ102,
AND(L102="level-log",M102="level"),N102/BF102,
AND(L102="level-log",M102="sd (X)"),N102/BF102/AQ102,
AND(L102="level-log",M102="sd (Y)"),N102/BF102*BH102,
AND(L102="elasticity",M102="level"),N102,
AND(L102="elasticity",M102="sd (X)"),N102/AQ102,
AND(L102="elasticity",M102="sd (Y)"),N102*BH102,
AND(L102="marginal_effect",M102="percent_of_mean"),N102*AN102/BF102/10)</f>
        <v>#VALUE!</v>
      </c>
      <c r="AE102" s="51" t="e">
        <f t="shared" si="25"/>
        <v>#VALUE!</v>
      </c>
      <c r="AF102" s="92">
        <f t="shared" ref="AF102:AF118" si="36">O102*0.3846*AN102</f>
        <v>0.12493192560000001</v>
      </c>
      <c r="AG102" s="92" t="e" cm="1">
        <f t="array" ref="AG102">_xlfn.IFS(
AND(L102="marginal_effect",M102="level"),O102*AN102/BF102,
AND(L102="marginal_effect",M102="sd (Y)"),O102*BH102*AN102/BF102,
AND(L102="marginal_effect",M102="sd (X)"),O102/AQ102*AN102/BF102,
AND(L102="semi_elasticity",M102="level"),O102*AN102,
AND(L102="semi_elasticity",M102="sd (Y)"),O102*AN102*BH102,
AND(L102="semi_elasticity",M102="sd (X)"),O102*AN102/AQ102,
AND(L102="level-log",M102="level"),O102/BF102,
AND(L102="level-log",M102="sd (X)"),O102/BF102/AQ102,
AND(L102="level-log",M102="sd (Y)"),O102/BF102*BH102,
AND(L102="elasticity",M102="level"),O102,
AND(L102="elasticity",M102="sd (X)"),O102/AQ102,
AND(L102="elasticity",M102="sd (Y)"),O102*BH102,
AND(L102="marginal_effect",M102="percent_of_mean"),O102*AN102/BF102/10)</f>
        <v>#VALUE!</v>
      </c>
      <c r="AH102" s="51" t="e">
        <f t="shared" si="26"/>
        <v>#VALUE!</v>
      </c>
      <c r="AI102" s="92">
        <f t="shared" si="35"/>
        <v>-0.262735</v>
      </c>
      <c r="AJ102" s="51">
        <v>0</v>
      </c>
      <c r="AK102" s="51">
        <f t="shared" si="28"/>
        <v>0</v>
      </c>
      <c r="AL102" s="47" t="s">
        <v>148</v>
      </c>
      <c r="AM102" s="47" t="s">
        <v>483</v>
      </c>
      <c r="AN102" s="47">
        <v>4.7770000000000001</v>
      </c>
      <c r="AO102" s="47">
        <v>0</v>
      </c>
      <c r="AP102" s="47">
        <f t="shared" si="33"/>
        <v>47.77</v>
      </c>
      <c r="AQ102" s="47">
        <v>13.24</v>
      </c>
      <c r="AR102" s="47">
        <v>10.5</v>
      </c>
      <c r="AS102" s="47">
        <v>86</v>
      </c>
      <c r="AT102" s="47" t="s">
        <v>83</v>
      </c>
      <c r="AU102" s="47" t="s">
        <v>109</v>
      </c>
      <c r="AV102" s="47" t="s">
        <v>133</v>
      </c>
      <c r="AW102" s="47" t="s">
        <v>109</v>
      </c>
      <c r="AX102" s="47" t="s">
        <v>86</v>
      </c>
      <c r="AY102" s="47">
        <v>0</v>
      </c>
      <c r="AZ102" s="47">
        <v>0</v>
      </c>
      <c r="BA102" s="47" t="s">
        <v>87</v>
      </c>
      <c r="BB102" s="47" t="s">
        <v>88</v>
      </c>
      <c r="BC102" s="47" t="s">
        <v>89</v>
      </c>
      <c r="BD102" s="47" t="s">
        <v>90</v>
      </c>
      <c r="BE102" s="47" t="s">
        <v>500</v>
      </c>
      <c r="BF102" s="47">
        <v>-0.32300000000000001</v>
      </c>
      <c r="BG102" s="47">
        <v>0</v>
      </c>
      <c r="BH102" s="47" t="s">
        <v>312</v>
      </c>
      <c r="BI102" s="47" t="s">
        <v>312</v>
      </c>
      <c r="BJ102" s="47" t="s">
        <v>312</v>
      </c>
      <c r="BK102" s="47" t="s">
        <v>91</v>
      </c>
      <c r="BL102" s="47" t="s">
        <v>84</v>
      </c>
      <c r="BM102" s="47">
        <v>1</v>
      </c>
      <c r="BN102" s="47" t="s">
        <v>484</v>
      </c>
      <c r="BO102" s="47" t="s">
        <v>485</v>
      </c>
      <c r="BP102" s="47" t="s">
        <v>486</v>
      </c>
      <c r="BQ102" s="47" t="s">
        <v>92</v>
      </c>
      <c r="BR102" s="47" t="s">
        <v>118</v>
      </c>
      <c r="BS102" s="47" t="s">
        <v>312</v>
      </c>
      <c r="BT102" s="47" t="s">
        <v>312</v>
      </c>
      <c r="BU102" s="47">
        <v>2009</v>
      </c>
      <c r="BV102" s="47">
        <v>2010</v>
      </c>
      <c r="BW102" s="47" t="s">
        <v>94</v>
      </c>
      <c r="BX102" s="47" t="s">
        <v>95</v>
      </c>
      <c r="BY102" s="47" t="s">
        <v>96</v>
      </c>
      <c r="BZ102" s="47">
        <v>0</v>
      </c>
      <c r="CA102" s="47">
        <v>0</v>
      </c>
      <c r="CB102" s="47" t="s">
        <v>97</v>
      </c>
      <c r="CC102" s="47" t="s">
        <v>488</v>
      </c>
      <c r="CD102" s="47">
        <v>1</v>
      </c>
      <c r="CE102" s="47" t="s">
        <v>489</v>
      </c>
      <c r="CF102" s="47">
        <v>1</v>
      </c>
      <c r="CG102" s="47" t="s">
        <v>82</v>
      </c>
      <c r="CH102" s="47">
        <v>1</v>
      </c>
      <c r="CI102" s="47" t="s">
        <v>436</v>
      </c>
      <c r="CJ102" s="47" t="s">
        <v>98</v>
      </c>
      <c r="CK102" s="47">
        <v>17</v>
      </c>
      <c r="CL102" s="47">
        <v>1</v>
      </c>
      <c r="CM102" s="47">
        <v>1</v>
      </c>
      <c r="CN102" s="47" t="s">
        <v>99</v>
      </c>
      <c r="CO102" s="47" t="s">
        <v>97</v>
      </c>
      <c r="CP102" s="47" t="s">
        <v>125</v>
      </c>
      <c r="CQ102" s="47" t="s">
        <v>126</v>
      </c>
      <c r="CR102" s="48">
        <v>46216</v>
      </c>
      <c r="CT102" s="47" t="s">
        <v>487</v>
      </c>
    </row>
    <row r="103" spans="1:98" s="47" customFormat="1" x14ac:dyDescent="0.35">
      <c r="A103" s="46" t="s">
        <v>479</v>
      </c>
      <c r="B103" s="46" t="s">
        <v>491</v>
      </c>
      <c r="C103" s="47" t="s">
        <v>480</v>
      </c>
      <c r="D103" s="47">
        <v>2012</v>
      </c>
      <c r="E103" s="46" t="s">
        <v>481</v>
      </c>
      <c r="F103" s="46" t="s">
        <v>482</v>
      </c>
      <c r="G103" s="47" t="s">
        <v>78</v>
      </c>
      <c r="H103" s="47">
        <v>1</v>
      </c>
      <c r="I103" s="47" t="s">
        <v>390</v>
      </c>
      <c r="J103" s="47" t="s">
        <v>79</v>
      </c>
      <c r="K103" s="47">
        <v>1698</v>
      </c>
      <c r="L103" s="47" t="s">
        <v>129</v>
      </c>
      <c r="M103" s="47" t="s">
        <v>938</v>
      </c>
      <c r="N103" s="47">
        <v>-0.17399999999999999</v>
      </c>
      <c r="O103" s="47">
        <v>7.3999999999999996E-2</v>
      </c>
      <c r="P103" s="92">
        <f t="shared" si="18"/>
        <v>-2.3513513513513513</v>
      </c>
      <c r="Q103" s="47" t="s">
        <v>312</v>
      </c>
      <c r="R103" s="92">
        <f t="shared" si="19"/>
        <v>-0.31903999999999999</v>
      </c>
      <c r="S103" s="92">
        <f t="shared" si="20"/>
        <v>-2.8959999999999986E-2</v>
      </c>
      <c r="T103" s="47">
        <v>1</v>
      </c>
      <c r="U103" s="47">
        <v>35461</v>
      </c>
      <c r="V103" s="47" t="s">
        <v>312</v>
      </c>
      <c r="W103" s="47" t="s">
        <v>312</v>
      </c>
      <c r="X103" s="47">
        <f t="shared" si="21"/>
        <v>35461</v>
      </c>
      <c r="Y103" s="92">
        <f t="shared" si="22"/>
        <v>-1.248556459087136E-2</v>
      </c>
      <c r="Z103" s="92">
        <f t="shared" si="23"/>
        <v>5.3099527570372443E-3</v>
      </c>
      <c r="AA103" s="92">
        <f t="shared" si="34"/>
        <v>-1.248556459087136E-2</v>
      </c>
      <c r="AB103" s="47" t="s">
        <v>81</v>
      </c>
      <c r="AC103" s="92">
        <f t="shared" ref="AC103:AC118" si="37">N103*0.3846*AN103</f>
        <v>-0.31967875079999997</v>
      </c>
      <c r="AD103" s="92" t="e" cm="1">
        <f t="array" ref="AD103">_xlfn.IFS(
AND(L103="marginal_effect",M103="level"),N103*AN103/BF103,
AND(L103="marginal_effect",M103="sd (Y)"),N103*BH103*AN103/BF103,
AND(L103="marginal_effect",M103="sd (X)"),N103/AQ103*AN103/BF103,
AND(L103="semi_elasticity",M103="level"),N103*AN103,
AND(L103="semi_elasticity",M103="sd (Y)"),N103*AN103*BH103,
AND(L103="semi_elasticity",M103="sd (X)"),N103*AN103/AQ103,
AND(L103="level-log",M103="level"),N103/BF103,
AND(L103="level-log",M103="sd (X)"),N103/BF103/AQ103,
AND(L103="level-log",M103="sd (Y)"),N103/BF103*BH103,
AND(L103="elasticity",M103="level"),N103,
AND(L103="elasticity",M103="sd (X)"),N103/AQ103,
AND(L103="elasticity",M103="sd (Y)"),N103*BH103,
AND(L103="marginal_effect",M103="percent_of_mean"),N103*AN103/BF103/10)</f>
        <v>#VALUE!</v>
      </c>
      <c r="AE103" s="51" t="e">
        <f t="shared" si="25"/>
        <v>#VALUE!</v>
      </c>
      <c r="AF103" s="92">
        <f t="shared" si="36"/>
        <v>0.1359553308</v>
      </c>
      <c r="AG103" s="92" t="e" cm="1">
        <f t="array" ref="AG103">_xlfn.IFS(
AND(L103="marginal_effect",M103="level"),O103*AN103/BF103,
AND(L103="marginal_effect",M103="sd (Y)"),O103*BH103*AN103/BF103,
AND(L103="marginal_effect",M103="sd (X)"),O103/AQ103*AN103/BF103,
AND(L103="semi_elasticity",M103="level"),O103*AN103,
AND(L103="semi_elasticity",M103="sd (Y)"),O103*AN103*BH103,
AND(L103="semi_elasticity",M103="sd (X)"),O103*AN103/AQ103,
AND(L103="level-log",M103="level"),O103/BF103,
AND(L103="level-log",M103="sd (X)"),O103/BF103/AQ103,
AND(L103="level-log",M103="sd (Y)"),O103/BF103*BH103,
AND(L103="elasticity",M103="level"),O103,
AND(L103="elasticity",M103="sd (X)"),O103/AQ103,
AND(L103="elasticity",M103="sd (Y)"),O103*BH103,
AND(L103="marginal_effect",M103="percent_of_mean"),O103*AN103/BF103/10)</f>
        <v>#VALUE!</v>
      </c>
      <c r="AH103" s="51" t="e">
        <f t="shared" si="26"/>
        <v>#VALUE!</v>
      </c>
      <c r="AI103" s="92">
        <f t="shared" si="35"/>
        <v>-0.31967875079999997</v>
      </c>
      <c r="AJ103" s="51">
        <v>1</v>
      </c>
      <c r="AK103" s="51">
        <f t="shared" si="28"/>
        <v>1</v>
      </c>
      <c r="AL103" s="47" t="s">
        <v>148</v>
      </c>
      <c r="AM103" s="47" t="s">
        <v>483</v>
      </c>
      <c r="AN103" s="47">
        <v>4.7770000000000001</v>
      </c>
      <c r="AO103" s="47">
        <v>0</v>
      </c>
      <c r="AP103" s="47">
        <f t="shared" si="33"/>
        <v>47.77</v>
      </c>
      <c r="AQ103" s="47">
        <v>13.24</v>
      </c>
      <c r="AR103" s="47">
        <v>10.5</v>
      </c>
      <c r="AS103" s="47">
        <v>86</v>
      </c>
      <c r="AT103" s="47" t="s">
        <v>83</v>
      </c>
      <c r="AU103" s="47" t="s">
        <v>109</v>
      </c>
      <c r="AV103" s="47" t="s">
        <v>133</v>
      </c>
      <c r="AW103" s="47" t="s">
        <v>109</v>
      </c>
      <c r="AX103" s="47" t="s">
        <v>86</v>
      </c>
      <c r="AY103" s="47">
        <v>0</v>
      </c>
      <c r="AZ103" s="47">
        <v>0</v>
      </c>
      <c r="BA103" s="47" t="s">
        <v>87</v>
      </c>
      <c r="BB103" s="47" t="s">
        <v>88</v>
      </c>
      <c r="BC103" s="47" t="s">
        <v>89</v>
      </c>
      <c r="BD103" s="47" t="s">
        <v>90</v>
      </c>
      <c r="BE103" s="47" t="s">
        <v>500</v>
      </c>
      <c r="BF103" s="47">
        <v>-0.32300000000000001</v>
      </c>
      <c r="BG103" s="47">
        <v>0</v>
      </c>
      <c r="BH103" s="47" t="s">
        <v>312</v>
      </c>
      <c r="BI103" s="47" t="s">
        <v>312</v>
      </c>
      <c r="BJ103" s="47" t="s">
        <v>312</v>
      </c>
      <c r="BK103" s="47" t="s">
        <v>91</v>
      </c>
      <c r="BL103" s="47" t="s">
        <v>84</v>
      </c>
      <c r="BM103" s="47">
        <v>1</v>
      </c>
      <c r="BN103" s="47" t="s">
        <v>484</v>
      </c>
      <c r="BO103" s="47" t="s">
        <v>485</v>
      </c>
      <c r="BP103" s="47" t="s">
        <v>486</v>
      </c>
      <c r="BQ103" s="47" t="s">
        <v>92</v>
      </c>
      <c r="BR103" s="47" t="s">
        <v>118</v>
      </c>
      <c r="BS103" s="47" t="s">
        <v>312</v>
      </c>
      <c r="BT103" s="47" t="s">
        <v>312</v>
      </c>
      <c r="BU103" s="47">
        <v>2009</v>
      </c>
      <c r="BV103" s="47">
        <v>2010</v>
      </c>
      <c r="BW103" s="47" t="s">
        <v>94</v>
      </c>
      <c r="BX103" s="47" t="s">
        <v>95</v>
      </c>
      <c r="BY103" s="47" t="s">
        <v>494</v>
      </c>
      <c r="BZ103" s="47">
        <v>0</v>
      </c>
      <c r="CA103" s="47">
        <v>0</v>
      </c>
      <c r="CB103" s="47" t="s">
        <v>97</v>
      </c>
      <c r="CC103" s="47" t="s">
        <v>488</v>
      </c>
      <c r="CD103" s="47">
        <v>1</v>
      </c>
      <c r="CE103" s="47" t="s">
        <v>489</v>
      </c>
      <c r="CF103" s="47">
        <v>1</v>
      </c>
      <c r="CG103" s="47" t="s">
        <v>82</v>
      </c>
      <c r="CH103" s="47">
        <v>1</v>
      </c>
      <c r="CI103" s="47" t="s">
        <v>436</v>
      </c>
      <c r="CJ103" s="47" t="s">
        <v>98</v>
      </c>
      <c r="CK103" s="47">
        <v>17</v>
      </c>
      <c r="CL103" s="47">
        <v>0</v>
      </c>
      <c r="CM103" s="47">
        <v>0</v>
      </c>
      <c r="CN103" s="47" t="s">
        <v>99</v>
      </c>
      <c r="CO103" s="47" t="s">
        <v>97</v>
      </c>
      <c r="CP103" s="47" t="s">
        <v>125</v>
      </c>
      <c r="CQ103" s="47" t="s">
        <v>126</v>
      </c>
      <c r="CR103" s="48">
        <v>46216</v>
      </c>
      <c r="CT103" s="47" t="s">
        <v>438</v>
      </c>
    </row>
    <row r="104" spans="1:98" s="47" customFormat="1" x14ac:dyDescent="0.35">
      <c r="A104" s="46" t="s">
        <v>479</v>
      </c>
      <c r="B104" s="46" t="s">
        <v>492</v>
      </c>
      <c r="C104" s="47" t="s">
        <v>480</v>
      </c>
      <c r="D104" s="47">
        <v>2012</v>
      </c>
      <c r="E104" s="46" t="s">
        <v>481</v>
      </c>
      <c r="F104" s="46" t="s">
        <v>482</v>
      </c>
      <c r="G104" s="47" t="s">
        <v>78</v>
      </c>
      <c r="H104" s="47">
        <v>1</v>
      </c>
      <c r="I104" s="47" t="s">
        <v>390</v>
      </c>
      <c r="J104" s="47" t="s">
        <v>79</v>
      </c>
      <c r="K104" s="47">
        <v>1698</v>
      </c>
      <c r="L104" s="47" t="s">
        <v>129</v>
      </c>
      <c r="M104" s="47" t="s">
        <v>938</v>
      </c>
      <c r="N104" s="47">
        <v>-0.16400000000000001</v>
      </c>
      <c r="O104" s="47">
        <v>0.109</v>
      </c>
      <c r="P104" s="92">
        <f t="shared" si="18"/>
        <v>-1.5045871559633028</v>
      </c>
      <c r="Q104" s="47" t="s">
        <v>312</v>
      </c>
      <c r="R104" s="92">
        <f t="shared" si="19"/>
        <v>-0.37763999999999998</v>
      </c>
      <c r="S104" s="92">
        <f t="shared" si="20"/>
        <v>4.963999999999999E-2</v>
      </c>
      <c r="T104" s="47">
        <v>1</v>
      </c>
      <c r="U104" s="47">
        <v>35461</v>
      </c>
      <c r="V104" s="47" t="s">
        <v>312</v>
      </c>
      <c r="W104" s="47" t="s">
        <v>312</v>
      </c>
      <c r="X104" s="47">
        <f t="shared" si="21"/>
        <v>35461</v>
      </c>
      <c r="Y104" s="92">
        <f t="shared" si="22"/>
        <v>-7.9896544917514231E-3</v>
      </c>
      <c r="Z104" s="92">
        <f t="shared" si="23"/>
        <v>5.3101971926884451E-3</v>
      </c>
      <c r="AA104" s="92">
        <f t="shared" si="34"/>
        <v>-7.9896544917514231E-3</v>
      </c>
      <c r="AB104" s="47" t="s">
        <v>81</v>
      </c>
      <c r="AC104" s="92">
        <f t="shared" si="37"/>
        <v>-0.30130640880000004</v>
      </c>
      <c r="AD104" s="92" t="e" cm="1">
        <f t="array" ref="AD104">_xlfn.IFS(
AND(L104="marginal_effect",M104="level"),N104*AN104/BF104,
AND(L104="marginal_effect",M104="sd (Y)"),N104*BH104*AN104/BF104,
AND(L104="marginal_effect",M104="sd (X)"),N104/AQ104*AN104/BF104,
AND(L104="semi_elasticity",M104="level"),N104*AN104,
AND(L104="semi_elasticity",M104="sd (Y)"),N104*AN104*BH104,
AND(L104="semi_elasticity",M104="sd (X)"),N104*AN104/AQ104,
AND(L104="level-log",M104="level"),N104/BF104,
AND(L104="level-log",M104="sd (X)"),N104/BF104/AQ104,
AND(L104="level-log",M104="sd (Y)"),N104/BF104*BH104,
AND(L104="elasticity",M104="level"),N104,
AND(L104="elasticity",M104="sd (X)"),N104/AQ104,
AND(L104="elasticity",M104="sd (Y)"),N104*BH104,
AND(L104="marginal_effect",M104="percent_of_mean"),N104*AN104/BF104/10)</f>
        <v>#VALUE!</v>
      </c>
      <c r="AE104" s="51" t="e">
        <f t="shared" si="25"/>
        <v>#VALUE!</v>
      </c>
      <c r="AF104" s="92">
        <f t="shared" si="36"/>
        <v>0.2002585278</v>
      </c>
      <c r="AG104" s="92" t="e" cm="1">
        <f t="array" ref="AG104">_xlfn.IFS(
AND(L104="marginal_effect",M104="level"),O104*AN104/BF104,
AND(L104="marginal_effect",M104="sd (Y)"),O104*BH104*AN104/BF104,
AND(L104="marginal_effect",M104="sd (X)"),O104/AQ104*AN104/BF104,
AND(L104="semi_elasticity",M104="level"),O104*AN104,
AND(L104="semi_elasticity",M104="sd (Y)"),O104*AN104*BH104,
AND(L104="semi_elasticity",M104="sd (X)"),O104*AN104/AQ104,
AND(L104="level-log",M104="level"),O104/BF104,
AND(L104="level-log",M104="sd (X)"),O104/BF104/AQ104,
AND(L104="level-log",M104="sd (Y)"),O104/BF104*BH104,
AND(L104="elasticity",M104="level"),O104,
AND(L104="elasticity",M104="sd (X)"),O104/AQ104,
AND(L104="elasticity",M104="sd (Y)"),O104*BH104,
AND(L104="marginal_effect",M104="percent_of_mean"),O104*AN104/BF104/10)</f>
        <v>#VALUE!</v>
      </c>
      <c r="AH104" s="51" t="e">
        <f t="shared" si="26"/>
        <v>#VALUE!</v>
      </c>
      <c r="AI104" s="92">
        <f t="shared" si="35"/>
        <v>-0.30130640880000004</v>
      </c>
      <c r="AJ104" s="51">
        <v>0</v>
      </c>
      <c r="AK104" s="51">
        <f t="shared" si="28"/>
        <v>1</v>
      </c>
      <c r="AL104" s="47" t="s">
        <v>148</v>
      </c>
      <c r="AM104" s="47" t="s">
        <v>483</v>
      </c>
      <c r="AN104" s="47">
        <v>4.7770000000000001</v>
      </c>
      <c r="AO104" s="47">
        <v>0</v>
      </c>
      <c r="AP104" s="47">
        <f t="shared" si="33"/>
        <v>47.77</v>
      </c>
      <c r="AQ104" s="47">
        <v>13.24</v>
      </c>
      <c r="AR104" s="47">
        <v>10.5</v>
      </c>
      <c r="AS104" s="47">
        <v>86</v>
      </c>
      <c r="AT104" s="47" t="s">
        <v>83</v>
      </c>
      <c r="AU104" s="47" t="s">
        <v>109</v>
      </c>
      <c r="AV104" s="47" t="s">
        <v>133</v>
      </c>
      <c r="AW104" s="47" t="s">
        <v>109</v>
      </c>
      <c r="AX104" s="47" t="s">
        <v>86</v>
      </c>
      <c r="AY104" s="47">
        <v>0</v>
      </c>
      <c r="AZ104" s="47">
        <v>0</v>
      </c>
      <c r="BA104" s="47" t="s">
        <v>87</v>
      </c>
      <c r="BB104" s="47" t="s">
        <v>88</v>
      </c>
      <c r="BC104" s="47" t="s">
        <v>89</v>
      </c>
      <c r="BD104" s="47" t="s">
        <v>90</v>
      </c>
      <c r="BE104" s="47" t="s">
        <v>500</v>
      </c>
      <c r="BF104" s="47">
        <v>-0.32300000000000001</v>
      </c>
      <c r="BG104" s="47">
        <v>0</v>
      </c>
      <c r="BH104" s="47" t="s">
        <v>312</v>
      </c>
      <c r="BI104" s="47" t="s">
        <v>312</v>
      </c>
      <c r="BJ104" s="47" t="s">
        <v>312</v>
      </c>
      <c r="BK104" s="47" t="s">
        <v>91</v>
      </c>
      <c r="BL104" s="47" t="s">
        <v>84</v>
      </c>
      <c r="BM104" s="47">
        <v>1</v>
      </c>
      <c r="BN104" s="47" t="s">
        <v>484</v>
      </c>
      <c r="BO104" s="47" t="s">
        <v>485</v>
      </c>
      <c r="BP104" s="47" t="s">
        <v>486</v>
      </c>
      <c r="BQ104" s="47" t="s">
        <v>92</v>
      </c>
      <c r="BR104" s="47" t="s">
        <v>118</v>
      </c>
      <c r="BS104" s="47" t="s">
        <v>312</v>
      </c>
      <c r="BT104" s="47" t="s">
        <v>312</v>
      </c>
      <c r="BU104" s="47">
        <v>2009</v>
      </c>
      <c r="BV104" s="47">
        <v>2010</v>
      </c>
      <c r="BW104" s="47" t="s">
        <v>94</v>
      </c>
      <c r="BX104" s="47" t="s">
        <v>95</v>
      </c>
      <c r="BY104" s="47" t="s">
        <v>495</v>
      </c>
      <c r="BZ104" s="47">
        <v>0</v>
      </c>
      <c r="CA104" s="47">
        <v>0</v>
      </c>
      <c r="CB104" s="47" t="s">
        <v>97</v>
      </c>
      <c r="CC104" s="47" t="s">
        <v>488</v>
      </c>
      <c r="CD104" s="47">
        <v>1</v>
      </c>
      <c r="CE104" s="47" t="s">
        <v>489</v>
      </c>
      <c r="CF104" s="47">
        <v>1</v>
      </c>
      <c r="CG104" s="47" t="s">
        <v>82</v>
      </c>
      <c r="CH104" s="47">
        <v>1</v>
      </c>
      <c r="CI104" s="47" t="s">
        <v>436</v>
      </c>
      <c r="CJ104" s="47" t="s">
        <v>98</v>
      </c>
      <c r="CK104" s="47">
        <v>17</v>
      </c>
      <c r="CL104" s="47">
        <v>0</v>
      </c>
      <c r="CM104" s="47">
        <v>0</v>
      </c>
      <c r="CN104" s="47" t="s">
        <v>99</v>
      </c>
      <c r="CO104" s="47" t="s">
        <v>97</v>
      </c>
      <c r="CP104" s="47" t="s">
        <v>125</v>
      </c>
      <c r="CQ104" s="47" t="s">
        <v>126</v>
      </c>
      <c r="CR104" s="48">
        <v>46216</v>
      </c>
      <c r="CT104" s="47" t="s">
        <v>439</v>
      </c>
    </row>
    <row r="105" spans="1:98" s="47" customFormat="1" x14ac:dyDescent="0.35">
      <c r="A105" s="46" t="s">
        <v>479</v>
      </c>
      <c r="B105" s="46" t="s">
        <v>493</v>
      </c>
      <c r="C105" s="47" t="s">
        <v>480</v>
      </c>
      <c r="D105" s="47">
        <v>2012</v>
      </c>
      <c r="E105" s="46" t="s">
        <v>481</v>
      </c>
      <c r="F105" s="46" t="s">
        <v>482</v>
      </c>
      <c r="G105" s="47" t="s">
        <v>78</v>
      </c>
      <c r="H105" s="47">
        <v>1</v>
      </c>
      <c r="I105" s="47" t="s">
        <v>390</v>
      </c>
      <c r="J105" s="47" t="s">
        <v>79</v>
      </c>
      <c r="K105" s="47">
        <v>1698</v>
      </c>
      <c r="L105" s="47" t="s">
        <v>129</v>
      </c>
      <c r="M105" s="47" t="s">
        <v>938</v>
      </c>
      <c r="N105" s="47">
        <v>-0.155</v>
      </c>
      <c r="O105" s="47">
        <v>0.1</v>
      </c>
      <c r="P105" s="92">
        <f t="shared" si="18"/>
        <v>-1.5499999999999998</v>
      </c>
      <c r="Q105" s="47" t="s">
        <v>312</v>
      </c>
      <c r="R105" s="92">
        <f t="shared" si="19"/>
        <v>-0.35099999999999998</v>
      </c>
      <c r="S105" s="92">
        <f t="shared" si="20"/>
        <v>4.1000000000000009E-2</v>
      </c>
      <c r="T105" s="47">
        <v>1</v>
      </c>
      <c r="U105" s="47">
        <v>25955</v>
      </c>
      <c r="V105" s="47" t="s">
        <v>312</v>
      </c>
      <c r="W105" s="47" t="s">
        <v>312</v>
      </c>
      <c r="X105" s="47">
        <f t="shared" si="21"/>
        <v>25955</v>
      </c>
      <c r="Y105" s="92">
        <f t="shared" si="22"/>
        <v>-9.6205761707931093E-3</v>
      </c>
      <c r="Z105" s="92">
        <f t="shared" si="23"/>
        <v>6.2068233359955545E-3</v>
      </c>
      <c r="AA105" s="92">
        <f t="shared" si="34"/>
        <v>-9.6205761707931093E-3</v>
      </c>
      <c r="AB105" s="47" t="s">
        <v>81</v>
      </c>
      <c r="AC105" s="92">
        <f t="shared" si="37"/>
        <v>-0.28477130100000003</v>
      </c>
      <c r="AD105" s="92" t="e" cm="1">
        <f t="array" ref="AD105">_xlfn.IFS(
AND(L105="marginal_effect",M105="level"),N105*AN105/BF105,
AND(L105="marginal_effect",M105="sd (Y)"),N105*BH105*AN105/BF105,
AND(L105="marginal_effect",M105="sd (X)"),N105/AQ105*AN105/BF105,
AND(L105="semi_elasticity",M105="level"),N105*AN105,
AND(L105="semi_elasticity",M105="sd (Y)"),N105*AN105*BH105,
AND(L105="semi_elasticity",M105="sd (X)"),N105*AN105/AQ105,
AND(L105="level-log",M105="level"),N105/BF105,
AND(L105="level-log",M105="sd (X)"),N105/BF105/AQ105,
AND(L105="level-log",M105="sd (Y)"),N105/BF105*BH105,
AND(L105="elasticity",M105="level"),N105,
AND(L105="elasticity",M105="sd (X)"),N105/AQ105,
AND(L105="elasticity",M105="sd (Y)"),N105*BH105,
AND(L105="marginal_effect",M105="percent_of_mean"),N105*AN105/BF105/10)</f>
        <v>#VALUE!</v>
      </c>
      <c r="AE105" s="51" t="e">
        <f t="shared" si="25"/>
        <v>#VALUE!</v>
      </c>
      <c r="AF105" s="92">
        <f t="shared" si="36"/>
        <v>0.18372342</v>
      </c>
      <c r="AG105" s="92" t="e" cm="1">
        <f t="array" ref="AG105">_xlfn.IFS(
AND(L105="marginal_effect",M105="level"),O105*AN105/BF105,
AND(L105="marginal_effect",M105="sd (Y)"),O105*BH105*AN105/BF105,
AND(L105="marginal_effect",M105="sd (X)"),O105/AQ105*AN105/BF105,
AND(L105="semi_elasticity",M105="level"),O105*AN105,
AND(L105="semi_elasticity",M105="sd (Y)"),O105*AN105*BH105,
AND(L105="semi_elasticity",M105="sd (X)"),O105*AN105/AQ105,
AND(L105="level-log",M105="level"),O105/BF105,
AND(L105="level-log",M105="sd (X)"),O105/BF105/AQ105,
AND(L105="level-log",M105="sd (Y)"),O105/BF105*BH105,
AND(L105="elasticity",M105="level"),O105,
AND(L105="elasticity",M105="sd (X)"),O105/AQ105,
AND(L105="elasticity",M105="sd (Y)"),O105*BH105,
AND(L105="marginal_effect",M105="percent_of_mean"),O105*AN105/BF105/10)</f>
        <v>#VALUE!</v>
      </c>
      <c r="AH105" s="51" t="e">
        <f t="shared" si="26"/>
        <v>#VALUE!</v>
      </c>
      <c r="AI105" s="92">
        <f t="shared" si="35"/>
        <v>-0.28477130100000003</v>
      </c>
      <c r="AJ105" s="51">
        <v>1</v>
      </c>
      <c r="AK105" s="51">
        <f t="shared" si="28"/>
        <v>1</v>
      </c>
      <c r="AL105" s="47" t="s">
        <v>148</v>
      </c>
      <c r="AM105" s="47" t="s">
        <v>483</v>
      </c>
      <c r="AN105" s="47">
        <v>4.7770000000000001</v>
      </c>
      <c r="AO105" s="47">
        <v>0</v>
      </c>
      <c r="AP105" s="47">
        <f t="shared" si="33"/>
        <v>47.77</v>
      </c>
      <c r="AQ105" s="47">
        <v>13.24</v>
      </c>
      <c r="AR105" s="47">
        <v>10.5</v>
      </c>
      <c r="AS105" s="47">
        <v>86</v>
      </c>
      <c r="AT105" s="47" t="s">
        <v>83</v>
      </c>
      <c r="AU105" s="47" t="s">
        <v>109</v>
      </c>
      <c r="AV105" s="47" t="s">
        <v>133</v>
      </c>
      <c r="AW105" s="47" t="s">
        <v>109</v>
      </c>
      <c r="AX105" s="47" t="s">
        <v>86</v>
      </c>
      <c r="AY105" s="47">
        <v>0</v>
      </c>
      <c r="AZ105" s="47">
        <v>0</v>
      </c>
      <c r="BA105" s="47" t="s">
        <v>87</v>
      </c>
      <c r="BB105" s="47" t="s">
        <v>88</v>
      </c>
      <c r="BC105" s="47" t="s">
        <v>89</v>
      </c>
      <c r="BD105" s="47" t="s">
        <v>90</v>
      </c>
      <c r="BE105" s="47" t="s">
        <v>500</v>
      </c>
      <c r="BF105" s="47">
        <v>-0.32300000000000001</v>
      </c>
      <c r="BG105" s="47">
        <v>0</v>
      </c>
      <c r="BH105" s="47" t="s">
        <v>312</v>
      </c>
      <c r="BI105" s="47" t="s">
        <v>312</v>
      </c>
      <c r="BJ105" s="47" t="s">
        <v>312</v>
      </c>
      <c r="BK105" s="47" t="s">
        <v>91</v>
      </c>
      <c r="BL105" s="47" t="s">
        <v>84</v>
      </c>
      <c r="BM105" s="47">
        <v>1</v>
      </c>
      <c r="BN105" s="47" t="s">
        <v>484</v>
      </c>
      <c r="BO105" s="47" t="s">
        <v>485</v>
      </c>
      <c r="BP105" s="47" t="s">
        <v>486</v>
      </c>
      <c r="BQ105" s="47" t="s">
        <v>92</v>
      </c>
      <c r="BR105" s="47" t="s">
        <v>118</v>
      </c>
      <c r="BS105" s="47" t="s">
        <v>312</v>
      </c>
      <c r="BT105" s="47" t="s">
        <v>312</v>
      </c>
      <c r="BU105" s="47">
        <v>2009</v>
      </c>
      <c r="BV105" s="47">
        <v>2010</v>
      </c>
      <c r="BW105" s="47" t="s">
        <v>94</v>
      </c>
      <c r="BX105" s="47" t="s">
        <v>95</v>
      </c>
      <c r="BY105" s="47" t="s">
        <v>496</v>
      </c>
      <c r="BZ105" s="47">
        <v>0</v>
      </c>
      <c r="CA105" s="47">
        <v>0</v>
      </c>
      <c r="CB105" s="47" t="s">
        <v>97</v>
      </c>
      <c r="CC105" s="47" t="s">
        <v>488</v>
      </c>
      <c r="CD105" s="47">
        <v>1</v>
      </c>
      <c r="CE105" s="47" t="s">
        <v>489</v>
      </c>
      <c r="CF105" s="47">
        <v>1</v>
      </c>
      <c r="CG105" s="47" t="s">
        <v>82</v>
      </c>
      <c r="CH105" s="47">
        <v>1</v>
      </c>
      <c r="CI105" s="47" t="s">
        <v>436</v>
      </c>
      <c r="CJ105" s="47" t="s">
        <v>98</v>
      </c>
      <c r="CK105" s="47">
        <v>17</v>
      </c>
      <c r="CL105" s="47">
        <v>0</v>
      </c>
      <c r="CM105" s="47">
        <v>0</v>
      </c>
      <c r="CN105" s="47" t="s">
        <v>99</v>
      </c>
      <c r="CO105" s="47" t="s">
        <v>97</v>
      </c>
      <c r="CP105" s="47" t="s">
        <v>125</v>
      </c>
      <c r="CQ105" s="47" t="s">
        <v>126</v>
      </c>
      <c r="CR105" s="48">
        <v>46216</v>
      </c>
      <c r="CT105" s="47" t="s">
        <v>440</v>
      </c>
    </row>
    <row r="106" spans="1:98" s="47" customFormat="1" x14ac:dyDescent="0.35">
      <c r="A106" s="46" t="s">
        <v>479</v>
      </c>
      <c r="B106" s="46" t="s">
        <v>498</v>
      </c>
      <c r="C106" s="47" t="s">
        <v>480</v>
      </c>
      <c r="D106" s="47">
        <v>2012</v>
      </c>
      <c r="E106" s="46" t="s">
        <v>481</v>
      </c>
      <c r="F106" s="46" t="s">
        <v>482</v>
      </c>
      <c r="G106" s="47" t="s">
        <v>78</v>
      </c>
      <c r="H106" s="47">
        <v>1</v>
      </c>
      <c r="I106" s="47" t="s">
        <v>390</v>
      </c>
      <c r="J106" s="47" t="s">
        <v>79</v>
      </c>
      <c r="K106" s="47">
        <v>1698</v>
      </c>
      <c r="L106" s="47" t="s">
        <v>129</v>
      </c>
      <c r="M106" s="47" t="s">
        <v>938</v>
      </c>
      <c r="N106" s="47">
        <v>-0.10100000000000001</v>
      </c>
      <c r="O106" s="47">
        <v>5.8999999999999997E-2</v>
      </c>
      <c r="P106" s="92">
        <f t="shared" si="18"/>
        <v>-1.7118644067796611</v>
      </c>
      <c r="Q106" s="47" t="s">
        <v>312</v>
      </c>
      <c r="R106" s="92">
        <f t="shared" si="19"/>
        <v>-0.21664</v>
      </c>
      <c r="S106" s="92">
        <f t="shared" si="20"/>
        <v>1.4639999999999986E-2</v>
      </c>
      <c r="T106" s="47">
        <v>1</v>
      </c>
      <c r="U106" s="47">
        <v>35461</v>
      </c>
      <c r="V106" s="47" t="s">
        <v>312</v>
      </c>
      <c r="W106" s="47" t="s">
        <v>312</v>
      </c>
      <c r="X106" s="47">
        <f t="shared" si="21"/>
        <v>35461</v>
      </c>
      <c r="Y106" s="92">
        <f t="shared" si="22"/>
        <v>-9.0902521207298637E-3</v>
      </c>
      <c r="Z106" s="92">
        <f t="shared" si="23"/>
        <v>5.3101472784461579E-3</v>
      </c>
      <c r="AA106" s="92">
        <f t="shared" si="34"/>
        <v>-9.0902521207298637E-3</v>
      </c>
      <c r="AB106" s="47" t="s">
        <v>81</v>
      </c>
      <c r="AC106" s="92">
        <f t="shared" si="37"/>
        <v>-0.18556065420000001</v>
      </c>
      <c r="AD106" s="92" t="e" cm="1">
        <f t="array" ref="AD106">_xlfn.IFS(
AND(L106="marginal_effect",M106="level"),N106*AN106/BF106,
AND(L106="marginal_effect",M106="sd (Y)"),N106*BH106*AN106/BF106,
AND(L106="marginal_effect",M106="sd (X)"),N106/AQ106*AN106/BF106,
AND(L106="semi_elasticity",M106="level"),N106*AN106,
AND(L106="semi_elasticity",M106="sd (Y)"),N106*AN106*BH106,
AND(L106="semi_elasticity",M106="sd (X)"),N106*AN106/AQ106,
AND(L106="level-log",M106="level"),N106/BF106,
AND(L106="level-log",M106="sd (X)"),N106/BF106/AQ106,
AND(L106="level-log",M106="sd (Y)"),N106/BF106*BH106,
AND(L106="elasticity",M106="level"),N106,
AND(L106="elasticity",M106="sd (X)"),N106/AQ106,
AND(L106="elasticity",M106="sd (Y)"),N106*BH106,
AND(L106="marginal_effect",M106="percent_of_mean"),N106*AN106/BF106/10)</f>
        <v>#VALUE!</v>
      </c>
      <c r="AE106" s="51" t="e">
        <f t="shared" si="25"/>
        <v>#VALUE!</v>
      </c>
      <c r="AF106" s="92">
        <f t="shared" si="36"/>
        <v>0.10839681779999999</v>
      </c>
      <c r="AG106" s="92" t="e" cm="1">
        <f t="array" ref="AG106">_xlfn.IFS(
AND(L106="marginal_effect",M106="level"),O106*AN106/BF106,
AND(L106="marginal_effect",M106="sd (Y)"),O106*BH106*AN106/BF106,
AND(L106="marginal_effect",M106="sd (X)"),O106/AQ106*AN106/BF106,
AND(L106="semi_elasticity",M106="level"),O106*AN106,
AND(L106="semi_elasticity",M106="sd (Y)"),O106*AN106*BH106,
AND(L106="semi_elasticity",M106="sd (X)"),O106*AN106/AQ106,
AND(L106="level-log",M106="level"),O106/BF106,
AND(L106="level-log",M106="sd (X)"),O106/BF106/AQ106,
AND(L106="level-log",M106="sd (Y)"),O106/BF106*BH106,
AND(L106="elasticity",M106="level"),O106,
AND(L106="elasticity",M106="sd (X)"),O106/AQ106,
AND(L106="elasticity",M106="sd (Y)"),O106*BH106,
AND(L106="marginal_effect",M106="percent_of_mean"),O106*AN106/BF106/10)</f>
        <v>#VALUE!</v>
      </c>
      <c r="AH106" s="51" t="e">
        <f t="shared" si="26"/>
        <v>#VALUE!</v>
      </c>
      <c r="AI106" s="92">
        <f t="shared" si="35"/>
        <v>-0.18556065420000001</v>
      </c>
      <c r="AJ106" s="51">
        <v>0</v>
      </c>
      <c r="AK106" s="51">
        <f t="shared" si="28"/>
        <v>1</v>
      </c>
      <c r="AL106" s="47" t="s">
        <v>148</v>
      </c>
      <c r="AM106" s="47" t="s">
        <v>483</v>
      </c>
      <c r="AN106" s="47">
        <v>4.7770000000000001</v>
      </c>
      <c r="AO106" s="47">
        <v>0</v>
      </c>
      <c r="AP106" s="47">
        <f t="shared" si="33"/>
        <v>47.77</v>
      </c>
      <c r="AQ106" s="47">
        <v>13.24</v>
      </c>
      <c r="AR106" s="47">
        <v>10.5</v>
      </c>
      <c r="AS106" s="47">
        <v>86</v>
      </c>
      <c r="AT106" s="47" t="s">
        <v>83</v>
      </c>
      <c r="AU106" s="47" t="s">
        <v>109</v>
      </c>
      <c r="AV106" s="47" t="s">
        <v>133</v>
      </c>
      <c r="AW106" s="47" t="s">
        <v>109</v>
      </c>
      <c r="AX106" s="47" t="s">
        <v>86</v>
      </c>
      <c r="AY106" s="47">
        <v>0</v>
      </c>
      <c r="AZ106" s="47">
        <v>0</v>
      </c>
      <c r="BA106" s="47" t="s">
        <v>87</v>
      </c>
      <c r="BB106" s="47" t="s">
        <v>88</v>
      </c>
      <c r="BC106" s="47" t="s">
        <v>89</v>
      </c>
      <c r="BD106" s="47" t="s">
        <v>90</v>
      </c>
      <c r="BE106" s="47" t="s">
        <v>500</v>
      </c>
      <c r="BF106" s="47">
        <v>-0.32300000000000001</v>
      </c>
      <c r="BG106" s="47">
        <v>0</v>
      </c>
      <c r="BH106" s="47" t="s">
        <v>312</v>
      </c>
      <c r="BI106" s="47" t="s">
        <v>312</v>
      </c>
      <c r="BJ106" s="47" t="s">
        <v>312</v>
      </c>
      <c r="BK106" s="47" t="s">
        <v>91</v>
      </c>
      <c r="BL106" s="47" t="s">
        <v>84</v>
      </c>
      <c r="BM106" s="47">
        <v>1</v>
      </c>
      <c r="BN106" s="47" t="s">
        <v>484</v>
      </c>
      <c r="BO106" s="47" t="s">
        <v>485</v>
      </c>
      <c r="BP106" s="47" t="s">
        <v>486</v>
      </c>
      <c r="BQ106" s="47" t="s">
        <v>92</v>
      </c>
      <c r="BR106" s="47" t="s">
        <v>118</v>
      </c>
      <c r="BS106" s="47" t="s">
        <v>312</v>
      </c>
      <c r="BT106" s="47" t="s">
        <v>312</v>
      </c>
      <c r="BU106" s="47">
        <v>2009</v>
      </c>
      <c r="BV106" s="47">
        <v>2010</v>
      </c>
      <c r="BW106" s="47" t="s">
        <v>94</v>
      </c>
      <c r="BX106" s="47" t="s">
        <v>95</v>
      </c>
      <c r="BY106" s="47" t="s">
        <v>96</v>
      </c>
      <c r="BZ106" s="47">
        <v>0</v>
      </c>
      <c r="CA106" s="47">
        <v>0</v>
      </c>
      <c r="CB106" s="47" t="s">
        <v>97</v>
      </c>
      <c r="CC106" s="47" t="s">
        <v>497</v>
      </c>
      <c r="CD106" s="47">
        <v>1</v>
      </c>
      <c r="CE106" s="47" t="s">
        <v>489</v>
      </c>
      <c r="CF106" s="47">
        <v>1</v>
      </c>
      <c r="CG106" s="47" t="s">
        <v>82</v>
      </c>
      <c r="CH106" s="47">
        <v>1</v>
      </c>
      <c r="CI106" s="47" t="s">
        <v>436</v>
      </c>
      <c r="CJ106" s="47" t="s">
        <v>98</v>
      </c>
      <c r="CK106" s="47">
        <v>17</v>
      </c>
      <c r="CL106" s="47">
        <v>0</v>
      </c>
      <c r="CM106" s="47">
        <v>0</v>
      </c>
      <c r="CN106" s="47" t="s">
        <v>124</v>
      </c>
      <c r="CO106" s="47" t="s">
        <v>97</v>
      </c>
      <c r="CP106" s="47" t="s">
        <v>125</v>
      </c>
      <c r="CQ106" s="47" t="s">
        <v>126</v>
      </c>
      <c r="CR106" s="48">
        <v>46216</v>
      </c>
      <c r="CT106" s="47" t="s">
        <v>450</v>
      </c>
    </row>
    <row r="107" spans="1:98" s="47" customFormat="1" x14ac:dyDescent="0.35">
      <c r="A107" s="46" t="s">
        <v>479</v>
      </c>
      <c r="B107" s="46" t="s">
        <v>499</v>
      </c>
      <c r="C107" s="47" t="s">
        <v>480</v>
      </c>
      <c r="D107" s="47">
        <v>2012</v>
      </c>
      <c r="E107" s="46" t="s">
        <v>481</v>
      </c>
      <c r="F107" s="46" t="s">
        <v>482</v>
      </c>
      <c r="G107" s="47" t="s">
        <v>78</v>
      </c>
      <c r="H107" s="47">
        <v>1</v>
      </c>
      <c r="I107" s="47" t="s">
        <v>390</v>
      </c>
      <c r="J107" s="47" t="s">
        <v>79</v>
      </c>
      <c r="K107" s="47">
        <v>1698</v>
      </c>
      <c r="L107" s="47" t="s">
        <v>129</v>
      </c>
      <c r="M107" s="47" t="s">
        <v>938</v>
      </c>
      <c r="N107" s="47">
        <v>-0.153</v>
      </c>
      <c r="O107" s="47">
        <v>6.8000000000000005E-2</v>
      </c>
      <c r="P107" s="92">
        <f t="shared" si="18"/>
        <v>-2.25</v>
      </c>
      <c r="Q107" s="47" t="s">
        <v>312</v>
      </c>
      <c r="R107" s="92">
        <f t="shared" si="19"/>
        <v>-0.28627999999999998</v>
      </c>
      <c r="S107" s="92">
        <f t="shared" si="20"/>
        <v>-1.9719999999999988E-2</v>
      </c>
      <c r="T107" s="47">
        <v>1</v>
      </c>
      <c r="U107" s="47">
        <v>35461</v>
      </c>
      <c r="V107" s="47" t="s">
        <v>312</v>
      </c>
      <c r="W107" s="47" t="s">
        <v>312</v>
      </c>
      <c r="X107" s="47">
        <f t="shared" si="21"/>
        <v>35461</v>
      </c>
      <c r="Y107" s="92">
        <f t="shared" si="22"/>
        <v>-1.1947472252886638E-2</v>
      </c>
      <c r="Z107" s="92">
        <f t="shared" si="23"/>
        <v>5.309987667949617E-3</v>
      </c>
      <c r="AA107" s="92">
        <f t="shared" si="34"/>
        <v>-1.1947472252886638E-2</v>
      </c>
      <c r="AB107" s="47" t="s">
        <v>81</v>
      </c>
      <c r="AC107" s="92">
        <f t="shared" si="37"/>
        <v>-0.28109683260000001</v>
      </c>
      <c r="AD107" s="92" t="e" cm="1">
        <f t="array" ref="AD107">_xlfn.IFS(
AND(L107="marginal_effect",M107="level"),N107*AN107/BF107,
AND(L107="marginal_effect",M107="sd (Y)"),N107*BH107*AN107/BF107,
AND(L107="marginal_effect",M107="sd (X)"),N107/AQ107*AN107/BF107,
AND(L107="semi_elasticity",M107="level"),N107*AN107,
AND(L107="semi_elasticity",M107="sd (Y)"),N107*AN107*BH107,
AND(L107="semi_elasticity",M107="sd (X)"),N107*AN107/AQ107,
AND(L107="level-log",M107="level"),N107/BF107,
AND(L107="level-log",M107="sd (X)"),N107/BF107/AQ107,
AND(L107="level-log",M107="sd (Y)"),N107/BF107*BH107,
AND(L107="elasticity",M107="level"),N107,
AND(L107="elasticity",M107="sd (X)"),N107/AQ107,
AND(L107="elasticity",M107="sd (Y)"),N107*BH107,
AND(L107="marginal_effect",M107="percent_of_mean"),N107*AN107/BF107/10)</f>
        <v>#VALUE!</v>
      </c>
      <c r="AE107" s="51" t="e">
        <f t="shared" si="25"/>
        <v>#VALUE!</v>
      </c>
      <c r="AF107" s="92">
        <f t="shared" si="36"/>
        <v>0.12493192560000001</v>
      </c>
      <c r="AG107" s="92" t="e" cm="1">
        <f t="array" ref="AG107">_xlfn.IFS(
AND(L107="marginal_effect",M107="level"),O107*AN107/BF107,
AND(L107="marginal_effect",M107="sd (Y)"),O107*BH107*AN107/BF107,
AND(L107="marginal_effect",M107="sd (X)"),O107/AQ107*AN107/BF107,
AND(L107="semi_elasticity",M107="level"),O107*AN107,
AND(L107="semi_elasticity",M107="sd (Y)"),O107*AN107*BH107,
AND(L107="semi_elasticity",M107="sd (X)"),O107*AN107/AQ107,
AND(L107="level-log",M107="level"),O107/BF107,
AND(L107="level-log",M107="sd (X)"),O107/BF107/AQ107,
AND(L107="level-log",M107="sd (Y)"),O107/BF107*BH107,
AND(L107="elasticity",M107="level"),O107,
AND(L107="elasticity",M107="sd (X)"),O107/AQ107,
AND(L107="elasticity",M107="sd (Y)"),O107*BH107,
AND(L107="marginal_effect",M107="percent_of_mean"),O107*AN107/BF107/10)</f>
        <v>#VALUE!</v>
      </c>
      <c r="AH107" s="51" t="e">
        <f t="shared" si="26"/>
        <v>#VALUE!</v>
      </c>
      <c r="AI107" s="92">
        <f t="shared" si="35"/>
        <v>-0.28109683260000001</v>
      </c>
      <c r="AJ107" s="51">
        <v>0</v>
      </c>
      <c r="AK107" s="51">
        <f t="shared" si="28"/>
        <v>1</v>
      </c>
      <c r="AL107" s="47" t="s">
        <v>148</v>
      </c>
      <c r="AM107" s="47" t="s">
        <v>483</v>
      </c>
      <c r="AN107" s="47">
        <v>4.7770000000000001</v>
      </c>
      <c r="AO107" s="47">
        <v>0</v>
      </c>
      <c r="AP107" s="47">
        <f t="shared" si="33"/>
        <v>47.77</v>
      </c>
      <c r="AQ107" s="47">
        <v>13.24</v>
      </c>
      <c r="AR107" s="47">
        <v>10.5</v>
      </c>
      <c r="AS107" s="47">
        <v>86</v>
      </c>
      <c r="AT107" s="47" t="s">
        <v>83</v>
      </c>
      <c r="AU107" s="47" t="s">
        <v>109</v>
      </c>
      <c r="AV107" s="47" t="s">
        <v>133</v>
      </c>
      <c r="AW107" s="47" t="s">
        <v>109</v>
      </c>
      <c r="AX107" s="47" t="s">
        <v>86</v>
      </c>
      <c r="AY107" s="47">
        <v>0</v>
      </c>
      <c r="AZ107" s="47">
        <v>0</v>
      </c>
      <c r="BA107" s="47" t="s">
        <v>87</v>
      </c>
      <c r="BB107" s="47" t="s">
        <v>88</v>
      </c>
      <c r="BC107" s="47" t="s">
        <v>89</v>
      </c>
      <c r="BD107" s="47" t="s">
        <v>90</v>
      </c>
      <c r="BE107" s="47" t="s">
        <v>500</v>
      </c>
      <c r="BF107" s="47">
        <v>-0.32300000000000001</v>
      </c>
      <c r="BG107" s="47">
        <v>0</v>
      </c>
      <c r="BH107" s="47" t="s">
        <v>312</v>
      </c>
      <c r="BI107" s="47" t="s">
        <v>312</v>
      </c>
      <c r="BJ107" s="47" t="s">
        <v>312</v>
      </c>
      <c r="BK107" s="47" t="s">
        <v>91</v>
      </c>
      <c r="BL107" s="47" t="s">
        <v>84</v>
      </c>
      <c r="BM107" s="47">
        <v>1</v>
      </c>
      <c r="BN107" s="47" t="s">
        <v>484</v>
      </c>
      <c r="BO107" s="47" t="s">
        <v>485</v>
      </c>
      <c r="BP107" s="47" t="s">
        <v>486</v>
      </c>
      <c r="BQ107" s="47" t="s">
        <v>92</v>
      </c>
      <c r="BR107" s="47" t="s">
        <v>118</v>
      </c>
      <c r="BS107" s="47" t="s">
        <v>312</v>
      </c>
      <c r="BT107" s="47" t="s">
        <v>312</v>
      </c>
      <c r="BU107" s="47">
        <v>2009</v>
      </c>
      <c r="BV107" s="47">
        <v>2010</v>
      </c>
      <c r="BW107" s="47" t="s">
        <v>94</v>
      </c>
      <c r="BX107" s="47" t="s">
        <v>95</v>
      </c>
      <c r="BY107" s="47" t="s">
        <v>96</v>
      </c>
      <c r="BZ107" s="47">
        <v>0</v>
      </c>
      <c r="CA107" s="47">
        <v>0</v>
      </c>
      <c r="CB107" s="47" t="s">
        <v>97</v>
      </c>
      <c r="CC107" s="47" t="s">
        <v>488</v>
      </c>
      <c r="CD107" s="47">
        <v>1</v>
      </c>
      <c r="CE107" s="47" t="s">
        <v>489</v>
      </c>
      <c r="CF107" s="47">
        <v>1</v>
      </c>
      <c r="CG107" s="47" t="s">
        <v>82</v>
      </c>
      <c r="CH107" s="47">
        <v>1</v>
      </c>
      <c r="CI107" s="47" t="s">
        <v>436</v>
      </c>
      <c r="CJ107" s="47" t="s">
        <v>98</v>
      </c>
      <c r="CK107" s="47">
        <v>17</v>
      </c>
      <c r="CL107" s="47">
        <v>0</v>
      </c>
      <c r="CM107" s="47">
        <v>0</v>
      </c>
      <c r="CN107" s="47" t="s">
        <v>124</v>
      </c>
      <c r="CO107" s="47" t="s">
        <v>97</v>
      </c>
      <c r="CP107" s="47" t="s">
        <v>125</v>
      </c>
      <c r="CQ107" s="47" t="s">
        <v>126</v>
      </c>
      <c r="CR107" s="48">
        <v>46216</v>
      </c>
      <c r="CT107" s="47" t="s">
        <v>457</v>
      </c>
    </row>
    <row r="108" spans="1:98" s="47" customFormat="1" x14ac:dyDescent="0.35">
      <c r="A108" s="46" t="s">
        <v>479</v>
      </c>
      <c r="B108" s="46" t="s">
        <v>518</v>
      </c>
      <c r="C108" s="47" t="s">
        <v>480</v>
      </c>
      <c r="D108" s="47">
        <v>2012</v>
      </c>
      <c r="E108" s="46" t="s">
        <v>481</v>
      </c>
      <c r="F108" s="46" t="s">
        <v>482</v>
      </c>
      <c r="G108" s="47" t="s">
        <v>78</v>
      </c>
      <c r="H108" s="47">
        <v>1</v>
      </c>
      <c r="I108" s="47" t="s">
        <v>390</v>
      </c>
      <c r="J108" s="47" t="s">
        <v>79</v>
      </c>
      <c r="K108" s="47">
        <v>1698</v>
      </c>
      <c r="L108" s="47" t="s">
        <v>129</v>
      </c>
      <c r="M108" s="47" t="s">
        <v>938</v>
      </c>
      <c r="N108" s="47">
        <v>-0.14799999999999999</v>
      </c>
      <c r="O108" s="47">
        <v>7.4999999999999997E-2</v>
      </c>
      <c r="P108" s="92">
        <f t="shared" si="18"/>
        <v>-1.9733333333333334</v>
      </c>
      <c r="Q108" s="47" t="s">
        <v>312</v>
      </c>
      <c r="R108" s="92">
        <f t="shared" si="19"/>
        <v>-0.29499999999999998</v>
      </c>
      <c r="S108" s="92">
        <f t="shared" si="20"/>
        <v>-1.0000000000000009E-3</v>
      </c>
      <c r="T108" s="47">
        <v>1</v>
      </c>
      <c r="U108" s="47">
        <v>31706</v>
      </c>
      <c r="V108" s="47" t="s">
        <v>312</v>
      </c>
      <c r="W108" s="47" t="s">
        <v>312</v>
      </c>
      <c r="X108" s="47">
        <f t="shared" si="21"/>
        <v>31706</v>
      </c>
      <c r="Y108" s="92">
        <f t="shared" si="22"/>
        <v>-1.1081614970329844E-2</v>
      </c>
      <c r="Z108" s="92">
        <f t="shared" si="23"/>
        <v>5.6156832619914743E-3</v>
      </c>
      <c r="AA108" s="92">
        <f t="shared" si="34"/>
        <v>-1.1081614970329844E-2</v>
      </c>
      <c r="AB108" s="47" t="s">
        <v>81</v>
      </c>
      <c r="AC108" s="92">
        <f t="shared" si="37"/>
        <v>-0.27191066159999999</v>
      </c>
      <c r="AD108" s="92" t="e" cm="1">
        <f t="array" ref="AD108">_xlfn.IFS(
AND(L108="marginal_effect",M108="level"),N108*AN108/BF108,
AND(L108="marginal_effect",M108="sd (Y)"),N108*BH108*AN108/BF108,
AND(L108="marginal_effect",M108="sd (X)"),N108/AQ108*AN108/BF108,
AND(L108="semi_elasticity",M108="level"),N108*AN108,
AND(L108="semi_elasticity",M108="sd (Y)"),N108*AN108*BH108,
AND(L108="semi_elasticity",M108="sd (X)"),N108*AN108/AQ108,
AND(L108="level-log",M108="level"),N108/BF108,
AND(L108="level-log",M108="sd (X)"),N108/BF108/AQ108,
AND(L108="level-log",M108="sd (Y)"),N108/BF108*BH108,
AND(L108="elasticity",M108="level"),N108,
AND(L108="elasticity",M108="sd (X)"),N108/AQ108,
AND(L108="elasticity",M108="sd (Y)"),N108*BH108,
AND(L108="marginal_effect",M108="percent_of_mean"),N108*AN108/BF108/10)</f>
        <v>#VALUE!</v>
      </c>
      <c r="AE108" s="51" t="e">
        <f t="shared" si="25"/>
        <v>#VALUE!</v>
      </c>
      <c r="AF108" s="92">
        <f t="shared" si="36"/>
        <v>0.13779256500000001</v>
      </c>
      <c r="AG108" s="92" t="e" cm="1">
        <f t="array" ref="AG108">_xlfn.IFS(
AND(L108="marginal_effect",M108="level"),O108*AN108/BF108,
AND(L108="marginal_effect",M108="sd (Y)"),O108*BH108*AN108/BF108,
AND(L108="marginal_effect",M108="sd (X)"),O108/AQ108*AN108/BF108,
AND(L108="semi_elasticity",M108="level"),O108*AN108,
AND(L108="semi_elasticity",M108="sd (Y)"),O108*AN108*BH108,
AND(L108="semi_elasticity",M108="sd (X)"),O108*AN108/AQ108,
AND(L108="level-log",M108="level"),O108/BF108,
AND(L108="level-log",M108="sd (X)"),O108/BF108/AQ108,
AND(L108="level-log",M108="sd (Y)"),O108/BF108*BH108,
AND(L108="elasticity",M108="level"),O108,
AND(L108="elasticity",M108="sd (X)"),O108/AQ108,
AND(L108="elasticity",M108="sd (Y)"),O108*BH108,
AND(L108="marginal_effect",M108="percent_of_mean"),O108*AN108/BF108/10)</f>
        <v>#VALUE!</v>
      </c>
      <c r="AH108" s="51" t="e">
        <f t="shared" si="26"/>
        <v>#VALUE!</v>
      </c>
      <c r="AI108" s="92">
        <f t="shared" si="35"/>
        <v>-0.27191066159999999</v>
      </c>
      <c r="AJ108" s="51">
        <v>0</v>
      </c>
      <c r="AK108" s="51">
        <f t="shared" si="28"/>
        <v>1</v>
      </c>
      <c r="AL108" s="47" t="s">
        <v>148</v>
      </c>
      <c r="AM108" s="47" t="s">
        <v>483</v>
      </c>
      <c r="AN108" s="47">
        <v>4.7770000000000001</v>
      </c>
      <c r="AO108" s="47">
        <v>1</v>
      </c>
      <c r="AP108" s="47">
        <f t="shared" si="33"/>
        <v>47.77</v>
      </c>
      <c r="AQ108" s="47" t="s">
        <v>312</v>
      </c>
      <c r="AR108" s="47" t="s">
        <v>312</v>
      </c>
      <c r="AS108" s="47" t="s">
        <v>312</v>
      </c>
      <c r="AT108" s="47" t="s">
        <v>83</v>
      </c>
      <c r="AU108" s="47" t="s">
        <v>109</v>
      </c>
      <c r="AV108" s="47" t="s">
        <v>133</v>
      </c>
      <c r="AW108" s="47" t="s">
        <v>109</v>
      </c>
      <c r="AX108" s="47" t="s">
        <v>86</v>
      </c>
      <c r="AY108" s="47">
        <v>0</v>
      </c>
      <c r="AZ108" s="47">
        <v>0</v>
      </c>
      <c r="BA108" s="47" t="s">
        <v>87</v>
      </c>
      <c r="BB108" s="47" t="s">
        <v>88</v>
      </c>
      <c r="BC108" s="47" t="s">
        <v>89</v>
      </c>
      <c r="BD108" s="47" t="s">
        <v>90</v>
      </c>
      <c r="BE108" s="47" t="s">
        <v>500</v>
      </c>
      <c r="BF108" s="47" t="s">
        <v>312</v>
      </c>
      <c r="BG108" s="47">
        <v>0</v>
      </c>
      <c r="BH108" s="47" t="s">
        <v>312</v>
      </c>
      <c r="BI108" s="47" t="s">
        <v>312</v>
      </c>
      <c r="BJ108" s="47" t="s">
        <v>312</v>
      </c>
      <c r="BK108" s="47" t="s">
        <v>91</v>
      </c>
      <c r="BL108" s="47" t="s">
        <v>84</v>
      </c>
      <c r="BM108" s="47">
        <v>1</v>
      </c>
      <c r="BN108" s="47" t="s">
        <v>484</v>
      </c>
      <c r="BO108" s="47" t="s">
        <v>485</v>
      </c>
      <c r="BP108" s="47" t="s">
        <v>486</v>
      </c>
      <c r="BQ108" s="47" t="s">
        <v>92</v>
      </c>
      <c r="BR108" s="47" t="s">
        <v>118</v>
      </c>
      <c r="BS108" s="47" t="s">
        <v>312</v>
      </c>
      <c r="BT108" s="47" t="s">
        <v>312</v>
      </c>
      <c r="BU108" s="47">
        <v>2009</v>
      </c>
      <c r="BV108" s="47">
        <v>2010</v>
      </c>
      <c r="BW108" s="47" t="s">
        <v>94</v>
      </c>
      <c r="BX108" s="47" t="s">
        <v>95</v>
      </c>
      <c r="BY108" s="47" t="s">
        <v>96</v>
      </c>
      <c r="BZ108" s="47">
        <v>0</v>
      </c>
      <c r="CA108" s="47">
        <v>0</v>
      </c>
      <c r="CB108" s="47" t="s">
        <v>97</v>
      </c>
      <c r="CC108" s="47" t="s">
        <v>488</v>
      </c>
      <c r="CD108" s="47">
        <v>1</v>
      </c>
      <c r="CE108" s="47" t="s">
        <v>489</v>
      </c>
      <c r="CF108" s="47">
        <v>1</v>
      </c>
      <c r="CG108" s="47" t="s">
        <v>82</v>
      </c>
      <c r="CH108" s="47">
        <v>1</v>
      </c>
      <c r="CI108" s="47" t="s">
        <v>436</v>
      </c>
      <c r="CJ108" s="47" t="s">
        <v>98</v>
      </c>
      <c r="CK108" s="47">
        <v>17</v>
      </c>
      <c r="CL108" s="47">
        <v>0</v>
      </c>
      <c r="CM108" s="47">
        <v>0</v>
      </c>
      <c r="CN108" s="47" t="s">
        <v>124</v>
      </c>
      <c r="CO108" s="47" t="s">
        <v>957</v>
      </c>
      <c r="CP108" s="47" t="s">
        <v>125</v>
      </c>
      <c r="CQ108" s="47" t="s">
        <v>126</v>
      </c>
      <c r="CR108" s="48">
        <v>46219</v>
      </c>
      <c r="CT108" s="47" t="s">
        <v>451</v>
      </c>
    </row>
    <row r="109" spans="1:98" s="47" customFormat="1" x14ac:dyDescent="0.35">
      <c r="A109" s="46" t="s">
        <v>479</v>
      </c>
      <c r="B109" s="46" t="s">
        <v>519</v>
      </c>
      <c r="C109" s="47" t="s">
        <v>480</v>
      </c>
      <c r="D109" s="47">
        <v>2012</v>
      </c>
      <c r="E109" s="46" t="s">
        <v>481</v>
      </c>
      <c r="F109" s="46" t="s">
        <v>482</v>
      </c>
      <c r="G109" s="47" t="s">
        <v>78</v>
      </c>
      <c r="H109" s="47">
        <v>1</v>
      </c>
      <c r="I109" s="47" t="s">
        <v>390</v>
      </c>
      <c r="J109" s="47" t="s">
        <v>79</v>
      </c>
      <c r="K109" s="47">
        <v>1698</v>
      </c>
      <c r="L109" s="47" t="s">
        <v>129</v>
      </c>
      <c r="M109" s="47" t="s">
        <v>938</v>
      </c>
      <c r="N109" s="47">
        <v>-0.16</v>
      </c>
      <c r="O109" s="47">
        <v>0.08</v>
      </c>
      <c r="P109" s="92">
        <f t="shared" si="18"/>
        <v>-2</v>
      </c>
      <c r="Q109" s="47" t="s">
        <v>312</v>
      </c>
      <c r="R109" s="92">
        <f t="shared" si="19"/>
        <v>-0.31679999999999997</v>
      </c>
      <c r="S109" s="92">
        <f t="shared" si="20"/>
        <v>-3.2000000000000084E-3</v>
      </c>
      <c r="T109" s="47">
        <v>1</v>
      </c>
      <c r="U109" s="47">
        <v>29376</v>
      </c>
      <c r="V109" s="47" t="s">
        <v>312</v>
      </c>
      <c r="W109" s="47" t="s">
        <v>312</v>
      </c>
      <c r="X109" s="47">
        <f t="shared" si="21"/>
        <v>29376</v>
      </c>
      <c r="Y109" s="92">
        <f t="shared" si="22"/>
        <v>-1.1668206323248918E-2</v>
      </c>
      <c r="Z109" s="92">
        <f t="shared" si="23"/>
        <v>5.8341031616244597E-3</v>
      </c>
      <c r="AA109" s="92">
        <f t="shared" si="34"/>
        <v>-1.1668206323248918E-2</v>
      </c>
      <c r="AB109" s="47" t="s">
        <v>81</v>
      </c>
      <c r="AC109" s="92">
        <f t="shared" si="37"/>
        <v>-0.293957472</v>
      </c>
      <c r="AD109" s="92" t="e" cm="1">
        <f t="array" ref="AD109">_xlfn.IFS(
AND(L109="marginal_effect",M109="level"),N109*AN109/BF109,
AND(L109="marginal_effect",M109="sd (Y)"),N109*BH109*AN109/BF109,
AND(L109="marginal_effect",M109="sd (X)"),N109/AQ109*AN109/BF109,
AND(L109="semi_elasticity",M109="level"),N109*AN109,
AND(L109="semi_elasticity",M109="sd (Y)"),N109*AN109*BH109,
AND(L109="semi_elasticity",M109="sd (X)"),N109*AN109/AQ109,
AND(L109="level-log",M109="level"),N109/BF109,
AND(L109="level-log",M109="sd (X)"),N109/BF109/AQ109,
AND(L109="level-log",M109="sd (Y)"),N109/BF109*BH109,
AND(L109="elasticity",M109="level"),N109,
AND(L109="elasticity",M109="sd (X)"),N109/AQ109,
AND(L109="elasticity",M109="sd (Y)"),N109*BH109,
AND(L109="marginal_effect",M109="percent_of_mean"),N109*AN109/BF109/10)</f>
        <v>#VALUE!</v>
      </c>
      <c r="AE109" s="51" t="e">
        <f t="shared" si="25"/>
        <v>#VALUE!</v>
      </c>
      <c r="AF109" s="92">
        <f t="shared" si="36"/>
        <v>0.146978736</v>
      </c>
      <c r="AG109" s="92" t="e" cm="1">
        <f t="array" ref="AG109">_xlfn.IFS(
AND(L109="marginal_effect",M109="level"),O109*AN109/BF109,
AND(L109="marginal_effect",M109="sd (Y)"),O109*BH109*AN109/BF109,
AND(L109="marginal_effect",M109="sd (X)"),O109/AQ109*AN109/BF109,
AND(L109="semi_elasticity",M109="level"),O109*AN109,
AND(L109="semi_elasticity",M109="sd (Y)"),O109*AN109*BH109,
AND(L109="semi_elasticity",M109="sd (X)"),O109*AN109/AQ109,
AND(L109="level-log",M109="level"),O109/BF109,
AND(L109="level-log",M109="sd (X)"),O109/BF109/AQ109,
AND(L109="level-log",M109="sd (Y)"),O109/BF109*BH109,
AND(L109="elasticity",M109="level"),O109,
AND(L109="elasticity",M109="sd (X)"),O109/AQ109,
AND(L109="elasticity",M109="sd (Y)"),O109*BH109,
AND(L109="marginal_effect",M109="percent_of_mean"),O109*AN109/BF109/10)</f>
        <v>#VALUE!</v>
      </c>
      <c r="AH109" s="51" t="e">
        <f t="shared" si="26"/>
        <v>#VALUE!</v>
      </c>
      <c r="AI109" s="92">
        <f t="shared" si="35"/>
        <v>-0.293957472</v>
      </c>
      <c r="AJ109" s="51">
        <v>0</v>
      </c>
      <c r="AK109" s="51">
        <f t="shared" si="28"/>
        <v>1</v>
      </c>
      <c r="AL109" s="47" t="s">
        <v>148</v>
      </c>
      <c r="AM109" s="47" t="s">
        <v>483</v>
      </c>
      <c r="AN109" s="47">
        <v>4.7770000000000001</v>
      </c>
      <c r="AO109" s="47">
        <v>1</v>
      </c>
      <c r="AP109" s="47">
        <f t="shared" si="33"/>
        <v>47.77</v>
      </c>
      <c r="AQ109" s="47" t="s">
        <v>312</v>
      </c>
      <c r="AR109" s="47" t="s">
        <v>312</v>
      </c>
      <c r="AS109" s="47" t="s">
        <v>312</v>
      </c>
      <c r="AT109" s="47" t="s">
        <v>83</v>
      </c>
      <c r="AU109" s="47" t="s">
        <v>109</v>
      </c>
      <c r="AV109" s="47" t="s">
        <v>133</v>
      </c>
      <c r="AW109" s="47" t="s">
        <v>109</v>
      </c>
      <c r="AX109" s="47" t="s">
        <v>86</v>
      </c>
      <c r="AY109" s="47">
        <v>0</v>
      </c>
      <c r="AZ109" s="47">
        <v>0</v>
      </c>
      <c r="BA109" s="47" t="s">
        <v>87</v>
      </c>
      <c r="BB109" s="47" t="s">
        <v>88</v>
      </c>
      <c r="BC109" s="47" t="s">
        <v>89</v>
      </c>
      <c r="BD109" s="47" t="s">
        <v>90</v>
      </c>
      <c r="BE109" s="47" t="s">
        <v>500</v>
      </c>
      <c r="BF109" s="47" t="s">
        <v>312</v>
      </c>
      <c r="BG109" s="47">
        <v>0</v>
      </c>
      <c r="BH109" s="47" t="s">
        <v>312</v>
      </c>
      <c r="BI109" s="47" t="s">
        <v>312</v>
      </c>
      <c r="BJ109" s="47" t="s">
        <v>312</v>
      </c>
      <c r="BK109" s="47" t="s">
        <v>91</v>
      </c>
      <c r="BL109" s="47" t="s">
        <v>84</v>
      </c>
      <c r="BM109" s="47">
        <v>1</v>
      </c>
      <c r="BN109" s="47" t="s">
        <v>484</v>
      </c>
      <c r="BO109" s="47" t="s">
        <v>485</v>
      </c>
      <c r="BP109" s="47" t="s">
        <v>486</v>
      </c>
      <c r="BQ109" s="47" t="s">
        <v>92</v>
      </c>
      <c r="BR109" s="47" t="s">
        <v>118</v>
      </c>
      <c r="BS109" s="47" t="s">
        <v>312</v>
      </c>
      <c r="BT109" s="47" t="s">
        <v>312</v>
      </c>
      <c r="BU109" s="47">
        <v>2009</v>
      </c>
      <c r="BV109" s="47">
        <v>2010</v>
      </c>
      <c r="BW109" s="47" t="s">
        <v>94</v>
      </c>
      <c r="BX109" s="47" t="s">
        <v>95</v>
      </c>
      <c r="BY109" s="47" t="s">
        <v>96</v>
      </c>
      <c r="BZ109" s="47">
        <v>0</v>
      </c>
      <c r="CA109" s="47">
        <v>0</v>
      </c>
      <c r="CB109" s="47" t="s">
        <v>97</v>
      </c>
      <c r="CC109" s="47" t="s">
        <v>488</v>
      </c>
      <c r="CD109" s="47">
        <v>1</v>
      </c>
      <c r="CE109" s="47" t="s">
        <v>489</v>
      </c>
      <c r="CF109" s="47">
        <v>1</v>
      </c>
      <c r="CG109" s="47" t="s">
        <v>82</v>
      </c>
      <c r="CH109" s="47">
        <v>1</v>
      </c>
      <c r="CI109" s="47" t="s">
        <v>436</v>
      </c>
      <c r="CJ109" s="47" t="s">
        <v>98</v>
      </c>
      <c r="CK109" s="47">
        <v>17</v>
      </c>
      <c r="CL109" s="47">
        <v>0</v>
      </c>
      <c r="CM109" s="47">
        <v>0</v>
      </c>
      <c r="CN109" s="47" t="s">
        <v>124</v>
      </c>
      <c r="CO109" s="47" t="s">
        <v>957</v>
      </c>
      <c r="CP109" s="47" t="s">
        <v>125</v>
      </c>
      <c r="CQ109" s="47" t="s">
        <v>126</v>
      </c>
      <c r="CR109" s="48">
        <v>46219</v>
      </c>
      <c r="CT109" s="47" t="s">
        <v>452</v>
      </c>
    </row>
    <row r="110" spans="1:98" s="47" customFormat="1" x14ac:dyDescent="0.35">
      <c r="A110" s="46" t="s">
        <v>479</v>
      </c>
      <c r="B110" s="46" t="s">
        <v>520</v>
      </c>
      <c r="C110" s="47" t="s">
        <v>480</v>
      </c>
      <c r="D110" s="47">
        <v>2012</v>
      </c>
      <c r="E110" s="46" t="s">
        <v>481</v>
      </c>
      <c r="F110" s="46" t="s">
        <v>482</v>
      </c>
      <c r="G110" s="47" t="s">
        <v>78</v>
      </c>
      <c r="H110" s="47">
        <v>1</v>
      </c>
      <c r="I110" s="47" t="s">
        <v>390</v>
      </c>
      <c r="J110" s="47" t="s">
        <v>79</v>
      </c>
      <c r="K110" s="47">
        <v>1698</v>
      </c>
      <c r="L110" s="47" t="s">
        <v>129</v>
      </c>
      <c r="M110" s="47" t="s">
        <v>938</v>
      </c>
      <c r="N110" s="47">
        <v>-0.19700000000000001</v>
      </c>
      <c r="O110" s="47">
        <v>6.83E-2</v>
      </c>
      <c r="P110" s="92">
        <f t="shared" si="18"/>
        <v>-2.8843338213762815</v>
      </c>
      <c r="Q110" s="47" t="s">
        <v>312</v>
      </c>
      <c r="R110" s="92">
        <f t="shared" si="19"/>
        <v>-0.330868</v>
      </c>
      <c r="S110" s="92">
        <f t="shared" si="20"/>
        <v>-6.3132000000000021E-2</v>
      </c>
      <c r="T110" s="47">
        <v>1</v>
      </c>
      <c r="U110" s="47">
        <v>25456</v>
      </c>
      <c r="V110" s="47" t="s">
        <v>312</v>
      </c>
      <c r="W110" s="47" t="s">
        <v>312</v>
      </c>
      <c r="X110" s="47">
        <f t="shared" si="21"/>
        <v>25456</v>
      </c>
      <c r="Y110" s="92">
        <f t="shared" si="22"/>
        <v>-1.8075049117419237E-2</v>
      </c>
      <c r="Z110" s="92">
        <f t="shared" si="23"/>
        <v>6.2666287041610851E-3</v>
      </c>
      <c r="AA110" s="92">
        <f t="shared" si="34"/>
        <v>-1.8075049117419237E-2</v>
      </c>
      <c r="AB110" s="47" t="s">
        <v>81</v>
      </c>
      <c r="AC110" s="92">
        <f t="shared" si="37"/>
        <v>-0.36193513740000005</v>
      </c>
      <c r="AD110" s="92" t="e" cm="1">
        <f t="array" ref="AD110">_xlfn.IFS(
AND(L110="marginal_effect",M110="level"),N110*AN110/BF110,
AND(L110="marginal_effect",M110="sd (Y)"),N110*BH110*AN110/BF110,
AND(L110="marginal_effect",M110="sd (X)"),N110/AQ110*AN110/BF110,
AND(L110="semi_elasticity",M110="level"),N110*AN110,
AND(L110="semi_elasticity",M110="sd (Y)"),N110*AN110*BH110,
AND(L110="semi_elasticity",M110="sd (X)"),N110*AN110/AQ110,
AND(L110="level-log",M110="level"),N110/BF110,
AND(L110="level-log",M110="sd (X)"),N110/BF110/AQ110,
AND(L110="level-log",M110="sd (Y)"),N110/BF110*BH110,
AND(L110="elasticity",M110="level"),N110,
AND(L110="elasticity",M110="sd (X)"),N110/AQ110,
AND(L110="elasticity",M110="sd (Y)"),N110*BH110,
AND(L110="marginal_effect",M110="percent_of_mean"),N110*AN110/BF110/10)</f>
        <v>#VALUE!</v>
      </c>
      <c r="AE110" s="51" t="e">
        <f t="shared" si="25"/>
        <v>#VALUE!</v>
      </c>
      <c r="AF110" s="92">
        <f t="shared" si="36"/>
        <v>0.12548309586</v>
      </c>
      <c r="AG110" s="92" t="e" cm="1">
        <f t="array" ref="AG110">_xlfn.IFS(
AND(L110="marginal_effect",M110="level"),O110*AN110/BF110,
AND(L110="marginal_effect",M110="sd (Y)"),O110*BH110*AN110/BF110,
AND(L110="marginal_effect",M110="sd (X)"),O110/AQ110*AN110/BF110,
AND(L110="semi_elasticity",M110="level"),O110*AN110,
AND(L110="semi_elasticity",M110="sd (Y)"),O110*AN110*BH110,
AND(L110="semi_elasticity",M110="sd (X)"),O110*AN110/AQ110,
AND(L110="level-log",M110="level"),O110/BF110,
AND(L110="level-log",M110="sd (X)"),O110/BF110/AQ110,
AND(L110="level-log",M110="sd (Y)"),O110/BF110*BH110,
AND(L110="elasticity",M110="level"),O110,
AND(L110="elasticity",M110="sd (X)"),O110/AQ110,
AND(L110="elasticity",M110="sd (Y)"),O110*BH110,
AND(L110="marginal_effect",M110="percent_of_mean"),O110*AN110/BF110/10)</f>
        <v>#VALUE!</v>
      </c>
      <c r="AH110" s="51" t="e">
        <f t="shared" si="26"/>
        <v>#VALUE!</v>
      </c>
      <c r="AI110" s="92">
        <f t="shared" si="35"/>
        <v>-0.36193513740000005</v>
      </c>
      <c r="AJ110" s="51">
        <v>0</v>
      </c>
      <c r="AK110" s="51">
        <f t="shared" si="28"/>
        <v>1</v>
      </c>
      <c r="AL110" s="47" t="s">
        <v>148</v>
      </c>
      <c r="AM110" s="47" t="s">
        <v>483</v>
      </c>
      <c r="AN110" s="47">
        <v>4.7770000000000001</v>
      </c>
      <c r="AO110" s="47">
        <v>1</v>
      </c>
      <c r="AP110" s="47">
        <f t="shared" si="33"/>
        <v>47.77</v>
      </c>
      <c r="AQ110" s="47" t="s">
        <v>312</v>
      </c>
      <c r="AR110" s="47" t="s">
        <v>312</v>
      </c>
      <c r="AS110" s="47" t="s">
        <v>312</v>
      </c>
      <c r="AT110" s="47" t="s">
        <v>83</v>
      </c>
      <c r="AU110" s="47" t="s">
        <v>109</v>
      </c>
      <c r="AV110" s="47" t="s">
        <v>133</v>
      </c>
      <c r="AW110" s="47" t="s">
        <v>109</v>
      </c>
      <c r="AX110" s="47" t="s">
        <v>86</v>
      </c>
      <c r="AY110" s="47">
        <v>0</v>
      </c>
      <c r="AZ110" s="47">
        <v>0</v>
      </c>
      <c r="BA110" s="47" t="s">
        <v>87</v>
      </c>
      <c r="BB110" s="47" t="s">
        <v>88</v>
      </c>
      <c r="BC110" s="47" t="s">
        <v>89</v>
      </c>
      <c r="BD110" s="47" t="s">
        <v>90</v>
      </c>
      <c r="BE110" s="47" t="s">
        <v>500</v>
      </c>
      <c r="BF110" s="47" t="s">
        <v>312</v>
      </c>
      <c r="BG110" s="47">
        <v>0</v>
      </c>
      <c r="BH110" s="47" t="s">
        <v>312</v>
      </c>
      <c r="BI110" s="47" t="s">
        <v>312</v>
      </c>
      <c r="BJ110" s="47" t="s">
        <v>312</v>
      </c>
      <c r="BK110" s="47" t="s">
        <v>91</v>
      </c>
      <c r="BL110" s="47" t="s">
        <v>84</v>
      </c>
      <c r="BM110" s="47">
        <v>1</v>
      </c>
      <c r="BN110" s="47" t="s">
        <v>484</v>
      </c>
      <c r="BO110" s="47" t="s">
        <v>485</v>
      </c>
      <c r="BP110" s="47" t="s">
        <v>486</v>
      </c>
      <c r="BQ110" s="47" t="s">
        <v>92</v>
      </c>
      <c r="BR110" s="47" t="s">
        <v>118</v>
      </c>
      <c r="BS110" s="47" t="s">
        <v>312</v>
      </c>
      <c r="BT110" s="47" t="s">
        <v>312</v>
      </c>
      <c r="BU110" s="47">
        <v>2009</v>
      </c>
      <c r="BV110" s="47">
        <v>2010</v>
      </c>
      <c r="BW110" s="47" t="s">
        <v>94</v>
      </c>
      <c r="BX110" s="47" t="s">
        <v>95</v>
      </c>
      <c r="BY110" s="47" t="s">
        <v>96</v>
      </c>
      <c r="BZ110" s="47">
        <v>0</v>
      </c>
      <c r="CA110" s="47">
        <v>0</v>
      </c>
      <c r="CB110" s="47" t="s">
        <v>97</v>
      </c>
      <c r="CC110" s="47" t="s">
        <v>488</v>
      </c>
      <c r="CD110" s="47">
        <v>1</v>
      </c>
      <c r="CE110" s="47" t="s">
        <v>489</v>
      </c>
      <c r="CF110" s="47">
        <v>1</v>
      </c>
      <c r="CG110" s="47" t="s">
        <v>82</v>
      </c>
      <c r="CH110" s="47">
        <v>1</v>
      </c>
      <c r="CI110" s="47" t="s">
        <v>436</v>
      </c>
      <c r="CJ110" s="47" t="s">
        <v>98</v>
      </c>
      <c r="CK110" s="47">
        <v>17</v>
      </c>
      <c r="CL110" s="47">
        <v>0</v>
      </c>
      <c r="CM110" s="47">
        <v>0</v>
      </c>
      <c r="CN110" s="47" t="s">
        <v>124</v>
      </c>
      <c r="CO110" s="47" t="s">
        <v>944</v>
      </c>
      <c r="CP110" s="47" t="s">
        <v>125</v>
      </c>
      <c r="CQ110" s="47" t="s">
        <v>126</v>
      </c>
      <c r="CR110" s="48">
        <v>46219</v>
      </c>
      <c r="CT110" s="47" t="s">
        <v>521</v>
      </c>
    </row>
    <row r="111" spans="1:98" s="47" customFormat="1" x14ac:dyDescent="0.35">
      <c r="A111" s="46" t="s">
        <v>479</v>
      </c>
      <c r="B111" s="46" t="s">
        <v>522</v>
      </c>
      <c r="C111" s="47" t="s">
        <v>480</v>
      </c>
      <c r="D111" s="47">
        <v>2012</v>
      </c>
      <c r="E111" s="46" t="s">
        <v>481</v>
      </c>
      <c r="F111" s="46" t="s">
        <v>482</v>
      </c>
      <c r="G111" s="47" t="s">
        <v>78</v>
      </c>
      <c r="H111" s="47">
        <v>1</v>
      </c>
      <c r="I111" s="47" t="s">
        <v>390</v>
      </c>
      <c r="J111" s="47" t="s">
        <v>79</v>
      </c>
      <c r="K111" s="47">
        <v>1698</v>
      </c>
      <c r="L111" s="47" t="s">
        <v>129</v>
      </c>
      <c r="M111" s="47" t="s">
        <v>938</v>
      </c>
      <c r="N111" s="47">
        <v>-0.248</v>
      </c>
      <c r="O111" s="47">
        <v>7.8799999999999995E-2</v>
      </c>
      <c r="P111" s="92">
        <f t="shared" si="18"/>
        <v>-3.1472081218274113</v>
      </c>
      <c r="Q111" s="47" t="s">
        <v>312</v>
      </c>
      <c r="R111" s="92">
        <f t="shared" si="19"/>
        <v>-0.40244799999999997</v>
      </c>
      <c r="S111" s="92">
        <f t="shared" si="20"/>
        <v>-9.3552000000000024E-2</v>
      </c>
      <c r="T111" s="47">
        <v>1</v>
      </c>
      <c r="U111" s="47">
        <v>17498</v>
      </c>
      <c r="V111" s="47" t="s">
        <v>312</v>
      </c>
      <c r="W111" s="47" t="s">
        <v>312</v>
      </c>
      <c r="X111" s="47">
        <f t="shared" si="21"/>
        <v>17498</v>
      </c>
      <c r="Y111" s="92">
        <f t="shared" si="22"/>
        <v>-2.3785285769234502E-2</v>
      </c>
      <c r="Z111" s="92">
        <f t="shared" si="23"/>
        <v>7.5575827363535434E-3</v>
      </c>
      <c r="AA111" s="92">
        <f t="shared" si="34"/>
        <v>-2.3785285769234502E-2</v>
      </c>
      <c r="AB111" s="47" t="s">
        <v>81</v>
      </c>
      <c r="AC111" s="92">
        <f t="shared" si="37"/>
        <v>-0.45563408160000002</v>
      </c>
      <c r="AD111" s="92" t="e" cm="1">
        <f t="array" ref="AD111">_xlfn.IFS(
AND(L111="marginal_effect",M111="level"),N111*AN111/BF111,
AND(L111="marginal_effect",M111="sd (Y)"),N111*BH111*AN111/BF111,
AND(L111="marginal_effect",M111="sd (X)"),N111/AQ111*AN111/BF111,
AND(L111="semi_elasticity",M111="level"),N111*AN111,
AND(L111="semi_elasticity",M111="sd (Y)"),N111*AN111*BH111,
AND(L111="semi_elasticity",M111="sd (X)"),N111*AN111/AQ111,
AND(L111="level-log",M111="level"),N111/BF111,
AND(L111="level-log",M111="sd (X)"),N111/BF111/AQ111,
AND(L111="level-log",M111="sd (Y)"),N111/BF111*BH111,
AND(L111="elasticity",M111="level"),N111,
AND(L111="elasticity",M111="sd (X)"),N111/AQ111,
AND(L111="elasticity",M111="sd (Y)"),N111*BH111,
AND(L111="marginal_effect",M111="percent_of_mean"),N111*AN111/BF111/10)</f>
        <v>#VALUE!</v>
      </c>
      <c r="AE111" s="51" t="e">
        <f t="shared" si="25"/>
        <v>#VALUE!</v>
      </c>
      <c r="AF111" s="92">
        <f t="shared" si="36"/>
        <v>0.14477405495999998</v>
      </c>
      <c r="AG111" s="92" t="e" cm="1">
        <f t="array" ref="AG111">_xlfn.IFS(
AND(L111="marginal_effect",M111="level"),O111*AN111/BF111,
AND(L111="marginal_effect",M111="sd (Y)"),O111*BH111*AN111/BF111,
AND(L111="marginal_effect",M111="sd (X)"),O111/AQ111*AN111/BF111,
AND(L111="semi_elasticity",M111="level"),O111*AN111,
AND(L111="semi_elasticity",M111="sd (Y)"),O111*AN111*BH111,
AND(L111="semi_elasticity",M111="sd (X)"),O111*AN111/AQ111,
AND(L111="level-log",M111="level"),O111/BF111,
AND(L111="level-log",M111="sd (X)"),O111/BF111/AQ111,
AND(L111="level-log",M111="sd (Y)"),O111/BF111*BH111,
AND(L111="elasticity",M111="level"),O111,
AND(L111="elasticity",M111="sd (X)"),O111/AQ111,
AND(L111="elasticity",M111="sd (Y)"),O111*BH111,
AND(L111="marginal_effect",M111="percent_of_mean"),O111*AN111/BF111/10)</f>
        <v>#VALUE!</v>
      </c>
      <c r="AH111" s="51" t="e">
        <f t="shared" si="26"/>
        <v>#VALUE!</v>
      </c>
      <c r="AI111" s="92">
        <f t="shared" si="35"/>
        <v>-0.45563408160000002</v>
      </c>
      <c r="AJ111" s="51">
        <v>0</v>
      </c>
      <c r="AK111" s="51">
        <f t="shared" si="28"/>
        <v>1</v>
      </c>
      <c r="AL111" s="47" t="s">
        <v>148</v>
      </c>
      <c r="AM111" s="47" t="s">
        <v>483</v>
      </c>
      <c r="AN111" s="47">
        <v>4.7770000000000001</v>
      </c>
      <c r="AO111" s="47">
        <v>1</v>
      </c>
      <c r="AP111" s="47">
        <f t="shared" si="33"/>
        <v>47.77</v>
      </c>
      <c r="AQ111" s="47" t="s">
        <v>312</v>
      </c>
      <c r="AR111" s="47" t="s">
        <v>312</v>
      </c>
      <c r="AS111" s="47" t="s">
        <v>312</v>
      </c>
      <c r="AT111" s="47" t="s">
        <v>83</v>
      </c>
      <c r="AU111" s="47" t="s">
        <v>109</v>
      </c>
      <c r="AV111" s="47" t="s">
        <v>133</v>
      </c>
      <c r="AW111" s="47" t="s">
        <v>109</v>
      </c>
      <c r="AX111" s="47" t="s">
        <v>86</v>
      </c>
      <c r="AY111" s="47">
        <v>0</v>
      </c>
      <c r="AZ111" s="47">
        <v>0</v>
      </c>
      <c r="BA111" s="47" t="s">
        <v>87</v>
      </c>
      <c r="BB111" s="47" t="s">
        <v>88</v>
      </c>
      <c r="BC111" s="47" t="s">
        <v>89</v>
      </c>
      <c r="BD111" s="47" t="s">
        <v>90</v>
      </c>
      <c r="BE111" s="47" t="s">
        <v>500</v>
      </c>
      <c r="BF111" s="47" t="s">
        <v>312</v>
      </c>
      <c r="BG111" s="47">
        <v>0</v>
      </c>
      <c r="BH111" s="47" t="s">
        <v>312</v>
      </c>
      <c r="BI111" s="47" t="s">
        <v>312</v>
      </c>
      <c r="BJ111" s="47" t="s">
        <v>312</v>
      </c>
      <c r="BK111" s="47" t="s">
        <v>91</v>
      </c>
      <c r="BL111" s="47" t="s">
        <v>84</v>
      </c>
      <c r="BM111" s="47">
        <v>1</v>
      </c>
      <c r="BN111" s="47" t="s">
        <v>484</v>
      </c>
      <c r="BO111" s="47" t="s">
        <v>485</v>
      </c>
      <c r="BP111" s="47" t="s">
        <v>486</v>
      </c>
      <c r="BQ111" s="47" t="s">
        <v>92</v>
      </c>
      <c r="BR111" s="47" t="s">
        <v>118</v>
      </c>
      <c r="BS111" s="47" t="s">
        <v>312</v>
      </c>
      <c r="BT111" s="47" t="s">
        <v>312</v>
      </c>
      <c r="BU111" s="47">
        <v>2009</v>
      </c>
      <c r="BV111" s="47">
        <v>2010</v>
      </c>
      <c r="BW111" s="47" t="s">
        <v>94</v>
      </c>
      <c r="BX111" s="47" t="s">
        <v>95</v>
      </c>
      <c r="BY111" s="47" t="s">
        <v>96</v>
      </c>
      <c r="BZ111" s="47">
        <v>0</v>
      </c>
      <c r="CA111" s="47">
        <v>0</v>
      </c>
      <c r="CB111" s="47" t="s">
        <v>97</v>
      </c>
      <c r="CC111" s="47" t="s">
        <v>488</v>
      </c>
      <c r="CD111" s="47">
        <v>1</v>
      </c>
      <c r="CE111" s="47" t="s">
        <v>489</v>
      </c>
      <c r="CF111" s="47">
        <v>1</v>
      </c>
      <c r="CG111" s="47" t="s">
        <v>82</v>
      </c>
      <c r="CH111" s="47">
        <v>1</v>
      </c>
      <c r="CI111" s="47" t="s">
        <v>436</v>
      </c>
      <c r="CJ111" s="47" t="s">
        <v>98</v>
      </c>
      <c r="CK111" s="47">
        <v>17</v>
      </c>
      <c r="CL111" s="47">
        <v>0</v>
      </c>
      <c r="CM111" s="47">
        <v>0</v>
      </c>
      <c r="CN111" s="47" t="s">
        <v>124</v>
      </c>
      <c r="CO111" s="47" t="s">
        <v>944</v>
      </c>
      <c r="CP111" s="47" t="s">
        <v>125</v>
      </c>
      <c r="CQ111" s="47" t="s">
        <v>126</v>
      </c>
      <c r="CR111" s="48">
        <v>46219</v>
      </c>
      <c r="CT111" s="47" t="s">
        <v>511</v>
      </c>
    </row>
    <row r="112" spans="1:98" s="47" customFormat="1" x14ac:dyDescent="0.35">
      <c r="A112" s="46" t="s">
        <v>479</v>
      </c>
      <c r="B112" s="46" t="s">
        <v>1339</v>
      </c>
      <c r="C112" s="47" t="s">
        <v>480</v>
      </c>
      <c r="D112" s="47">
        <v>2012</v>
      </c>
      <c r="E112" s="46" t="s">
        <v>481</v>
      </c>
      <c r="F112" s="46" t="s">
        <v>482</v>
      </c>
      <c r="G112" s="47" t="s">
        <v>78</v>
      </c>
      <c r="H112" s="47">
        <v>1</v>
      </c>
      <c r="I112" s="47" t="s">
        <v>390</v>
      </c>
      <c r="J112" s="47" t="s">
        <v>79</v>
      </c>
      <c r="K112" s="47">
        <v>1698</v>
      </c>
      <c r="L112" s="47" t="s">
        <v>129</v>
      </c>
      <c r="M112" s="47" t="s">
        <v>938</v>
      </c>
      <c r="N112" s="47">
        <v>-0.19700000000000001</v>
      </c>
      <c r="O112" s="47">
        <v>6.8599999999999994E-2</v>
      </c>
      <c r="P112" s="92">
        <f t="shared" si="18"/>
        <v>-2.8717201166180764</v>
      </c>
      <c r="Q112" s="47" t="s">
        <v>312</v>
      </c>
      <c r="R112" s="92">
        <f t="shared" si="19"/>
        <v>-0.33145599999999997</v>
      </c>
      <c r="S112" s="92">
        <f t="shared" si="20"/>
        <v>-6.2544000000000016E-2</v>
      </c>
      <c r="T112" s="47">
        <v>1</v>
      </c>
      <c r="U112" s="47">
        <v>25456</v>
      </c>
      <c r="V112" s="47" t="s">
        <v>312</v>
      </c>
      <c r="W112" s="47" t="s">
        <v>312</v>
      </c>
      <c r="X112" s="47">
        <f t="shared" si="21"/>
        <v>25456</v>
      </c>
      <c r="Y112" s="92">
        <f t="shared" si="22"/>
        <v>-1.7996029368731903E-2</v>
      </c>
      <c r="Z112" s="92">
        <f t="shared" si="23"/>
        <v>6.2666376380457267E-3</v>
      </c>
      <c r="AA112" s="92">
        <f t="shared" si="34"/>
        <v>-1.7996029368731903E-2</v>
      </c>
      <c r="AB112" s="47" t="s">
        <v>81</v>
      </c>
      <c r="AC112" s="92">
        <f t="shared" si="37"/>
        <v>-0.36193513740000005</v>
      </c>
      <c r="AD112" s="92" t="e" cm="1">
        <f t="array" ref="AD112">_xlfn.IFS(
AND(L112="marginal_effect",M112="level"),N112*AN112/BF112,
AND(L112="marginal_effect",M112="sd (Y)"),N112*BH112*AN112/BF112,
AND(L112="marginal_effect",M112="sd (X)"),N112/AQ112*AN112/BF112,
AND(L112="semi_elasticity",M112="level"),N112*AN112,
AND(L112="semi_elasticity",M112="sd (Y)"),N112*AN112*BH112,
AND(L112="semi_elasticity",M112="sd (X)"),N112*AN112/AQ112,
AND(L112="level-log",M112="level"),N112/BF112,
AND(L112="level-log",M112="sd (X)"),N112/BF112/AQ112,
AND(L112="level-log",M112="sd (Y)"),N112/BF112*BH112,
AND(L112="elasticity",M112="level"),N112,
AND(L112="elasticity",M112="sd (X)"),N112/AQ112,
AND(L112="elasticity",M112="sd (Y)"),N112*BH112,
AND(L112="marginal_effect",M112="percent_of_mean"),N112*AN112/BF112/10)</f>
        <v>#VALUE!</v>
      </c>
      <c r="AE112" s="51" t="e">
        <f t="shared" si="25"/>
        <v>#VALUE!</v>
      </c>
      <c r="AF112" s="92">
        <f t="shared" si="36"/>
        <v>0.12603426611999999</v>
      </c>
      <c r="AG112" s="92" t="e" cm="1">
        <f t="array" ref="AG112">_xlfn.IFS(
AND(L112="marginal_effect",M112="level"),O112*AN112/BF112,
AND(L112="marginal_effect",M112="sd (Y)"),O112*BH112*AN112/BF112,
AND(L112="marginal_effect",M112="sd (X)"),O112/AQ112*AN112/BF112,
AND(L112="semi_elasticity",M112="level"),O112*AN112,
AND(L112="semi_elasticity",M112="sd (Y)"),O112*AN112*BH112,
AND(L112="semi_elasticity",M112="sd (X)"),O112*AN112/AQ112,
AND(L112="level-log",M112="level"),O112/BF112,
AND(L112="level-log",M112="sd (X)"),O112/BF112/AQ112,
AND(L112="level-log",M112="sd (Y)"),O112/BF112*BH112,
AND(L112="elasticity",M112="level"),O112,
AND(L112="elasticity",M112="sd (X)"),O112/AQ112,
AND(L112="elasticity",M112="sd (Y)"),O112*BH112,
AND(L112="marginal_effect",M112="percent_of_mean"),O112*AN112/BF112/10)</f>
        <v>#VALUE!</v>
      </c>
      <c r="AH112" s="51" t="e">
        <f t="shared" si="26"/>
        <v>#VALUE!</v>
      </c>
      <c r="AI112" s="92">
        <f t="shared" si="35"/>
        <v>-0.36193513740000005</v>
      </c>
      <c r="AJ112" s="51">
        <v>0</v>
      </c>
      <c r="AK112" s="51">
        <f t="shared" si="28"/>
        <v>1</v>
      </c>
      <c r="AL112" s="47" t="s">
        <v>148</v>
      </c>
      <c r="AM112" s="47" t="s">
        <v>483</v>
      </c>
      <c r="AN112" s="47">
        <v>4.7770000000000001</v>
      </c>
      <c r="AO112" s="47">
        <v>1</v>
      </c>
      <c r="AP112" s="47">
        <f t="shared" si="33"/>
        <v>47.77</v>
      </c>
      <c r="AQ112" s="47" t="s">
        <v>312</v>
      </c>
      <c r="AR112" s="47" t="s">
        <v>312</v>
      </c>
      <c r="AS112" s="47" t="s">
        <v>312</v>
      </c>
      <c r="AT112" s="47" t="s">
        <v>83</v>
      </c>
      <c r="AU112" s="47" t="s">
        <v>109</v>
      </c>
      <c r="AV112" s="47" t="s">
        <v>133</v>
      </c>
      <c r="AW112" s="47" t="s">
        <v>109</v>
      </c>
      <c r="AX112" s="47" t="s">
        <v>86</v>
      </c>
      <c r="AY112" s="47">
        <v>0</v>
      </c>
      <c r="AZ112" s="47">
        <v>0</v>
      </c>
      <c r="BA112" s="47" t="s">
        <v>87</v>
      </c>
      <c r="BB112" s="47" t="s">
        <v>88</v>
      </c>
      <c r="BC112" s="47" t="s">
        <v>89</v>
      </c>
      <c r="BD112" s="47" t="s">
        <v>90</v>
      </c>
      <c r="BE112" s="47" t="s">
        <v>500</v>
      </c>
      <c r="BF112" s="47" t="s">
        <v>312</v>
      </c>
      <c r="BG112" s="47">
        <v>0</v>
      </c>
      <c r="BH112" s="47" t="s">
        <v>312</v>
      </c>
      <c r="BI112" s="47" t="s">
        <v>312</v>
      </c>
      <c r="BJ112" s="47" t="s">
        <v>312</v>
      </c>
      <c r="BK112" s="47" t="s">
        <v>91</v>
      </c>
      <c r="BL112" s="47" t="s">
        <v>84</v>
      </c>
      <c r="BM112" s="47">
        <v>1</v>
      </c>
      <c r="BN112" s="47" t="s">
        <v>484</v>
      </c>
      <c r="BO112" s="47" t="s">
        <v>485</v>
      </c>
      <c r="BP112" s="47" t="s">
        <v>486</v>
      </c>
      <c r="BQ112" s="47" t="s">
        <v>92</v>
      </c>
      <c r="BR112" s="47" t="s">
        <v>118</v>
      </c>
      <c r="BS112" s="47" t="s">
        <v>312</v>
      </c>
      <c r="BT112" s="47" t="s">
        <v>312</v>
      </c>
      <c r="BU112" s="47">
        <v>2009</v>
      </c>
      <c r="BV112" s="47">
        <v>2010</v>
      </c>
      <c r="BW112" s="47" t="s">
        <v>94</v>
      </c>
      <c r="BX112" s="47" t="s">
        <v>95</v>
      </c>
      <c r="BY112" s="47" t="s">
        <v>96</v>
      </c>
      <c r="BZ112" s="47">
        <v>0</v>
      </c>
      <c r="CA112" s="47">
        <v>0</v>
      </c>
      <c r="CB112" s="47" t="s">
        <v>97</v>
      </c>
      <c r="CC112" s="47" t="s">
        <v>488</v>
      </c>
      <c r="CD112" s="47">
        <v>1</v>
      </c>
      <c r="CE112" s="47" t="s">
        <v>489</v>
      </c>
      <c r="CF112" s="47">
        <v>1</v>
      </c>
      <c r="CG112" s="47" t="s">
        <v>82</v>
      </c>
      <c r="CH112" s="47">
        <v>1</v>
      </c>
      <c r="CI112" s="47" t="s">
        <v>436</v>
      </c>
      <c r="CJ112" s="47" t="s">
        <v>98</v>
      </c>
      <c r="CK112" s="47">
        <v>17</v>
      </c>
      <c r="CL112" s="47">
        <v>0</v>
      </c>
      <c r="CM112" s="47">
        <v>0</v>
      </c>
      <c r="CN112" s="47" t="s">
        <v>124</v>
      </c>
      <c r="CO112" s="47" t="s">
        <v>944</v>
      </c>
      <c r="CP112" s="47" t="s">
        <v>125</v>
      </c>
      <c r="CQ112" s="47" t="s">
        <v>126</v>
      </c>
      <c r="CR112" s="48">
        <v>46219</v>
      </c>
      <c r="CT112" s="47" t="s">
        <v>510</v>
      </c>
    </row>
    <row r="113" spans="1:98" s="47" customFormat="1" x14ac:dyDescent="0.35">
      <c r="A113" s="46" t="s">
        <v>479</v>
      </c>
      <c r="B113" s="46" t="s">
        <v>1340</v>
      </c>
      <c r="C113" s="47" t="s">
        <v>480</v>
      </c>
      <c r="D113" s="47">
        <v>2012</v>
      </c>
      <c r="E113" s="46" t="s">
        <v>481</v>
      </c>
      <c r="F113" s="46" t="s">
        <v>482</v>
      </c>
      <c r="G113" s="47" t="s">
        <v>78</v>
      </c>
      <c r="H113" s="47">
        <v>1</v>
      </c>
      <c r="I113" s="47" t="s">
        <v>390</v>
      </c>
      <c r="J113" s="47" t="s">
        <v>79</v>
      </c>
      <c r="K113" s="47">
        <v>1698</v>
      </c>
      <c r="L113" s="47" t="s">
        <v>129</v>
      </c>
      <c r="M113" s="47" t="s">
        <v>938</v>
      </c>
      <c r="N113" s="47">
        <v>4.0000000000000001E-3</v>
      </c>
      <c r="O113" s="47">
        <v>4.4999999999999998E-2</v>
      </c>
      <c r="P113" s="92">
        <f t="shared" si="18"/>
        <v>8.8888888888888892E-2</v>
      </c>
      <c r="Q113" s="47" t="s">
        <v>312</v>
      </c>
      <c r="R113" s="92">
        <f t="shared" si="19"/>
        <v>-8.4199999999999997E-2</v>
      </c>
      <c r="S113" s="92">
        <f t="shared" si="20"/>
        <v>9.2200000000000004E-2</v>
      </c>
      <c r="T113" s="47">
        <v>1</v>
      </c>
      <c r="U113" s="47">
        <v>25456</v>
      </c>
      <c r="V113" s="47" t="s">
        <v>312</v>
      </c>
      <c r="W113" s="47" t="s">
        <v>312</v>
      </c>
      <c r="X113" s="47">
        <f t="shared" si="21"/>
        <v>25456</v>
      </c>
      <c r="Y113" s="92">
        <f t="shared" si="22"/>
        <v>5.5712459194197221E-4</v>
      </c>
      <c r="Z113" s="92">
        <f t="shared" si="23"/>
        <v>6.267651659347187E-3</v>
      </c>
      <c r="AA113" s="92">
        <f t="shared" si="34"/>
        <v>5.5712459194197221E-4</v>
      </c>
      <c r="AB113" s="47" t="s">
        <v>81</v>
      </c>
      <c r="AC113" s="92">
        <f t="shared" si="37"/>
        <v>7.3489368000000006E-3</v>
      </c>
      <c r="AD113" s="92" t="e" cm="1">
        <f t="array" ref="AD113">_xlfn.IFS(
AND(L113="marginal_effect",M113="level"),N113*AN113/BF113,
AND(L113="marginal_effect",M113="sd (Y)"),N113*BH113*AN113/BF113,
AND(L113="marginal_effect",M113="sd (X)"),N113/AQ113*AN113/BF113,
AND(L113="semi_elasticity",M113="level"),N113*AN113,
AND(L113="semi_elasticity",M113="sd (Y)"),N113*AN113*BH113,
AND(L113="semi_elasticity",M113="sd (X)"),N113*AN113/AQ113,
AND(L113="level-log",M113="level"),N113/BF113,
AND(L113="level-log",M113="sd (X)"),N113/BF113/AQ113,
AND(L113="level-log",M113="sd (Y)"),N113/BF113*BH113,
AND(L113="elasticity",M113="level"),N113,
AND(L113="elasticity",M113="sd (X)"),N113/AQ113,
AND(L113="elasticity",M113="sd (Y)"),N113*BH113,
AND(L113="marginal_effect",M113="percent_of_mean"),N113*AN113/BF113/10)</f>
        <v>#VALUE!</v>
      </c>
      <c r="AE113" s="51" t="e">
        <f t="shared" si="25"/>
        <v>#VALUE!</v>
      </c>
      <c r="AF113" s="92">
        <f t="shared" si="36"/>
        <v>8.2675539000000006E-2</v>
      </c>
      <c r="AG113" s="92" t="e" cm="1">
        <f t="array" ref="AG113">_xlfn.IFS(
AND(L113="marginal_effect",M113="level"),O113*AN113/BF113,
AND(L113="marginal_effect",M113="sd (Y)"),O113*BH113*AN113/BF113,
AND(L113="marginal_effect",M113="sd (X)"),O113/AQ113*AN113/BF113,
AND(L113="semi_elasticity",M113="level"),O113*AN113,
AND(L113="semi_elasticity",M113="sd (Y)"),O113*AN113*BH113,
AND(L113="semi_elasticity",M113="sd (X)"),O113*AN113/AQ113,
AND(L113="level-log",M113="level"),O113/BF113,
AND(L113="level-log",M113="sd (X)"),O113/BF113/AQ113,
AND(L113="level-log",M113="sd (Y)"),O113/BF113*BH113,
AND(L113="elasticity",M113="level"),O113,
AND(L113="elasticity",M113="sd (X)"),O113/AQ113,
AND(L113="elasticity",M113="sd (Y)"),O113*BH113,
AND(L113="marginal_effect",M113="percent_of_mean"),O113*AN113/BF113/10)</f>
        <v>#VALUE!</v>
      </c>
      <c r="AH113" s="51" t="e">
        <f t="shared" si="26"/>
        <v>#VALUE!</v>
      </c>
      <c r="AI113" s="92">
        <f t="shared" si="35"/>
        <v>7.3489368000000006E-3</v>
      </c>
      <c r="AJ113" s="51">
        <v>0</v>
      </c>
      <c r="AK113" s="51">
        <f t="shared" si="28"/>
        <v>1</v>
      </c>
      <c r="AL113" s="47" t="s">
        <v>148</v>
      </c>
      <c r="AM113" s="47" t="s">
        <v>483</v>
      </c>
      <c r="AN113" s="47">
        <v>4.7770000000000001</v>
      </c>
      <c r="AO113" s="47">
        <v>1</v>
      </c>
      <c r="AP113" s="47">
        <f t="shared" si="33"/>
        <v>47.77</v>
      </c>
      <c r="AQ113" s="47" t="s">
        <v>312</v>
      </c>
      <c r="AR113" s="47" t="s">
        <v>312</v>
      </c>
      <c r="AS113" s="47" t="s">
        <v>312</v>
      </c>
      <c r="AT113" s="47" t="s">
        <v>83</v>
      </c>
      <c r="AU113" s="47" t="s">
        <v>109</v>
      </c>
      <c r="AV113" s="47" t="s">
        <v>133</v>
      </c>
      <c r="AW113" s="47" t="s">
        <v>109</v>
      </c>
      <c r="AX113" s="47" t="s">
        <v>86</v>
      </c>
      <c r="AY113" s="47">
        <v>1</v>
      </c>
      <c r="AZ113" s="47">
        <v>1</v>
      </c>
      <c r="BA113" s="47" t="s">
        <v>87</v>
      </c>
      <c r="BB113" s="47" t="s">
        <v>88</v>
      </c>
      <c r="BC113" s="47" t="s">
        <v>89</v>
      </c>
      <c r="BD113" s="47" t="s">
        <v>90</v>
      </c>
      <c r="BE113" s="47" t="s">
        <v>500</v>
      </c>
      <c r="BF113" s="47" t="s">
        <v>312</v>
      </c>
      <c r="BG113" s="47">
        <v>0</v>
      </c>
      <c r="BH113" s="47" t="s">
        <v>312</v>
      </c>
      <c r="BI113" s="47" t="s">
        <v>312</v>
      </c>
      <c r="BJ113" s="47" t="s">
        <v>312</v>
      </c>
      <c r="BK113" s="47" t="s">
        <v>91</v>
      </c>
      <c r="BL113" s="47" t="s">
        <v>84</v>
      </c>
      <c r="BM113" s="47">
        <v>1</v>
      </c>
      <c r="BN113" s="47" t="s">
        <v>484</v>
      </c>
      <c r="BO113" s="47" t="s">
        <v>485</v>
      </c>
      <c r="BP113" s="47" t="s">
        <v>486</v>
      </c>
      <c r="BQ113" s="47" t="s">
        <v>92</v>
      </c>
      <c r="BR113" s="47" t="s">
        <v>118</v>
      </c>
      <c r="BS113" s="47" t="s">
        <v>312</v>
      </c>
      <c r="BT113" s="47" t="s">
        <v>312</v>
      </c>
      <c r="BU113" s="47">
        <v>2009</v>
      </c>
      <c r="BV113" s="47">
        <v>2010</v>
      </c>
      <c r="BW113" s="47" t="s">
        <v>94</v>
      </c>
      <c r="BX113" s="47" t="s">
        <v>95</v>
      </c>
      <c r="BY113" s="47" t="s">
        <v>96</v>
      </c>
      <c r="BZ113" s="47">
        <v>0</v>
      </c>
      <c r="CA113" s="47">
        <v>0</v>
      </c>
      <c r="CB113" s="47" t="s">
        <v>97</v>
      </c>
      <c r="CC113" s="47" t="s">
        <v>488</v>
      </c>
      <c r="CD113" s="47">
        <v>1</v>
      </c>
      <c r="CE113" s="47" t="s">
        <v>489</v>
      </c>
      <c r="CF113" s="47">
        <v>1</v>
      </c>
      <c r="CG113" s="47" t="s">
        <v>82</v>
      </c>
      <c r="CH113" s="47">
        <v>1</v>
      </c>
      <c r="CI113" s="47" t="s">
        <v>436</v>
      </c>
      <c r="CJ113" s="47" t="s">
        <v>98</v>
      </c>
      <c r="CK113" s="47">
        <v>17</v>
      </c>
      <c r="CL113" s="47">
        <v>0</v>
      </c>
      <c r="CM113" s="47">
        <v>0</v>
      </c>
      <c r="CN113" s="47" t="s">
        <v>124</v>
      </c>
      <c r="CO113" s="47" t="s">
        <v>944</v>
      </c>
      <c r="CP113" s="47" t="s">
        <v>125</v>
      </c>
      <c r="CQ113" s="47" t="s">
        <v>126</v>
      </c>
      <c r="CR113" s="48">
        <v>46219</v>
      </c>
      <c r="CT113" s="47" t="s">
        <v>510</v>
      </c>
    </row>
    <row r="114" spans="1:98" s="47" customFormat="1" x14ac:dyDescent="0.35">
      <c r="A114" s="46" t="s">
        <v>479</v>
      </c>
      <c r="B114" s="46" t="s">
        <v>1341</v>
      </c>
      <c r="C114" s="47" t="s">
        <v>480</v>
      </c>
      <c r="D114" s="47">
        <v>2012</v>
      </c>
      <c r="E114" s="46" t="s">
        <v>481</v>
      </c>
      <c r="F114" s="46" t="s">
        <v>482</v>
      </c>
      <c r="G114" s="47" t="s">
        <v>78</v>
      </c>
      <c r="H114" s="47">
        <v>1</v>
      </c>
      <c r="I114" s="47" t="s">
        <v>390</v>
      </c>
      <c r="J114" s="47" t="s">
        <v>79</v>
      </c>
      <c r="K114" s="47">
        <v>1698</v>
      </c>
      <c r="L114" s="47" t="s">
        <v>129</v>
      </c>
      <c r="M114" s="47" t="s">
        <v>938</v>
      </c>
      <c r="N114" s="47">
        <v>-0.193</v>
      </c>
      <c r="O114" s="47">
        <v>7.5999999999999998E-2</v>
      </c>
      <c r="P114" s="92">
        <f t="shared" si="18"/>
        <v>-2.5394736842105265</v>
      </c>
      <c r="Q114" s="47" t="s">
        <v>312</v>
      </c>
      <c r="R114" s="92">
        <f t="shared" si="19"/>
        <v>-0.34195999999999999</v>
      </c>
      <c r="S114" s="92">
        <f t="shared" si="20"/>
        <v>-4.4040000000000024E-2</v>
      </c>
      <c r="T114" s="47">
        <v>1</v>
      </c>
      <c r="U114" s="47">
        <v>25456</v>
      </c>
      <c r="V114" s="47" t="s">
        <v>312</v>
      </c>
      <c r="W114" s="47" t="s">
        <v>312</v>
      </c>
      <c r="X114" s="47">
        <f t="shared" si="21"/>
        <v>25456</v>
      </c>
      <c r="Y114" s="92">
        <f t="shared" si="22"/>
        <v>-1.5914523186013569E-2</v>
      </c>
      <c r="Z114" s="92">
        <f t="shared" si="23"/>
        <v>6.2668588711763274E-3</v>
      </c>
      <c r="AA114" s="92">
        <f t="shared" si="34"/>
        <v>-1.5914523186013569E-2</v>
      </c>
      <c r="AB114" s="47" t="s">
        <v>81</v>
      </c>
      <c r="AC114" s="92">
        <f t="shared" si="37"/>
        <v>-0.35458620060000001</v>
      </c>
      <c r="AD114" s="92" t="e" cm="1">
        <f t="array" ref="AD114">_xlfn.IFS(
AND(L114="marginal_effect",M114="level"),N114*AN114/BF114,
AND(L114="marginal_effect",M114="sd (Y)"),N114*BH114*AN114/BF114,
AND(L114="marginal_effect",M114="sd (X)"),N114/AQ114*AN114/BF114,
AND(L114="semi_elasticity",M114="level"),N114*AN114,
AND(L114="semi_elasticity",M114="sd (Y)"),N114*AN114*BH114,
AND(L114="semi_elasticity",M114="sd (X)"),N114*AN114/AQ114,
AND(L114="level-log",M114="level"),N114/BF114,
AND(L114="level-log",M114="sd (X)"),N114/BF114/AQ114,
AND(L114="level-log",M114="sd (Y)"),N114/BF114*BH114,
AND(L114="elasticity",M114="level"),N114,
AND(L114="elasticity",M114="sd (X)"),N114/AQ114,
AND(L114="elasticity",M114="sd (Y)"),N114*BH114,
AND(L114="marginal_effect",M114="percent_of_mean"),N114*AN114/BF114/10)</f>
        <v>#VALUE!</v>
      </c>
      <c r="AE114" s="51" t="e">
        <f t="shared" si="25"/>
        <v>#VALUE!</v>
      </c>
      <c r="AF114" s="92">
        <f t="shared" si="36"/>
        <v>0.13962979919999999</v>
      </c>
      <c r="AG114" s="92" t="e" cm="1">
        <f t="array" ref="AG114">_xlfn.IFS(
AND(L114="marginal_effect",M114="level"),O114*AN114/BF114,
AND(L114="marginal_effect",M114="sd (Y)"),O114*BH114*AN114/BF114,
AND(L114="marginal_effect",M114="sd (X)"),O114/AQ114*AN114/BF114,
AND(L114="semi_elasticity",M114="level"),O114*AN114,
AND(L114="semi_elasticity",M114="sd (Y)"),O114*AN114*BH114,
AND(L114="semi_elasticity",M114="sd (X)"),O114*AN114/AQ114,
AND(L114="level-log",M114="level"),O114/BF114,
AND(L114="level-log",M114="sd (X)"),O114/BF114/AQ114,
AND(L114="level-log",M114="sd (Y)"),O114/BF114*BH114,
AND(L114="elasticity",M114="level"),O114,
AND(L114="elasticity",M114="sd (X)"),O114/AQ114,
AND(L114="elasticity",M114="sd (Y)"),O114*BH114,
AND(L114="marginal_effect",M114="percent_of_mean"),O114*AN114/BF114/10)</f>
        <v>#VALUE!</v>
      </c>
      <c r="AH114" s="51" t="e">
        <f t="shared" si="26"/>
        <v>#VALUE!</v>
      </c>
      <c r="AI114" s="92">
        <f t="shared" si="35"/>
        <v>-0.35458620060000001</v>
      </c>
      <c r="AJ114" s="51">
        <v>0</v>
      </c>
      <c r="AK114" s="51">
        <f t="shared" si="28"/>
        <v>1</v>
      </c>
      <c r="AL114" s="47" t="s">
        <v>148</v>
      </c>
      <c r="AM114" s="47" t="s">
        <v>483</v>
      </c>
      <c r="AN114" s="47">
        <v>4.7770000000000001</v>
      </c>
      <c r="AO114" s="47">
        <v>1</v>
      </c>
      <c r="AP114" s="47">
        <f t="shared" si="33"/>
        <v>47.77</v>
      </c>
      <c r="AQ114" s="47" t="s">
        <v>312</v>
      </c>
      <c r="AR114" s="47" t="s">
        <v>312</v>
      </c>
      <c r="AS114" s="47" t="s">
        <v>312</v>
      </c>
      <c r="AT114" s="47" t="s">
        <v>83</v>
      </c>
      <c r="AU114" s="47" t="s">
        <v>109</v>
      </c>
      <c r="AV114" s="47" t="s">
        <v>133</v>
      </c>
      <c r="AW114" s="47" t="s">
        <v>109</v>
      </c>
      <c r="AX114" s="47" t="s">
        <v>86</v>
      </c>
      <c r="AY114" s="47">
        <v>0</v>
      </c>
      <c r="AZ114" s="47">
        <v>1</v>
      </c>
      <c r="BA114" s="47" t="s">
        <v>87</v>
      </c>
      <c r="BB114" s="47" t="s">
        <v>88</v>
      </c>
      <c r="BC114" s="47" t="s">
        <v>89</v>
      </c>
      <c r="BD114" s="47" t="s">
        <v>90</v>
      </c>
      <c r="BE114" s="47" t="s">
        <v>500</v>
      </c>
      <c r="BF114" s="47" t="s">
        <v>312</v>
      </c>
      <c r="BG114" s="47">
        <v>0</v>
      </c>
      <c r="BH114" s="47" t="s">
        <v>312</v>
      </c>
      <c r="BI114" s="47" t="s">
        <v>312</v>
      </c>
      <c r="BJ114" s="47" t="s">
        <v>312</v>
      </c>
      <c r="BK114" s="47" t="s">
        <v>91</v>
      </c>
      <c r="BL114" s="47" t="s">
        <v>84</v>
      </c>
      <c r="BM114" s="47">
        <v>1</v>
      </c>
      <c r="BN114" s="47" t="s">
        <v>484</v>
      </c>
      <c r="BO114" s="47" t="s">
        <v>485</v>
      </c>
      <c r="BP114" s="47" t="s">
        <v>486</v>
      </c>
      <c r="BQ114" s="47" t="s">
        <v>92</v>
      </c>
      <c r="BR114" s="47" t="s">
        <v>118</v>
      </c>
      <c r="BS114" s="47" t="s">
        <v>312</v>
      </c>
      <c r="BT114" s="47" t="s">
        <v>312</v>
      </c>
      <c r="BU114" s="47">
        <v>2009</v>
      </c>
      <c r="BV114" s="47">
        <v>2010</v>
      </c>
      <c r="BW114" s="47" t="s">
        <v>94</v>
      </c>
      <c r="BX114" s="47" t="s">
        <v>95</v>
      </c>
      <c r="BY114" s="47" t="s">
        <v>96</v>
      </c>
      <c r="BZ114" s="47">
        <v>0</v>
      </c>
      <c r="CA114" s="47">
        <v>0</v>
      </c>
      <c r="CB114" s="47" t="s">
        <v>97</v>
      </c>
      <c r="CC114" s="47" t="s">
        <v>488</v>
      </c>
      <c r="CD114" s="47">
        <v>1</v>
      </c>
      <c r="CE114" s="47" t="s">
        <v>489</v>
      </c>
      <c r="CF114" s="47">
        <v>1</v>
      </c>
      <c r="CG114" s="47" t="s">
        <v>82</v>
      </c>
      <c r="CH114" s="47">
        <v>1</v>
      </c>
      <c r="CI114" s="47" t="s">
        <v>436</v>
      </c>
      <c r="CJ114" s="47" t="s">
        <v>98</v>
      </c>
      <c r="CK114" s="47">
        <v>17</v>
      </c>
      <c r="CL114" s="47">
        <v>0</v>
      </c>
      <c r="CM114" s="47">
        <v>0</v>
      </c>
      <c r="CN114" s="47" t="s">
        <v>124</v>
      </c>
      <c r="CO114" s="47" t="s">
        <v>944</v>
      </c>
      <c r="CP114" s="47" t="s">
        <v>125</v>
      </c>
      <c r="CQ114" s="47" t="s">
        <v>126</v>
      </c>
      <c r="CR114" s="48">
        <v>46219</v>
      </c>
      <c r="CT114" s="47" t="s">
        <v>510</v>
      </c>
    </row>
    <row r="115" spans="1:98" s="47" customFormat="1" x14ac:dyDescent="0.35">
      <c r="A115" s="46" t="s">
        <v>479</v>
      </c>
      <c r="B115" s="46" t="s">
        <v>1342</v>
      </c>
      <c r="C115" s="47" t="s">
        <v>480</v>
      </c>
      <c r="D115" s="47">
        <v>2012</v>
      </c>
      <c r="E115" s="46" t="s">
        <v>481</v>
      </c>
      <c r="F115" s="46" t="s">
        <v>482</v>
      </c>
      <c r="G115" s="47" t="s">
        <v>78</v>
      </c>
      <c r="H115" s="47">
        <v>1</v>
      </c>
      <c r="I115" s="47" t="s">
        <v>390</v>
      </c>
      <c r="J115" s="47" t="s">
        <v>79</v>
      </c>
      <c r="K115" s="47">
        <v>1698</v>
      </c>
      <c r="L115" s="47" t="s">
        <v>129</v>
      </c>
      <c r="M115" s="47" t="s">
        <v>938</v>
      </c>
      <c r="N115" s="47">
        <v>-0.22900000000000001</v>
      </c>
      <c r="O115" s="47">
        <v>8.4199999999999997E-2</v>
      </c>
      <c r="P115" s="92">
        <f t="shared" si="18"/>
        <v>-2.7197149643705467</v>
      </c>
      <c r="Q115" s="47" t="s">
        <v>312</v>
      </c>
      <c r="R115" s="92">
        <f t="shared" si="19"/>
        <v>-0.39403199999999999</v>
      </c>
      <c r="S115" s="92">
        <f t="shared" si="20"/>
        <v>-6.3968000000000025E-2</v>
      </c>
      <c r="T115" s="47">
        <v>1</v>
      </c>
      <c r="U115" s="47">
        <v>17498</v>
      </c>
      <c r="V115" s="47" t="s">
        <v>312</v>
      </c>
      <c r="W115" s="47" t="s">
        <v>312</v>
      </c>
      <c r="X115" s="47">
        <f t="shared" si="21"/>
        <v>17498</v>
      </c>
      <c r="Y115" s="92">
        <f t="shared" si="22"/>
        <v>-2.0555943271152594E-2</v>
      </c>
      <c r="Z115" s="92">
        <f t="shared" si="23"/>
        <v>7.5581241197862368E-3</v>
      </c>
      <c r="AA115" s="92">
        <f t="shared" si="34"/>
        <v>-2.0555943271152594E-2</v>
      </c>
      <c r="AB115" s="47" t="s">
        <v>81</v>
      </c>
      <c r="AC115" s="92">
        <f t="shared" si="37"/>
        <v>-0.42072663179999997</v>
      </c>
      <c r="AD115" s="92" t="e" cm="1">
        <f t="array" ref="AD115">_xlfn.IFS(
AND(L115="marginal_effect",M115="level"),N115*AN115/BF115,
AND(L115="marginal_effect",M115="sd (Y)"),N115*BH115*AN115/BF115,
AND(L115="marginal_effect",M115="sd (X)"),N115/AQ115*AN115/BF115,
AND(L115="semi_elasticity",M115="level"),N115*AN115,
AND(L115="semi_elasticity",M115="sd (Y)"),N115*AN115*BH115,
AND(L115="semi_elasticity",M115="sd (X)"),N115*AN115/AQ115,
AND(L115="level-log",M115="level"),N115/BF115,
AND(L115="level-log",M115="sd (X)"),N115/BF115/AQ115,
AND(L115="level-log",M115="sd (Y)"),N115/BF115*BH115,
AND(L115="elasticity",M115="level"),N115,
AND(L115="elasticity",M115="sd (X)"),N115/AQ115,
AND(L115="elasticity",M115="sd (Y)"),N115*BH115,
AND(L115="marginal_effect",M115="percent_of_mean"),N115*AN115/BF115/10)</f>
        <v>#VALUE!</v>
      </c>
      <c r="AE115" s="51" t="e">
        <f t="shared" si="25"/>
        <v>#VALUE!</v>
      </c>
      <c r="AF115" s="92">
        <f t="shared" si="36"/>
        <v>0.15469511964000002</v>
      </c>
      <c r="AG115" s="92" t="e" cm="1">
        <f t="array" ref="AG115">_xlfn.IFS(
AND(L115="marginal_effect",M115="level"),O115*AN115/BF115,
AND(L115="marginal_effect",M115="sd (Y)"),O115*BH115*AN115/BF115,
AND(L115="marginal_effect",M115="sd (X)"),O115/AQ115*AN115/BF115,
AND(L115="semi_elasticity",M115="level"),O115*AN115,
AND(L115="semi_elasticity",M115="sd (Y)"),O115*AN115*BH115,
AND(L115="semi_elasticity",M115="sd (X)"),O115*AN115/AQ115,
AND(L115="level-log",M115="level"),O115/BF115,
AND(L115="level-log",M115="sd (X)"),O115/BF115/AQ115,
AND(L115="level-log",M115="sd (Y)"),O115/BF115*BH115,
AND(L115="elasticity",M115="level"),O115,
AND(L115="elasticity",M115="sd (X)"),O115/AQ115,
AND(L115="elasticity",M115="sd (Y)"),O115*BH115,
AND(L115="marginal_effect",M115="percent_of_mean"),O115*AN115/BF115/10)</f>
        <v>#VALUE!</v>
      </c>
      <c r="AH115" s="51" t="e">
        <f t="shared" si="26"/>
        <v>#VALUE!</v>
      </c>
      <c r="AI115" s="92">
        <f t="shared" si="35"/>
        <v>-0.42072663179999997</v>
      </c>
      <c r="AJ115" s="51">
        <v>0</v>
      </c>
      <c r="AK115" s="51">
        <f t="shared" si="28"/>
        <v>1</v>
      </c>
      <c r="AL115" s="47" t="s">
        <v>148</v>
      </c>
      <c r="AM115" s="47" t="s">
        <v>483</v>
      </c>
      <c r="AN115" s="47">
        <v>4.7770000000000001</v>
      </c>
      <c r="AO115" s="47">
        <v>1</v>
      </c>
      <c r="AP115" s="47">
        <f t="shared" si="33"/>
        <v>47.77</v>
      </c>
      <c r="AQ115" s="47" t="s">
        <v>312</v>
      </c>
      <c r="AR115" s="47" t="s">
        <v>312</v>
      </c>
      <c r="AS115" s="47" t="s">
        <v>312</v>
      </c>
      <c r="AT115" s="47" t="s">
        <v>83</v>
      </c>
      <c r="AU115" s="47" t="s">
        <v>109</v>
      </c>
      <c r="AV115" s="47" t="s">
        <v>133</v>
      </c>
      <c r="AW115" s="47" t="s">
        <v>109</v>
      </c>
      <c r="AX115" s="47" t="s">
        <v>86</v>
      </c>
      <c r="AY115" s="47">
        <v>0</v>
      </c>
      <c r="AZ115" s="47">
        <v>0</v>
      </c>
      <c r="BA115" s="47" t="s">
        <v>87</v>
      </c>
      <c r="BB115" s="47" t="s">
        <v>88</v>
      </c>
      <c r="BC115" s="47" t="s">
        <v>89</v>
      </c>
      <c r="BD115" s="47" t="s">
        <v>90</v>
      </c>
      <c r="BE115" s="47" t="s">
        <v>500</v>
      </c>
      <c r="BF115" s="47" t="s">
        <v>312</v>
      </c>
      <c r="BG115" s="47">
        <v>0</v>
      </c>
      <c r="BH115" s="47" t="s">
        <v>312</v>
      </c>
      <c r="BI115" s="47" t="s">
        <v>312</v>
      </c>
      <c r="BJ115" s="47" t="s">
        <v>312</v>
      </c>
      <c r="BK115" s="47" t="s">
        <v>91</v>
      </c>
      <c r="BL115" s="47" t="s">
        <v>84</v>
      </c>
      <c r="BM115" s="47">
        <v>1</v>
      </c>
      <c r="BN115" s="47" t="s">
        <v>484</v>
      </c>
      <c r="BO115" s="47" t="s">
        <v>485</v>
      </c>
      <c r="BP115" s="47" t="s">
        <v>486</v>
      </c>
      <c r="BQ115" s="47" t="s">
        <v>92</v>
      </c>
      <c r="BR115" s="47" t="s">
        <v>118</v>
      </c>
      <c r="BS115" s="47" t="s">
        <v>312</v>
      </c>
      <c r="BT115" s="47" t="s">
        <v>312</v>
      </c>
      <c r="BU115" s="47">
        <v>2009</v>
      </c>
      <c r="BV115" s="47">
        <v>2010</v>
      </c>
      <c r="BW115" s="47" t="s">
        <v>94</v>
      </c>
      <c r="BX115" s="47" t="s">
        <v>95</v>
      </c>
      <c r="BY115" s="47" t="s">
        <v>96</v>
      </c>
      <c r="BZ115" s="47">
        <v>0</v>
      </c>
      <c r="CA115" s="47">
        <v>0</v>
      </c>
      <c r="CB115" s="47" t="s">
        <v>97</v>
      </c>
      <c r="CC115" s="47" t="s">
        <v>488</v>
      </c>
      <c r="CD115" s="47">
        <v>1</v>
      </c>
      <c r="CE115" s="47" t="s">
        <v>489</v>
      </c>
      <c r="CF115" s="47">
        <v>1</v>
      </c>
      <c r="CG115" s="47" t="s">
        <v>82</v>
      </c>
      <c r="CH115" s="47">
        <v>1</v>
      </c>
      <c r="CI115" s="47" t="s">
        <v>436</v>
      </c>
      <c r="CJ115" s="47" t="s">
        <v>98</v>
      </c>
      <c r="CK115" s="47">
        <v>17</v>
      </c>
      <c r="CL115" s="47">
        <v>0</v>
      </c>
      <c r="CM115" s="47">
        <v>0</v>
      </c>
      <c r="CN115" s="47" t="s">
        <v>124</v>
      </c>
      <c r="CO115" s="47" t="s">
        <v>944</v>
      </c>
      <c r="CP115" s="47" t="s">
        <v>125</v>
      </c>
      <c r="CQ115" s="47" t="s">
        <v>126</v>
      </c>
      <c r="CR115" s="48">
        <v>46219</v>
      </c>
      <c r="CT115" s="47" t="s">
        <v>523</v>
      </c>
    </row>
    <row r="116" spans="1:98" s="47" customFormat="1" x14ac:dyDescent="0.35">
      <c r="A116" s="46" t="s">
        <v>479</v>
      </c>
      <c r="B116" s="46" t="s">
        <v>1343</v>
      </c>
      <c r="C116" s="47" t="s">
        <v>480</v>
      </c>
      <c r="D116" s="47">
        <v>2012</v>
      </c>
      <c r="E116" s="46" t="s">
        <v>481</v>
      </c>
      <c r="F116" s="46" t="s">
        <v>482</v>
      </c>
      <c r="G116" s="47" t="s">
        <v>78</v>
      </c>
      <c r="H116" s="47">
        <v>1</v>
      </c>
      <c r="I116" s="47" t="s">
        <v>390</v>
      </c>
      <c r="J116" s="47" t="s">
        <v>79</v>
      </c>
      <c r="K116" s="47">
        <v>1698</v>
      </c>
      <c r="L116" s="47" t="s">
        <v>129</v>
      </c>
      <c r="M116" s="47" t="s">
        <v>938</v>
      </c>
      <c r="N116" s="47">
        <v>-6.6000000000000003E-2</v>
      </c>
      <c r="O116" s="47">
        <v>5.6000000000000001E-2</v>
      </c>
      <c r="P116" s="92">
        <f t="shared" si="18"/>
        <v>-1.1785714285714286</v>
      </c>
      <c r="Q116" s="47" t="s">
        <v>312</v>
      </c>
      <c r="R116" s="92">
        <f t="shared" si="19"/>
        <v>-0.17576</v>
      </c>
      <c r="S116" s="92">
        <f t="shared" si="20"/>
        <v>4.3759999999999993E-2</v>
      </c>
      <c r="T116" s="47">
        <v>1</v>
      </c>
      <c r="U116" s="47">
        <v>17498</v>
      </c>
      <c r="V116" s="47" t="s">
        <v>312</v>
      </c>
      <c r="W116" s="47" t="s">
        <v>312</v>
      </c>
      <c r="X116" s="47">
        <f t="shared" si="21"/>
        <v>17498</v>
      </c>
      <c r="Y116" s="92">
        <f t="shared" si="22"/>
        <v>-8.9093181028785697E-3</v>
      </c>
      <c r="Z116" s="92">
        <f t="shared" si="23"/>
        <v>7.5594214206242414E-3</v>
      </c>
      <c r="AA116" s="92">
        <f t="shared" si="34"/>
        <v>-8.9093181028785697E-3</v>
      </c>
      <c r="AB116" s="47" t="s">
        <v>81</v>
      </c>
      <c r="AC116" s="92">
        <f t="shared" si="37"/>
        <v>-0.12125745720000002</v>
      </c>
      <c r="AD116" s="92" t="e" cm="1">
        <f t="array" ref="AD116">_xlfn.IFS(
AND(L116="marginal_effect",M116="level"),N116*AN116/BF116,
AND(L116="marginal_effect",M116="sd (Y)"),N116*BH116*AN116/BF116,
AND(L116="marginal_effect",M116="sd (X)"),N116/AQ116*AN116/BF116,
AND(L116="semi_elasticity",M116="level"),N116*AN116,
AND(L116="semi_elasticity",M116="sd (Y)"),N116*AN116*BH116,
AND(L116="semi_elasticity",M116="sd (X)"),N116*AN116/AQ116,
AND(L116="level-log",M116="level"),N116/BF116,
AND(L116="level-log",M116="sd (X)"),N116/BF116/AQ116,
AND(L116="level-log",M116="sd (Y)"),N116/BF116*BH116,
AND(L116="elasticity",M116="level"),N116,
AND(L116="elasticity",M116="sd (X)"),N116/AQ116,
AND(L116="elasticity",M116="sd (Y)"),N116*BH116,
AND(L116="marginal_effect",M116="percent_of_mean"),N116*AN116/BF116/10)</f>
        <v>#VALUE!</v>
      </c>
      <c r="AE116" s="51" t="e">
        <f t="shared" si="25"/>
        <v>#VALUE!</v>
      </c>
      <c r="AF116" s="92">
        <f t="shared" si="36"/>
        <v>0.1028851152</v>
      </c>
      <c r="AG116" s="92" t="e" cm="1">
        <f t="array" ref="AG116">_xlfn.IFS(
AND(L116="marginal_effect",M116="level"),O116*AN116/BF116,
AND(L116="marginal_effect",M116="sd (Y)"),O116*BH116*AN116/BF116,
AND(L116="marginal_effect",M116="sd (X)"),O116/AQ116*AN116/BF116,
AND(L116="semi_elasticity",M116="level"),O116*AN116,
AND(L116="semi_elasticity",M116="sd (Y)"),O116*AN116*BH116,
AND(L116="semi_elasticity",M116="sd (X)"),O116*AN116/AQ116,
AND(L116="level-log",M116="level"),O116/BF116,
AND(L116="level-log",M116="sd (X)"),O116/BF116/AQ116,
AND(L116="level-log",M116="sd (Y)"),O116/BF116*BH116,
AND(L116="elasticity",M116="level"),O116,
AND(L116="elasticity",M116="sd (X)"),O116/AQ116,
AND(L116="elasticity",M116="sd (Y)"),O116*BH116,
AND(L116="marginal_effect",M116="percent_of_mean"),O116*AN116/BF116/10)</f>
        <v>#VALUE!</v>
      </c>
      <c r="AH116" s="51" t="e">
        <f t="shared" si="26"/>
        <v>#VALUE!</v>
      </c>
      <c r="AI116" s="92">
        <f t="shared" si="35"/>
        <v>-0.12125745720000002</v>
      </c>
      <c r="AJ116" s="51">
        <v>0</v>
      </c>
      <c r="AK116" s="51">
        <f t="shared" si="28"/>
        <v>1</v>
      </c>
      <c r="AL116" s="47" t="s">
        <v>148</v>
      </c>
      <c r="AM116" s="47" t="s">
        <v>483</v>
      </c>
      <c r="AN116" s="47">
        <v>4.7770000000000001</v>
      </c>
      <c r="AO116" s="47">
        <v>1</v>
      </c>
      <c r="AP116" s="47">
        <f t="shared" si="33"/>
        <v>47.77</v>
      </c>
      <c r="AQ116" s="47" t="s">
        <v>312</v>
      </c>
      <c r="AR116" s="47" t="s">
        <v>312</v>
      </c>
      <c r="AS116" s="47" t="s">
        <v>312</v>
      </c>
      <c r="AT116" s="47" t="s">
        <v>83</v>
      </c>
      <c r="AU116" s="47" t="s">
        <v>109</v>
      </c>
      <c r="AV116" s="47" t="s">
        <v>133</v>
      </c>
      <c r="AW116" s="47" t="s">
        <v>109</v>
      </c>
      <c r="AX116" s="47" t="s">
        <v>86</v>
      </c>
      <c r="AY116" s="47">
        <v>1</v>
      </c>
      <c r="AZ116" s="47">
        <v>1</v>
      </c>
      <c r="BA116" s="47" t="s">
        <v>87</v>
      </c>
      <c r="BB116" s="47" t="s">
        <v>88</v>
      </c>
      <c r="BC116" s="47" t="s">
        <v>89</v>
      </c>
      <c r="BD116" s="47" t="s">
        <v>90</v>
      </c>
      <c r="BE116" s="47" t="s">
        <v>500</v>
      </c>
      <c r="BF116" s="47" t="s">
        <v>312</v>
      </c>
      <c r="BG116" s="47">
        <v>0</v>
      </c>
      <c r="BH116" s="47" t="s">
        <v>312</v>
      </c>
      <c r="BI116" s="47" t="s">
        <v>312</v>
      </c>
      <c r="BJ116" s="47" t="s">
        <v>312</v>
      </c>
      <c r="BK116" s="47" t="s">
        <v>91</v>
      </c>
      <c r="BL116" s="47" t="s">
        <v>84</v>
      </c>
      <c r="BM116" s="47">
        <v>1</v>
      </c>
      <c r="BN116" s="47" t="s">
        <v>484</v>
      </c>
      <c r="BO116" s="47" t="s">
        <v>485</v>
      </c>
      <c r="BP116" s="47" t="s">
        <v>486</v>
      </c>
      <c r="BQ116" s="47" t="s">
        <v>92</v>
      </c>
      <c r="BR116" s="47" t="s">
        <v>118</v>
      </c>
      <c r="BS116" s="47" t="s">
        <v>312</v>
      </c>
      <c r="BT116" s="47" t="s">
        <v>312</v>
      </c>
      <c r="BU116" s="47">
        <v>2009</v>
      </c>
      <c r="BV116" s="47">
        <v>2010</v>
      </c>
      <c r="BW116" s="47" t="s">
        <v>94</v>
      </c>
      <c r="BX116" s="47" t="s">
        <v>95</v>
      </c>
      <c r="BY116" s="47" t="s">
        <v>96</v>
      </c>
      <c r="BZ116" s="47">
        <v>0</v>
      </c>
      <c r="CA116" s="47">
        <v>0</v>
      </c>
      <c r="CB116" s="47" t="s">
        <v>97</v>
      </c>
      <c r="CC116" s="47" t="s">
        <v>488</v>
      </c>
      <c r="CD116" s="47">
        <v>1</v>
      </c>
      <c r="CE116" s="47" t="s">
        <v>489</v>
      </c>
      <c r="CF116" s="47">
        <v>1</v>
      </c>
      <c r="CG116" s="47" t="s">
        <v>82</v>
      </c>
      <c r="CH116" s="47">
        <v>1</v>
      </c>
      <c r="CI116" s="47" t="s">
        <v>436</v>
      </c>
      <c r="CJ116" s="47" t="s">
        <v>98</v>
      </c>
      <c r="CK116" s="47">
        <v>17</v>
      </c>
      <c r="CL116" s="47">
        <v>0</v>
      </c>
      <c r="CM116" s="47">
        <v>0</v>
      </c>
      <c r="CN116" s="47" t="s">
        <v>124</v>
      </c>
      <c r="CO116" s="47" t="s">
        <v>944</v>
      </c>
      <c r="CP116" s="47" t="s">
        <v>125</v>
      </c>
      <c r="CQ116" s="47" t="s">
        <v>126</v>
      </c>
      <c r="CR116" s="48">
        <v>46219</v>
      </c>
      <c r="CT116" s="47" t="s">
        <v>523</v>
      </c>
    </row>
    <row r="117" spans="1:98" s="47" customFormat="1" x14ac:dyDescent="0.35">
      <c r="A117" s="46" t="s">
        <v>479</v>
      </c>
      <c r="B117" s="46" t="s">
        <v>1344</v>
      </c>
      <c r="C117" s="47" t="s">
        <v>480</v>
      </c>
      <c r="D117" s="47">
        <v>2012</v>
      </c>
      <c r="E117" s="46" t="s">
        <v>481</v>
      </c>
      <c r="F117" s="46" t="s">
        <v>482</v>
      </c>
      <c r="G117" s="47" t="s">
        <v>78</v>
      </c>
      <c r="H117" s="47">
        <v>1</v>
      </c>
      <c r="I117" s="47" t="s">
        <v>390</v>
      </c>
      <c r="J117" s="47" t="s">
        <v>79</v>
      </c>
      <c r="K117" s="47">
        <v>1698</v>
      </c>
      <c r="L117" s="47" t="s">
        <v>129</v>
      </c>
      <c r="M117" s="47" t="s">
        <v>938</v>
      </c>
      <c r="N117" s="47">
        <v>0.114</v>
      </c>
      <c r="O117" s="47">
        <v>4.9299999999999997E-2</v>
      </c>
      <c r="P117" s="92">
        <f t="shared" si="18"/>
        <v>2.3123732251521298</v>
      </c>
      <c r="Q117" s="47" t="s">
        <v>312</v>
      </c>
      <c r="R117" s="92">
        <f t="shared" si="19"/>
        <v>1.7372000000000012E-2</v>
      </c>
      <c r="S117" s="92">
        <f t="shared" si="20"/>
        <v>0.21062799999999998</v>
      </c>
      <c r="T117" s="47">
        <v>1</v>
      </c>
      <c r="U117" s="47">
        <v>17498</v>
      </c>
      <c r="V117" s="47" t="s">
        <v>312</v>
      </c>
      <c r="W117" s="47" t="s">
        <v>312</v>
      </c>
      <c r="X117" s="47">
        <f t="shared" si="21"/>
        <v>17498</v>
      </c>
      <c r="Y117" s="92">
        <f t="shared" si="22"/>
        <v>1.7478227176000147E-2</v>
      </c>
      <c r="Z117" s="92">
        <f t="shared" si="23"/>
        <v>7.5585666647088349E-3</v>
      </c>
      <c r="AA117" s="92">
        <f t="shared" si="34"/>
        <v>1.7478227176000147E-2</v>
      </c>
      <c r="AB117" s="47" t="s">
        <v>81</v>
      </c>
      <c r="AC117" s="92">
        <f t="shared" si="37"/>
        <v>0.2094446988</v>
      </c>
      <c r="AD117" s="92" t="e" cm="1">
        <f t="array" ref="AD117">_xlfn.IFS(
AND(L117="marginal_effect",M117="level"),N117*AN117/BF117,
AND(L117="marginal_effect",M117="sd (Y)"),N117*BH117*AN117/BF117,
AND(L117="marginal_effect",M117="sd (X)"),N117/AQ117*AN117/BF117,
AND(L117="semi_elasticity",M117="level"),N117*AN117,
AND(L117="semi_elasticity",M117="sd (Y)"),N117*AN117*BH117,
AND(L117="semi_elasticity",M117="sd (X)"),N117*AN117/AQ117,
AND(L117="level-log",M117="level"),N117/BF117,
AND(L117="level-log",M117="sd (X)"),N117/BF117/AQ117,
AND(L117="level-log",M117="sd (Y)"),N117/BF117*BH117,
AND(L117="elasticity",M117="level"),N117,
AND(L117="elasticity",M117="sd (X)"),N117/AQ117,
AND(L117="elasticity",M117="sd (Y)"),N117*BH117,
AND(L117="marginal_effect",M117="percent_of_mean"),N117*AN117/BF117/10)</f>
        <v>#VALUE!</v>
      </c>
      <c r="AE117" s="51" t="e">
        <f t="shared" si="25"/>
        <v>#VALUE!</v>
      </c>
      <c r="AF117" s="92">
        <f t="shared" si="36"/>
        <v>9.0575646060000001E-2</v>
      </c>
      <c r="AG117" s="92" t="e" cm="1">
        <f t="array" ref="AG117">_xlfn.IFS(
AND(L117="marginal_effect",M117="level"),O117*AN117/BF117,
AND(L117="marginal_effect",M117="sd (Y)"),O117*BH117*AN117/BF117,
AND(L117="marginal_effect",M117="sd (X)"),O117/AQ117*AN117/BF117,
AND(L117="semi_elasticity",M117="level"),O117*AN117,
AND(L117="semi_elasticity",M117="sd (Y)"),O117*AN117*BH117,
AND(L117="semi_elasticity",M117="sd (X)"),O117*AN117/AQ117,
AND(L117="level-log",M117="level"),O117/BF117,
AND(L117="level-log",M117="sd (X)"),O117/BF117/AQ117,
AND(L117="level-log",M117="sd (Y)"),O117/BF117*BH117,
AND(L117="elasticity",M117="level"),O117,
AND(L117="elasticity",M117="sd (X)"),O117/AQ117,
AND(L117="elasticity",M117="sd (Y)"),O117*BH117,
AND(L117="marginal_effect",M117="percent_of_mean"),O117*AN117/BF117/10)</f>
        <v>#VALUE!</v>
      </c>
      <c r="AH117" s="51" t="e">
        <f t="shared" si="26"/>
        <v>#VALUE!</v>
      </c>
      <c r="AI117" s="92">
        <f t="shared" si="35"/>
        <v>0.2094446988</v>
      </c>
      <c r="AJ117" s="51">
        <v>0</v>
      </c>
      <c r="AK117" s="51">
        <f t="shared" si="28"/>
        <v>1</v>
      </c>
      <c r="AL117" s="47" t="s">
        <v>148</v>
      </c>
      <c r="AM117" s="47" t="s">
        <v>483</v>
      </c>
      <c r="AN117" s="47">
        <v>4.7770000000000001</v>
      </c>
      <c r="AO117" s="47">
        <v>1</v>
      </c>
      <c r="AP117" s="47">
        <f t="shared" si="33"/>
        <v>47.77</v>
      </c>
      <c r="AQ117" s="47" t="s">
        <v>312</v>
      </c>
      <c r="AR117" s="47" t="s">
        <v>312</v>
      </c>
      <c r="AS117" s="47" t="s">
        <v>312</v>
      </c>
      <c r="AT117" s="47" t="s">
        <v>83</v>
      </c>
      <c r="AU117" s="47" t="s">
        <v>109</v>
      </c>
      <c r="AV117" s="47" t="s">
        <v>133</v>
      </c>
      <c r="AW117" s="47" t="s">
        <v>109</v>
      </c>
      <c r="AX117" s="47" t="s">
        <v>86</v>
      </c>
      <c r="AY117" s="47">
        <v>2</v>
      </c>
      <c r="AZ117" s="47">
        <v>2</v>
      </c>
      <c r="BA117" s="47" t="s">
        <v>87</v>
      </c>
      <c r="BB117" s="47" t="s">
        <v>88</v>
      </c>
      <c r="BC117" s="47" t="s">
        <v>89</v>
      </c>
      <c r="BD117" s="47" t="s">
        <v>90</v>
      </c>
      <c r="BE117" s="47" t="s">
        <v>500</v>
      </c>
      <c r="BF117" s="47" t="s">
        <v>312</v>
      </c>
      <c r="BG117" s="47">
        <v>0</v>
      </c>
      <c r="BH117" s="47" t="s">
        <v>312</v>
      </c>
      <c r="BI117" s="47" t="s">
        <v>312</v>
      </c>
      <c r="BJ117" s="47" t="s">
        <v>312</v>
      </c>
      <c r="BK117" s="47" t="s">
        <v>91</v>
      </c>
      <c r="BL117" s="47" t="s">
        <v>84</v>
      </c>
      <c r="BM117" s="47">
        <v>1</v>
      </c>
      <c r="BN117" s="47" t="s">
        <v>484</v>
      </c>
      <c r="BO117" s="47" t="s">
        <v>485</v>
      </c>
      <c r="BP117" s="47" t="s">
        <v>486</v>
      </c>
      <c r="BQ117" s="47" t="s">
        <v>92</v>
      </c>
      <c r="BR117" s="47" t="s">
        <v>118</v>
      </c>
      <c r="BS117" s="47" t="s">
        <v>312</v>
      </c>
      <c r="BT117" s="47" t="s">
        <v>312</v>
      </c>
      <c r="BU117" s="47">
        <v>2009</v>
      </c>
      <c r="BV117" s="47">
        <v>2010</v>
      </c>
      <c r="BW117" s="47" t="s">
        <v>94</v>
      </c>
      <c r="BX117" s="47" t="s">
        <v>95</v>
      </c>
      <c r="BY117" s="47" t="s">
        <v>96</v>
      </c>
      <c r="BZ117" s="47">
        <v>0</v>
      </c>
      <c r="CA117" s="47">
        <v>0</v>
      </c>
      <c r="CB117" s="47" t="s">
        <v>97</v>
      </c>
      <c r="CC117" s="47" t="s">
        <v>488</v>
      </c>
      <c r="CD117" s="47">
        <v>1</v>
      </c>
      <c r="CE117" s="47" t="s">
        <v>489</v>
      </c>
      <c r="CF117" s="47">
        <v>1</v>
      </c>
      <c r="CG117" s="47" t="s">
        <v>82</v>
      </c>
      <c r="CH117" s="47">
        <v>1</v>
      </c>
      <c r="CI117" s="47" t="s">
        <v>436</v>
      </c>
      <c r="CJ117" s="47" t="s">
        <v>98</v>
      </c>
      <c r="CK117" s="47">
        <v>17</v>
      </c>
      <c r="CL117" s="47">
        <v>0</v>
      </c>
      <c r="CM117" s="47">
        <v>0</v>
      </c>
      <c r="CN117" s="47" t="s">
        <v>124</v>
      </c>
      <c r="CO117" s="47" t="s">
        <v>944</v>
      </c>
      <c r="CP117" s="47" t="s">
        <v>125</v>
      </c>
      <c r="CQ117" s="47" t="s">
        <v>126</v>
      </c>
      <c r="CR117" s="48">
        <v>46219</v>
      </c>
      <c r="CT117" s="47" t="s">
        <v>523</v>
      </c>
    </row>
    <row r="118" spans="1:98" s="47" customFormat="1" x14ac:dyDescent="0.35">
      <c r="A118" s="46" t="s">
        <v>479</v>
      </c>
      <c r="B118" s="46" t="s">
        <v>1345</v>
      </c>
      <c r="C118" s="47" t="s">
        <v>480</v>
      </c>
      <c r="D118" s="47">
        <v>2012</v>
      </c>
      <c r="E118" s="46" t="s">
        <v>481</v>
      </c>
      <c r="F118" s="46" t="s">
        <v>482</v>
      </c>
      <c r="G118" s="47" t="s">
        <v>78</v>
      </c>
      <c r="H118" s="47">
        <v>1</v>
      </c>
      <c r="I118" s="47" t="s">
        <v>390</v>
      </c>
      <c r="J118" s="47" t="s">
        <v>79</v>
      </c>
      <c r="K118" s="47">
        <v>1698</v>
      </c>
      <c r="L118" s="47" t="s">
        <v>129</v>
      </c>
      <c r="M118" s="47" t="s">
        <v>938</v>
      </c>
      <c r="N118" s="47">
        <v>-0.182</v>
      </c>
      <c r="O118" s="47">
        <v>0.1</v>
      </c>
      <c r="P118" s="92">
        <f t="shared" si="18"/>
        <v>-1.8199999999999998</v>
      </c>
      <c r="Q118" s="47" t="s">
        <v>312</v>
      </c>
      <c r="R118" s="92">
        <f t="shared" si="19"/>
        <v>-0.378</v>
      </c>
      <c r="S118" s="92">
        <f t="shared" si="20"/>
        <v>1.4000000000000012E-2</v>
      </c>
      <c r="T118" s="47">
        <v>1</v>
      </c>
      <c r="U118" s="47">
        <v>17498</v>
      </c>
      <c r="V118" s="47" t="s">
        <v>312</v>
      </c>
      <c r="W118" s="47" t="s">
        <v>312</v>
      </c>
      <c r="X118" s="47">
        <f t="shared" si="21"/>
        <v>17498</v>
      </c>
      <c r="Y118" s="92">
        <f t="shared" si="22"/>
        <v>-1.3757390964352866E-2</v>
      </c>
      <c r="Z118" s="92">
        <f t="shared" si="23"/>
        <v>7.5590060243697077E-3</v>
      </c>
      <c r="AA118" s="92">
        <f t="shared" si="34"/>
        <v>-1.3757390964352866E-2</v>
      </c>
      <c r="AB118" s="47" t="s">
        <v>81</v>
      </c>
      <c r="AC118" s="92">
        <f t="shared" si="37"/>
        <v>-0.33437662439999999</v>
      </c>
      <c r="AD118" s="92" t="e" cm="1">
        <f t="array" ref="AD118">_xlfn.IFS(
AND(L118="marginal_effect",M118="level"),N118*AN118/BF118,
AND(L118="marginal_effect",M118="sd (Y)"),N118*BH118*AN118/BF118,
AND(L118="marginal_effect",M118="sd (X)"),N118/AQ118*AN118/BF118,
AND(L118="semi_elasticity",M118="level"),N118*AN118,
AND(L118="semi_elasticity",M118="sd (Y)"),N118*AN118*BH118,
AND(L118="semi_elasticity",M118="sd (X)"),N118*AN118/AQ118,
AND(L118="level-log",M118="level"),N118/BF118,
AND(L118="level-log",M118="sd (X)"),N118/BF118/AQ118,
AND(L118="level-log",M118="sd (Y)"),N118/BF118*BH118,
AND(L118="elasticity",M118="level"),N118,
AND(L118="elasticity",M118="sd (X)"),N118/AQ118,
AND(L118="elasticity",M118="sd (Y)"),N118*BH118,
AND(L118="marginal_effect",M118="percent_of_mean"),N118*AN118/BF118/10)</f>
        <v>#VALUE!</v>
      </c>
      <c r="AE118" s="51" t="e">
        <f t="shared" si="25"/>
        <v>#VALUE!</v>
      </c>
      <c r="AF118" s="92">
        <f t="shared" si="36"/>
        <v>0.18372342</v>
      </c>
      <c r="AG118" s="92" t="e" cm="1">
        <f t="array" ref="AG118">_xlfn.IFS(
AND(L118="marginal_effect",M118="level"),O118*AN118/BF118,
AND(L118="marginal_effect",M118="sd (Y)"),O118*BH118*AN118/BF118,
AND(L118="marginal_effect",M118="sd (X)"),O118/AQ118*AN118/BF118,
AND(L118="semi_elasticity",M118="level"),O118*AN118,
AND(L118="semi_elasticity",M118="sd (Y)"),O118*AN118*BH118,
AND(L118="semi_elasticity",M118="sd (X)"),O118*AN118/AQ118,
AND(L118="level-log",M118="level"),O118/BF118,
AND(L118="level-log",M118="sd (X)"),O118/BF118/AQ118,
AND(L118="level-log",M118="sd (Y)"),O118/BF118*BH118,
AND(L118="elasticity",M118="level"),O118,
AND(L118="elasticity",M118="sd (X)"),O118/AQ118,
AND(L118="elasticity",M118="sd (Y)"),O118*BH118,
AND(L118="marginal_effect",M118="percent_of_mean"),O118*AN118/BF118/10)</f>
        <v>#VALUE!</v>
      </c>
      <c r="AH118" s="51" t="e">
        <f t="shared" si="26"/>
        <v>#VALUE!</v>
      </c>
      <c r="AI118" s="92">
        <f t="shared" si="35"/>
        <v>-0.33437662439999999</v>
      </c>
      <c r="AJ118" s="51">
        <v>0</v>
      </c>
      <c r="AK118" s="51">
        <f t="shared" si="28"/>
        <v>1</v>
      </c>
      <c r="AL118" s="47" t="s">
        <v>148</v>
      </c>
      <c r="AM118" s="47" t="s">
        <v>483</v>
      </c>
      <c r="AN118" s="47">
        <v>4.7770000000000001</v>
      </c>
      <c r="AO118" s="47">
        <v>1</v>
      </c>
      <c r="AP118" s="47">
        <f t="shared" si="33"/>
        <v>47.77</v>
      </c>
      <c r="AQ118" s="47" t="s">
        <v>312</v>
      </c>
      <c r="AR118" s="47" t="s">
        <v>312</v>
      </c>
      <c r="AS118" s="47" t="s">
        <v>312</v>
      </c>
      <c r="AT118" s="47" t="s">
        <v>83</v>
      </c>
      <c r="AU118" s="47" t="s">
        <v>109</v>
      </c>
      <c r="AV118" s="47" t="s">
        <v>133</v>
      </c>
      <c r="AW118" s="47" t="s">
        <v>109</v>
      </c>
      <c r="AX118" s="47" t="s">
        <v>86</v>
      </c>
      <c r="AY118" s="47">
        <v>0</v>
      </c>
      <c r="AZ118" s="47">
        <v>2</v>
      </c>
      <c r="BA118" s="47" t="s">
        <v>87</v>
      </c>
      <c r="BB118" s="47" t="s">
        <v>88</v>
      </c>
      <c r="BC118" s="47" t="s">
        <v>89</v>
      </c>
      <c r="BD118" s="47" t="s">
        <v>90</v>
      </c>
      <c r="BE118" s="47" t="s">
        <v>500</v>
      </c>
      <c r="BF118" s="47" t="s">
        <v>312</v>
      </c>
      <c r="BG118" s="47">
        <v>0</v>
      </c>
      <c r="BH118" s="47" t="s">
        <v>312</v>
      </c>
      <c r="BI118" s="47" t="s">
        <v>312</v>
      </c>
      <c r="BJ118" s="47" t="s">
        <v>312</v>
      </c>
      <c r="BK118" s="47" t="s">
        <v>91</v>
      </c>
      <c r="BL118" s="47" t="s">
        <v>84</v>
      </c>
      <c r="BM118" s="47">
        <v>1</v>
      </c>
      <c r="BN118" s="47" t="s">
        <v>484</v>
      </c>
      <c r="BO118" s="47" t="s">
        <v>485</v>
      </c>
      <c r="BP118" s="47" t="s">
        <v>486</v>
      </c>
      <c r="BQ118" s="47" t="s">
        <v>92</v>
      </c>
      <c r="BR118" s="47" t="s">
        <v>118</v>
      </c>
      <c r="BS118" s="47" t="s">
        <v>312</v>
      </c>
      <c r="BT118" s="47" t="s">
        <v>312</v>
      </c>
      <c r="BU118" s="47">
        <v>2009</v>
      </c>
      <c r="BV118" s="47">
        <v>2010</v>
      </c>
      <c r="BW118" s="47" t="s">
        <v>94</v>
      </c>
      <c r="BX118" s="47" t="s">
        <v>95</v>
      </c>
      <c r="BY118" s="47" t="s">
        <v>96</v>
      </c>
      <c r="BZ118" s="47">
        <v>0</v>
      </c>
      <c r="CA118" s="47">
        <v>0</v>
      </c>
      <c r="CB118" s="47" t="s">
        <v>97</v>
      </c>
      <c r="CC118" s="47" t="s">
        <v>488</v>
      </c>
      <c r="CD118" s="47">
        <v>1</v>
      </c>
      <c r="CE118" s="47" t="s">
        <v>489</v>
      </c>
      <c r="CF118" s="47">
        <v>1</v>
      </c>
      <c r="CG118" s="47" t="s">
        <v>82</v>
      </c>
      <c r="CH118" s="47">
        <v>1</v>
      </c>
      <c r="CI118" s="47" t="s">
        <v>436</v>
      </c>
      <c r="CJ118" s="47" t="s">
        <v>98</v>
      </c>
      <c r="CK118" s="47">
        <v>17</v>
      </c>
      <c r="CL118" s="47">
        <v>0</v>
      </c>
      <c r="CM118" s="47">
        <v>0</v>
      </c>
      <c r="CN118" s="47" t="s">
        <v>124</v>
      </c>
      <c r="CO118" s="47" t="s">
        <v>944</v>
      </c>
      <c r="CP118" s="47" t="s">
        <v>125</v>
      </c>
      <c r="CQ118" s="47" t="s">
        <v>126</v>
      </c>
      <c r="CR118" s="48">
        <v>46219</v>
      </c>
      <c r="CT118" s="47" t="s">
        <v>523</v>
      </c>
    </row>
    <row r="119" spans="1:98" s="55" customFormat="1" x14ac:dyDescent="0.35">
      <c r="A119" s="54" t="s">
        <v>529</v>
      </c>
      <c r="B119" s="54" t="s">
        <v>2180</v>
      </c>
      <c r="C119" s="55" t="s">
        <v>530</v>
      </c>
      <c r="D119" s="55">
        <v>2017</v>
      </c>
      <c r="E119" s="54" t="s">
        <v>531</v>
      </c>
      <c r="F119" s="54" t="s">
        <v>532</v>
      </c>
      <c r="G119" s="55" t="s">
        <v>78</v>
      </c>
      <c r="H119" s="55">
        <v>1</v>
      </c>
      <c r="I119" s="55" t="s">
        <v>533</v>
      </c>
      <c r="J119" s="55" t="s">
        <v>79</v>
      </c>
      <c r="K119" s="55">
        <v>281</v>
      </c>
      <c r="L119" s="55" t="s">
        <v>129</v>
      </c>
      <c r="M119" s="55" t="s">
        <v>380</v>
      </c>
      <c r="N119" s="55">
        <v>-2.1999999999999999E-2</v>
      </c>
      <c r="O119" s="55">
        <v>4.0000000000000001E-3</v>
      </c>
      <c r="P119" s="88">
        <f t="shared" ref="P119:P130" si="38">N119/O119</f>
        <v>-5.5</v>
      </c>
      <c r="Q119" s="55" t="s">
        <v>312</v>
      </c>
      <c r="R119" s="88">
        <f t="shared" ref="R119:R130" si="39">N119-1.96*O119</f>
        <v>-2.9839999999999998E-2</v>
      </c>
      <c r="S119" s="88">
        <f t="shared" ref="S119:S130" si="40">N119+1.96*O119</f>
        <v>-1.4159999999999999E-2</v>
      </c>
      <c r="T119" s="55">
        <v>1</v>
      </c>
      <c r="U119" s="55">
        <v>75163</v>
      </c>
      <c r="V119" s="55">
        <v>10</v>
      </c>
      <c r="W119" s="55">
        <v>1</v>
      </c>
      <c r="X119" s="55">
        <f t="shared" ref="X119:X130" si="41">IF(V119="NA",U119,U119-V119)</f>
        <v>75153</v>
      </c>
      <c r="Y119" s="88">
        <f t="shared" ref="Y119:Y130" si="42">P119/(P119^2 + X119)^(1/2)</f>
        <v>-2.0058670383089124E-2</v>
      </c>
      <c r="Z119" s="88">
        <f t="shared" ref="Z119:Z130" si="43">((1-Y119^2)/X119)^(1/2)</f>
        <v>3.6470309787434776E-3</v>
      </c>
      <c r="AA119" s="88">
        <f t="shared" ref="AA119:AA130" si="44">Y119</f>
        <v>-2.0058670383089124E-2</v>
      </c>
      <c r="AB119" s="55" t="s">
        <v>81</v>
      </c>
      <c r="AC119" s="88">
        <f>N119*AP119/BF119</f>
        <v>-1.9875285171102659E-2</v>
      </c>
      <c r="AD119" s="88" cm="1">
        <f t="array" ref="AD119">_xlfn.IFS(
AND(L119="marginal_effect",M119="level"),N119*AN119/BF119,
AND(L119="marginal_effect",M119="sd (Y)"),N119*BH119*AN119/BF119,
AND(L119="marginal_effect",M119="sd (X)"),N119/AQ119*AN119/BF119,
AND(L119="semi_elasticity",M119="level"),N119*AN119,
AND(L119="semi_elasticity",M119="sd (Y)"),N119*AN119*BH119,
AND(L119="semi_elasticity",M119="sd (X)"),N119*AN119/AQ119,
AND(L119="level-log",M119="level"),N119/BF119,
AND(L119="level-log",M119="sd (X)"),N119/BF119/AQ119,
AND(L119="level-log",M119="sd (Y)"),N119/BF119*BH119,
AND(L119="elasticity",M119="level"),N119,
AND(L119="elasticity",M119="sd (X)"),N119/AQ119,
AND(L119="elasticity",M119="sd (Y)"),N119*BH119,
AND(L119="marginal_effect",M119="percent_of_mean"),N119*AN119/BF119/10)</f>
        <v>-1.9875285171102659E-2</v>
      </c>
      <c r="AE119" s="56">
        <f t="shared" ref="AE119:AE130" si="45">IF(AC119=AD119,1,0)</f>
        <v>1</v>
      </c>
      <c r="AF119" s="88">
        <f>O119*AP119/BF119</f>
        <v>3.6136882129277569E-3</v>
      </c>
      <c r="AG119" s="88" cm="1">
        <f t="array" ref="AG119">_xlfn.IFS(
AND(L119="marginal_effect",M119="level"),O119*AN119/BF119,
AND(L119="marginal_effect",M119="sd (Y)"),O119*BH119*AN119/BF119,
AND(L119="marginal_effect",M119="sd (X)"),O119/AQ119*AN119/BF119,
AND(L119="semi_elasticity",M119="level"),O119*AN119,
AND(L119="semi_elasticity",M119="sd (Y)"),O119*AN119*BH119,
AND(L119="semi_elasticity",M119="sd (X)"),O119*AN119/AQ119,
AND(L119="level-log",M119="level"),O119/BF119,
AND(L119="level-log",M119="sd (X)"),O119/BF119/AQ119,
AND(L119="level-log",M119="sd (Y)"),O119/BF119*BH119,
AND(L119="elasticity",M119="level"),O119,
AND(L119="elasticity",M119="sd (X)"),O119/AQ119,
AND(L119="elasticity",M119="sd (Y)"),O119*BH119,
AND(L119="marginal_effect",M119="percent_of_mean"),O119*AN119/BF119/10)</f>
        <v>3.6136882129277569E-3</v>
      </c>
      <c r="AH119" s="56">
        <f t="shared" ref="AH119:AH130" si="46">IF(AF119=AG119,1,0)</f>
        <v>1</v>
      </c>
      <c r="AI119" s="88">
        <f t="shared" ref="AI119:AI130" si="47">AC119</f>
        <v>-1.9875285171102659E-2</v>
      </c>
      <c r="AJ119" s="55">
        <v>0</v>
      </c>
      <c r="AK119" s="56">
        <f t="shared" ref="AK119:AK130" si="48">IF(P119=(AC119/AF119),1,0)</f>
        <v>1</v>
      </c>
      <c r="AL119" s="55" t="s">
        <v>106</v>
      </c>
      <c r="AM119" s="55" t="s">
        <v>1333</v>
      </c>
      <c r="AN119" s="55">
        <v>23.76</v>
      </c>
      <c r="AO119" s="55">
        <v>0</v>
      </c>
      <c r="AP119" s="55">
        <f t="shared" ref="AP119:AP130" si="49">AN119</f>
        <v>23.76</v>
      </c>
      <c r="AQ119" s="55">
        <v>16.22</v>
      </c>
      <c r="AR119" s="55">
        <v>0.53</v>
      </c>
      <c r="AS119" s="55">
        <v>158.28</v>
      </c>
      <c r="AT119" s="55" t="s">
        <v>83</v>
      </c>
      <c r="AU119" s="55" t="s">
        <v>109</v>
      </c>
      <c r="AV119" s="55" t="s">
        <v>133</v>
      </c>
      <c r="AW119" s="55" t="s">
        <v>109</v>
      </c>
      <c r="AX119" s="55" t="s">
        <v>86</v>
      </c>
      <c r="AY119" s="55">
        <v>0</v>
      </c>
      <c r="AZ119" s="55">
        <v>0</v>
      </c>
      <c r="BA119" s="55" t="s">
        <v>734</v>
      </c>
      <c r="BB119" s="55" t="s">
        <v>88</v>
      </c>
      <c r="BC119" s="76" t="s">
        <v>134</v>
      </c>
      <c r="BD119" s="55" t="s">
        <v>114</v>
      </c>
      <c r="BE119" s="55" t="s">
        <v>534</v>
      </c>
      <c r="BF119" s="55">
        <v>26.3</v>
      </c>
      <c r="BG119" s="55">
        <v>0</v>
      </c>
      <c r="BH119" s="55">
        <v>16.48</v>
      </c>
      <c r="BI119" s="55">
        <v>0</v>
      </c>
      <c r="BJ119" s="55">
        <v>138</v>
      </c>
      <c r="BK119" s="55" t="s">
        <v>538</v>
      </c>
      <c r="BL119" s="55" t="s">
        <v>84</v>
      </c>
      <c r="BM119" s="55">
        <v>1</v>
      </c>
      <c r="BN119" s="55" t="s">
        <v>539</v>
      </c>
      <c r="BO119" s="55" t="s">
        <v>540</v>
      </c>
      <c r="BP119" s="55" t="s">
        <v>540</v>
      </c>
      <c r="BQ119" s="55" t="s">
        <v>92</v>
      </c>
      <c r="BR119" s="55" t="s">
        <v>93</v>
      </c>
      <c r="BS119" s="55">
        <v>26.81</v>
      </c>
      <c r="BT119" s="55">
        <v>0</v>
      </c>
      <c r="BU119" s="55" t="s">
        <v>536</v>
      </c>
      <c r="BV119" s="55" t="s">
        <v>537</v>
      </c>
      <c r="BW119" s="55" t="s">
        <v>736</v>
      </c>
      <c r="BX119" s="55" t="s">
        <v>95</v>
      </c>
      <c r="BY119" s="55" t="s">
        <v>96</v>
      </c>
      <c r="BZ119" s="55">
        <v>0</v>
      </c>
      <c r="CA119" s="55">
        <v>0</v>
      </c>
      <c r="CB119" s="55" t="s">
        <v>97</v>
      </c>
      <c r="CC119" s="55" t="s">
        <v>97</v>
      </c>
      <c r="CD119" s="55">
        <v>0</v>
      </c>
      <c r="CE119" s="55" t="s">
        <v>97</v>
      </c>
      <c r="CF119" s="55">
        <v>1</v>
      </c>
      <c r="CG119" s="55" t="s">
        <v>396</v>
      </c>
      <c r="CH119" s="55">
        <v>1</v>
      </c>
      <c r="CI119" s="55" t="s">
        <v>541</v>
      </c>
      <c r="CJ119" s="55" t="s">
        <v>98</v>
      </c>
      <c r="CK119" s="55">
        <v>42</v>
      </c>
      <c r="CL119" s="55">
        <v>0</v>
      </c>
      <c r="CM119" s="55">
        <v>0</v>
      </c>
      <c r="CN119" s="55" t="s">
        <v>99</v>
      </c>
      <c r="CO119" s="55" t="s">
        <v>97</v>
      </c>
      <c r="CP119" s="55" t="s">
        <v>100</v>
      </c>
      <c r="CQ119" s="55" t="s">
        <v>126</v>
      </c>
      <c r="CR119" s="57">
        <v>46219</v>
      </c>
      <c r="CT119" s="55" t="s">
        <v>543</v>
      </c>
    </row>
    <row r="120" spans="1:98" s="55" customFormat="1" x14ac:dyDescent="0.35">
      <c r="A120" s="54" t="s">
        <v>529</v>
      </c>
      <c r="B120" s="54" t="s">
        <v>2181</v>
      </c>
      <c r="C120" s="55" t="s">
        <v>530</v>
      </c>
      <c r="D120" s="55">
        <v>2017</v>
      </c>
      <c r="E120" s="54" t="s">
        <v>531</v>
      </c>
      <c r="F120" s="54" t="s">
        <v>532</v>
      </c>
      <c r="G120" s="55" t="s">
        <v>78</v>
      </c>
      <c r="H120" s="55">
        <v>1</v>
      </c>
      <c r="I120" s="55" t="s">
        <v>533</v>
      </c>
      <c r="J120" s="55" t="s">
        <v>79</v>
      </c>
      <c r="K120" s="55">
        <v>281</v>
      </c>
      <c r="L120" s="55" t="s">
        <v>129</v>
      </c>
      <c r="M120" s="55" t="s">
        <v>380</v>
      </c>
      <c r="N120" s="55">
        <v>-5.0000000000000001E-3</v>
      </c>
      <c r="O120" s="55">
        <v>4.0000000000000001E-3</v>
      </c>
      <c r="P120" s="88">
        <f t="shared" si="38"/>
        <v>-1.25</v>
      </c>
      <c r="Q120" s="55" t="s">
        <v>312</v>
      </c>
      <c r="R120" s="88">
        <f t="shared" si="39"/>
        <v>-1.2840000000000001E-2</v>
      </c>
      <c r="S120" s="88">
        <f t="shared" si="40"/>
        <v>2.8399999999999996E-3</v>
      </c>
      <c r="T120" s="55">
        <v>1</v>
      </c>
      <c r="U120" s="55">
        <v>75163</v>
      </c>
      <c r="V120" s="55">
        <v>10</v>
      </c>
      <c r="W120" s="55">
        <v>1</v>
      </c>
      <c r="X120" s="55">
        <f t="shared" si="41"/>
        <v>75153</v>
      </c>
      <c r="Y120" s="88">
        <f t="shared" si="42"/>
        <v>-4.5596587156786052E-3</v>
      </c>
      <c r="Z120" s="88">
        <f t="shared" si="43"/>
        <v>3.6477269725428835E-3</v>
      </c>
      <c r="AA120" s="88">
        <f t="shared" si="44"/>
        <v>-4.5596587156786052E-3</v>
      </c>
      <c r="AB120" s="55" t="s">
        <v>81</v>
      </c>
      <c r="AC120" s="88">
        <f t="shared" ref="AC120:AC130" si="50">N120*AP120/BF120</f>
        <v>-1.046768060836502E-2</v>
      </c>
      <c r="AD120" s="88" cm="1">
        <f t="array" ref="AD120">_xlfn.IFS(
AND(L120="marginal_effect",M120="level"),N120*AN120/BF120,
AND(L120="marginal_effect",M120="sd (Y)"),N120*BH120*AN120/BF120,
AND(L120="marginal_effect",M120="sd (X)"),N120/AQ120*AN120/BF120,
AND(L120="semi_elasticity",M120="level"),N120*AN120,
AND(L120="semi_elasticity",M120="sd (Y)"),N120*AN120*BH120,
AND(L120="semi_elasticity",M120="sd (X)"),N120*AN120/AQ120,
AND(L120="level-log",M120="level"),N120/BF120,
AND(L120="level-log",M120="sd (X)"),N120/BF120/AQ120,
AND(L120="level-log",M120="sd (Y)"),N120/BF120*BH120,
AND(L120="elasticity",M120="level"),N120,
AND(L120="elasticity",M120="sd (X)"),N120/AQ120,
AND(L120="elasticity",M120="sd (Y)"),N120*BH120,
AND(L120="marginal_effect",M120="percent_of_mean"),N120*AN120/BF120/10)</f>
        <v>-1.046768060836502E-2</v>
      </c>
      <c r="AE120" s="56">
        <f t="shared" si="45"/>
        <v>1</v>
      </c>
      <c r="AF120" s="88">
        <f t="shared" ref="AF120:AF130" si="51">O120*AP120/BF120</f>
        <v>8.3741444866920148E-3</v>
      </c>
      <c r="AG120" s="88" cm="1">
        <f t="array" ref="AG120">_xlfn.IFS(
AND(L120="marginal_effect",M120="level"),O120*AN120/BF120,
AND(L120="marginal_effect",M120="sd (Y)"),O120*BH120*AN120/BF120,
AND(L120="marginal_effect",M120="sd (X)"),O120/AQ120*AN120/BF120,
AND(L120="semi_elasticity",M120="level"),O120*AN120,
AND(L120="semi_elasticity",M120="sd (Y)"),O120*AN120*BH120,
AND(L120="semi_elasticity",M120="sd (X)"),O120*AN120/AQ120,
AND(L120="level-log",M120="level"),O120/BF120,
AND(L120="level-log",M120="sd (X)"),O120/BF120/AQ120,
AND(L120="level-log",M120="sd (Y)"),O120/BF120*BH120,
AND(L120="elasticity",M120="level"),O120,
AND(L120="elasticity",M120="sd (X)"),O120/AQ120,
AND(L120="elasticity",M120="sd (Y)"),O120*BH120,
AND(L120="marginal_effect",M120="percent_of_mean"),O120*AN120/BF120/10)</f>
        <v>8.3741444866920148E-3</v>
      </c>
      <c r="AH120" s="56">
        <f t="shared" si="46"/>
        <v>1</v>
      </c>
      <c r="AI120" s="88">
        <f t="shared" si="47"/>
        <v>-1.046768060836502E-2</v>
      </c>
      <c r="AJ120" s="55">
        <v>0</v>
      </c>
      <c r="AK120" s="56">
        <f t="shared" si="48"/>
        <v>1</v>
      </c>
      <c r="AL120" s="55" t="s">
        <v>148</v>
      </c>
      <c r="AM120" s="55" t="s">
        <v>1333</v>
      </c>
      <c r="AN120" s="55">
        <v>55.06</v>
      </c>
      <c r="AO120" s="55">
        <v>0</v>
      </c>
      <c r="AP120" s="55">
        <f t="shared" si="49"/>
        <v>55.06</v>
      </c>
      <c r="AQ120" s="55">
        <v>34.270000000000003</v>
      </c>
      <c r="AR120" s="55">
        <v>0.13</v>
      </c>
      <c r="AS120" s="55">
        <v>248</v>
      </c>
      <c r="AT120" s="55" t="s">
        <v>83</v>
      </c>
      <c r="AU120" s="55" t="s">
        <v>109</v>
      </c>
      <c r="AV120" s="55" t="s">
        <v>133</v>
      </c>
      <c r="AW120" s="55" t="s">
        <v>109</v>
      </c>
      <c r="AX120" s="55" t="s">
        <v>86</v>
      </c>
      <c r="AY120" s="55">
        <v>0</v>
      </c>
      <c r="AZ120" s="55">
        <v>0</v>
      </c>
      <c r="BA120" s="55" t="s">
        <v>734</v>
      </c>
      <c r="BB120" s="55" t="s">
        <v>88</v>
      </c>
      <c r="BC120" s="55" t="s">
        <v>134</v>
      </c>
      <c r="BD120" s="55" t="s">
        <v>114</v>
      </c>
      <c r="BE120" s="55" t="s">
        <v>534</v>
      </c>
      <c r="BF120" s="55">
        <v>26.3</v>
      </c>
      <c r="BG120" s="55">
        <v>0</v>
      </c>
      <c r="BH120" s="55">
        <v>16.48</v>
      </c>
      <c r="BI120" s="55">
        <v>0</v>
      </c>
      <c r="BJ120" s="55">
        <v>138</v>
      </c>
      <c r="BK120" s="55" t="s">
        <v>538</v>
      </c>
      <c r="BL120" s="55" t="s">
        <v>84</v>
      </c>
      <c r="BM120" s="55">
        <v>1</v>
      </c>
      <c r="BN120" s="55" t="s">
        <v>539</v>
      </c>
      <c r="BO120" s="55" t="s">
        <v>540</v>
      </c>
      <c r="BP120" s="55" t="s">
        <v>540</v>
      </c>
      <c r="BQ120" s="55" t="s">
        <v>92</v>
      </c>
      <c r="BR120" s="55" t="s">
        <v>93</v>
      </c>
      <c r="BS120" s="55">
        <v>26.81</v>
      </c>
      <c r="BT120" s="55">
        <v>0</v>
      </c>
      <c r="BU120" s="55" t="s">
        <v>536</v>
      </c>
      <c r="BV120" s="55" t="s">
        <v>537</v>
      </c>
      <c r="BW120" s="55" t="s">
        <v>736</v>
      </c>
      <c r="BX120" s="55" t="s">
        <v>95</v>
      </c>
      <c r="BY120" s="55" t="s">
        <v>96</v>
      </c>
      <c r="BZ120" s="55">
        <v>0</v>
      </c>
      <c r="CA120" s="55">
        <v>0</v>
      </c>
      <c r="CB120" s="55" t="s">
        <v>97</v>
      </c>
      <c r="CC120" s="55" t="s">
        <v>97</v>
      </c>
      <c r="CD120" s="55">
        <v>0</v>
      </c>
      <c r="CE120" s="55" t="s">
        <v>97</v>
      </c>
      <c r="CF120" s="55">
        <v>1</v>
      </c>
      <c r="CG120" s="55" t="s">
        <v>106</v>
      </c>
      <c r="CH120" s="55">
        <v>1</v>
      </c>
      <c r="CI120" s="55" t="s">
        <v>541</v>
      </c>
      <c r="CJ120" s="55" t="s">
        <v>98</v>
      </c>
      <c r="CK120" s="55">
        <v>42</v>
      </c>
      <c r="CL120" s="55">
        <v>0</v>
      </c>
      <c r="CM120" s="55">
        <v>0</v>
      </c>
      <c r="CN120" s="55" t="s">
        <v>99</v>
      </c>
      <c r="CO120" s="55" t="s">
        <v>97</v>
      </c>
      <c r="CP120" s="55" t="s">
        <v>100</v>
      </c>
      <c r="CQ120" s="55" t="s">
        <v>126</v>
      </c>
      <c r="CR120" s="57">
        <v>46219</v>
      </c>
      <c r="CT120" s="55" t="s">
        <v>543</v>
      </c>
    </row>
    <row r="121" spans="1:98" s="55" customFormat="1" x14ac:dyDescent="0.35">
      <c r="A121" s="54" t="s">
        <v>529</v>
      </c>
      <c r="B121" s="54" t="s">
        <v>2182</v>
      </c>
      <c r="C121" s="55" t="s">
        <v>530</v>
      </c>
      <c r="D121" s="55">
        <v>2017</v>
      </c>
      <c r="E121" s="54" t="s">
        <v>531</v>
      </c>
      <c r="F121" s="54" t="s">
        <v>532</v>
      </c>
      <c r="G121" s="55" t="s">
        <v>78</v>
      </c>
      <c r="H121" s="55">
        <v>1</v>
      </c>
      <c r="I121" s="55" t="s">
        <v>533</v>
      </c>
      <c r="J121" s="55" t="s">
        <v>79</v>
      </c>
      <c r="K121" s="55">
        <v>281</v>
      </c>
      <c r="L121" s="55" t="s">
        <v>129</v>
      </c>
      <c r="M121" s="55" t="s">
        <v>380</v>
      </c>
      <c r="N121" s="55">
        <v>-1.7999999999999999E-2</v>
      </c>
      <c r="O121" s="55">
        <v>4.0000000000000001E-3</v>
      </c>
      <c r="P121" s="88">
        <f t="shared" si="38"/>
        <v>-4.5</v>
      </c>
      <c r="Q121" s="55" t="s">
        <v>312</v>
      </c>
      <c r="R121" s="88">
        <f t="shared" si="39"/>
        <v>-2.5839999999999998E-2</v>
      </c>
      <c r="S121" s="88">
        <f t="shared" si="40"/>
        <v>-1.0159999999999999E-2</v>
      </c>
      <c r="T121" s="55">
        <v>1</v>
      </c>
      <c r="U121" s="55">
        <v>75163</v>
      </c>
      <c r="V121" s="55">
        <v>10</v>
      </c>
      <c r="W121" s="55">
        <v>1</v>
      </c>
      <c r="X121" s="55">
        <f t="shared" si="41"/>
        <v>75153</v>
      </c>
      <c r="Y121" s="88">
        <f t="shared" si="42"/>
        <v>-1.6412730955771639E-2</v>
      </c>
      <c r="Z121" s="88">
        <f t="shared" si="43"/>
        <v>3.6472735457270312E-3</v>
      </c>
      <c r="AA121" s="88">
        <f t="shared" si="44"/>
        <v>-1.6412730955771639E-2</v>
      </c>
      <c r="AB121" s="55" t="s">
        <v>81</v>
      </c>
      <c r="AC121" s="88">
        <f t="shared" si="50"/>
        <v>-1.6261596958174904E-2</v>
      </c>
      <c r="AD121" s="88" cm="1">
        <f t="array" ref="AD121">_xlfn.IFS(
AND(L121="marginal_effect",M121="level"),N121*AN121/BF121,
AND(L121="marginal_effect",M121="sd (Y)"),N121*BH121*AN121/BF121,
AND(L121="marginal_effect",M121="sd (X)"),N121/AQ121*AN121/BF121,
AND(L121="semi_elasticity",M121="level"),N121*AN121,
AND(L121="semi_elasticity",M121="sd (Y)"),N121*AN121*BH121,
AND(L121="semi_elasticity",M121="sd (X)"),N121*AN121/AQ121,
AND(L121="level-log",M121="level"),N121/BF121,
AND(L121="level-log",M121="sd (X)"),N121/BF121/AQ121,
AND(L121="level-log",M121="sd (Y)"),N121/BF121*BH121,
AND(L121="elasticity",M121="level"),N121,
AND(L121="elasticity",M121="sd (X)"),N121/AQ121,
AND(L121="elasticity",M121="sd (Y)"),N121*BH121,
AND(L121="marginal_effect",M121="percent_of_mean"),N121*AN121/BF121/10)</f>
        <v>-1.6261596958174904E-2</v>
      </c>
      <c r="AE121" s="56">
        <f t="shared" si="45"/>
        <v>1</v>
      </c>
      <c r="AF121" s="88">
        <f t="shared" si="51"/>
        <v>3.6136882129277569E-3</v>
      </c>
      <c r="AG121" s="88" cm="1">
        <f t="array" ref="AG121">_xlfn.IFS(
AND(L121="marginal_effect",M121="level"),O121*AN121/BF121,
AND(L121="marginal_effect",M121="sd (Y)"),O121*BH121*AN121/BF121,
AND(L121="marginal_effect",M121="sd (X)"),O121/AQ121*AN121/BF121,
AND(L121="semi_elasticity",M121="level"),O121*AN121,
AND(L121="semi_elasticity",M121="sd (Y)"),O121*AN121*BH121,
AND(L121="semi_elasticity",M121="sd (X)"),O121*AN121/AQ121,
AND(L121="level-log",M121="level"),O121/BF121,
AND(L121="level-log",M121="sd (X)"),O121/BF121/AQ121,
AND(L121="level-log",M121="sd (Y)"),O121/BF121*BH121,
AND(L121="elasticity",M121="level"),O121,
AND(L121="elasticity",M121="sd (X)"),O121/AQ121,
AND(L121="elasticity",M121="sd (Y)"),O121*BH121,
AND(L121="marginal_effect",M121="percent_of_mean"),O121*AN121/BF121/10)</f>
        <v>3.6136882129277569E-3</v>
      </c>
      <c r="AH121" s="56">
        <f t="shared" si="46"/>
        <v>1</v>
      </c>
      <c r="AI121" s="88">
        <f t="shared" si="47"/>
        <v>-1.6261596958174904E-2</v>
      </c>
      <c r="AJ121" s="55">
        <v>0</v>
      </c>
      <c r="AK121" s="56">
        <f t="shared" si="48"/>
        <v>1</v>
      </c>
      <c r="AL121" s="55" t="s">
        <v>106</v>
      </c>
      <c r="AM121" s="55" t="s">
        <v>1333</v>
      </c>
      <c r="AN121" s="55">
        <v>23.76</v>
      </c>
      <c r="AO121" s="55">
        <v>0</v>
      </c>
      <c r="AP121" s="55">
        <f t="shared" si="49"/>
        <v>23.76</v>
      </c>
      <c r="AQ121" s="55">
        <v>16.22</v>
      </c>
      <c r="AR121" s="55">
        <v>0.53</v>
      </c>
      <c r="AS121" s="55">
        <v>158.28</v>
      </c>
      <c r="AT121" s="55" t="s">
        <v>83</v>
      </c>
      <c r="AU121" s="55" t="s">
        <v>109</v>
      </c>
      <c r="AV121" s="55" t="s">
        <v>133</v>
      </c>
      <c r="AW121" s="55" t="s">
        <v>109</v>
      </c>
      <c r="AX121" s="55" t="s">
        <v>86</v>
      </c>
      <c r="AY121" s="55">
        <v>0</v>
      </c>
      <c r="AZ121" s="55">
        <v>0</v>
      </c>
      <c r="BA121" s="55" t="s">
        <v>734</v>
      </c>
      <c r="BB121" s="55" t="s">
        <v>88</v>
      </c>
      <c r="BC121" s="55" t="s">
        <v>134</v>
      </c>
      <c r="BD121" s="55" t="s">
        <v>114</v>
      </c>
      <c r="BE121" s="55" t="s">
        <v>534</v>
      </c>
      <c r="BF121" s="55">
        <v>26.3</v>
      </c>
      <c r="BG121" s="55">
        <v>0</v>
      </c>
      <c r="BH121" s="55">
        <v>16.48</v>
      </c>
      <c r="BI121" s="55">
        <v>0</v>
      </c>
      <c r="BJ121" s="55">
        <v>138</v>
      </c>
      <c r="BK121" s="55" t="s">
        <v>538</v>
      </c>
      <c r="BL121" s="55" t="s">
        <v>84</v>
      </c>
      <c r="BM121" s="55">
        <v>1</v>
      </c>
      <c r="BN121" s="55" t="s">
        <v>539</v>
      </c>
      <c r="BO121" s="55" t="s">
        <v>540</v>
      </c>
      <c r="BP121" s="55" t="s">
        <v>540</v>
      </c>
      <c r="BQ121" s="55" t="s">
        <v>92</v>
      </c>
      <c r="BR121" s="55" t="s">
        <v>93</v>
      </c>
      <c r="BS121" s="55">
        <v>26.81</v>
      </c>
      <c r="BT121" s="55">
        <v>0</v>
      </c>
      <c r="BU121" s="55" t="s">
        <v>536</v>
      </c>
      <c r="BV121" s="55" t="s">
        <v>537</v>
      </c>
      <c r="BW121" s="55" t="s">
        <v>736</v>
      </c>
      <c r="BX121" s="55" t="s">
        <v>95</v>
      </c>
      <c r="BY121" s="55" t="s">
        <v>96</v>
      </c>
      <c r="BZ121" s="55">
        <v>0</v>
      </c>
      <c r="CA121" s="55">
        <v>0</v>
      </c>
      <c r="CB121" s="55" t="s">
        <v>97</v>
      </c>
      <c r="CC121" s="55" t="s">
        <v>509</v>
      </c>
      <c r="CD121" s="55">
        <v>0</v>
      </c>
      <c r="CE121" s="55" t="s">
        <v>97</v>
      </c>
      <c r="CF121" s="55">
        <v>1</v>
      </c>
      <c r="CG121" s="55" t="s">
        <v>396</v>
      </c>
      <c r="CH121" s="55">
        <v>1</v>
      </c>
      <c r="CI121" s="55" t="s">
        <v>541</v>
      </c>
      <c r="CJ121" s="55" t="s">
        <v>98</v>
      </c>
      <c r="CK121" s="55">
        <v>42</v>
      </c>
      <c r="CL121" s="55">
        <v>0</v>
      </c>
      <c r="CM121" s="55">
        <v>0</v>
      </c>
      <c r="CN121" s="55" t="s">
        <v>99</v>
      </c>
      <c r="CO121" s="55" t="s">
        <v>97</v>
      </c>
      <c r="CP121" s="55" t="s">
        <v>100</v>
      </c>
      <c r="CQ121" s="55" t="s">
        <v>126</v>
      </c>
      <c r="CR121" s="57">
        <v>46219</v>
      </c>
      <c r="CT121" s="55" t="s">
        <v>549</v>
      </c>
    </row>
    <row r="122" spans="1:98" s="55" customFormat="1" x14ac:dyDescent="0.35">
      <c r="A122" s="54" t="s">
        <v>529</v>
      </c>
      <c r="B122" s="54" t="s">
        <v>2183</v>
      </c>
      <c r="C122" s="55" t="s">
        <v>530</v>
      </c>
      <c r="D122" s="55">
        <v>2017</v>
      </c>
      <c r="E122" s="54" t="s">
        <v>531</v>
      </c>
      <c r="F122" s="54" t="s">
        <v>532</v>
      </c>
      <c r="G122" s="55" t="s">
        <v>78</v>
      </c>
      <c r="H122" s="55">
        <v>1</v>
      </c>
      <c r="I122" s="55" t="s">
        <v>533</v>
      </c>
      <c r="J122" s="55" t="s">
        <v>79</v>
      </c>
      <c r="K122" s="55">
        <v>281</v>
      </c>
      <c r="L122" s="55" t="s">
        <v>129</v>
      </c>
      <c r="M122" s="55" t="s">
        <v>380</v>
      </c>
      <c r="N122" s="55">
        <v>-6.0000000000000001E-3</v>
      </c>
      <c r="O122" s="55">
        <v>2E-3</v>
      </c>
      <c r="P122" s="88">
        <f t="shared" si="38"/>
        <v>-3</v>
      </c>
      <c r="Q122" s="55" t="s">
        <v>312</v>
      </c>
      <c r="R122" s="88">
        <f t="shared" si="39"/>
        <v>-9.92E-3</v>
      </c>
      <c r="S122" s="88">
        <f t="shared" si="40"/>
        <v>-2.0800000000000003E-3</v>
      </c>
      <c r="T122" s="55">
        <v>1</v>
      </c>
      <c r="U122" s="55">
        <v>75163</v>
      </c>
      <c r="V122" s="55">
        <v>10</v>
      </c>
      <c r="W122" s="55">
        <v>1</v>
      </c>
      <c r="X122" s="55">
        <f t="shared" si="41"/>
        <v>75153</v>
      </c>
      <c r="Y122" s="88">
        <f t="shared" si="42"/>
        <v>-1.0942639474335384E-2</v>
      </c>
      <c r="Z122" s="88">
        <f t="shared" si="43"/>
        <v>3.6475464914451283E-3</v>
      </c>
      <c r="AA122" s="88">
        <f t="shared" si="44"/>
        <v>-1.0942639474335384E-2</v>
      </c>
      <c r="AB122" s="55" t="s">
        <v>81</v>
      </c>
      <c r="AC122" s="88">
        <f t="shared" si="50"/>
        <v>-1.2561216730038025E-2</v>
      </c>
      <c r="AD122" s="88" cm="1">
        <f t="array" ref="AD122">_xlfn.IFS(
AND(L122="marginal_effect",M122="level"),N122*AN122/BF122,
AND(L122="marginal_effect",M122="sd (Y)"),N122*BH122*AN122/BF122,
AND(L122="marginal_effect",M122="sd (X)"),N122/AQ122*AN122/BF122,
AND(L122="semi_elasticity",M122="level"),N122*AN122,
AND(L122="semi_elasticity",M122="sd (Y)"),N122*AN122*BH122,
AND(L122="semi_elasticity",M122="sd (X)"),N122*AN122/AQ122,
AND(L122="level-log",M122="level"),N122/BF122,
AND(L122="level-log",M122="sd (X)"),N122/BF122/AQ122,
AND(L122="level-log",M122="sd (Y)"),N122/BF122*BH122,
AND(L122="elasticity",M122="level"),N122,
AND(L122="elasticity",M122="sd (X)"),N122/AQ122,
AND(L122="elasticity",M122="sd (Y)"),N122*BH122,
AND(L122="marginal_effect",M122="percent_of_mean"),N122*AN122/BF122/10)</f>
        <v>-1.2561216730038025E-2</v>
      </c>
      <c r="AE122" s="56">
        <f t="shared" si="45"/>
        <v>1</v>
      </c>
      <c r="AF122" s="88">
        <f t="shared" si="51"/>
        <v>4.1870722433460074E-3</v>
      </c>
      <c r="AG122" s="88" cm="1">
        <f t="array" ref="AG122">_xlfn.IFS(
AND(L122="marginal_effect",M122="level"),O122*AN122/BF122,
AND(L122="marginal_effect",M122="sd (Y)"),O122*BH122*AN122/BF122,
AND(L122="marginal_effect",M122="sd (X)"),O122/AQ122*AN122/BF122,
AND(L122="semi_elasticity",M122="level"),O122*AN122,
AND(L122="semi_elasticity",M122="sd (Y)"),O122*AN122*BH122,
AND(L122="semi_elasticity",M122="sd (X)"),O122*AN122/AQ122,
AND(L122="level-log",M122="level"),O122/BF122,
AND(L122="level-log",M122="sd (X)"),O122/BF122/AQ122,
AND(L122="level-log",M122="sd (Y)"),O122/BF122*BH122,
AND(L122="elasticity",M122="level"),O122,
AND(L122="elasticity",M122="sd (X)"),O122/AQ122,
AND(L122="elasticity",M122="sd (Y)"),O122*BH122,
AND(L122="marginal_effect",M122="percent_of_mean"),O122*AN122/BF122/10)</f>
        <v>4.1870722433460074E-3</v>
      </c>
      <c r="AH122" s="56">
        <f t="shared" si="46"/>
        <v>1</v>
      </c>
      <c r="AI122" s="88">
        <f t="shared" si="47"/>
        <v>-1.2561216730038025E-2</v>
      </c>
      <c r="AJ122" s="55">
        <v>0</v>
      </c>
      <c r="AK122" s="56">
        <f t="shared" si="48"/>
        <v>1</v>
      </c>
      <c r="AL122" s="55" t="s">
        <v>148</v>
      </c>
      <c r="AM122" s="55" t="s">
        <v>1333</v>
      </c>
      <c r="AN122" s="55">
        <v>55.06</v>
      </c>
      <c r="AO122" s="55">
        <v>0</v>
      </c>
      <c r="AP122" s="55">
        <f t="shared" si="49"/>
        <v>55.06</v>
      </c>
      <c r="AQ122" s="55">
        <v>34.270000000000003</v>
      </c>
      <c r="AR122" s="55">
        <v>0.13</v>
      </c>
      <c r="AS122" s="55">
        <v>248</v>
      </c>
      <c r="AT122" s="55" t="s">
        <v>83</v>
      </c>
      <c r="AU122" s="55" t="s">
        <v>109</v>
      </c>
      <c r="AV122" s="55" t="s">
        <v>133</v>
      </c>
      <c r="AW122" s="55" t="s">
        <v>109</v>
      </c>
      <c r="AX122" s="55" t="s">
        <v>86</v>
      </c>
      <c r="AY122" s="55">
        <v>0</v>
      </c>
      <c r="AZ122" s="55">
        <v>0</v>
      </c>
      <c r="BA122" s="55" t="s">
        <v>734</v>
      </c>
      <c r="BB122" s="55" t="s">
        <v>88</v>
      </c>
      <c r="BC122" s="55" t="s">
        <v>134</v>
      </c>
      <c r="BD122" s="55" t="s">
        <v>114</v>
      </c>
      <c r="BE122" s="55" t="s">
        <v>534</v>
      </c>
      <c r="BF122" s="55">
        <v>26.3</v>
      </c>
      <c r="BG122" s="55">
        <v>0</v>
      </c>
      <c r="BH122" s="55">
        <v>16.48</v>
      </c>
      <c r="BI122" s="55">
        <v>0</v>
      </c>
      <c r="BJ122" s="55">
        <v>138</v>
      </c>
      <c r="BK122" s="55" t="s">
        <v>538</v>
      </c>
      <c r="BL122" s="55" t="s">
        <v>84</v>
      </c>
      <c r="BM122" s="55">
        <v>1</v>
      </c>
      <c r="BN122" s="55" t="s">
        <v>539</v>
      </c>
      <c r="BO122" s="55" t="s">
        <v>540</v>
      </c>
      <c r="BP122" s="55" t="s">
        <v>540</v>
      </c>
      <c r="BQ122" s="55" t="s">
        <v>92</v>
      </c>
      <c r="BR122" s="55" t="s">
        <v>93</v>
      </c>
      <c r="BS122" s="55">
        <v>26.81</v>
      </c>
      <c r="BT122" s="55">
        <v>0</v>
      </c>
      <c r="BU122" s="55" t="s">
        <v>536</v>
      </c>
      <c r="BV122" s="55" t="s">
        <v>537</v>
      </c>
      <c r="BW122" s="55" t="s">
        <v>736</v>
      </c>
      <c r="BX122" s="55" t="s">
        <v>95</v>
      </c>
      <c r="BY122" s="55" t="s">
        <v>96</v>
      </c>
      <c r="BZ122" s="55">
        <v>0</v>
      </c>
      <c r="CA122" s="55">
        <v>0</v>
      </c>
      <c r="CB122" s="55" t="s">
        <v>97</v>
      </c>
      <c r="CC122" s="55" t="s">
        <v>545</v>
      </c>
      <c r="CD122" s="55">
        <v>0</v>
      </c>
      <c r="CE122" s="55" t="s">
        <v>97</v>
      </c>
      <c r="CF122" s="55">
        <v>1</v>
      </c>
      <c r="CG122" s="55" t="s">
        <v>106</v>
      </c>
      <c r="CH122" s="55">
        <v>1</v>
      </c>
      <c r="CI122" s="55" t="s">
        <v>541</v>
      </c>
      <c r="CJ122" s="55" t="s">
        <v>98</v>
      </c>
      <c r="CK122" s="55">
        <v>42</v>
      </c>
      <c r="CL122" s="55">
        <v>0</v>
      </c>
      <c r="CM122" s="55">
        <v>0</v>
      </c>
      <c r="CN122" s="55" t="s">
        <v>99</v>
      </c>
      <c r="CO122" s="55" t="s">
        <v>97</v>
      </c>
      <c r="CP122" s="55" t="s">
        <v>100</v>
      </c>
      <c r="CQ122" s="55" t="s">
        <v>126</v>
      </c>
      <c r="CR122" s="57">
        <v>46219</v>
      </c>
      <c r="CT122" s="55" t="s">
        <v>549</v>
      </c>
    </row>
    <row r="123" spans="1:98" s="55" customFormat="1" x14ac:dyDescent="0.35">
      <c r="A123" s="54" t="s">
        <v>529</v>
      </c>
      <c r="B123" s="54" t="s">
        <v>2184</v>
      </c>
      <c r="C123" s="55" t="s">
        <v>530</v>
      </c>
      <c r="D123" s="55">
        <v>2017</v>
      </c>
      <c r="E123" s="54" t="s">
        <v>531</v>
      </c>
      <c r="F123" s="54" t="s">
        <v>532</v>
      </c>
      <c r="G123" s="55" t="s">
        <v>78</v>
      </c>
      <c r="H123" s="55">
        <v>1</v>
      </c>
      <c r="I123" s="55" t="s">
        <v>533</v>
      </c>
      <c r="J123" s="55" t="s">
        <v>79</v>
      </c>
      <c r="K123" s="55">
        <v>281</v>
      </c>
      <c r="L123" s="55" t="s">
        <v>129</v>
      </c>
      <c r="M123" s="55" t="s">
        <v>380</v>
      </c>
      <c r="N123" s="55">
        <v>-2.4E-2</v>
      </c>
      <c r="O123" s="55">
        <v>4.0000000000000001E-3</v>
      </c>
      <c r="P123" s="88">
        <f t="shared" si="38"/>
        <v>-6</v>
      </c>
      <c r="Q123" s="55" t="s">
        <v>312</v>
      </c>
      <c r="R123" s="88">
        <f t="shared" si="39"/>
        <v>-3.184E-2</v>
      </c>
      <c r="S123" s="88">
        <f t="shared" si="40"/>
        <v>-1.6160000000000001E-2</v>
      </c>
      <c r="T123" s="55">
        <v>1</v>
      </c>
      <c r="U123" s="55">
        <v>75163</v>
      </c>
      <c r="V123" s="55">
        <v>21</v>
      </c>
      <c r="W123" s="55">
        <v>1</v>
      </c>
      <c r="X123" s="55">
        <f t="shared" si="41"/>
        <v>75142</v>
      </c>
      <c r="Y123" s="88">
        <f t="shared" si="42"/>
        <v>-2.1882949922250927E-2</v>
      </c>
      <c r="Z123" s="88">
        <f t="shared" si="43"/>
        <v>3.647158320375155E-3</v>
      </c>
      <c r="AA123" s="88">
        <f t="shared" si="44"/>
        <v>-2.1882949922250927E-2</v>
      </c>
      <c r="AB123" s="55" t="s">
        <v>81</v>
      </c>
      <c r="AC123" s="88">
        <f t="shared" si="50"/>
        <v>-2.1682129277566544E-2</v>
      </c>
      <c r="AD123" s="88" cm="1">
        <f t="array" ref="AD123">_xlfn.IFS(
AND(L123="marginal_effect",M123="level"),N123*AN123/BF123,
AND(L123="marginal_effect",M123="sd (Y)"),N123*BH123*AN123/BF123,
AND(L123="marginal_effect",M123="sd (X)"),N123/AQ123*AN123/BF123,
AND(L123="semi_elasticity",M123="level"),N123*AN123,
AND(L123="semi_elasticity",M123="sd (Y)"),N123*AN123*BH123,
AND(L123="semi_elasticity",M123="sd (X)"),N123*AN123/AQ123,
AND(L123="level-log",M123="level"),N123/BF123,
AND(L123="level-log",M123="sd (X)"),N123/BF123/AQ123,
AND(L123="level-log",M123="sd (Y)"),N123/BF123*BH123,
AND(L123="elasticity",M123="level"),N123,
AND(L123="elasticity",M123="sd (X)"),N123/AQ123,
AND(L123="elasticity",M123="sd (Y)"),N123*BH123,
AND(L123="marginal_effect",M123="percent_of_mean"),N123*AN123/BF123/10)</f>
        <v>-2.1682129277566544E-2</v>
      </c>
      <c r="AE123" s="56">
        <f t="shared" si="45"/>
        <v>1</v>
      </c>
      <c r="AF123" s="88">
        <f t="shared" si="51"/>
        <v>3.6136882129277569E-3</v>
      </c>
      <c r="AG123" s="88" cm="1">
        <f t="array" ref="AG123">_xlfn.IFS(
AND(L123="marginal_effect",M123="level"),O123*AN123/BF123,
AND(L123="marginal_effect",M123="sd (Y)"),O123*BH123*AN123/BF123,
AND(L123="marginal_effect",M123="sd (X)"),O123/AQ123*AN123/BF123,
AND(L123="semi_elasticity",M123="level"),O123*AN123,
AND(L123="semi_elasticity",M123="sd (Y)"),O123*AN123*BH123,
AND(L123="semi_elasticity",M123="sd (X)"),O123*AN123/AQ123,
AND(L123="level-log",M123="level"),O123/BF123,
AND(L123="level-log",M123="sd (X)"),O123/BF123/AQ123,
AND(L123="level-log",M123="sd (Y)"),O123/BF123*BH123,
AND(L123="elasticity",M123="level"),O123,
AND(L123="elasticity",M123="sd (X)"),O123/AQ123,
AND(L123="elasticity",M123="sd (Y)"),O123*BH123,
AND(L123="marginal_effect",M123="percent_of_mean"),O123*AN123/BF123/10)</f>
        <v>3.6136882129277569E-3</v>
      </c>
      <c r="AH123" s="56">
        <f t="shared" si="46"/>
        <v>1</v>
      </c>
      <c r="AI123" s="88">
        <f t="shared" si="47"/>
        <v>-2.1682129277566544E-2</v>
      </c>
      <c r="AJ123" s="55">
        <v>0</v>
      </c>
      <c r="AK123" s="56">
        <f t="shared" si="48"/>
        <v>1</v>
      </c>
      <c r="AL123" s="55" t="s">
        <v>106</v>
      </c>
      <c r="AM123" s="55" t="s">
        <v>1333</v>
      </c>
      <c r="AN123" s="55">
        <v>23.76</v>
      </c>
      <c r="AO123" s="55">
        <v>0</v>
      </c>
      <c r="AP123" s="55">
        <f t="shared" si="49"/>
        <v>23.76</v>
      </c>
      <c r="AQ123" s="55">
        <v>16.22</v>
      </c>
      <c r="AR123" s="55">
        <v>0.53</v>
      </c>
      <c r="AS123" s="55">
        <v>158.28</v>
      </c>
      <c r="AT123" s="55" t="s">
        <v>83</v>
      </c>
      <c r="AU123" s="55" t="s">
        <v>109</v>
      </c>
      <c r="AV123" s="55" t="s">
        <v>133</v>
      </c>
      <c r="AW123" s="55" t="s">
        <v>109</v>
      </c>
      <c r="AX123" s="55" t="s">
        <v>86</v>
      </c>
      <c r="AY123" s="55">
        <v>0</v>
      </c>
      <c r="AZ123" s="55">
        <v>0</v>
      </c>
      <c r="BA123" s="55" t="s">
        <v>734</v>
      </c>
      <c r="BB123" s="55" t="s">
        <v>88</v>
      </c>
      <c r="BC123" s="55" t="s">
        <v>134</v>
      </c>
      <c r="BD123" s="55" t="s">
        <v>114</v>
      </c>
      <c r="BE123" s="55" t="s">
        <v>534</v>
      </c>
      <c r="BF123" s="55">
        <v>26.3</v>
      </c>
      <c r="BG123" s="55">
        <v>0</v>
      </c>
      <c r="BH123" s="55">
        <v>16.48</v>
      </c>
      <c r="BI123" s="55">
        <v>0</v>
      </c>
      <c r="BJ123" s="55">
        <v>138</v>
      </c>
      <c r="BK123" s="55" t="s">
        <v>538</v>
      </c>
      <c r="BL123" s="55" t="s">
        <v>84</v>
      </c>
      <c r="BM123" s="55">
        <v>1</v>
      </c>
      <c r="BN123" s="55" t="s">
        <v>539</v>
      </c>
      <c r="BO123" s="55" t="s">
        <v>540</v>
      </c>
      <c r="BP123" s="55" t="s">
        <v>540</v>
      </c>
      <c r="BQ123" s="55" t="s">
        <v>92</v>
      </c>
      <c r="BR123" s="55" t="s">
        <v>93</v>
      </c>
      <c r="BS123" s="55">
        <v>26.81</v>
      </c>
      <c r="BT123" s="55">
        <v>0</v>
      </c>
      <c r="BU123" s="55" t="s">
        <v>536</v>
      </c>
      <c r="BV123" s="55" t="s">
        <v>537</v>
      </c>
      <c r="BW123" s="55" t="s">
        <v>736</v>
      </c>
      <c r="BX123" s="55" t="s">
        <v>95</v>
      </c>
      <c r="BY123" s="55" t="s">
        <v>96</v>
      </c>
      <c r="BZ123" s="55">
        <v>0</v>
      </c>
      <c r="CA123" s="55">
        <v>0</v>
      </c>
      <c r="CB123" s="55" t="s">
        <v>97</v>
      </c>
      <c r="CC123" s="55" t="s">
        <v>509</v>
      </c>
      <c r="CD123" s="55">
        <v>1</v>
      </c>
      <c r="CE123" s="55" t="s">
        <v>2206</v>
      </c>
      <c r="CF123" s="55">
        <v>1</v>
      </c>
      <c r="CG123" s="55" t="s">
        <v>396</v>
      </c>
      <c r="CH123" s="55">
        <v>1</v>
      </c>
      <c r="CI123" s="55" t="s">
        <v>541</v>
      </c>
      <c r="CJ123" s="55" t="s">
        <v>98</v>
      </c>
      <c r="CK123" s="55">
        <v>42</v>
      </c>
      <c r="CL123" s="55">
        <v>0</v>
      </c>
      <c r="CM123" s="55">
        <v>0</v>
      </c>
      <c r="CN123" s="55" t="s">
        <v>99</v>
      </c>
      <c r="CO123" s="55" t="s">
        <v>97</v>
      </c>
      <c r="CP123" s="55" t="s">
        <v>100</v>
      </c>
      <c r="CQ123" s="55" t="s">
        <v>126</v>
      </c>
      <c r="CR123" s="57">
        <v>46219</v>
      </c>
      <c r="CT123" s="55" t="s">
        <v>550</v>
      </c>
    </row>
    <row r="124" spans="1:98" s="55" customFormat="1" x14ac:dyDescent="0.35">
      <c r="A124" s="54" t="s">
        <v>529</v>
      </c>
      <c r="B124" s="54" t="s">
        <v>2185</v>
      </c>
      <c r="C124" s="55" t="s">
        <v>530</v>
      </c>
      <c r="D124" s="55">
        <v>2017</v>
      </c>
      <c r="E124" s="54" t="s">
        <v>531</v>
      </c>
      <c r="F124" s="54" t="s">
        <v>532</v>
      </c>
      <c r="G124" s="55" t="s">
        <v>78</v>
      </c>
      <c r="H124" s="55">
        <v>1</v>
      </c>
      <c r="I124" s="55" t="s">
        <v>533</v>
      </c>
      <c r="J124" s="55" t="s">
        <v>79</v>
      </c>
      <c r="K124" s="55">
        <v>281</v>
      </c>
      <c r="L124" s="55" t="s">
        <v>129</v>
      </c>
      <c r="M124" s="55" t="s">
        <v>380</v>
      </c>
      <c r="N124" s="55">
        <v>-7.0000000000000001E-3</v>
      </c>
      <c r="O124" s="55">
        <v>3.0000000000000001E-3</v>
      </c>
      <c r="P124" s="88">
        <f t="shared" si="38"/>
        <v>-2.3333333333333335</v>
      </c>
      <c r="Q124" s="55" t="s">
        <v>312</v>
      </c>
      <c r="R124" s="88">
        <f t="shared" si="39"/>
        <v>-1.2879999999999999E-2</v>
      </c>
      <c r="S124" s="88">
        <f t="shared" si="40"/>
        <v>-1.1200000000000003E-3</v>
      </c>
      <c r="T124" s="55">
        <v>1</v>
      </c>
      <c r="U124" s="55">
        <v>75163</v>
      </c>
      <c r="V124" s="55">
        <v>21</v>
      </c>
      <c r="W124" s="55">
        <v>1</v>
      </c>
      <c r="X124" s="55">
        <f t="shared" si="41"/>
        <v>75142</v>
      </c>
      <c r="Y124" s="88">
        <f t="shared" si="42"/>
        <v>-8.5117660296120425E-3</v>
      </c>
      <c r="Z124" s="88">
        <f t="shared" si="43"/>
        <v>3.6478997269765892E-3</v>
      </c>
      <c r="AA124" s="88">
        <f t="shared" si="44"/>
        <v>-8.5117660296120425E-3</v>
      </c>
      <c r="AB124" s="55" t="s">
        <v>81</v>
      </c>
      <c r="AC124" s="88">
        <f t="shared" si="50"/>
        <v>-1.4654752851711028E-2</v>
      </c>
      <c r="AD124" s="88" cm="1">
        <f t="array" ref="AD124">_xlfn.IFS(
AND(L124="marginal_effect",M124="level"),N124*AN124/BF124,
AND(L124="marginal_effect",M124="sd (Y)"),N124*BH124*AN124/BF124,
AND(L124="marginal_effect",M124="sd (X)"),N124/AQ124*AN124/BF124,
AND(L124="semi_elasticity",M124="level"),N124*AN124,
AND(L124="semi_elasticity",M124="sd (Y)"),N124*AN124*BH124,
AND(L124="semi_elasticity",M124="sd (X)"),N124*AN124/AQ124,
AND(L124="level-log",M124="level"),N124/BF124,
AND(L124="level-log",M124="sd (X)"),N124/BF124/AQ124,
AND(L124="level-log",M124="sd (Y)"),N124/BF124*BH124,
AND(L124="elasticity",M124="level"),N124,
AND(L124="elasticity",M124="sd (X)"),N124/AQ124,
AND(L124="elasticity",M124="sd (Y)"),N124*BH124,
AND(L124="marginal_effect",M124="percent_of_mean"),N124*AN124/BF124/10)</f>
        <v>-1.4654752851711028E-2</v>
      </c>
      <c r="AE124" s="56">
        <f t="shared" si="45"/>
        <v>1</v>
      </c>
      <c r="AF124" s="88">
        <f t="shared" si="51"/>
        <v>6.2806083650190124E-3</v>
      </c>
      <c r="AG124" s="88" cm="1">
        <f t="array" ref="AG124">_xlfn.IFS(
AND(L124="marginal_effect",M124="level"),O124*AN124/BF124,
AND(L124="marginal_effect",M124="sd (Y)"),O124*BH124*AN124/BF124,
AND(L124="marginal_effect",M124="sd (X)"),O124/AQ124*AN124/BF124,
AND(L124="semi_elasticity",M124="level"),O124*AN124,
AND(L124="semi_elasticity",M124="sd (Y)"),O124*AN124*BH124,
AND(L124="semi_elasticity",M124="sd (X)"),O124*AN124/AQ124,
AND(L124="level-log",M124="level"),O124/BF124,
AND(L124="level-log",M124="sd (X)"),O124/BF124/AQ124,
AND(L124="level-log",M124="sd (Y)"),O124/BF124*BH124,
AND(L124="elasticity",M124="level"),O124,
AND(L124="elasticity",M124="sd (X)"),O124/AQ124,
AND(L124="elasticity",M124="sd (Y)"),O124*BH124,
AND(L124="marginal_effect",M124="percent_of_mean"),O124*AN124/BF124/10)</f>
        <v>6.2806083650190124E-3</v>
      </c>
      <c r="AH124" s="56">
        <f t="shared" si="46"/>
        <v>1</v>
      </c>
      <c r="AI124" s="88">
        <f t="shared" si="47"/>
        <v>-1.4654752851711028E-2</v>
      </c>
      <c r="AJ124" s="55">
        <v>0</v>
      </c>
      <c r="AK124" s="56">
        <f t="shared" si="48"/>
        <v>1</v>
      </c>
      <c r="AL124" s="55" t="s">
        <v>148</v>
      </c>
      <c r="AM124" s="55" t="s">
        <v>1333</v>
      </c>
      <c r="AN124" s="55">
        <v>55.06</v>
      </c>
      <c r="AO124" s="55">
        <v>0</v>
      </c>
      <c r="AP124" s="55">
        <f t="shared" si="49"/>
        <v>55.06</v>
      </c>
      <c r="AQ124" s="55">
        <v>34.270000000000003</v>
      </c>
      <c r="AR124" s="55">
        <v>0.13</v>
      </c>
      <c r="AS124" s="55">
        <v>248</v>
      </c>
      <c r="AT124" s="55" t="s">
        <v>83</v>
      </c>
      <c r="AU124" s="55" t="s">
        <v>109</v>
      </c>
      <c r="AV124" s="55" t="s">
        <v>133</v>
      </c>
      <c r="AW124" s="55" t="s">
        <v>109</v>
      </c>
      <c r="AX124" s="55" t="s">
        <v>86</v>
      </c>
      <c r="AY124" s="55">
        <v>0</v>
      </c>
      <c r="AZ124" s="55">
        <v>0</v>
      </c>
      <c r="BA124" s="55" t="s">
        <v>734</v>
      </c>
      <c r="BB124" s="55" t="s">
        <v>88</v>
      </c>
      <c r="BC124" s="55" t="s">
        <v>134</v>
      </c>
      <c r="BD124" s="55" t="s">
        <v>114</v>
      </c>
      <c r="BE124" s="55" t="s">
        <v>534</v>
      </c>
      <c r="BF124" s="55">
        <v>26.3</v>
      </c>
      <c r="BG124" s="55">
        <v>0</v>
      </c>
      <c r="BH124" s="55">
        <v>16.48</v>
      </c>
      <c r="BI124" s="55">
        <v>0</v>
      </c>
      <c r="BJ124" s="55">
        <v>138</v>
      </c>
      <c r="BK124" s="55" t="s">
        <v>538</v>
      </c>
      <c r="BL124" s="55" t="s">
        <v>84</v>
      </c>
      <c r="BM124" s="55">
        <v>1</v>
      </c>
      <c r="BN124" s="55" t="s">
        <v>539</v>
      </c>
      <c r="BO124" s="55" t="s">
        <v>540</v>
      </c>
      <c r="BP124" s="55" t="s">
        <v>540</v>
      </c>
      <c r="BQ124" s="55" t="s">
        <v>92</v>
      </c>
      <c r="BR124" s="55" t="s">
        <v>93</v>
      </c>
      <c r="BS124" s="55">
        <v>26.81</v>
      </c>
      <c r="BT124" s="55">
        <v>0</v>
      </c>
      <c r="BU124" s="55" t="s">
        <v>536</v>
      </c>
      <c r="BV124" s="55" t="s">
        <v>537</v>
      </c>
      <c r="BW124" s="55" t="s">
        <v>736</v>
      </c>
      <c r="BX124" s="55" t="s">
        <v>95</v>
      </c>
      <c r="BY124" s="55" t="s">
        <v>96</v>
      </c>
      <c r="BZ124" s="55">
        <v>0</v>
      </c>
      <c r="CA124" s="55">
        <v>0</v>
      </c>
      <c r="CB124" s="55" t="s">
        <v>97</v>
      </c>
      <c r="CC124" s="55" t="s">
        <v>545</v>
      </c>
      <c r="CD124" s="55">
        <v>1</v>
      </c>
      <c r="CE124" s="55" t="s">
        <v>2206</v>
      </c>
      <c r="CF124" s="55">
        <v>1</v>
      </c>
      <c r="CG124" s="55" t="s">
        <v>106</v>
      </c>
      <c r="CH124" s="55">
        <v>1</v>
      </c>
      <c r="CI124" s="55" t="s">
        <v>541</v>
      </c>
      <c r="CJ124" s="55" t="s">
        <v>98</v>
      </c>
      <c r="CK124" s="55">
        <v>42</v>
      </c>
      <c r="CL124" s="55">
        <v>0</v>
      </c>
      <c r="CM124" s="55">
        <v>0</v>
      </c>
      <c r="CN124" s="55" t="s">
        <v>99</v>
      </c>
      <c r="CO124" s="55" t="s">
        <v>97</v>
      </c>
      <c r="CP124" s="55" t="s">
        <v>100</v>
      </c>
      <c r="CQ124" s="55" t="s">
        <v>126</v>
      </c>
      <c r="CR124" s="57">
        <v>46219</v>
      </c>
      <c r="CT124" s="55" t="s">
        <v>550</v>
      </c>
    </row>
    <row r="125" spans="1:98" s="55" customFormat="1" x14ac:dyDescent="0.35">
      <c r="A125" s="54" t="s">
        <v>529</v>
      </c>
      <c r="B125" s="54" t="s">
        <v>2186</v>
      </c>
      <c r="C125" s="55" t="s">
        <v>530</v>
      </c>
      <c r="D125" s="55">
        <v>2017</v>
      </c>
      <c r="E125" s="54" t="s">
        <v>531</v>
      </c>
      <c r="F125" s="54" t="s">
        <v>532</v>
      </c>
      <c r="G125" s="55" t="s">
        <v>78</v>
      </c>
      <c r="H125" s="55">
        <v>1</v>
      </c>
      <c r="I125" s="55" t="s">
        <v>533</v>
      </c>
      <c r="J125" s="55" t="s">
        <v>79</v>
      </c>
      <c r="K125" s="55">
        <v>281</v>
      </c>
      <c r="L125" s="55" t="s">
        <v>129</v>
      </c>
      <c r="M125" s="55" t="s">
        <v>380</v>
      </c>
      <c r="N125" s="55">
        <v>-2.1999999999999999E-2</v>
      </c>
      <c r="O125" s="55">
        <v>4.0000000000000001E-3</v>
      </c>
      <c r="P125" s="88">
        <f t="shared" si="38"/>
        <v>-5.5</v>
      </c>
      <c r="Q125" s="55" t="s">
        <v>312</v>
      </c>
      <c r="R125" s="88">
        <f t="shared" si="39"/>
        <v>-2.9839999999999998E-2</v>
      </c>
      <c r="S125" s="88">
        <f t="shared" si="40"/>
        <v>-1.4159999999999999E-2</v>
      </c>
      <c r="T125" s="55">
        <v>1</v>
      </c>
      <c r="U125" s="55">
        <v>75163</v>
      </c>
      <c r="V125" s="55">
        <v>24</v>
      </c>
      <c r="W125" s="55">
        <v>1</v>
      </c>
      <c r="X125" s="55">
        <f t="shared" si="41"/>
        <v>75139</v>
      </c>
      <c r="Y125" s="88">
        <f t="shared" si="42"/>
        <v>-2.0060538223403417E-2</v>
      </c>
      <c r="Z125" s="88">
        <f t="shared" si="43"/>
        <v>3.6473705860733487E-3</v>
      </c>
      <c r="AA125" s="88">
        <f t="shared" si="44"/>
        <v>-2.0060538223403417E-2</v>
      </c>
      <c r="AB125" s="55" t="s">
        <v>81</v>
      </c>
      <c r="AC125" s="88">
        <f t="shared" si="50"/>
        <v>-1.9875285171102659E-2</v>
      </c>
      <c r="AD125" s="88" cm="1">
        <f t="array" ref="AD125">_xlfn.IFS(
AND(L125="marginal_effect",M125="level"),N125*AN125/BF125,
AND(L125="marginal_effect",M125="sd (Y)"),N125*BH125*AN125/BF125,
AND(L125="marginal_effect",M125="sd (X)"),N125/AQ125*AN125/BF125,
AND(L125="semi_elasticity",M125="level"),N125*AN125,
AND(L125="semi_elasticity",M125="sd (Y)"),N125*AN125*BH125,
AND(L125="semi_elasticity",M125="sd (X)"),N125*AN125/AQ125,
AND(L125="level-log",M125="level"),N125/BF125,
AND(L125="level-log",M125="sd (X)"),N125/BF125/AQ125,
AND(L125="level-log",M125="sd (Y)"),N125/BF125*BH125,
AND(L125="elasticity",M125="level"),N125,
AND(L125="elasticity",M125="sd (X)"),N125/AQ125,
AND(L125="elasticity",M125="sd (Y)"),N125*BH125,
AND(L125="marginal_effect",M125="percent_of_mean"),N125*AN125/BF125/10)</f>
        <v>-1.9875285171102659E-2</v>
      </c>
      <c r="AE125" s="56">
        <f t="shared" si="45"/>
        <v>1</v>
      </c>
      <c r="AF125" s="88">
        <f t="shared" si="51"/>
        <v>3.6136882129277569E-3</v>
      </c>
      <c r="AG125" s="88" cm="1">
        <f t="array" ref="AG125">_xlfn.IFS(
AND(L125="marginal_effect",M125="level"),O125*AN125/BF125,
AND(L125="marginal_effect",M125="sd (Y)"),O125*BH125*AN125/BF125,
AND(L125="marginal_effect",M125="sd (X)"),O125/AQ125*AN125/BF125,
AND(L125="semi_elasticity",M125="level"),O125*AN125,
AND(L125="semi_elasticity",M125="sd (Y)"),O125*AN125*BH125,
AND(L125="semi_elasticity",M125="sd (X)"),O125*AN125/AQ125,
AND(L125="level-log",M125="level"),O125/BF125,
AND(L125="level-log",M125="sd (X)"),O125/BF125/AQ125,
AND(L125="level-log",M125="sd (Y)"),O125/BF125*BH125,
AND(L125="elasticity",M125="level"),O125,
AND(L125="elasticity",M125="sd (X)"),O125/AQ125,
AND(L125="elasticity",M125="sd (Y)"),O125*BH125,
AND(L125="marginal_effect",M125="percent_of_mean"),O125*AN125/BF125/10)</f>
        <v>3.6136882129277569E-3</v>
      </c>
      <c r="AH125" s="56">
        <f t="shared" si="46"/>
        <v>1</v>
      </c>
      <c r="AI125" s="88">
        <f t="shared" si="47"/>
        <v>-1.9875285171102659E-2</v>
      </c>
      <c r="AJ125" s="55">
        <v>0</v>
      </c>
      <c r="AK125" s="56">
        <f t="shared" si="48"/>
        <v>1</v>
      </c>
      <c r="AL125" s="55" t="s">
        <v>106</v>
      </c>
      <c r="AM125" s="55" t="s">
        <v>1333</v>
      </c>
      <c r="AN125" s="55">
        <v>23.76</v>
      </c>
      <c r="AO125" s="55">
        <v>0</v>
      </c>
      <c r="AP125" s="55">
        <f t="shared" si="49"/>
        <v>23.76</v>
      </c>
      <c r="AQ125" s="55">
        <v>16.22</v>
      </c>
      <c r="AR125" s="55">
        <v>0.53</v>
      </c>
      <c r="AS125" s="55">
        <v>158.28</v>
      </c>
      <c r="AT125" s="55" t="s">
        <v>83</v>
      </c>
      <c r="AU125" s="55" t="s">
        <v>109</v>
      </c>
      <c r="AV125" s="55" t="s">
        <v>133</v>
      </c>
      <c r="AW125" s="55" t="s">
        <v>109</v>
      </c>
      <c r="AX125" s="55" t="s">
        <v>86</v>
      </c>
      <c r="AY125" s="55">
        <v>0</v>
      </c>
      <c r="AZ125" s="55">
        <v>0</v>
      </c>
      <c r="BA125" s="55" t="s">
        <v>734</v>
      </c>
      <c r="BB125" s="55" t="s">
        <v>88</v>
      </c>
      <c r="BC125" s="55" t="s">
        <v>134</v>
      </c>
      <c r="BD125" s="55" t="s">
        <v>114</v>
      </c>
      <c r="BE125" s="55" t="s">
        <v>534</v>
      </c>
      <c r="BF125" s="55">
        <v>26.3</v>
      </c>
      <c r="BG125" s="55">
        <v>0</v>
      </c>
      <c r="BH125" s="55">
        <v>16.48</v>
      </c>
      <c r="BI125" s="55">
        <v>0</v>
      </c>
      <c r="BJ125" s="55">
        <v>138</v>
      </c>
      <c r="BK125" s="55" t="s">
        <v>538</v>
      </c>
      <c r="BL125" s="55" t="s">
        <v>84</v>
      </c>
      <c r="BM125" s="55">
        <v>1</v>
      </c>
      <c r="BN125" s="55" t="s">
        <v>539</v>
      </c>
      <c r="BO125" s="55" t="s">
        <v>540</v>
      </c>
      <c r="BP125" s="55" t="s">
        <v>540</v>
      </c>
      <c r="BQ125" s="55" t="s">
        <v>92</v>
      </c>
      <c r="BR125" s="55" t="s">
        <v>93</v>
      </c>
      <c r="BS125" s="55">
        <v>26.81</v>
      </c>
      <c r="BT125" s="55">
        <v>0</v>
      </c>
      <c r="BU125" s="55" t="s">
        <v>536</v>
      </c>
      <c r="BV125" s="55" t="s">
        <v>537</v>
      </c>
      <c r="BW125" s="55" t="s">
        <v>736</v>
      </c>
      <c r="BX125" s="55" t="s">
        <v>95</v>
      </c>
      <c r="BY125" s="55" t="s">
        <v>96</v>
      </c>
      <c r="BZ125" s="55">
        <v>0</v>
      </c>
      <c r="CA125" s="55">
        <v>0</v>
      </c>
      <c r="CB125" s="55" t="s">
        <v>97</v>
      </c>
      <c r="CC125" s="55" t="s">
        <v>546</v>
      </c>
      <c r="CD125" s="55">
        <v>1</v>
      </c>
      <c r="CE125" s="55" t="s">
        <v>2206</v>
      </c>
      <c r="CF125" s="55">
        <v>1</v>
      </c>
      <c r="CG125" s="55" t="s">
        <v>396</v>
      </c>
      <c r="CH125" s="55">
        <v>1</v>
      </c>
      <c r="CI125" s="55" t="s">
        <v>541</v>
      </c>
      <c r="CJ125" s="55" t="s">
        <v>98</v>
      </c>
      <c r="CK125" s="55">
        <v>42</v>
      </c>
      <c r="CL125" s="55">
        <v>0</v>
      </c>
      <c r="CM125" s="55">
        <v>0</v>
      </c>
      <c r="CN125" s="55" t="s">
        <v>99</v>
      </c>
      <c r="CO125" s="55" t="s">
        <v>97</v>
      </c>
      <c r="CP125" s="55" t="s">
        <v>100</v>
      </c>
      <c r="CQ125" s="55" t="s">
        <v>126</v>
      </c>
      <c r="CR125" s="57">
        <v>46219</v>
      </c>
      <c r="CT125" s="55" t="s">
        <v>551</v>
      </c>
    </row>
    <row r="126" spans="1:98" s="55" customFormat="1" x14ac:dyDescent="0.35">
      <c r="A126" s="54" t="s">
        <v>529</v>
      </c>
      <c r="B126" s="54" t="s">
        <v>2187</v>
      </c>
      <c r="C126" s="55" t="s">
        <v>530</v>
      </c>
      <c r="D126" s="55">
        <v>2017</v>
      </c>
      <c r="E126" s="54" t="s">
        <v>531</v>
      </c>
      <c r="F126" s="54" t="s">
        <v>532</v>
      </c>
      <c r="G126" s="55" t="s">
        <v>78</v>
      </c>
      <c r="H126" s="55">
        <v>1</v>
      </c>
      <c r="I126" s="55" t="s">
        <v>533</v>
      </c>
      <c r="J126" s="55" t="s">
        <v>79</v>
      </c>
      <c r="K126" s="55">
        <v>281</v>
      </c>
      <c r="L126" s="55" t="s">
        <v>129</v>
      </c>
      <c r="M126" s="55" t="s">
        <v>380</v>
      </c>
      <c r="N126" s="55">
        <v>-5.0000000000000001E-3</v>
      </c>
      <c r="O126" s="55">
        <v>3.0000000000000001E-3</v>
      </c>
      <c r="P126" s="88">
        <f t="shared" si="38"/>
        <v>-1.6666666666666667</v>
      </c>
      <c r="Q126" s="55" t="s">
        <v>312</v>
      </c>
      <c r="R126" s="88">
        <f t="shared" si="39"/>
        <v>-1.0880000000000001E-2</v>
      </c>
      <c r="S126" s="88">
        <f t="shared" si="40"/>
        <v>8.7999999999999971E-4</v>
      </c>
      <c r="T126" s="55">
        <v>1</v>
      </c>
      <c r="U126" s="55">
        <v>75163</v>
      </c>
      <c r="V126" s="55">
        <v>24</v>
      </c>
      <c r="W126" s="55">
        <v>1</v>
      </c>
      <c r="X126" s="55">
        <f t="shared" si="41"/>
        <v>75139</v>
      </c>
      <c r="Y126" s="88">
        <f t="shared" si="42"/>
        <v>-6.0800621231818742E-3</v>
      </c>
      <c r="Z126" s="88">
        <f t="shared" si="43"/>
        <v>3.6480372739091248E-3</v>
      </c>
      <c r="AA126" s="88">
        <f t="shared" si="44"/>
        <v>-6.0800621231818742E-3</v>
      </c>
      <c r="AB126" s="55" t="s">
        <v>81</v>
      </c>
      <c r="AC126" s="88">
        <f t="shared" si="50"/>
        <v>-1.046768060836502E-2</v>
      </c>
      <c r="AD126" s="88" cm="1">
        <f t="array" ref="AD126">_xlfn.IFS(
AND(L126="marginal_effect",M126="level"),N126*AN126/BF126,
AND(L126="marginal_effect",M126="sd (Y)"),N126*BH126*AN126/BF126,
AND(L126="marginal_effect",M126="sd (X)"),N126/AQ126*AN126/BF126,
AND(L126="semi_elasticity",M126="level"),N126*AN126,
AND(L126="semi_elasticity",M126="sd (Y)"),N126*AN126*BH126,
AND(L126="semi_elasticity",M126="sd (X)"),N126*AN126/AQ126,
AND(L126="level-log",M126="level"),N126/BF126,
AND(L126="level-log",M126="sd (X)"),N126/BF126/AQ126,
AND(L126="level-log",M126="sd (Y)"),N126/BF126*BH126,
AND(L126="elasticity",M126="level"),N126,
AND(L126="elasticity",M126="sd (X)"),N126/AQ126,
AND(L126="elasticity",M126="sd (Y)"),N126*BH126,
AND(L126="marginal_effect",M126="percent_of_mean"),N126*AN126/BF126/10)</f>
        <v>-1.046768060836502E-2</v>
      </c>
      <c r="AE126" s="56">
        <f t="shared" si="45"/>
        <v>1</v>
      </c>
      <c r="AF126" s="88">
        <f t="shared" si="51"/>
        <v>6.2806083650190124E-3</v>
      </c>
      <c r="AG126" s="88" cm="1">
        <f t="array" ref="AG126">_xlfn.IFS(
AND(L126="marginal_effect",M126="level"),O126*AN126/BF126,
AND(L126="marginal_effect",M126="sd (Y)"),O126*BH126*AN126/BF126,
AND(L126="marginal_effect",M126="sd (X)"),O126/AQ126*AN126/BF126,
AND(L126="semi_elasticity",M126="level"),O126*AN126,
AND(L126="semi_elasticity",M126="sd (Y)"),O126*AN126*BH126,
AND(L126="semi_elasticity",M126="sd (X)"),O126*AN126/AQ126,
AND(L126="level-log",M126="level"),O126/BF126,
AND(L126="level-log",M126="sd (X)"),O126/BF126/AQ126,
AND(L126="level-log",M126="sd (Y)"),O126/BF126*BH126,
AND(L126="elasticity",M126="level"),O126,
AND(L126="elasticity",M126="sd (X)"),O126/AQ126,
AND(L126="elasticity",M126="sd (Y)"),O126*BH126,
AND(L126="marginal_effect",M126="percent_of_mean"),O126*AN126/BF126/10)</f>
        <v>6.2806083650190124E-3</v>
      </c>
      <c r="AH126" s="56">
        <f t="shared" si="46"/>
        <v>1</v>
      </c>
      <c r="AI126" s="88">
        <f t="shared" si="47"/>
        <v>-1.046768060836502E-2</v>
      </c>
      <c r="AJ126" s="55">
        <v>0</v>
      </c>
      <c r="AK126" s="56">
        <f t="shared" si="48"/>
        <v>1</v>
      </c>
      <c r="AL126" s="55" t="s">
        <v>148</v>
      </c>
      <c r="AM126" s="55" t="s">
        <v>1333</v>
      </c>
      <c r="AN126" s="55">
        <v>55.06</v>
      </c>
      <c r="AO126" s="55">
        <v>0</v>
      </c>
      <c r="AP126" s="55">
        <f t="shared" si="49"/>
        <v>55.06</v>
      </c>
      <c r="AQ126" s="55">
        <v>34.270000000000003</v>
      </c>
      <c r="AR126" s="55">
        <v>0.13</v>
      </c>
      <c r="AS126" s="55">
        <v>248</v>
      </c>
      <c r="AT126" s="55" t="s">
        <v>83</v>
      </c>
      <c r="AU126" s="55" t="s">
        <v>109</v>
      </c>
      <c r="AV126" s="55" t="s">
        <v>133</v>
      </c>
      <c r="AW126" s="55" t="s">
        <v>109</v>
      </c>
      <c r="AX126" s="55" t="s">
        <v>86</v>
      </c>
      <c r="AY126" s="55">
        <v>0</v>
      </c>
      <c r="AZ126" s="55">
        <v>0</v>
      </c>
      <c r="BA126" s="55" t="s">
        <v>734</v>
      </c>
      <c r="BB126" s="55" t="s">
        <v>88</v>
      </c>
      <c r="BC126" s="55" t="s">
        <v>134</v>
      </c>
      <c r="BD126" s="55" t="s">
        <v>114</v>
      </c>
      <c r="BE126" s="55" t="s">
        <v>534</v>
      </c>
      <c r="BF126" s="55">
        <v>26.3</v>
      </c>
      <c r="BG126" s="55">
        <v>0</v>
      </c>
      <c r="BH126" s="55">
        <v>16.48</v>
      </c>
      <c r="BI126" s="55">
        <v>0</v>
      </c>
      <c r="BJ126" s="55">
        <v>138</v>
      </c>
      <c r="BK126" s="55" t="s">
        <v>538</v>
      </c>
      <c r="BL126" s="55" t="s">
        <v>84</v>
      </c>
      <c r="BM126" s="55">
        <v>1</v>
      </c>
      <c r="BN126" s="55" t="s">
        <v>539</v>
      </c>
      <c r="BO126" s="55" t="s">
        <v>540</v>
      </c>
      <c r="BP126" s="55" t="s">
        <v>540</v>
      </c>
      <c r="BQ126" s="55" t="s">
        <v>92</v>
      </c>
      <c r="BR126" s="55" t="s">
        <v>93</v>
      </c>
      <c r="BS126" s="55">
        <v>26.81</v>
      </c>
      <c r="BT126" s="55">
        <v>0</v>
      </c>
      <c r="BU126" s="55" t="s">
        <v>536</v>
      </c>
      <c r="BV126" s="55" t="s">
        <v>537</v>
      </c>
      <c r="BW126" s="55" t="s">
        <v>736</v>
      </c>
      <c r="BX126" s="55" t="s">
        <v>95</v>
      </c>
      <c r="BY126" s="55" t="s">
        <v>96</v>
      </c>
      <c r="BZ126" s="55">
        <v>0</v>
      </c>
      <c r="CA126" s="55">
        <v>0</v>
      </c>
      <c r="CB126" s="55" t="s">
        <v>97</v>
      </c>
      <c r="CC126" s="55" t="s">
        <v>546</v>
      </c>
      <c r="CD126" s="55">
        <v>1</v>
      </c>
      <c r="CE126" s="55" t="s">
        <v>2206</v>
      </c>
      <c r="CF126" s="55">
        <v>1</v>
      </c>
      <c r="CG126" s="55" t="s">
        <v>106</v>
      </c>
      <c r="CH126" s="55">
        <v>1</v>
      </c>
      <c r="CI126" s="55" t="s">
        <v>541</v>
      </c>
      <c r="CJ126" s="55" t="s">
        <v>98</v>
      </c>
      <c r="CK126" s="55">
        <v>42</v>
      </c>
      <c r="CL126" s="55">
        <v>0</v>
      </c>
      <c r="CM126" s="55">
        <v>0</v>
      </c>
      <c r="CN126" s="55" t="s">
        <v>99</v>
      </c>
      <c r="CO126" s="55" t="s">
        <v>97</v>
      </c>
      <c r="CP126" s="55" t="s">
        <v>100</v>
      </c>
      <c r="CQ126" s="55" t="s">
        <v>126</v>
      </c>
      <c r="CR126" s="57">
        <v>46219</v>
      </c>
      <c r="CT126" s="55" t="s">
        <v>551</v>
      </c>
    </row>
    <row r="127" spans="1:98" s="55" customFormat="1" x14ac:dyDescent="0.35">
      <c r="A127" s="54" t="s">
        <v>529</v>
      </c>
      <c r="B127" s="54" t="s">
        <v>2188</v>
      </c>
      <c r="C127" s="55" t="s">
        <v>530</v>
      </c>
      <c r="D127" s="55">
        <v>2017</v>
      </c>
      <c r="E127" s="54" t="s">
        <v>531</v>
      </c>
      <c r="F127" s="54" t="s">
        <v>532</v>
      </c>
      <c r="G127" s="55" t="s">
        <v>78</v>
      </c>
      <c r="H127" s="55">
        <v>1</v>
      </c>
      <c r="I127" s="55" t="s">
        <v>533</v>
      </c>
      <c r="J127" s="55" t="s">
        <v>79</v>
      </c>
      <c r="K127" s="55">
        <v>281</v>
      </c>
      <c r="L127" s="55" t="s">
        <v>129</v>
      </c>
      <c r="M127" s="55" t="s">
        <v>380</v>
      </c>
      <c r="N127" s="55">
        <v>-2.3E-2</v>
      </c>
      <c r="O127" s="55">
        <v>4.0000000000000001E-3</v>
      </c>
      <c r="P127" s="88">
        <f t="shared" si="38"/>
        <v>-5.75</v>
      </c>
      <c r="Q127" s="55" t="s">
        <v>312</v>
      </c>
      <c r="R127" s="88">
        <f t="shared" si="39"/>
        <v>-3.0839999999999999E-2</v>
      </c>
      <c r="S127" s="88">
        <f t="shared" si="40"/>
        <v>-1.516E-2</v>
      </c>
      <c r="T127" s="55">
        <v>1</v>
      </c>
      <c r="U127" s="55">
        <v>75163</v>
      </c>
      <c r="V127" s="55">
        <v>24</v>
      </c>
      <c r="W127" s="55">
        <v>1</v>
      </c>
      <c r="X127" s="55">
        <f t="shared" si="41"/>
        <v>75139</v>
      </c>
      <c r="Y127" s="88">
        <f t="shared" si="42"/>
        <v>-2.0971988534185831E-2</v>
      </c>
      <c r="Z127" s="88">
        <f t="shared" si="43"/>
        <v>3.6473023537714482E-3</v>
      </c>
      <c r="AA127" s="88">
        <f t="shared" si="44"/>
        <v>-2.0971988534185831E-2</v>
      </c>
      <c r="AB127" s="55" t="s">
        <v>81</v>
      </c>
      <c r="AC127" s="88">
        <f t="shared" si="50"/>
        <v>-2.0778707224334603E-2</v>
      </c>
      <c r="AD127" s="88" cm="1">
        <f t="array" ref="AD127">_xlfn.IFS(
AND(L127="marginal_effect",M127="level"),N127*AN127/BF127,
AND(L127="marginal_effect",M127="sd (Y)"),N127*BH127*AN127/BF127,
AND(L127="marginal_effect",M127="sd (X)"),N127/AQ127*AN127/BF127,
AND(L127="semi_elasticity",M127="level"),N127*AN127,
AND(L127="semi_elasticity",M127="sd (Y)"),N127*AN127*BH127,
AND(L127="semi_elasticity",M127="sd (X)"),N127*AN127/AQ127,
AND(L127="level-log",M127="level"),N127/BF127,
AND(L127="level-log",M127="sd (X)"),N127/BF127/AQ127,
AND(L127="level-log",M127="sd (Y)"),N127/BF127*BH127,
AND(L127="elasticity",M127="level"),N127,
AND(L127="elasticity",M127="sd (X)"),N127/AQ127,
AND(L127="elasticity",M127="sd (Y)"),N127*BH127,
AND(L127="marginal_effect",M127="percent_of_mean"),N127*AN127/BF127/10)</f>
        <v>-2.0778707224334603E-2</v>
      </c>
      <c r="AE127" s="56">
        <f t="shared" si="45"/>
        <v>1</v>
      </c>
      <c r="AF127" s="88">
        <f t="shared" si="51"/>
        <v>3.6136882129277569E-3</v>
      </c>
      <c r="AG127" s="88" cm="1">
        <f t="array" ref="AG127">_xlfn.IFS(
AND(L127="marginal_effect",M127="level"),O127*AN127/BF127,
AND(L127="marginal_effect",M127="sd (Y)"),O127*BH127*AN127/BF127,
AND(L127="marginal_effect",M127="sd (X)"),O127/AQ127*AN127/BF127,
AND(L127="semi_elasticity",M127="level"),O127*AN127,
AND(L127="semi_elasticity",M127="sd (Y)"),O127*AN127*BH127,
AND(L127="semi_elasticity",M127="sd (X)"),O127*AN127/AQ127,
AND(L127="level-log",M127="level"),O127/BF127,
AND(L127="level-log",M127="sd (X)"),O127/BF127/AQ127,
AND(L127="level-log",M127="sd (Y)"),O127/BF127*BH127,
AND(L127="elasticity",M127="level"),O127,
AND(L127="elasticity",M127="sd (X)"),O127/AQ127,
AND(L127="elasticity",M127="sd (Y)"),O127*BH127,
AND(L127="marginal_effect",M127="percent_of_mean"),O127*AN127/BF127/10)</f>
        <v>3.6136882129277569E-3</v>
      </c>
      <c r="AH127" s="56">
        <f t="shared" si="46"/>
        <v>1</v>
      </c>
      <c r="AI127" s="88">
        <f t="shared" si="47"/>
        <v>-2.0778707224334603E-2</v>
      </c>
      <c r="AJ127" s="55">
        <v>0</v>
      </c>
      <c r="AK127" s="56">
        <f t="shared" si="48"/>
        <v>1</v>
      </c>
      <c r="AL127" s="55" t="s">
        <v>106</v>
      </c>
      <c r="AM127" s="55" t="s">
        <v>1333</v>
      </c>
      <c r="AN127" s="55">
        <v>23.76</v>
      </c>
      <c r="AO127" s="55">
        <v>0</v>
      </c>
      <c r="AP127" s="55">
        <f t="shared" si="49"/>
        <v>23.76</v>
      </c>
      <c r="AQ127" s="55">
        <v>16.22</v>
      </c>
      <c r="AR127" s="55">
        <v>0.53</v>
      </c>
      <c r="AS127" s="55">
        <v>158.28</v>
      </c>
      <c r="AT127" s="55" t="s">
        <v>83</v>
      </c>
      <c r="AU127" s="55" t="s">
        <v>109</v>
      </c>
      <c r="AV127" s="55" t="s">
        <v>133</v>
      </c>
      <c r="AW127" s="55" t="s">
        <v>109</v>
      </c>
      <c r="AX127" s="55" t="s">
        <v>86</v>
      </c>
      <c r="AY127" s="55">
        <v>0</v>
      </c>
      <c r="AZ127" s="55">
        <v>0</v>
      </c>
      <c r="BA127" s="55" t="s">
        <v>734</v>
      </c>
      <c r="BB127" s="55" t="s">
        <v>88</v>
      </c>
      <c r="BC127" s="55" t="s">
        <v>134</v>
      </c>
      <c r="BD127" s="55" t="s">
        <v>114</v>
      </c>
      <c r="BE127" s="55" t="s">
        <v>534</v>
      </c>
      <c r="BF127" s="55">
        <v>26.3</v>
      </c>
      <c r="BG127" s="55">
        <v>0</v>
      </c>
      <c r="BH127" s="55">
        <v>16.48</v>
      </c>
      <c r="BI127" s="55">
        <v>0</v>
      </c>
      <c r="BJ127" s="55">
        <v>138</v>
      </c>
      <c r="BK127" s="55" t="s">
        <v>538</v>
      </c>
      <c r="BL127" s="55" t="s">
        <v>84</v>
      </c>
      <c r="BM127" s="55">
        <v>1</v>
      </c>
      <c r="BN127" s="55" t="s">
        <v>539</v>
      </c>
      <c r="BO127" s="55" t="s">
        <v>540</v>
      </c>
      <c r="BP127" s="55" t="s">
        <v>540</v>
      </c>
      <c r="BQ127" s="55" t="s">
        <v>92</v>
      </c>
      <c r="BR127" s="55" t="s">
        <v>93</v>
      </c>
      <c r="BS127" s="55">
        <v>26.81</v>
      </c>
      <c r="BT127" s="55">
        <v>0</v>
      </c>
      <c r="BU127" s="55" t="s">
        <v>536</v>
      </c>
      <c r="BV127" s="55" t="s">
        <v>537</v>
      </c>
      <c r="BW127" s="55" t="s">
        <v>736</v>
      </c>
      <c r="BX127" s="55" t="s">
        <v>95</v>
      </c>
      <c r="BY127" s="55" t="s">
        <v>96</v>
      </c>
      <c r="BZ127" s="55">
        <v>0</v>
      </c>
      <c r="CA127" s="55">
        <v>0</v>
      </c>
      <c r="CB127" s="55" t="s">
        <v>97</v>
      </c>
      <c r="CC127" s="55" t="s">
        <v>547</v>
      </c>
      <c r="CD127" s="55">
        <v>1</v>
      </c>
      <c r="CE127" s="55" t="s">
        <v>2206</v>
      </c>
      <c r="CF127" s="55">
        <v>1</v>
      </c>
      <c r="CG127" s="55" t="s">
        <v>396</v>
      </c>
      <c r="CH127" s="55">
        <v>1</v>
      </c>
      <c r="CI127" s="55" t="s">
        <v>541</v>
      </c>
      <c r="CJ127" s="55" t="s">
        <v>98</v>
      </c>
      <c r="CK127" s="55">
        <v>42</v>
      </c>
      <c r="CL127" s="55">
        <v>0</v>
      </c>
      <c r="CM127" s="55">
        <v>0</v>
      </c>
      <c r="CN127" s="55" t="s">
        <v>99</v>
      </c>
      <c r="CO127" s="55" t="s">
        <v>97</v>
      </c>
      <c r="CP127" s="55" t="s">
        <v>100</v>
      </c>
      <c r="CQ127" s="55" t="s">
        <v>126</v>
      </c>
      <c r="CR127" s="57">
        <v>46219</v>
      </c>
      <c r="CT127" s="55" t="s">
        <v>552</v>
      </c>
    </row>
    <row r="128" spans="1:98" s="55" customFormat="1" x14ac:dyDescent="0.35">
      <c r="A128" s="54" t="s">
        <v>529</v>
      </c>
      <c r="B128" s="54" t="s">
        <v>2189</v>
      </c>
      <c r="C128" s="55" t="s">
        <v>530</v>
      </c>
      <c r="D128" s="55">
        <v>2017</v>
      </c>
      <c r="E128" s="54" t="s">
        <v>531</v>
      </c>
      <c r="F128" s="54" t="s">
        <v>532</v>
      </c>
      <c r="G128" s="55" t="s">
        <v>78</v>
      </c>
      <c r="H128" s="55">
        <v>1</v>
      </c>
      <c r="I128" s="55" t="s">
        <v>533</v>
      </c>
      <c r="J128" s="55" t="s">
        <v>79</v>
      </c>
      <c r="K128" s="55">
        <v>281</v>
      </c>
      <c r="L128" s="55" t="s">
        <v>129</v>
      </c>
      <c r="M128" s="55" t="s">
        <v>380</v>
      </c>
      <c r="N128" s="55">
        <v>-5.0000000000000001E-3</v>
      </c>
      <c r="O128" s="55">
        <v>3.0000000000000001E-3</v>
      </c>
      <c r="P128" s="88">
        <f t="shared" si="38"/>
        <v>-1.6666666666666667</v>
      </c>
      <c r="Q128" s="55" t="s">
        <v>312</v>
      </c>
      <c r="R128" s="88">
        <f t="shared" si="39"/>
        <v>-1.0880000000000001E-2</v>
      </c>
      <c r="S128" s="88">
        <f t="shared" si="40"/>
        <v>8.7999999999999971E-4</v>
      </c>
      <c r="T128" s="55">
        <v>1</v>
      </c>
      <c r="U128" s="55">
        <v>75163</v>
      </c>
      <c r="V128" s="55">
        <v>24</v>
      </c>
      <c r="W128" s="55">
        <v>1</v>
      </c>
      <c r="X128" s="55">
        <f t="shared" si="41"/>
        <v>75139</v>
      </c>
      <c r="Y128" s="88">
        <f t="shared" si="42"/>
        <v>-6.0800621231818742E-3</v>
      </c>
      <c r="Z128" s="88">
        <f t="shared" si="43"/>
        <v>3.6480372739091248E-3</v>
      </c>
      <c r="AA128" s="88">
        <f t="shared" si="44"/>
        <v>-6.0800621231818742E-3</v>
      </c>
      <c r="AB128" s="55" t="s">
        <v>81</v>
      </c>
      <c r="AC128" s="88">
        <f t="shared" si="50"/>
        <v>-1.046768060836502E-2</v>
      </c>
      <c r="AD128" s="88" cm="1">
        <f t="array" ref="AD128">_xlfn.IFS(
AND(L128="marginal_effect",M128="level"),N128*AN128/BF128,
AND(L128="marginal_effect",M128="sd (Y)"),N128*BH128*AN128/BF128,
AND(L128="marginal_effect",M128="sd (X)"),N128/AQ128*AN128/BF128,
AND(L128="semi_elasticity",M128="level"),N128*AN128,
AND(L128="semi_elasticity",M128="sd (Y)"),N128*AN128*BH128,
AND(L128="semi_elasticity",M128="sd (X)"),N128*AN128/AQ128,
AND(L128="level-log",M128="level"),N128/BF128,
AND(L128="level-log",M128="sd (X)"),N128/BF128/AQ128,
AND(L128="level-log",M128="sd (Y)"),N128/BF128*BH128,
AND(L128="elasticity",M128="level"),N128,
AND(L128="elasticity",M128="sd (X)"),N128/AQ128,
AND(L128="elasticity",M128="sd (Y)"),N128*BH128,
AND(L128="marginal_effect",M128="percent_of_mean"),N128*AN128/BF128/10)</f>
        <v>-1.046768060836502E-2</v>
      </c>
      <c r="AE128" s="56">
        <f t="shared" si="45"/>
        <v>1</v>
      </c>
      <c r="AF128" s="88">
        <f t="shared" si="51"/>
        <v>6.2806083650190124E-3</v>
      </c>
      <c r="AG128" s="88" cm="1">
        <f t="array" ref="AG128">_xlfn.IFS(
AND(L128="marginal_effect",M128="level"),O128*AN128/BF128,
AND(L128="marginal_effect",M128="sd (Y)"),O128*BH128*AN128/BF128,
AND(L128="marginal_effect",M128="sd (X)"),O128/AQ128*AN128/BF128,
AND(L128="semi_elasticity",M128="level"),O128*AN128,
AND(L128="semi_elasticity",M128="sd (Y)"),O128*AN128*BH128,
AND(L128="semi_elasticity",M128="sd (X)"),O128*AN128/AQ128,
AND(L128="level-log",M128="level"),O128/BF128,
AND(L128="level-log",M128="sd (X)"),O128/BF128/AQ128,
AND(L128="level-log",M128="sd (Y)"),O128/BF128*BH128,
AND(L128="elasticity",M128="level"),O128,
AND(L128="elasticity",M128="sd (X)"),O128/AQ128,
AND(L128="elasticity",M128="sd (Y)"),O128*BH128,
AND(L128="marginal_effect",M128="percent_of_mean"),O128*AN128/BF128/10)</f>
        <v>6.2806083650190124E-3</v>
      </c>
      <c r="AH128" s="56">
        <f t="shared" si="46"/>
        <v>1</v>
      </c>
      <c r="AI128" s="88">
        <f t="shared" si="47"/>
        <v>-1.046768060836502E-2</v>
      </c>
      <c r="AJ128" s="55">
        <v>0</v>
      </c>
      <c r="AK128" s="56">
        <f t="shared" si="48"/>
        <v>1</v>
      </c>
      <c r="AL128" s="55" t="s">
        <v>148</v>
      </c>
      <c r="AM128" s="55" t="s">
        <v>1333</v>
      </c>
      <c r="AN128" s="55">
        <v>55.06</v>
      </c>
      <c r="AO128" s="55">
        <v>0</v>
      </c>
      <c r="AP128" s="55">
        <f t="shared" si="49"/>
        <v>55.06</v>
      </c>
      <c r="AQ128" s="55">
        <v>34.270000000000003</v>
      </c>
      <c r="AR128" s="55">
        <v>0.13</v>
      </c>
      <c r="AS128" s="55">
        <v>248</v>
      </c>
      <c r="AT128" s="55" t="s">
        <v>83</v>
      </c>
      <c r="AU128" s="55" t="s">
        <v>109</v>
      </c>
      <c r="AV128" s="55" t="s">
        <v>133</v>
      </c>
      <c r="AW128" s="55" t="s">
        <v>109</v>
      </c>
      <c r="AX128" s="55" t="s">
        <v>86</v>
      </c>
      <c r="AY128" s="55">
        <v>0</v>
      </c>
      <c r="AZ128" s="55">
        <v>0</v>
      </c>
      <c r="BA128" s="55" t="s">
        <v>734</v>
      </c>
      <c r="BB128" s="55" t="s">
        <v>88</v>
      </c>
      <c r="BC128" s="55" t="s">
        <v>134</v>
      </c>
      <c r="BD128" s="55" t="s">
        <v>114</v>
      </c>
      <c r="BE128" s="55" t="s">
        <v>534</v>
      </c>
      <c r="BF128" s="55">
        <v>26.3</v>
      </c>
      <c r="BG128" s="55">
        <v>0</v>
      </c>
      <c r="BH128" s="55">
        <v>16.48</v>
      </c>
      <c r="BI128" s="55">
        <v>0</v>
      </c>
      <c r="BJ128" s="55">
        <v>138</v>
      </c>
      <c r="BK128" s="55" t="s">
        <v>538</v>
      </c>
      <c r="BL128" s="55" t="s">
        <v>84</v>
      </c>
      <c r="BM128" s="55">
        <v>1</v>
      </c>
      <c r="BN128" s="55" t="s">
        <v>539</v>
      </c>
      <c r="BO128" s="55" t="s">
        <v>540</v>
      </c>
      <c r="BP128" s="55" t="s">
        <v>540</v>
      </c>
      <c r="BQ128" s="55" t="s">
        <v>92</v>
      </c>
      <c r="BR128" s="55" t="s">
        <v>93</v>
      </c>
      <c r="BS128" s="55">
        <v>26.81</v>
      </c>
      <c r="BT128" s="55">
        <v>0</v>
      </c>
      <c r="BU128" s="55" t="s">
        <v>536</v>
      </c>
      <c r="BV128" s="55" t="s">
        <v>537</v>
      </c>
      <c r="BW128" s="55" t="s">
        <v>736</v>
      </c>
      <c r="BX128" s="55" t="s">
        <v>95</v>
      </c>
      <c r="BY128" s="55" t="s">
        <v>96</v>
      </c>
      <c r="BZ128" s="55">
        <v>0</v>
      </c>
      <c r="CA128" s="55">
        <v>0</v>
      </c>
      <c r="CB128" s="55" t="s">
        <v>97</v>
      </c>
      <c r="CC128" s="55" t="s">
        <v>547</v>
      </c>
      <c r="CD128" s="55">
        <v>1</v>
      </c>
      <c r="CE128" s="55" t="s">
        <v>2206</v>
      </c>
      <c r="CF128" s="55">
        <v>1</v>
      </c>
      <c r="CG128" s="55" t="s">
        <v>106</v>
      </c>
      <c r="CH128" s="55">
        <v>1</v>
      </c>
      <c r="CI128" s="55" t="s">
        <v>541</v>
      </c>
      <c r="CJ128" s="55" t="s">
        <v>98</v>
      </c>
      <c r="CK128" s="55">
        <v>42</v>
      </c>
      <c r="CL128" s="55">
        <v>0</v>
      </c>
      <c r="CM128" s="55">
        <v>0</v>
      </c>
      <c r="CN128" s="55" t="s">
        <v>99</v>
      </c>
      <c r="CO128" s="55" t="s">
        <v>97</v>
      </c>
      <c r="CP128" s="55" t="s">
        <v>100</v>
      </c>
      <c r="CQ128" s="55" t="s">
        <v>126</v>
      </c>
      <c r="CR128" s="57">
        <v>46219</v>
      </c>
      <c r="CT128" s="55" t="s">
        <v>552</v>
      </c>
    </row>
    <row r="129" spans="1:98" s="55" customFormat="1" x14ac:dyDescent="0.35">
      <c r="A129" s="54" t="s">
        <v>529</v>
      </c>
      <c r="B129" s="54" t="s">
        <v>2190</v>
      </c>
      <c r="C129" s="55" t="s">
        <v>530</v>
      </c>
      <c r="D129" s="55">
        <v>2017</v>
      </c>
      <c r="E129" s="54" t="s">
        <v>531</v>
      </c>
      <c r="F129" s="54" t="s">
        <v>532</v>
      </c>
      <c r="G129" s="55" t="s">
        <v>78</v>
      </c>
      <c r="H129" s="55">
        <v>1</v>
      </c>
      <c r="I129" s="55" t="s">
        <v>533</v>
      </c>
      <c r="J129" s="55" t="s">
        <v>79</v>
      </c>
      <c r="K129" s="55">
        <v>281</v>
      </c>
      <c r="L129" s="55" t="s">
        <v>129</v>
      </c>
      <c r="M129" s="55" t="s">
        <v>380</v>
      </c>
      <c r="N129" s="55">
        <v>-2.4E-2</v>
      </c>
      <c r="O129" s="55">
        <v>4.0000000000000001E-3</v>
      </c>
      <c r="P129" s="88">
        <f t="shared" si="38"/>
        <v>-6</v>
      </c>
      <c r="Q129" s="55" t="s">
        <v>312</v>
      </c>
      <c r="R129" s="88">
        <f t="shared" si="39"/>
        <v>-3.184E-2</v>
      </c>
      <c r="S129" s="88">
        <f t="shared" si="40"/>
        <v>-1.6160000000000001E-2</v>
      </c>
      <c r="T129" s="55">
        <v>1</v>
      </c>
      <c r="U129" s="55">
        <v>75163</v>
      </c>
      <c r="V129" s="55">
        <v>24</v>
      </c>
      <c r="W129" s="55">
        <v>1</v>
      </c>
      <c r="X129" s="55">
        <f t="shared" si="41"/>
        <v>75139</v>
      </c>
      <c r="Y129" s="88">
        <f t="shared" si="42"/>
        <v>-2.1883386558066157E-2</v>
      </c>
      <c r="Z129" s="88">
        <f t="shared" si="43"/>
        <v>3.6472310930110263E-3</v>
      </c>
      <c r="AA129" s="88">
        <f t="shared" si="44"/>
        <v>-2.1883386558066157E-2</v>
      </c>
      <c r="AB129" s="55" t="s">
        <v>81</v>
      </c>
      <c r="AC129" s="88">
        <f t="shared" si="50"/>
        <v>-2.1682129277566544E-2</v>
      </c>
      <c r="AD129" s="88" cm="1">
        <f t="array" ref="AD129">_xlfn.IFS(
AND(L129="marginal_effect",M129="level"),N129*AN129/BF129,
AND(L129="marginal_effect",M129="sd (Y)"),N129*BH129*AN129/BF129,
AND(L129="marginal_effect",M129="sd (X)"),N129/AQ129*AN129/BF129,
AND(L129="semi_elasticity",M129="level"),N129*AN129,
AND(L129="semi_elasticity",M129="sd (Y)"),N129*AN129*BH129,
AND(L129="semi_elasticity",M129="sd (X)"),N129*AN129/AQ129,
AND(L129="level-log",M129="level"),N129/BF129,
AND(L129="level-log",M129="sd (X)"),N129/BF129/AQ129,
AND(L129="level-log",M129="sd (Y)"),N129/BF129*BH129,
AND(L129="elasticity",M129="level"),N129,
AND(L129="elasticity",M129="sd (X)"),N129/AQ129,
AND(L129="elasticity",M129="sd (Y)"),N129*BH129,
AND(L129="marginal_effect",M129="percent_of_mean"),N129*AN129/BF129/10)</f>
        <v>-2.1682129277566544E-2</v>
      </c>
      <c r="AE129" s="56">
        <f t="shared" si="45"/>
        <v>1</v>
      </c>
      <c r="AF129" s="88">
        <f t="shared" si="51"/>
        <v>3.6136882129277569E-3</v>
      </c>
      <c r="AG129" s="88" cm="1">
        <f t="array" ref="AG129">_xlfn.IFS(
AND(L129="marginal_effect",M129="level"),O129*AN129/BF129,
AND(L129="marginal_effect",M129="sd (Y)"),O129*BH129*AN129/BF129,
AND(L129="marginal_effect",M129="sd (X)"),O129/AQ129*AN129/BF129,
AND(L129="semi_elasticity",M129="level"),O129*AN129,
AND(L129="semi_elasticity",M129="sd (Y)"),O129*AN129*BH129,
AND(L129="semi_elasticity",M129="sd (X)"),O129*AN129/AQ129,
AND(L129="level-log",M129="level"),O129/BF129,
AND(L129="level-log",M129="sd (X)"),O129/BF129/AQ129,
AND(L129="level-log",M129="sd (Y)"),O129/BF129*BH129,
AND(L129="elasticity",M129="level"),O129,
AND(L129="elasticity",M129="sd (X)"),O129/AQ129,
AND(L129="elasticity",M129="sd (Y)"),O129*BH129,
AND(L129="marginal_effect",M129="percent_of_mean"),O129*AN129/BF129/10)</f>
        <v>3.6136882129277569E-3</v>
      </c>
      <c r="AH129" s="56">
        <f t="shared" si="46"/>
        <v>1</v>
      </c>
      <c r="AI129" s="88">
        <f t="shared" si="47"/>
        <v>-2.1682129277566544E-2</v>
      </c>
      <c r="AJ129" s="55">
        <v>0</v>
      </c>
      <c r="AK129" s="56">
        <f t="shared" si="48"/>
        <v>1</v>
      </c>
      <c r="AL129" s="55" t="s">
        <v>106</v>
      </c>
      <c r="AM129" s="55" t="s">
        <v>1333</v>
      </c>
      <c r="AN129" s="55">
        <v>23.76</v>
      </c>
      <c r="AO129" s="55">
        <v>0</v>
      </c>
      <c r="AP129" s="55">
        <f t="shared" si="49"/>
        <v>23.76</v>
      </c>
      <c r="AQ129" s="55">
        <v>16.22</v>
      </c>
      <c r="AR129" s="55">
        <v>0.53</v>
      </c>
      <c r="AS129" s="55">
        <v>158.28</v>
      </c>
      <c r="AT129" s="55" t="s">
        <v>83</v>
      </c>
      <c r="AU129" s="55" t="s">
        <v>109</v>
      </c>
      <c r="AV129" s="55" t="s">
        <v>133</v>
      </c>
      <c r="AW129" s="55" t="s">
        <v>109</v>
      </c>
      <c r="AX129" s="55" t="s">
        <v>86</v>
      </c>
      <c r="AY129" s="55">
        <v>0</v>
      </c>
      <c r="AZ129" s="55">
        <v>0</v>
      </c>
      <c r="BA129" s="55" t="s">
        <v>734</v>
      </c>
      <c r="BB129" s="55" t="s">
        <v>88</v>
      </c>
      <c r="BC129" s="55" t="s">
        <v>134</v>
      </c>
      <c r="BD129" s="55" t="s">
        <v>114</v>
      </c>
      <c r="BE129" s="55" t="s">
        <v>534</v>
      </c>
      <c r="BF129" s="55">
        <v>26.3</v>
      </c>
      <c r="BG129" s="55">
        <v>0</v>
      </c>
      <c r="BH129" s="55">
        <v>16.48</v>
      </c>
      <c r="BI129" s="55">
        <v>0</v>
      </c>
      <c r="BJ129" s="55">
        <v>138</v>
      </c>
      <c r="BK129" s="55" t="s">
        <v>538</v>
      </c>
      <c r="BL129" s="55" t="s">
        <v>84</v>
      </c>
      <c r="BM129" s="55">
        <v>1</v>
      </c>
      <c r="BN129" s="55" t="s">
        <v>539</v>
      </c>
      <c r="BO129" s="55" t="s">
        <v>540</v>
      </c>
      <c r="BP129" s="55" t="s">
        <v>540</v>
      </c>
      <c r="BQ129" s="55" t="s">
        <v>92</v>
      </c>
      <c r="BR129" s="55" t="s">
        <v>93</v>
      </c>
      <c r="BS129" s="55">
        <v>26.81</v>
      </c>
      <c r="BT129" s="55">
        <v>0</v>
      </c>
      <c r="BU129" s="55" t="s">
        <v>536</v>
      </c>
      <c r="BV129" s="55" t="s">
        <v>537</v>
      </c>
      <c r="BW129" s="55" t="s">
        <v>736</v>
      </c>
      <c r="BX129" s="55" t="s">
        <v>95</v>
      </c>
      <c r="BY129" s="55" t="s">
        <v>96</v>
      </c>
      <c r="BZ129" s="55">
        <v>0</v>
      </c>
      <c r="CA129" s="55">
        <v>0</v>
      </c>
      <c r="CB129" s="55" t="s">
        <v>97</v>
      </c>
      <c r="CC129" s="55" t="s">
        <v>548</v>
      </c>
      <c r="CD129" s="55">
        <v>1</v>
      </c>
      <c r="CE129" s="55" t="s">
        <v>2206</v>
      </c>
      <c r="CF129" s="55">
        <v>1</v>
      </c>
      <c r="CG129" s="55" t="s">
        <v>396</v>
      </c>
      <c r="CH129" s="55">
        <v>1</v>
      </c>
      <c r="CI129" s="55" t="s">
        <v>541</v>
      </c>
      <c r="CJ129" s="55" t="s">
        <v>98</v>
      </c>
      <c r="CK129" s="55">
        <v>42</v>
      </c>
      <c r="CL129" s="55">
        <v>1</v>
      </c>
      <c r="CM129" s="55">
        <v>1</v>
      </c>
      <c r="CN129" s="55" t="s">
        <v>99</v>
      </c>
      <c r="CO129" s="55" t="s">
        <v>97</v>
      </c>
      <c r="CP129" s="55" t="s">
        <v>100</v>
      </c>
      <c r="CQ129" s="55" t="s">
        <v>126</v>
      </c>
      <c r="CR129" s="57">
        <v>46219</v>
      </c>
      <c r="CT129" s="55" t="s">
        <v>553</v>
      </c>
    </row>
    <row r="130" spans="1:98" s="55" customFormat="1" x14ac:dyDescent="0.35">
      <c r="A130" s="54" t="s">
        <v>529</v>
      </c>
      <c r="B130" s="54" t="s">
        <v>2191</v>
      </c>
      <c r="C130" s="55" t="s">
        <v>530</v>
      </c>
      <c r="D130" s="55">
        <v>2017</v>
      </c>
      <c r="E130" s="54" t="s">
        <v>531</v>
      </c>
      <c r="F130" s="54" t="s">
        <v>532</v>
      </c>
      <c r="G130" s="55" t="s">
        <v>78</v>
      </c>
      <c r="H130" s="55">
        <v>1</v>
      </c>
      <c r="I130" s="55" t="s">
        <v>533</v>
      </c>
      <c r="J130" s="55" t="s">
        <v>79</v>
      </c>
      <c r="K130" s="55">
        <v>281</v>
      </c>
      <c r="L130" s="55" t="s">
        <v>129</v>
      </c>
      <c r="M130" s="55" t="s">
        <v>380</v>
      </c>
      <c r="N130" s="55">
        <v>-5.0000000000000001E-3</v>
      </c>
      <c r="O130" s="55">
        <v>4.0000000000000001E-3</v>
      </c>
      <c r="P130" s="88">
        <f t="shared" si="38"/>
        <v>-1.25</v>
      </c>
      <c r="Q130" s="55" t="s">
        <v>312</v>
      </c>
      <c r="R130" s="88">
        <f t="shared" si="39"/>
        <v>-1.2840000000000001E-2</v>
      </c>
      <c r="S130" s="88">
        <f t="shared" si="40"/>
        <v>2.8399999999999996E-3</v>
      </c>
      <c r="T130" s="55">
        <v>1</v>
      </c>
      <c r="U130" s="55">
        <v>75163</v>
      </c>
      <c r="V130" s="55">
        <v>24</v>
      </c>
      <c r="W130" s="55">
        <v>1</v>
      </c>
      <c r="X130" s="55">
        <f t="shared" si="41"/>
        <v>75139</v>
      </c>
      <c r="Y130" s="88">
        <f t="shared" si="42"/>
        <v>-4.5600834679480062E-3</v>
      </c>
      <c r="Z130" s="88">
        <f t="shared" si="43"/>
        <v>3.6480667743584057E-3</v>
      </c>
      <c r="AA130" s="88">
        <f t="shared" si="44"/>
        <v>-4.5600834679480062E-3</v>
      </c>
      <c r="AB130" s="55" t="s">
        <v>81</v>
      </c>
      <c r="AC130" s="88">
        <f t="shared" si="50"/>
        <v>-1.046768060836502E-2</v>
      </c>
      <c r="AD130" s="88" cm="1">
        <f t="array" ref="AD130">_xlfn.IFS(
AND(L130="marginal_effect",M130="level"),N130*AN130/BF130,
AND(L130="marginal_effect",M130="sd (Y)"),N130*BH130*AN130/BF130,
AND(L130="marginal_effect",M130="sd (X)"),N130/AQ130*AN130/BF130,
AND(L130="semi_elasticity",M130="level"),N130*AN130,
AND(L130="semi_elasticity",M130="sd (Y)"),N130*AN130*BH130,
AND(L130="semi_elasticity",M130="sd (X)"),N130*AN130/AQ130,
AND(L130="level-log",M130="level"),N130/BF130,
AND(L130="level-log",M130="sd (X)"),N130/BF130/AQ130,
AND(L130="level-log",M130="sd (Y)"),N130/BF130*BH130,
AND(L130="elasticity",M130="level"),N130,
AND(L130="elasticity",M130="sd (X)"),N130/AQ130,
AND(L130="elasticity",M130="sd (Y)"),N130*BH130,
AND(L130="marginal_effect",M130="percent_of_mean"),N130*AN130/BF130/10)</f>
        <v>-1.046768060836502E-2</v>
      </c>
      <c r="AE130" s="56">
        <f t="shared" si="45"/>
        <v>1</v>
      </c>
      <c r="AF130" s="88">
        <f t="shared" si="51"/>
        <v>8.3741444866920148E-3</v>
      </c>
      <c r="AG130" s="88" cm="1">
        <f t="array" ref="AG130">_xlfn.IFS(
AND(L130="marginal_effect",M130="level"),O130*AN130/BF130,
AND(L130="marginal_effect",M130="sd (Y)"),O130*BH130*AN130/BF130,
AND(L130="marginal_effect",M130="sd (X)"),O130/AQ130*AN130/BF130,
AND(L130="semi_elasticity",M130="level"),O130*AN130,
AND(L130="semi_elasticity",M130="sd (Y)"),O130*AN130*BH130,
AND(L130="semi_elasticity",M130="sd (X)"),O130*AN130/AQ130,
AND(L130="level-log",M130="level"),O130/BF130,
AND(L130="level-log",M130="sd (X)"),O130/BF130/AQ130,
AND(L130="level-log",M130="sd (Y)"),O130/BF130*BH130,
AND(L130="elasticity",M130="level"),O130,
AND(L130="elasticity",M130="sd (X)"),O130/AQ130,
AND(L130="elasticity",M130="sd (Y)"),O130*BH130,
AND(L130="marginal_effect",M130="percent_of_mean"),O130*AN130/BF130/10)</f>
        <v>8.3741444866920148E-3</v>
      </c>
      <c r="AH130" s="56">
        <f t="shared" si="46"/>
        <v>1</v>
      </c>
      <c r="AI130" s="88">
        <f t="shared" si="47"/>
        <v>-1.046768060836502E-2</v>
      </c>
      <c r="AJ130" s="55">
        <v>0</v>
      </c>
      <c r="AK130" s="56">
        <f t="shared" si="48"/>
        <v>1</v>
      </c>
      <c r="AL130" s="55" t="s">
        <v>148</v>
      </c>
      <c r="AM130" s="55" t="s">
        <v>1333</v>
      </c>
      <c r="AN130" s="55">
        <v>55.06</v>
      </c>
      <c r="AO130" s="55">
        <v>0</v>
      </c>
      <c r="AP130" s="55">
        <f t="shared" si="49"/>
        <v>55.06</v>
      </c>
      <c r="AQ130" s="55">
        <v>34.270000000000003</v>
      </c>
      <c r="AR130" s="55">
        <v>0.13</v>
      </c>
      <c r="AS130" s="55">
        <v>248</v>
      </c>
      <c r="AT130" s="55" t="s">
        <v>83</v>
      </c>
      <c r="AU130" s="55" t="s">
        <v>109</v>
      </c>
      <c r="AV130" s="55" t="s">
        <v>133</v>
      </c>
      <c r="AW130" s="55" t="s">
        <v>109</v>
      </c>
      <c r="AX130" s="55" t="s">
        <v>86</v>
      </c>
      <c r="AY130" s="55">
        <v>0</v>
      </c>
      <c r="AZ130" s="55">
        <v>0</v>
      </c>
      <c r="BA130" s="55" t="s">
        <v>734</v>
      </c>
      <c r="BB130" s="55" t="s">
        <v>88</v>
      </c>
      <c r="BC130" s="55" t="s">
        <v>134</v>
      </c>
      <c r="BD130" s="55" t="s">
        <v>114</v>
      </c>
      <c r="BE130" s="55" t="s">
        <v>534</v>
      </c>
      <c r="BF130" s="55">
        <v>26.3</v>
      </c>
      <c r="BG130" s="55">
        <v>0</v>
      </c>
      <c r="BH130" s="55">
        <v>16.48</v>
      </c>
      <c r="BI130" s="55">
        <v>0</v>
      </c>
      <c r="BJ130" s="55">
        <v>138</v>
      </c>
      <c r="BK130" s="55" t="s">
        <v>538</v>
      </c>
      <c r="BL130" s="55" t="s">
        <v>84</v>
      </c>
      <c r="BM130" s="55">
        <v>1</v>
      </c>
      <c r="BN130" s="55" t="s">
        <v>539</v>
      </c>
      <c r="BO130" s="55" t="s">
        <v>540</v>
      </c>
      <c r="BP130" s="55" t="s">
        <v>540</v>
      </c>
      <c r="BQ130" s="55" t="s">
        <v>92</v>
      </c>
      <c r="BR130" s="55" t="s">
        <v>93</v>
      </c>
      <c r="BS130" s="55">
        <v>26.81</v>
      </c>
      <c r="BT130" s="55">
        <v>0</v>
      </c>
      <c r="BU130" s="55" t="s">
        <v>536</v>
      </c>
      <c r="BV130" s="55" t="s">
        <v>537</v>
      </c>
      <c r="BW130" s="55" t="s">
        <v>736</v>
      </c>
      <c r="BX130" s="55" t="s">
        <v>95</v>
      </c>
      <c r="BY130" s="55" t="s">
        <v>96</v>
      </c>
      <c r="BZ130" s="55">
        <v>0</v>
      </c>
      <c r="CA130" s="55">
        <v>0</v>
      </c>
      <c r="CB130" s="55" t="s">
        <v>97</v>
      </c>
      <c r="CC130" s="55" t="s">
        <v>548</v>
      </c>
      <c r="CD130" s="55">
        <v>1</v>
      </c>
      <c r="CE130" s="55" t="s">
        <v>2206</v>
      </c>
      <c r="CF130" s="55">
        <v>1</v>
      </c>
      <c r="CG130" s="55" t="s">
        <v>106</v>
      </c>
      <c r="CH130" s="55">
        <v>1</v>
      </c>
      <c r="CI130" s="55" t="s">
        <v>541</v>
      </c>
      <c r="CJ130" s="55" t="s">
        <v>98</v>
      </c>
      <c r="CK130" s="55">
        <v>42</v>
      </c>
      <c r="CL130" s="55">
        <v>0</v>
      </c>
      <c r="CM130" s="55">
        <v>0</v>
      </c>
      <c r="CN130" s="55" t="s">
        <v>99</v>
      </c>
      <c r="CO130" s="55" t="s">
        <v>97</v>
      </c>
      <c r="CP130" s="55" t="s">
        <v>100</v>
      </c>
      <c r="CQ130" s="55" t="s">
        <v>126</v>
      </c>
      <c r="CR130" s="57">
        <v>46219</v>
      </c>
      <c r="CT130" s="55" t="s">
        <v>553</v>
      </c>
    </row>
    <row r="131" spans="1:98" s="55" customFormat="1" x14ac:dyDescent="0.35">
      <c r="A131" s="54" t="s">
        <v>529</v>
      </c>
      <c r="B131" s="54" t="s">
        <v>2192</v>
      </c>
      <c r="C131" s="55" t="s">
        <v>530</v>
      </c>
      <c r="D131" s="55">
        <v>2017</v>
      </c>
      <c r="E131" s="54" t="s">
        <v>531</v>
      </c>
      <c r="F131" s="54" t="s">
        <v>532</v>
      </c>
      <c r="G131" s="55" t="s">
        <v>78</v>
      </c>
      <c r="H131" s="55">
        <v>1</v>
      </c>
      <c r="I131" s="55" t="s">
        <v>533</v>
      </c>
      <c r="J131" s="55" t="s">
        <v>79</v>
      </c>
      <c r="K131" s="55">
        <v>281</v>
      </c>
      <c r="L131" s="55" t="s">
        <v>80</v>
      </c>
      <c r="M131" s="55" t="s">
        <v>380</v>
      </c>
      <c r="N131" s="55">
        <v>-2.1000000000000001E-2</v>
      </c>
      <c r="O131" s="55">
        <v>5.0000000000000001E-3</v>
      </c>
      <c r="P131" s="88">
        <f t="shared" si="18"/>
        <v>-4.2</v>
      </c>
      <c r="Q131" s="55" t="s">
        <v>312</v>
      </c>
      <c r="R131" s="88">
        <f t="shared" si="19"/>
        <v>-3.0800000000000001E-2</v>
      </c>
      <c r="S131" s="88">
        <f t="shared" si="20"/>
        <v>-1.1200000000000002E-2</v>
      </c>
      <c r="T131" s="55">
        <v>1</v>
      </c>
      <c r="U131" s="55">
        <v>75163</v>
      </c>
      <c r="V131" s="55">
        <v>10</v>
      </c>
      <c r="W131" s="55">
        <v>1</v>
      </c>
      <c r="X131" s="55">
        <f t="shared" si="21"/>
        <v>75153</v>
      </c>
      <c r="Y131" s="88">
        <f t="shared" si="22"/>
        <v>-1.5318814827434456E-2</v>
      </c>
      <c r="Z131" s="88">
        <f t="shared" si="23"/>
        <v>3.6473368636748705E-3</v>
      </c>
      <c r="AA131" s="88">
        <f t="shared" si="34"/>
        <v>-1.5318814827434456E-2</v>
      </c>
      <c r="AB131" s="55" t="s">
        <v>81</v>
      </c>
      <c r="AC131" s="88">
        <f t="shared" ref="AC131:AC142" si="52">N131</f>
        <v>-2.1000000000000001E-2</v>
      </c>
      <c r="AD131" s="88" cm="1">
        <f t="array" ref="AD131">_xlfn.IFS(
AND(L131="marginal_effect",M131="level"),N131*AN131/BF131,
AND(L131="marginal_effect",M131="sd (Y)"),N131*BH131*AN131/BF131,
AND(L131="marginal_effect",M131="sd (X)"),N131/AQ131*AN131/BF131,
AND(L131="semi_elasticity",M131="level"),N131*AN131,
AND(L131="semi_elasticity",M131="sd (Y)"),N131*AN131*BH131,
AND(L131="semi_elasticity",M131="sd (X)"),N131*AN131/AQ131,
AND(L131="level-log",M131="level"),N131/BF131,
AND(L131="level-log",M131="sd (X)"),N131/BF131/AQ131,
AND(L131="level-log",M131="sd (Y)"),N131/BF131*BH131,
AND(L131="elasticity",M131="level"),N131,
AND(L131="elasticity",M131="sd (X)"),N131/AQ131,
AND(L131="elasticity",M131="sd (Y)"),N131*BH131,
AND(L131="marginal_effect",M131="percent_of_mean"),N131*AN131/BF131/10)</f>
        <v>-2.1000000000000001E-2</v>
      </c>
      <c r="AE131" s="56">
        <f t="shared" si="25"/>
        <v>1</v>
      </c>
      <c r="AF131" s="88">
        <f t="shared" ref="AF131:AF142" si="53">O131</f>
        <v>5.0000000000000001E-3</v>
      </c>
      <c r="AG131" s="88" cm="1">
        <f t="array" ref="AG131">_xlfn.IFS(
AND(L131="marginal_effect",M131="level"),O131*AN131/BF131,
AND(L131="marginal_effect",M131="sd (Y)"),O131*BH131*AN131/BF131,
AND(L131="marginal_effect",M131="sd (X)"),O131/AQ131*AN131/BF131,
AND(L131="semi_elasticity",M131="level"),O131*AN131,
AND(L131="semi_elasticity",M131="sd (Y)"),O131*AN131*BH131,
AND(L131="semi_elasticity",M131="sd (X)"),O131*AN131/AQ131,
AND(L131="level-log",M131="level"),O131/BF131,
AND(L131="level-log",M131="sd (X)"),O131/BF131/AQ131,
AND(L131="level-log",M131="sd (Y)"),O131/BF131*BH131,
AND(L131="elasticity",M131="level"),O131,
AND(L131="elasticity",M131="sd (X)"),O131/AQ131,
AND(L131="elasticity",M131="sd (Y)"),O131*BH131,
AND(L131="marginal_effect",M131="percent_of_mean"),O131*AN131/BF131/10)</f>
        <v>5.0000000000000001E-3</v>
      </c>
      <c r="AH131" s="56">
        <f t="shared" si="26"/>
        <v>1</v>
      </c>
      <c r="AI131" s="88">
        <f t="shared" si="35"/>
        <v>-2.1000000000000001E-2</v>
      </c>
      <c r="AJ131" s="55">
        <v>0</v>
      </c>
      <c r="AK131" s="56">
        <f t="shared" si="28"/>
        <v>1</v>
      </c>
      <c r="AL131" s="55" t="s">
        <v>106</v>
      </c>
      <c r="AM131" s="55" t="s">
        <v>1333</v>
      </c>
      <c r="AN131" s="55">
        <v>23.76</v>
      </c>
      <c r="AO131" s="55">
        <v>0</v>
      </c>
      <c r="AP131" s="55">
        <f t="shared" ref="AP131:AP160" si="54">AN131</f>
        <v>23.76</v>
      </c>
      <c r="AQ131" s="55">
        <v>16.22</v>
      </c>
      <c r="AR131" s="55">
        <v>0.53</v>
      </c>
      <c r="AS131" s="55">
        <v>158.28</v>
      </c>
      <c r="AT131" s="55" t="s">
        <v>83</v>
      </c>
      <c r="AU131" s="55" t="s">
        <v>109</v>
      </c>
      <c r="AV131" s="55" t="s">
        <v>133</v>
      </c>
      <c r="AW131" s="55" t="s">
        <v>109</v>
      </c>
      <c r="AX131" s="55" t="s">
        <v>86</v>
      </c>
      <c r="AY131" s="55">
        <v>0</v>
      </c>
      <c r="AZ131" s="55">
        <v>0</v>
      </c>
      <c r="BA131" s="55" t="s">
        <v>734</v>
      </c>
      <c r="BB131" s="55" t="s">
        <v>88</v>
      </c>
      <c r="BC131" s="55" t="s">
        <v>134</v>
      </c>
      <c r="BD131" s="55" t="s">
        <v>114</v>
      </c>
      <c r="BE131" s="55" t="s">
        <v>534</v>
      </c>
      <c r="BF131" s="55">
        <v>26.3</v>
      </c>
      <c r="BG131" s="55">
        <v>0</v>
      </c>
      <c r="BH131" s="55">
        <v>16.48</v>
      </c>
      <c r="BI131" s="55">
        <v>0</v>
      </c>
      <c r="BJ131" s="55">
        <v>138</v>
      </c>
      <c r="BK131" s="55" t="s">
        <v>538</v>
      </c>
      <c r="BL131" s="55" t="s">
        <v>84</v>
      </c>
      <c r="BM131" s="55">
        <v>1</v>
      </c>
      <c r="BN131" s="55" t="s">
        <v>539</v>
      </c>
      <c r="BO131" s="55" t="s">
        <v>540</v>
      </c>
      <c r="BP131" s="55" t="s">
        <v>540</v>
      </c>
      <c r="BQ131" s="55" t="s">
        <v>92</v>
      </c>
      <c r="BR131" s="55" t="s">
        <v>93</v>
      </c>
      <c r="BS131" s="55">
        <v>26.81</v>
      </c>
      <c r="BT131" s="55">
        <v>0</v>
      </c>
      <c r="BU131" s="55" t="s">
        <v>536</v>
      </c>
      <c r="BV131" s="55" t="s">
        <v>537</v>
      </c>
      <c r="BW131" s="55" t="s">
        <v>736</v>
      </c>
      <c r="BX131" s="55" t="s">
        <v>95</v>
      </c>
      <c r="BY131" s="55" t="s">
        <v>96</v>
      </c>
      <c r="BZ131" s="55">
        <v>0</v>
      </c>
      <c r="CA131" s="55">
        <v>0</v>
      </c>
      <c r="CB131" s="55" t="s">
        <v>97</v>
      </c>
      <c r="CC131" s="55" t="s">
        <v>97</v>
      </c>
      <c r="CD131" s="55">
        <v>0</v>
      </c>
      <c r="CE131" s="55" t="s">
        <v>97</v>
      </c>
      <c r="CF131" s="55">
        <v>1</v>
      </c>
      <c r="CG131" s="55" t="s">
        <v>396</v>
      </c>
      <c r="CH131" s="55">
        <v>1</v>
      </c>
      <c r="CI131" s="55" t="s">
        <v>541</v>
      </c>
      <c r="CJ131" s="55" t="s">
        <v>98</v>
      </c>
      <c r="CK131" s="55">
        <v>42</v>
      </c>
      <c r="CL131" s="55">
        <v>0</v>
      </c>
      <c r="CM131" s="55">
        <v>0</v>
      </c>
      <c r="CN131" s="55" t="s">
        <v>99</v>
      </c>
      <c r="CO131" s="55" t="s">
        <v>97</v>
      </c>
      <c r="CP131" s="55" t="s">
        <v>100</v>
      </c>
      <c r="CQ131" s="55" t="s">
        <v>126</v>
      </c>
      <c r="CR131" s="57">
        <v>46219</v>
      </c>
      <c r="CT131" s="55" t="s">
        <v>543</v>
      </c>
    </row>
    <row r="132" spans="1:98" s="55" customFormat="1" x14ac:dyDescent="0.35">
      <c r="A132" s="54" t="s">
        <v>529</v>
      </c>
      <c r="B132" s="54" t="s">
        <v>2193</v>
      </c>
      <c r="C132" s="55" t="s">
        <v>530</v>
      </c>
      <c r="D132" s="55">
        <v>2017</v>
      </c>
      <c r="E132" s="54" t="s">
        <v>531</v>
      </c>
      <c r="F132" s="54" t="s">
        <v>532</v>
      </c>
      <c r="G132" s="55" t="s">
        <v>78</v>
      </c>
      <c r="H132" s="55">
        <v>1</v>
      </c>
      <c r="I132" s="55" t="s">
        <v>533</v>
      </c>
      <c r="J132" s="55" t="s">
        <v>79</v>
      </c>
      <c r="K132" s="55">
        <v>281</v>
      </c>
      <c r="L132" s="55" t="s">
        <v>80</v>
      </c>
      <c r="M132" s="55" t="s">
        <v>380</v>
      </c>
      <c r="N132" s="55">
        <v>-8.0000000000000002E-3</v>
      </c>
      <c r="O132" s="55">
        <v>3.0000000000000001E-3</v>
      </c>
      <c r="P132" s="88">
        <f t="shared" si="18"/>
        <v>-2.6666666666666665</v>
      </c>
      <c r="Q132" s="55" t="s">
        <v>312</v>
      </c>
      <c r="R132" s="88">
        <f t="shared" si="19"/>
        <v>-1.388E-2</v>
      </c>
      <c r="S132" s="88">
        <f t="shared" si="20"/>
        <v>-2.1200000000000004E-3</v>
      </c>
      <c r="T132" s="55">
        <v>1</v>
      </c>
      <c r="U132" s="55">
        <v>75163</v>
      </c>
      <c r="V132" s="55">
        <v>10</v>
      </c>
      <c r="W132" s="55">
        <v>1</v>
      </c>
      <c r="X132" s="55">
        <f t="shared" si="21"/>
        <v>75153</v>
      </c>
      <c r="Y132" s="88">
        <f t="shared" si="22"/>
        <v>-9.726912867670719E-3</v>
      </c>
      <c r="Z132" s="88">
        <f t="shared" si="23"/>
        <v>3.6475923253765194E-3</v>
      </c>
      <c r="AA132" s="88">
        <f t="shared" si="34"/>
        <v>-9.726912867670719E-3</v>
      </c>
      <c r="AB132" s="55" t="s">
        <v>81</v>
      </c>
      <c r="AC132" s="88">
        <f t="shared" si="52"/>
        <v>-8.0000000000000002E-3</v>
      </c>
      <c r="AD132" s="88" cm="1">
        <f t="array" ref="AD132">_xlfn.IFS(
AND(L132="marginal_effect",M132="level"),N132*AN132/BF132,
AND(L132="marginal_effect",M132="sd (Y)"),N132*BH132*AN132/BF132,
AND(L132="marginal_effect",M132="sd (X)"),N132/AQ132*AN132/BF132,
AND(L132="semi_elasticity",M132="level"),N132*AN132,
AND(L132="semi_elasticity",M132="sd (Y)"),N132*AN132*BH132,
AND(L132="semi_elasticity",M132="sd (X)"),N132*AN132/AQ132,
AND(L132="level-log",M132="level"),N132/BF132,
AND(L132="level-log",M132="sd (X)"),N132/BF132/AQ132,
AND(L132="level-log",M132="sd (Y)"),N132/BF132*BH132,
AND(L132="elasticity",M132="level"),N132,
AND(L132="elasticity",M132="sd (X)"),N132/AQ132,
AND(L132="elasticity",M132="sd (Y)"),N132*BH132,
AND(L132="marginal_effect",M132="percent_of_mean"),N132*AN132/BF132/10)</f>
        <v>-8.0000000000000002E-3</v>
      </c>
      <c r="AE132" s="56">
        <f t="shared" si="25"/>
        <v>1</v>
      </c>
      <c r="AF132" s="88">
        <f t="shared" si="53"/>
        <v>3.0000000000000001E-3</v>
      </c>
      <c r="AG132" s="88" cm="1">
        <f t="array" ref="AG132">_xlfn.IFS(
AND(L132="marginal_effect",M132="level"),O132*AN132/BF132,
AND(L132="marginal_effect",M132="sd (Y)"),O132*BH132*AN132/BF132,
AND(L132="marginal_effect",M132="sd (X)"),O132/AQ132*AN132/BF132,
AND(L132="semi_elasticity",M132="level"),O132*AN132,
AND(L132="semi_elasticity",M132="sd (Y)"),O132*AN132*BH132,
AND(L132="semi_elasticity",M132="sd (X)"),O132*AN132/AQ132,
AND(L132="level-log",M132="level"),O132/BF132,
AND(L132="level-log",M132="sd (X)"),O132/BF132/AQ132,
AND(L132="level-log",M132="sd (Y)"),O132/BF132*BH132,
AND(L132="elasticity",M132="level"),O132,
AND(L132="elasticity",M132="sd (X)"),O132/AQ132,
AND(L132="elasticity",M132="sd (Y)"),O132*BH132,
AND(L132="marginal_effect",M132="percent_of_mean"),O132*AN132/BF132/10)</f>
        <v>3.0000000000000001E-3</v>
      </c>
      <c r="AH132" s="56">
        <f t="shared" si="26"/>
        <v>1</v>
      </c>
      <c r="AI132" s="88">
        <f t="shared" si="35"/>
        <v>-8.0000000000000002E-3</v>
      </c>
      <c r="AJ132" s="55">
        <v>0</v>
      </c>
      <c r="AK132" s="56">
        <f t="shared" si="28"/>
        <v>1</v>
      </c>
      <c r="AL132" s="55" t="s">
        <v>148</v>
      </c>
      <c r="AM132" s="55" t="s">
        <v>1333</v>
      </c>
      <c r="AN132" s="55">
        <v>55.06</v>
      </c>
      <c r="AO132" s="55">
        <v>0</v>
      </c>
      <c r="AP132" s="55">
        <f t="shared" si="54"/>
        <v>55.06</v>
      </c>
      <c r="AQ132" s="55">
        <v>34.270000000000003</v>
      </c>
      <c r="AR132" s="55">
        <v>0.13</v>
      </c>
      <c r="AS132" s="55">
        <v>248</v>
      </c>
      <c r="AT132" s="55" t="s">
        <v>83</v>
      </c>
      <c r="AU132" s="55" t="s">
        <v>109</v>
      </c>
      <c r="AV132" s="55" t="s">
        <v>133</v>
      </c>
      <c r="AW132" s="55" t="s">
        <v>109</v>
      </c>
      <c r="AX132" s="55" t="s">
        <v>86</v>
      </c>
      <c r="AY132" s="55">
        <v>0</v>
      </c>
      <c r="AZ132" s="55">
        <v>0</v>
      </c>
      <c r="BA132" s="55" t="s">
        <v>734</v>
      </c>
      <c r="BB132" s="55" t="s">
        <v>88</v>
      </c>
      <c r="BC132" s="55" t="s">
        <v>134</v>
      </c>
      <c r="BD132" s="55" t="s">
        <v>114</v>
      </c>
      <c r="BE132" s="55" t="s">
        <v>534</v>
      </c>
      <c r="BF132" s="55">
        <v>26.3</v>
      </c>
      <c r="BG132" s="55">
        <v>0</v>
      </c>
      <c r="BH132" s="55">
        <v>16.48</v>
      </c>
      <c r="BI132" s="55">
        <v>0</v>
      </c>
      <c r="BJ132" s="55">
        <v>138</v>
      </c>
      <c r="BK132" s="55" t="s">
        <v>538</v>
      </c>
      <c r="BL132" s="55" t="s">
        <v>84</v>
      </c>
      <c r="BM132" s="55">
        <v>1</v>
      </c>
      <c r="BN132" s="55" t="s">
        <v>539</v>
      </c>
      <c r="BO132" s="55" t="s">
        <v>540</v>
      </c>
      <c r="BP132" s="55" t="s">
        <v>540</v>
      </c>
      <c r="BQ132" s="55" t="s">
        <v>92</v>
      </c>
      <c r="BR132" s="55" t="s">
        <v>93</v>
      </c>
      <c r="BS132" s="55">
        <v>26.81</v>
      </c>
      <c r="BT132" s="55">
        <v>0</v>
      </c>
      <c r="BU132" s="55" t="s">
        <v>536</v>
      </c>
      <c r="BV132" s="55" t="s">
        <v>537</v>
      </c>
      <c r="BW132" s="55" t="s">
        <v>736</v>
      </c>
      <c r="BX132" s="55" t="s">
        <v>95</v>
      </c>
      <c r="BY132" s="55" t="s">
        <v>96</v>
      </c>
      <c r="BZ132" s="55">
        <v>0</v>
      </c>
      <c r="CA132" s="55">
        <v>0</v>
      </c>
      <c r="CB132" s="55" t="s">
        <v>97</v>
      </c>
      <c r="CC132" s="55" t="s">
        <v>97</v>
      </c>
      <c r="CD132" s="55">
        <v>0</v>
      </c>
      <c r="CE132" s="55" t="s">
        <v>97</v>
      </c>
      <c r="CF132" s="55">
        <v>1</v>
      </c>
      <c r="CG132" s="55" t="s">
        <v>106</v>
      </c>
      <c r="CH132" s="55">
        <v>1</v>
      </c>
      <c r="CI132" s="55" t="s">
        <v>541</v>
      </c>
      <c r="CJ132" s="55" t="s">
        <v>98</v>
      </c>
      <c r="CK132" s="55">
        <v>42</v>
      </c>
      <c r="CL132" s="55">
        <v>0</v>
      </c>
      <c r="CM132" s="55">
        <v>0</v>
      </c>
      <c r="CN132" s="55" t="s">
        <v>99</v>
      </c>
      <c r="CO132" s="55" t="s">
        <v>97</v>
      </c>
      <c r="CP132" s="55" t="s">
        <v>100</v>
      </c>
      <c r="CQ132" s="55" t="s">
        <v>126</v>
      </c>
      <c r="CR132" s="57">
        <v>46219</v>
      </c>
      <c r="CT132" s="55" t="s">
        <v>543</v>
      </c>
    </row>
    <row r="133" spans="1:98" s="55" customFormat="1" x14ac:dyDescent="0.35">
      <c r="A133" s="54" t="s">
        <v>529</v>
      </c>
      <c r="B133" s="54" t="s">
        <v>2194</v>
      </c>
      <c r="C133" s="55" t="s">
        <v>530</v>
      </c>
      <c r="D133" s="55">
        <v>2017</v>
      </c>
      <c r="E133" s="54" t="s">
        <v>531</v>
      </c>
      <c r="F133" s="54" t="s">
        <v>532</v>
      </c>
      <c r="G133" s="55" t="s">
        <v>78</v>
      </c>
      <c r="H133" s="55">
        <v>1</v>
      </c>
      <c r="I133" s="55" t="s">
        <v>533</v>
      </c>
      <c r="J133" s="55" t="s">
        <v>79</v>
      </c>
      <c r="K133" s="55">
        <v>281</v>
      </c>
      <c r="L133" s="55" t="s">
        <v>80</v>
      </c>
      <c r="M133" s="55" t="s">
        <v>380</v>
      </c>
      <c r="N133" s="55">
        <v>-1.9E-2</v>
      </c>
      <c r="O133" s="55">
        <v>4.0000000000000001E-3</v>
      </c>
      <c r="P133" s="88">
        <f t="shared" si="18"/>
        <v>-4.75</v>
      </c>
      <c r="Q133" s="55" t="s">
        <v>312</v>
      </c>
      <c r="R133" s="88">
        <f t="shared" si="19"/>
        <v>-2.6839999999999999E-2</v>
      </c>
      <c r="S133" s="88">
        <f t="shared" si="20"/>
        <v>-1.116E-2</v>
      </c>
      <c r="T133" s="55">
        <v>1</v>
      </c>
      <c r="U133" s="55">
        <v>75163</v>
      </c>
      <c r="V133" s="55">
        <v>10</v>
      </c>
      <c r="W133" s="55">
        <v>1</v>
      </c>
      <c r="X133" s="55">
        <f t="shared" si="21"/>
        <v>75153</v>
      </c>
      <c r="Y133" s="88">
        <f t="shared" si="22"/>
        <v>-1.7324282877097422E-2</v>
      </c>
      <c r="Z133" s="88">
        <f t="shared" si="23"/>
        <v>3.6472174478099839E-3</v>
      </c>
      <c r="AA133" s="88">
        <f t="shared" si="34"/>
        <v>-1.7324282877097422E-2</v>
      </c>
      <c r="AB133" s="55" t="s">
        <v>81</v>
      </c>
      <c r="AC133" s="88">
        <f t="shared" si="52"/>
        <v>-1.9E-2</v>
      </c>
      <c r="AD133" s="88" cm="1">
        <f t="array" ref="AD133">_xlfn.IFS(
AND(L133="marginal_effect",M133="level"),N133*AN133/BF133,
AND(L133="marginal_effect",M133="sd (Y)"),N133*BH133*AN133/BF133,
AND(L133="marginal_effect",M133="sd (X)"),N133/AQ133*AN133/BF133,
AND(L133="semi_elasticity",M133="level"),N133*AN133,
AND(L133="semi_elasticity",M133="sd (Y)"),N133*AN133*BH133,
AND(L133="semi_elasticity",M133="sd (X)"),N133*AN133/AQ133,
AND(L133="level-log",M133="level"),N133/BF133,
AND(L133="level-log",M133="sd (X)"),N133/BF133/AQ133,
AND(L133="level-log",M133="sd (Y)"),N133/BF133*BH133,
AND(L133="elasticity",M133="level"),N133,
AND(L133="elasticity",M133="sd (X)"),N133/AQ133,
AND(L133="elasticity",M133="sd (Y)"),N133*BH133,
AND(L133="marginal_effect",M133="percent_of_mean"),N133*AN133/BF133/10)</f>
        <v>-1.9E-2</v>
      </c>
      <c r="AE133" s="56">
        <f t="shared" si="25"/>
        <v>1</v>
      </c>
      <c r="AF133" s="88">
        <f t="shared" si="53"/>
        <v>4.0000000000000001E-3</v>
      </c>
      <c r="AG133" s="88" cm="1">
        <f t="array" ref="AG133">_xlfn.IFS(
AND(L133="marginal_effect",M133="level"),O133*AN133/BF133,
AND(L133="marginal_effect",M133="sd (Y)"),O133*BH133*AN133/BF133,
AND(L133="marginal_effect",M133="sd (X)"),O133/AQ133*AN133/BF133,
AND(L133="semi_elasticity",M133="level"),O133*AN133,
AND(L133="semi_elasticity",M133="sd (Y)"),O133*AN133*BH133,
AND(L133="semi_elasticity",M133="sd (X)"),O133*AN133/AQ133,
AND(L133="level-log",M133="level"),O133/BF133,
AND(L133="level-log",M133="sd (X)"),O133/BF133/AQ133,
AND(L133="level-log",M133="sd (Y)"),O133/BF133*BH133,
AND(L133="elasticity",M133="level"),O133,
AND(L133="elasticity",M133="sd (X)"),O133/AQ133,
AND(L133="elasticity",M133="sd (Y)"),O133*BH133,
AND(L133="marginal_effect",M133="percent_of_mean"),O133*AN133/BF133/10)</f>
        <v>4.0000000000000001E-3</v>
      </c>
      <c r="AH133" s="56">
        <f t="shared" si="26"/>
        <v>1</v>
      </c>
      <c r="AI133" s="88">
        <f t="shared" si="35"/>
        <v>-1.9E-2</v>
      </c>
      <c r="AJ133" s="55">
        <v>0</v>
      </c>
      <c r="AK133" s="56">
        <f t="shared" si="28"/>
        <v>1</v>
      </c>
      <c r="AL133" s="55" t="s">
        <v>106</v>
      </c>
      <c r="AM133" s="55" t="s">
        <v>1333</v>
      </c>
      <c r="AN133" s="55">
        <v>23.76</v>
      </c>
      <c r="AO133" s="55">
        <v>0</v>
      </c>
      <c r="AP133" s="55">
        <f t="shared" si="54"/>
        <v>23.76</v>
      </c>
      <c r="AQ133" s="55">
        <v>16.22</v>
      </c>
      <c r="AR133" s="55">
        <v>0.53</v>
      </c>
      <c r="AS133" s="55">
        <v>158.28</v>
      </c>
      <c r="AT133" s="55" t="s">
        <v>83</v>
      </c>
      <c r="AU133" s="55" t="s">
        <v>109</v>
      </c>
      <c r="AV133" s="55" t="s">
        <v>133</v>
      </c>
      <c r="AW133" s="55" t="s">
        <v>109</v>
      </c>
      <c r="AX133" s="55" t="s">
        <v>86</v>
      </c>
      <c r="AY133" s="55">
        <v>0</v>
      </c>
      <c r="AZ133" s="55">
        <v>0</v>
      </c>
      <c r="BA133" s="55" t="s">
        <v>734</v>
      </c>
      <c r="BB133" s="55" t="s">
        <v>88</v>
      </c>
      <c r="BC133" s="55" t="s">
        <v>134</v>
      </c>
      <c r="BD133" s="55" t="s">
        <v>114</v>
      </c>
      <c r="BE133" s="55" t="s">
        <v>534</v>
      </c>
      <c r="BF133" s="55">
        <v>26.3</v>
      </c>
      <c r="BG133" s="55">
        <v>0</v>
      </c>
      <c r="BH133" s="55">
        <v>16.48</v>
      </c>
      <c r="BI133" s="55">
        <v>0</v>
      </c>
      <c r="BJ133" s="55">
        <v>138</v>
      </c>
      <c r="BK133" s="55" t="s">
        <v>538</v>
      </c>
      <c r="BL133" s="55" t="s">
        <v>84</v>
      </c>
      <c r="BM133" s="55">
        <v>1</v>
      </c>
      <c r="BN133" s="55" t="s">
        <v>539</v>
      </c>
      <c r="BO133" s="55" t="s">
        <v>540</v>
      </c>
      <c r="BP133" s="55" t="s">
        <v>540</v>
      </c>
      <c r="BQ133" s="55" t="s">
        <v>92</v>
      </c>
      <c r="BR133" s="55" t="s">
        <v>93</v>
      </c>
      <c r="BS133" s="55">
        <v>26.81</v>
      </c>
      <c r="BT133" s="55">
        <v>0</v>
      </c>
      <c r="BU133" s="55" t="s">
        <v>536</v>
      </c>
      <c r="BV133" s="55" t="s">
        <v>537</v>
      </c>
      <c r="BW133" s="55" t="s">
        <v>736</v>
      </c>
      <c r="BX133" s="55" t="s">
        <v>95</v>
      </c>
      <c r="BY133" s="55" t="s">
        <v>96</v>
      </c>
      <c r="BZ133" s="55">
        <v>0</v>
      </c>
      <c r="CA133" s="55">
        <v>0</v>
      </c>
      <c r="CB133" s="55" t="s">
        <v>97</v>
      </c>
      <c r="CC133" s="55" t="s">
        <v>509</v>
      </c>
      <c r="CD133" s="55">
        <v>0</v>
      </c>
      <c r="CE133" s="55" t="s">
        <v>97</v>
      </c>
      <c r="CF133" s="55">
        <v>1</v>
      </c>
      <c r="CG133" s="55" t="s">
        <v>396</v>
      </c>
      <c r="CH133" s="55">
        <v>1</v>
      </c>
      <c r="CI133" s="55" t="s">
        <v>541</v>
      </c>
      <c r="CJ133" s="55" t="s">
        <v>98</v>
      </c>
      <c r="CK133" s="55">
        <v>42</v>
      </c>
      <c r="CL133" s="55">
        <v>0</v>
      </c>
      <c r="CM133" s="55">
        <v>0</v>
      </c>
      <c r="CN133" s="55" t="s">
        <v>99</v>
      </c>
      <c r="CO133" s="55" t="s">
        <v>97</v>
      </c>
      <c r="CP133" s="55" t="s">
        <v>100</v>
      </c>
      <c r="CQ133" s="55" t="s">
        <v>126</v>
      </c>
      <c r="CR133" s="57">
        <v>46219</v>
      </c>
      <c r="CT133" s="55" t="s">
        <v>549</v>
      </c>
    </row>
    <row r="134" spans="1:98" s="55" customFormat="1" x14ac:dyDescent="0.35">
      <c r="A134" s="54" t="s">
        <v>529</v>
      </c>
      <c r="B134" s="54" t="s">
        <v>2195</v>
      </c>
      <c r="C134" s="55" t="s">
        <v>530</v>
      </c>
      <c r="D134" s="55">
        <v>2017</v>
      </c>
      <c r="E134" s="54" t="s">
        <v>531</v>
      </c>
      <c r="F134" s="54" t="s">
        <v>532</v>
      </c>
      <c r="G134" s="55" t="s">
        <v>78</v>
      </c>
      <c r="H134" s="55">
        <v>1</v>
      </c>
      <c r="I134" s="55" t="s">
        <v>533</v>
      </c>
      <c r="J134" s="55" t="s">
        <v>79</v>
      </c>
      <c r="K134" s="55">
        <v>281</v>
      </c>
      <c r="L134" s="55" t="s">
        <v>80</v>
      </c>
      <c r="M134" s="55" t="s">
        <v>380</v>
      </c>
      <c r="N134" s="55">
        <v>-8.0000000000000002E-3</v>
      </c>
      <c r="O134" s="55">
        <v>3.0000000000000001E-3</v>
      </c>
      <c r="P134" s="88">
        <f t="shared" si="18"/>
        <v>-2.6666666666666665</v>
      </c>
      <c r="Q134" s="55" t="s">
        <v>312</v>
      </c>
      <c r="R134" s="88">
        <f t="shared" si="19"/>
        <v>-1.388E-2</v>
      </c>
      <c r="S134" s="88">
        <f t="shared" si="20"/>
        <v>-2.1200000000000004E-3</v>
      </c>
      <c r="T134" s="55">
        <v>1</v>
      </c>
      <c r="U134" s="55">
        <v>75163</v>
      </c>
      <c r="V134" s="55">
        <v>10</v>
      </c>
      <c r="W134" s="55">
        <v>1</v>
      </c>
      <c r="X134" s="55">
        <f t="shared" si="21"/>
        <v>75153</v>
      </c>
      <c r="Y134" s="88">
        <f t="shared" si="22"/>
        <v>-9.726912867670719E-3</v>
      </c>
      <c r="Z134" s="88">
        <f t="shared" si="23"/>
        <v>3.6475923253765194E-3</v>
      </c>
      <c r="AA134" s="88">
        <f t="shared" si="34"/>
        <v>-9.726912867670719E-3</v>
      </c>
      <c r="AB134" s="55" t="s">
        <v>81</v>
      </c>
      <c r="AC134" s="88">
        <f t="shared" si="52"/>
        <v>-8.0000000000000002E-3</v>
      </c>
      <c r="AD134" s="88" cm="1">
        <f t="array" ref="AD134">_xlfn.IFS(
AND(L134="marginal_effect",M134="level"),N134*AN134/BF134,
AND(L134="marginal_effect",M134="sd (Y)"),N134*BH134*AN134/BF134,
AND(L134="marginal_effect",M134="sd (X)"),N134/AQ134*AN134/BF134,
AND(L134="semi_elasticity",M134="level"),N134*AN134,
AND(L134="semi_elasticity",M134="sd (Y)"),N134*AN134*BH134,
AND(L134="semi_elasticity",M134="sd (X)"),N134*AN134/AQ134,
AND(L134="level-log",M134="level"),N134/BF134,
AND(L134="level-log",M134="sd (X)"),N134/BF134/AQ134,
AND(L134="level-log",M134="sd (Y)"),N134/BF134*BH134,
AND(L134="elasticity",M134="level"),N134,
AND(L134="elasticity",M134="sd (X)"),N134/AQ134,
AND(L134="elasticity",M134="sd (Y)"),N134*BH134,
AND(L134="marginal_effect",M134="percent_of_mean"),N134*AN134/BF134/10)</f>
        <v>-8.0000000000000002E-3</v>
      </c>
      <c r="AE134" s="56">
        <f t="shared" si="25"/>
        <v>1</v>
      </c>
      <c r="AF134" s="88">
        <f t="shared" si="53"/>
        <v>3.0000000000000001E-3</v>
      </c>
      <c r="AG134" s="88" cm="1">
        <f t="array" ref="AG134">_xlfn.IFS(
AND(L134="marginal_effect",M134="level"),O134*AN134/BF134,
AND(L134="marginal_effect",M134="sd (Y)"),O134*BH134*AN134/BF134,
AND(L134="marginal_effect",M134="sd (X)"),O134/AQ134*AN134/BF134,
AND(L134="semi_elasticity",M134="level"),O134*AN134,
AND(L134="semi_elasticity",M134="sd (Y)"),O134*AN134*BH134,
AND(L134="semi_elasticity",M134="sd (X)"),O134*AN134/AQ134,
AND(L134="level-log",M134="level"),O134/BF134,
AND(L134="level-log",M134="sd (X)"),O134/BF134/AQ134,
AND(L134="level-log",M134="sd (Y)"),O134/BF134*BH134,
AND(L134="elasticity",M134="level"),O134,
AND(L134="elasticity",M134="sd (X)"),O134/AQ134,
AND(L134="elasticity",M134="sd (Y)"),O134*BH134,
AND(L134="marginal_effect",M134="percent_of_mean"),O134*AN134/BF134/10)</f>
        <v>3.0000000000000001E-3</v>
      </c>
      <c r="AH134" s="56">
        <f t="shared" si="26"/>
        <v>1</v>
      </c>
      <c r="AI134" s="88">
        <f t="shared" si="35"/>
        <v>-8.0000000000000002E-3</v>
      </c>
      <c r="AJ134" s="55">
        <v>0</v>
      </c>
      <c r="AK134" s="56">
        <f t="shared" si="28"/>
        <v>1</v>
      </c>
      <c r="AL134" s="55" t="s">
        <v>148</v>
      </c>
      <c r="AM134" s="55" t="s">
        <v>1333</v>
      </c>
      <c r="AN134" s="55">
        <v>55.06</v>
      </c>
      <c r="AO134" s="55">
        <v>0</v>
      </c>
      <c r="AP134" s="55">
        <f t="shared" si="54"/>
        <v>55.06</v>
      </c>
      <c r="AQ134" s="55">
        <v>34.270000000000003</v>
      </c>
      <c r="AR134" s="55">
        <v>0.13</v>
      </c>
      <c r="AS134" s="55">
        <v>248</v>
      </c>
      <c r="AT134" s="55" t="s">
        <v>83</v>
      </c>
      <c r="AU134" s="55" t="s">
        <v>109</v>
      </c>
      <c r="AV134" s="55" t="s">
        <v>133</v>
      </c>
      <c r="AW134" s="55" t="s">
        <v>109</v>
      </c>
      <c r="AX134" s="55" t="s">
        <v>86</v>
      </c>
      <c r="AY134" s="55">
        <v>0</v>
      </c>
      <c r="AZ134" s="55">
        <v>0</v>
      </c>
      <c r="BA134" s="55" t="s">
        <v>734</v>
      </c>
      <c r="BB134" s="55" t="s">
        <v>88</v>
      </c>
      <c r="BC134" s="55" t="s">
        <v>134</v>
      </c>
      <c r="BD134" s="55" t="s">
        <v>114</v>
      </c>
      <c r="BE134" s="55" t="s">
        <v>534</v>
      </c>
      <c r="BF134" s="55">
        <v>26.3</v>
      </c>
      <c r="BG134" s="55">
        <v>0</v>
      </c>
      <c r="BH134" s="55">
        <v>16.48</v>
      </c>
      <c r="BI134" s="55">
        <v>0</v>
      </c>
      <c r="BJ134" s="55">
        <v>138</v>
      </c>
      <c r="BK134" s="55" t="s">
        <v>538</v>
      </c>
      <c r="BL134" s="55" t="s">
        <v>84</v>
      </c>
      <c r="BM134" s="55">
        <v>1</v>
      </c>
      <c r="BN134" s="55" t="s">
        <v>539</v>
      </c>
      <c r="BO134" s="55" t="s">
        <v>540</v>
      </c>
      <c r="BP134" s="55" t="s">
        <v>540</v>
      </c>
      <c r="BQ134" s="55" t="s">
        <v>92</v>
      </c>
      <c r="BR134" s="55" t="s">
        <v>93</v>
      </c>
      <c r="BS134" s="55">
        <v>26.81</v>
      </c>
      <c r="BT134" s="55">
        <v>0</v>
      </c>
      <c r="BU134" s="55" t="s">
        <v>536</v>
      </c>
      <c r="BV134" s="55" t="s">
        <v>537</v>
      </c>
      <c r="BW134" s="55" t="s">
        <v>736</v>
      </c>
      <c r="BX134" s="55" t="s">
        <v>95</v>
      </c>
      <c r="BY134" s="55" t="s">
        <v>96</v>
      </c>
      <c r="BZ134" s="55">
        <v>0</v>
      </c>
      <c r="CA134" s="55">
        <v>0</v>
      </c>
      <c r="CB134" s="55" t="s">
        <v>97</v>
      </c>
      <c r="CC134" s="55" t="s">
        <v>545</v>
      </c>
      <c r="CD134" s="55">
        <v>0</v>
      </c>
      <c r="CE134" s="55" t="s">
        <v>97</v>
      </c>
      <c r="CF134" s="55">
        <v>1</v>
      </c>
      <c r="CG134" s="55" t="s">
        <v>106</v>
      </c>
      <c r="CH134" s="55">
        <v>1</v>
      </c>
      <c r="CI134" s="55" t="s">
        <v>541</v>
      </c>
      <c r="CJ134" s="55" t="s">
        <v>98</v>
      </c>
      <c r="CK134" s="55">
        <v>42</v>
      </c>
      <c r="CL134" s="55">
        <v>0</v>
      </c>
      <c r="CM134" s="55">
        <v>0</v>
      </c>
      <c r="CN134" s="55" t="s">
        <v>99</v>
      </c>
      <c r="CO134" s="55" t="s">
        <v>97</v>
      </c>
      <c r="CP134" s="55" t="s">
        <v>100</v>
      </c>
      <c r="CQ134" s="55" t="s">
        <v>126</v>
      </c>
      <c r="CR134" s="57">
        <v>46219</v>
      </c>
      <c r="CT134" s="55" t="s">
        <v>549</v>
      </c>
    </row>
    <row r="135" spans="1:98" s="55" customFormat="1" x14ac:dyDescent="0.35">
      <c r="A135" s="54" t="s">
        <v>529</v>
      </c>
      <c r="B135" s="54" t="s">
        <v>2196</v>
      </c>
      <c r="C135" s="55" t="s">
        <v>530</v>
      </c>
      <c r="D135" s="55">
        <v>2017</v>
      </c>
      <c r="E135" s="54" t="s">
        <v>531</v>
      </c>
      <c r="F135" s="54" t="s">
        <v>532</v>
      </c>
      <c r="G135" s="55" t="s">
        <v>78</v>
      </c>
      <c r="H135" s="55">
        <v>1</v>
      </c>
      <c r="I135" s="55" t="s">
        <v>533</v>
      </c>
      <c r="J135" s="55" t="s">
        <v>79</v>
      </c>
      <c r="K135" s="55">
        <v>281</v>
      </c>
      <c r="L135" s="55" t="s">
        <v>80</v>
      </c>
      <c r="M135" s="55" t="s">
        <v>380</v>
      </c>
      <c r="N135" s="55">
        <v>-2.3E-2</v>
      </c>
      <c r="O135" s="55">
        <v>5.0000000000000001E-3</v>
      </c>
      <c r="P135" s="88">
        <f t="shared" si="18"/>
        <v>-4.5999999999999996</v>
      </c>
      <c r="Q135" s="55" t="s">
        <v>312</v>
      </c>
      <c r="R135" s="88">
        <f t="shared" si="19"/>
        <v>-3.2799999999999996E-2</v>
      </c>
      <c r="S135" s="88">
        <f t="shared" si="20"/>
        <v>-1.32E-2</v>
      </c>
      <c r="T135" s="55">
        <v>1</v>
      </c>
      <c r="U135" s="55">
        <v>75163</v>
      </c>
      <c r="V135" s="55">
        <v>21</v>
      </c>
      <c r="W135" s="55">
        <v>1</v>
      </c>
      <c r="X135" s="55">
        <f t="shared" si="21"/>
        <v>75142</v>
      </c>
      <c r="Y135" s="88">
        <f t="shared" si="22"/>
        <v>-1.6778584386426616E-2</v>
      </c>
      <c r="Z135" s="88">
        <f t="shared" si="23"/>
        <v>3.6475183448753516E-3</v>
      </c>
      <c r="AA135" s="88">
        <f t="shared" si="34"/>
        <v>-1.6778584386426616E-2</v>
      </c>
      <c r="AB135" s="55" t="s">
        <v>81</v>
      </c>
      <c r="AC135" s="88">
        <f t="shared" si="52"/>
        <v>-2.3E-2</v>
      </c>
      <c r="AD135" s="88" cm="1">
        <f t="array" ref="AD135">_xlfn.IFS(
AND(L135="marginal_effect",M135="level"),N135*AN135/BF135,
AND(L135="marginal_effect",M135="sd (Y)"),N135*BH135*AN135/BF135,
AND(L135="marginal_effect",M135="sd (X)"),N135/AQ135*AN135/BF135,
AND(L135="semi_elasticity",M135="level"),N135*AN135,
AND(L135="semi_elasticity",M135="sd (Y)"),N135*AN135*BH135,
AND(L135="semi_elasticity",M135="sd (X)"),N135*AN135/AQ135,
AND(L135="level-log",M135="level"),N135/BF135,
AND(L135="level-log",M135="sd (X)"),N135/BF135/AQ135,
AND(L135="level-log",M135="sd (Y)"),N135/BF135*BH135,
AND(L135="elasticity",M135="level"),N135,
AND(L135="elasticity",M135="sd (X)"),N135/AQ135,
AND(L135="elasticity",M135="sd (Y)"),N135*BH135,
AND(L135="marginal_effect",M135="percent_of_mean"),N135*AN135/BF135/10)</f>
        <v>-2.3E-2</v>
      </c>
      <c r="AE135" s="56">
        <f t="shared" si="25"/>
        <v>1</v>
      </c>
      <c r="AF135" s="88">
        <f t="shared" si="53"/>
        <v>5.0000000000000001E-3</v>
      </c>
      <c r="AG135" s="88" cm="1">
        <f t="array" ref="AG135">_xlfn.IFS(
AND(L135="marginal_effect",M135="level"),O135*AN135/BF135,
AND(L135="marginal_effect",M135="sd (Y)"),O135*BH135*AN135/BF135,
AND(L135="marginal_effect",M135="sd (X)"),O135/AQ135*AN135/BF135,
AND(L135="semi_elasticity",M135="level"),O135*AN135,
AND(L135="semi_elasticity",M135="sd (Y)"),O135*AN135*BH135,
AND(L135="semi_elasticity",M135="sd (X)"),O135*AN135/AQ135,
AND(L135="level-log",M135="level"),O135/BF135,
AND(L135="level-log",M135="sd (X)"),O135/BF135/AQ135,
AND(L135="level-log",M135="sd (Y)"),O135/BF135*BH135,
AND(L135="elasticity",M135="level"),O135,
AND(L135="elasticity",M135="sd (X)"),O135/AQ135,
AND(L135="elasticity",M135="sd (Y)"),O135*BH135,
AND(L135="marginal_effect",M135="percent_of_mean"),O135*AN135/BF135/10)</f>
        <v>5.0000000000000001E-3</v>
      </c>
      <c r="AH135" s="56">
        <f t="shared" si="26"/>
        <v>1</v>
      </c>
      <c r="AI135" s="88">
        <f t="shared" si="35"/>
        <v>-2.3E-2</v>
      </c>
      <c r="AJ135" s="55">
        <v>0</v>
      </c>
      <c r="AK135" s="56">
        <f t="shared" si="28"/>
        <v>1</v>
      </c>
      <c r="AL135" s="55" t="s">
        <v>106</v>
      </c>
      <c r="AM135" s="55" t="s">
        <v>1333</v>
      </c>
      <c r="AN135" s="55">
        <v>23.76</v>
      </c>
      <c r="AO135" s="55">
        <v>0</v>
      </c>
      <c r="AP135" s="55">
        <f t="shared" si="54"/>
        <v>23.76</v>
      </c>
      <c r="AQ135" s="55">
        <v>16.22</v>
      </c>
      <c r="AR135" s="55">
        <v>0.53</v>
      </c>
      <c r="AS135" s="55">
        <v>158.28</v>
      </c>
      <c r="AT135" s="55" t="s">
        <v>83</v>
      </c>
      <c r="AU135" s="55" t="s">
        <v>109</v>
      </c>
      <c r="AV135" s="55" t="s">
        <v>133</v>
      </c>
      <c r="AW135" s="55" t="s">
        <v>109</v>
      </c>
      <c r="AX135" s="55" t="s">
        <v>86</v>
      </c>
      <c r="AY135" s="55">
        <v>0</v>
      </c>
      <c r="AZ135" s="55">
        <v>0</v>
      </c>
      <c r="BA135" s="55" t="s">
        <v>734</v>
      </c>
      <c r="BB135" s="55" t="s">
        <v>88</v>
      </c>
      <c r="BC135" s="55" t="s">
        <v>134</v>
      </c>
      <c r="BD135" s="55" t="s">
        <v>114</v>
      </c>
      <c r="BE135" s="55" t="s">
        <v>534</v>
      </c>
      <c r="BF135" s="55">
        <v>26.3</v>
      </c>
      <c r="BG135" s="55">
        <v>0</v>
      </c>
      <c r="BH135" s="55">
        <v>16.48</v>
      </c>
      <c r="BI135" s="55">
        <v>0</v>
      </c>
      <c r="BJ135" s="55">
        <v>138</v>
      </c>
      <c r="BK135" s="55" t="s">
        <v>538</v>
      </c>
      <c r="BL135" s="55" t="s">
        <v>84</v>
      </c>
      <c r="BM135" s="55">
        <v>1</v>
      </c>
      <c r="BN135" s="55" t="s">
        <v>539</v>
      </c>
      <c r="BO135" s="55" t="s">
        <v>540</v>
      </c>
      <c r="BP135" s="55" t="s">
        <v>540</v>
      </c>
      <c r="BQ135" s="55" t="s">
        <v>92</v>
      </c>
      <c r="BR135" s="55" t="s">
        <v>93</v>
      </c>
      <c r="BS135" s="55">
        <v>26.81</v>
      </c>
      <c r="BT135" s="55">
        <v>0</v>
      </c>
      <c r="BU135" s="55" t="s">
        <v>536</v>
      </c>
      <c r="BV135" s="55" t="s">
        <v>537</v>
      </c>
      <c r="BW135" s="55" t="s">
        <v>736</v>
      </c>
      <c r="BX135" s="55" t="s">
        <v>95</v>
      </c>
      <c r="BY135" s="55" t="s">
        <v>96</v>
      </c>
      <c r="BZ135" s="55">
        <v>0</v>
      </c>
      <c r="CA135" s="55">
        <v>0</v>
      </c>
      <c r="CB135" s="55" t="s">
        <v>97</v>
      </c>
      <c r="CC135" s="55" t="s">
        <v>509</v>
      </c>
      <c r="CD135" s="55">
        <v>1</v>
      </c>
      <c r="CE135" s="55" t="s">
        <v>2206</v>
      </c>
      <c r="CF135" s="55">
        <v>1</v>
      </c>
      <c r="CG135" s="55" t="s">
        <v>396</v>
      </c>
      <c r="CH135" s="55">
        <v>1</v>
      </c>
      <c r="CI135" s="55" t="s">
        <v>541</v>
      </c>
      <c r="CJ135" s="55" t="s">
        <v>98</v>
      </c>
      <c r="CK135" s="55">
        <v>42</v>
      </c>
      <c r="CL135" s="55">
        <v>0</v>
      </c>
      <c r="CM135" s="55">
        <v>0</v>
      </c>
      <c r="CN135" s="55" t="s">
        <v>99</v>
      </c>
      <c r="CO135" s="55" t="s">
        <v>97</v>
      </c>
      <c r="CP135" s="55" t="s">
        <v>100</v>
      </c>
      <c r="CQ135" s="55" t="s">
        <v>126</v>
      </c>
      <c r="CR135" s="57">
        <v>46219</v>
      </c>
      <c r="CT135" s="55" t="s">
        <v>550</v>
      </c>
    </row>
    <row r="136" spans="1:98" s="55" customFormat="1" x14ac:dyDescent="0.35">
      <c r="A136" s="54" t="s">
        <v>529</v>
      </c>
      <c r="B136" s="54" t="s">
        <v>2197</v>
      </c>
      <c r="C136" s="55" t="s">
        <v>530</v>
      </c>
      <c r="D136" s="55">
        <v>2017</v>
      </c>
      <c r="E136" s="54" t="s">
        <v>531</v>
      </c>
      <c r="F136" s="54" t="s">
        <v>532</v>
      </c>
      <c r="G136" s="55" t="s">
        <v>78</v>
      </c>
      <c r="H136" s="55">
        <v>1</v>
      </c>
      <c r="I136" s="55" t="s">
        <v>533</v>
      </c>
      <c r="J136" s="55" t="s">
        <v>79</v>
      </c>
      <c r="K136" s="55">
        <v>281</v>
      </c>
      <c r="L136" s="55" t="s">
        <v>80</v>
      </c>
      <c r="M136" s="55" t="s">
        <v>380</v>
      </c>
      <c r="N136" s="55">
        <v>-7.0000000000000001E-3</v>
      </c>
      <c r="O136" s="55">
        <v>3.0000000000000001E-3</v>
      </c>
      <c r="P136" s="88">
        <f t="shared" si="18"/>
        <v>-2.3333333333333335</v>
      </c>
      <c r="Q136" s="55" t="s">
        <v>312</v>
      </c>
      <c r="R136" s="88">
        <f t="shared" si="19"/>
        <v>-1.2879999999999999E-2</v>
      </c>
      <c r="S136" s="88">
        <f t="shared" si="20"/>
        <v>-1.1200000000000003E-3</v>
      </c>
      <c r="T136" s="55">
        <v>1</v>
      </c>
      <c r="U136" s="55">
        <v>75163</v>
      </c>
      <c r="V136" s="55">
        <v>21</v>
      </c>
      <c r="W136" s="55">
        <v>1</v>
      </c>
      <c r="X136" s="55">
        <f t="shared" si="21"/>
        <v>75142</v>
      </c>
      <c r="Y136" s="88">
        <f t="shared" si="22"/>
        <v>-8.5117660296120425E-3</v>
      </c>
      <c r="Z136" s="88">
        <f t="shared" si="23"/>
        <v>3.6478997269765892E-3</v>
      </c>
      <c r="AA136" s="88">
        <f t="shared" si="34"/>
        <v>-8.5117660296120425E-3</v>
      </c>
      <c r="AB136" s="55" t="s">
        <v>81</v>
      </c>
      <c r="AC136" s="88">
        <f t="shared" si="52"/>
        <v>-7.0000000000000001E-3</v>
      </c>
      <c r="AD136" s="88" cm="1">
        <f t="array" ref="AD136">_xlfn.IFS(
AND(L136="marginal_effect",M136="level"),N136*AN136/BF136,
AND(L136="marginal_effect",M136="sd (Y)"),N136*BH136*AN136/BF136,
AND(L136="marginal_effect",M136="sd (X)"),N136/AQ136*AN136/BF136,
AND(L136="semi_elasticity",M136="level"),N136*AN136,
AND(L136="semi_elasticity",M136="sd (Y)"),N136*AN136*BH136,
AND(L136="semi_elasticity",M136="sd (X)"),N136*AN136/AQ136,
AND(L136="level-log",M136="level"),N136/BF136,
AND(L136="level-log",M136="sd (X)"),N136/BF136/AQ136,
AND(L136="level-log",M136="sd (Y)"),N136/BF136*BH136,
AND(L136="elasticity",M136="level"),N136,
AND(L136="elasticity",M136="sd (X)"),N136/AQ136,
AND(L136="elasticity",M136="sd (Y)"),N136*BH136,
AND(L136="marginal_effect",M136="percent_of_mean"),N136*AN136/BF136/10)</f>
        <v>-7.0000000000000001E-3</v>
      </c>
      <c r="AE136" s="56">
        <f t="shared" si="25"/>
        <v>1</v>
      </c>
      <c r="AF136" s="88">
        <f t="shared" si="53"/>
        <v>3.0000000000000001E-3</v>
      </c>
      <c r="AG136" s="88" cm="1">
        <f t="array" ref="AG136">_xlfn.IFS(
AND(L136="marginal_effect",M136="level"),O136*AN136/BF136,
AND(L136="marginal_effect",M136="sd (Y)"),O136*BH136*AN136/BF136,
AND(L136="marginal_effect",M136="sd (X)"),O136/AQ136*AN136/BF136,
AND(L136="semi_elasticity",M136="level"),O136*AN136,
AND(L136="semi_elasticity",M136="sd (Y)"),O136*AN136*BH136,
AND(L136="semi_elasticity",M136="sd (X)"),O136*AN136/AQ136,
AND(L136="level-log",M136="level"),O136/BF136,
AND(L136="level-log",M136="sd (X)"),O136/BF136/AQ136,
AND(L136="level-log",M136="sd (Y)"),O136/BF136*BH136,
AND(L136="elasticity",M136="level"),O136,
AND(L136="elasticity",M136="sd (X)"),O136/AQ136,
AND(L136="elasticity",M136="sd (Y)"),O136*BH136,
AND(L136="marginal_effect",M136="percent_of_mean"),O136*AN136/BF136/10)</f>
        <v>3.0000000000000001E-3</v>
      </c>
      <c r="AH136" s="56">
        <f t="shared" si="26"/>
        <v>1</v>
      </c>
      <c r="AI136" s="88">
        <f t="shared" si="35"/>
        <v>-7.0000000000000001E-3</v>
      </c>
      <c r="AJ136" s="55">
        <v>0</v>
      </c>
      <c r="AK136" s="56">
        <f t="shared" si="28"/>
        <v>1</v>
      </c>
      <c r="AL136" s="55" t="s">
        <v>148</v>
      </c>
      <c r="AM136" s="55" t="s">
        <v>1333</v>
      </c>
      <c r="AN136" s="55">
        <v>55.06</v>
      </c>
      <c r="AO136" s="55">
        <v>0</v>
      </c>
      <c r="AP136" s="55">
        <f t="shared" si="54"/>
        <v>55.06</v>
      </c>
      <c r="AQ136" s="55">
        <v>34.270000000000003</v>
      </c>
      <c r="AR136" s="55">
        <v>0.13</v>
      </c>
      <c r="AS136" s="55">
        <v>248</v>
      </c>
      <c r="AT136" s="55" t="s">
        <v>83</v>
      </c>
      <c r="AU136" s="55" t="s">
        <v>109</v>
      </c>
      <c r="AV136" s="55" t="s">
        <v>133</v>
      </c>
      <c r="AW136" s="55" t="s">
        <v>109</v>
      </c>
      <c r="AX136" s="55" t="s">
        <v>86</v>
      </c>
      <c r="AY136" s="55">
        <v>0</v>
      </c>
      <c r="AZ136" s="55">
        <v>0</v>
      </c>
      <c r="BA136" s="55" t="s">
        <v>734</v>
      </c>
      <c r="BB136" s="55" t="s">
        <v>88</v>
      </c>
      <c r="BC136" s="55" t="s">
        <v>134</v>
      </c>
      <c r="BD136" s="55" t="s">
        <v>114</v>
      </c>
      <c r="BE136" s="55" t="s">
        <v>534</v>
      </c>
      <c r="BF136" s="55">
        <v>26.3</v>
      </c>
      <c r="BG136" s="55">
        <v>0</v>
      </c>
      <c r="BH136" s="55">
        <v>16.48</v>
      </c>
      <c r="BI136" s="55">
        <v>0</v>
      </c>
      <c r="BJ136" s="55">
        <v>138</v>
      </c>
      <c r="BK136" s="55" t="s">
        <v>538</v>
      </c>
      <c r="BL136" s="55" t="s">
        <v>84</v>
      </c>
      <c r="BM136" s="55">
        <v>1</v>
      </c>
      <c r="BN136" s="55" t="s">
        <v>539</v>
      </c>
      <c r="BO136" s="55" t="s">
        <v>540</v>
      </c>
      <c r="BP136" s="55" t="s">
        <v>540</v>
      </c>
      <c r="BQ136" s="55" t="s">
        <v>92</v>
      </c>
      <c r="BR136" s="55" t="s">
        <v>93</v>
      </c>
      <c r="BS136" s="55">
        <v>26.81</v>
      </c>
      <c r="BT136" s="55">
        <v>0</v>
      </c>
      <c r="BU136" s="55" t="s">
        <v>536</v>
      </c>
      <c r="BV136" s="55" t="s">
        <v>537</v>
      </c>
      <c r="BW136" s="55" t="s">
        <v>736</v>
      </c>
      <c r="BX136" s="55" t="s">
        <v>95</v>
      </c>
      <c r="BY136" s="55" t="s">
        <v>96</v>
      </c>
      <c r="BZ136" s="55">
        <v>0</v>
      </c>
      <c r="CA136" s="55">
        <v>0</v>
      </c>
      <c r="CB136" s="55" t="s">
        <v>97</v>
      </c>
      <c r="CC136" s="55" t="s">
        <v>545</v>
      </c>
      <c r="CD136" s="55">
        <v>1</v>
      </c>
      <c r="CE136" s="55" t="s">
        <v>2206</v>
      </c>
      <c r="CF136" s="55">
        <v>1</v>
      </c>
      <c r="CG136" s="55" t="s">
        <v>106</v>
      </c>
      <c r="CH136" s="55">
        <v>1</v>
      </c>
      <c r="CI136" s="55" t="s">
        <v>541</v>
      </c>
      <c r="CJ136" s="55" t="s">
        <v>98</v>
      </c>
      <c r="CK136" s="55">
        <v>42</v>
      </c>
      <c r="CL136" s="55">
        <v>0</v>
      </c>
      <c r="CM136" s="55">
        <v>0</v>
      </c>
      <c r="CN136" s="55" t="s">
        <v>99</v>
      </c>
      <c r="CO136" s="55" t="s">
        <v>97</v>
      </c>
      <c r="CP136" s="55" t="s">
        <v>100</v>
      </c>
      <c r="CQ136" s="55" t="s">
        <v>126</v>
      </c>
      <c r="CR136" s="57">
        <v>46219</v>
      </c>
      <c r="CT136" s="55" t="s">
        <v>550</v>
      </c>
    </row>
    <row r="137" spans="1:98" s="55" customFormat="1" x14ac:dyDescent="0.35">
      <c r="A137" s="54" t="s">
        <v>529</v>
      </c>
      <c r="B137" s="54" t="s">
        <v>2198</v>
      </c>
      <c r="C137" s="55" t="s">
        <v>530</v>
      </c>
      <c r="D137" s="55">
        <v>2017</v>
      </c>
      <c r="E137" s="54" t="s">
        <v>531</v>
      </c>
      <c r="F137" s="54" t="s">
        <v>532</v>
      </c>
      <c r="G137" s="55" t="s">
        <v>78</v>
      </c>
      <c r="H137" s="55">
        <v>1</v>
      </c>
      <c r="I137" s="55" t="s">
        <v>533</v>
      </c>
      <c r="J137" s="55" t="s">
        <v>79</v>
      </c>
      <c r="K137" s="55">
        <v>281</v>
      </c>
      <c r="L137" s="55" t="s">
        <v>80</v>
      </c>
      <c r="M137" s="55" t="s">
        <v>380</v>
      </c>
      <c r="N137" s="55">
        <v>-1.9E-2</v>
      </c>
      <c r="O137" s="55">
        <v>5.0000000000000001E-3</v>
      </c>
      <c r="P137" s="88">
        <f t="shared" si="18"/>
        <v>-3.8</v>
      </c>
      <c r="Q137" s="55" t="s">
        <v>312</v>
      </c>
      <c r="R137" s="88">
        <f t="shared" si="19"/>
        <v>-2.8799999999999999E-2</v>
      </c>
      <c r="S137" s="88">
        <f t="shared" si="20"/>
        <v>-9.1999999999999998E-3</v>
      </c>
      <c r="T137" s="55">
        <v>1</v>
      </c>
      <c r="U137" s="55">
        <v>75163</v>
      </c>
      <c r="V137" s="55">
        <v>24</v>
      </c>
      <c r="W137" s="55">
        <v>1</v>
      </c>
      <c r="X137" s="55">
        <f t="shared" si="21"/>
        <v>75139</v>
      </c>
      <c r="Y137" s="88">
        <f t="shared" si="22"/>
        <v>-1.3861466012689606E-2</v>
      </c>
      <c r="Z137" s="88">
        <f t="shared" si="23"/>
        <v>3.6477542138656865E-3</v>
      </c>
      <c r="AA137" s="88">
        <f t="shared" si="34"/>
        <v>-1.3861466012689606E-2</v>
      </c>
      <c r="AB137" s="55" t="s">
        <v>81</v>
      </c>
      <c r="AC137" s="88">
        <f t="shared" si="52"/>
        <v>-1.9E-2</v>
      </c>
      <c r="AD137" s="88" cm="1">
        <f t="array" ref="AD137">_xlfn.IFS(
AND(L137="marginal_effect",M137="level"),N137*AN137/BF137,
AND(L137="marginal_effect",M137="sd (Y)"),N137*BH137*AN137/BF137,
AND(L137="marginal_effect",M137="sd (X)"),N137/AQ137*AN137/BF137,
AND(L137="semi_elasticity",M137="level"),N137*AN137,
AND(L137="semi_elasticity",M137="sd (Y)"),N137*AN137*BH137,
AND(L137="semi_elasticity",M137="sd (X)"),N137*AN137/AQ137,
AND(L137="level-log",M137="level"),N137/BF137,
AND(L137="level-log",M137="sd (X)"),N137/BF137/AQ137,
AND(L137="level-log",M137="sd (Y)"),N137/BF137*BH137,
AND(L137="elasticity",M137="level"),N137,
AND(L137="elasticity",M137="sd (X)"),N137/AQ137,
AND(L137="elasticity",M137="sd (Y)"),N137*BH137,
AND(L137="marginal_effect",M137="percent_of_mean"),N137*AN137/BF137/10)</f>
        <v>-1.9E-2</v>
      </c>
      <c r="AE137" s="56">
        <f t="shared" si="25"/>
        <v>1</v>
      </c>
      <c r="AF137" s="88">
        <f t="shared" si="53"/>
        <v>5.0000000000000001E-3</v>
      </c>
      <c r="AG137" s="88" cm="1">
        <f t="array" ref="AG137">_xlfn.IFS(
AND(L137="marginal_effect",M137="level"),O137*AN137/BF137,
AND(L137="marginal_effect",M137="sd (Y)"),O137*BH137*AN137/BF137,
AND(L137="marginal_effect",M137="sd (X)"),O137/AQ137*AN137/BF137,
AND(L137="semi_elasticity",M137="level"),O137*AN137,
AND(L137="semi_elasticity",M137="sd (Y)"),O137*AN137*BH137,
AND(L137="semi_elasticity",M137="sd (X)"),O137*AN137/AQ137,
AND(L137="level-log",M137="level"),O137/BF137,
AND(L137="level-log",M137="sd (X)"),O137/BF137/AQ137,
AND(L137="level-log",M137="sd (Y)"),O137/BF137*BH137,
AND(L137="elasticity",M137="level"),O137,
AND(L137="elasticity",M137="sd (X)"),O137/AQ137,
AND(L137="elasticity",M137="sd (Y)"),O137*BH137,
AND(L137="marginal_effect",M137="percent_of_mean"),O137*AN137/BF137/10)</f>
        <v>5.0000000000000001E-3</v>
      </c>
      <c r="AH137" s="56">
        <f t="shared" si="26"/>
        <v>1</v>
      </c>
      <c r="AI137" s="88">
        <f t="shared" si="35"/>
        <v>-1.9E-2</v>
      </c>
      <c r="AJ137" s="55">
        <v>0</v>
      </c>
      <c r="AK137" s="56">
        <f t="shared" si="28"/>
        <v>1</v>
      </c>
      <c r="AL137" s="55" t="s">
        <v>106</v>
      </c>
      <c r="AM137" s="55" t="s">
        <v>1333</v>
      </c>
      <c r="AN137" s="55">
        <v>23.76</v>
      </c>
      <c r="AO137" s="55">
        <v>0</v>
      </c>
      <c r="AP137" s="55">
        <f t="shared" si="54"/>
        <v>23.76</v>
      </c>
      <c r="AQ137" s="55">
        <v>16.22</v>
      </c>
      <c r="AR137" s="55">
        <v>0.53</v>
      </c>
      <c r="AS137" s="55">
        <v>158.28</v>
      </c>
      <c r="AT137" s="55" t="s">
        <v>83</v>
      </c>
      <c r="AU137" s="55" t="s">
        <v>109</v>
      </c>
      <c r="AV137" s="55" t="s">
        <v>133</v>
      </c>
      <c r="AW137" s="55" t="s">
        <v>109</v>
      </c>
      <c r="AX137" s="55" t="s">
        <v>86</v>
      </c>
      <c r="AY137" s="55">
        <v>0</v>
      </c>
      <c r="AZ137" s="55">
        <v>0</v>
      </c>
      <c r="BA137" s="55" t="s">
        <v>734</v>
      </c>
      <c r="BB137" s="55" t="s">
        <v>88</v>
      </c>
      <c r="BC137" s="55" t="s">
        <v>134</v>
      </c>
      <c r="BD137" s="55" t="s">
        <v>114</v>
      </c>
      <c r="BE137" s="55" t="s">
        <v>534</v>
      </c>
      <c r="BF137" s="55">
        <v>26.3</v>
      </c>
      <c r="BG137" s="55">
        <v>0</v>
      </c>
      <c r="BH137" s="55">
        <v>16.48</v>
      </c>
      <c r="BI137" s="55">
        <v>0</v>
      </c>
      <c r="BJ137" s="55">
        <v>138</v>
      </c>
      <c r="BK137" s="55" t="s">
        <v>538</v>
      </c>
      <c r="BL137" s="55" t="s">
        <v>84</v>
      </c>
      <c r="BM137" s="55">
        <v>1</v>
      </c>
      <c r="BN137" s="55" t="s">
        <v>539</v>
      </c>
      <c r="BO137" s="55" t="s">
        <v>540</v>
      </c>
      <c r="BP137" s="55" t="s">
        <v>540</v>
      </c>
      <c r="BQ137" s="55" t="s">
        <v>92</v>
      </c>
      <c r="BR137" s="55" t="s">
        <v>93</v>
      </c>
      <c r="BS137" s="55">
        <v>26.81</v>
      </c>
      <c r="BT137" s="55">
        <v>0</v>
      </c>
      <c r="BU137" s="55" t="s">
        <v>536</v>
      </c>
      <c r="BV137" s="55" t="s">
        <v>537</v>
      </c>
      <c r="BW137" s="55" t="s">
        <v>736</v>
      </c>
      <c r="BX137" s="55" t="s">
        <v>95</v>
      </c>
      <c r="BY137" s="55" t="s">
        <v>96</v>
      </c>
      <c r="BZ137" s="55">
        <v>0</v>
      </c>
      <c r="CA137" s="55">
        <v>0</v>
      </c>
      <c r="CB137" s="55" t="s">
        <v>97</v>
      </c>
      <c r="CC137" s="55" t="s">
        <v>546</v>
      </c>
      <c r="CD137" s="55">
        <v>1</v>
      </c>
      <c r="CE137" s="55" t="s">
        <v>2206</v>
      </c>
      <c r="CF137" s="55">
        <v>1</v>
      </c>
      <c r="CG137" s="55" t="s">
        <v>396</v>
      </c>
      <c r="CH137" s="55">
        <v>1</v>
      </c>
      <c r="CI137" s="55" t="s">
        <v>541</v>
      </c>
      <c r="CJ137" s="55" t="s">
        <v>98</v>
      </c>
      <c r="CK137" s="55">
        <v>42</v>
      </c>
      <c r="CL137" s="55">
        <v>0</v>
      </c>
      <c r="CM137" s="55">
        <v>0</v>
      </c>
      <c r="CN137" s="55" t="s">
        <v>99</v>
      </c>
      <c r="CO137" s="55" t="s">
        <v>97</v>
      </c>
      <c r="CP137" s="55" t="s">
        <v>100</v>
      </c>
      <c r="CQ137" s="55" t="s">
        <v>126</v>
      </c>
      <c r="CR137" s="57">
        <v>46219</v>
      </c>
      <c r="CT137" s="55" t="s">
        <v>551</v>
      </c>
    </row>
    <row r="138" spans="1:98" s="55" customFormat="1" x14ac:dyDescent="0.35">
      <c r="A138" s="54" t="s">
        <v>529</v>
      </c>
      <c r="B138" s="54" t="s">
        <v>2199</v>
      </c>
      <c r="C138" s="55" t="s">
        <v>530</v>
      </c>
      <c r="D138" s="55">
        <v>2017</v>
      </c>
      <c r="E138" s="54" t="s">
        <v>531</v>
      </c>
      <c r="F138" s="54" t="s">
        <v>532</v>
      </c>
      <c r="G138" s="55" t="s">
        <v>78</v>
      </c>
      <c r="H138" s="55">
        <v>1</v>
      </c>
      <c r="I138" s="55" t="s">
        <v>533</v>
      </c>
      <c r="J138" s="55" t="s">
        <v>79</v>
      </c>
      <c r="K138" s="55">
        <v>281</v>
      </c>
      <c r="L138" s="55" t="s">
        <v>80</v>
      </c>
      <c r="M138" s="55" t="s">
        <v>380</v>
      </c>
      <c r="N138" s="55">
        <v>-4.0000000000000001E-3</v>
      </c>
      <c r="O138" s="55">
        <v>3.0000000000000001E-3</v>
      </c>
      <c r="P138" s="88">
        <f t="shared" si="18"/>
        <v>-1.3333333333333333</v>
      </c>
      <c r="Q138" s="55" t="s">
        <v>312</v>
      </c>
      <c r="R138" s="88">
        <f t="shared" si="19"/>
        <v>-9.8799999999999999E-3</v>
      </c>
      <c r="S138" s="88">
        <f t="shared" si="20"/>
        <v>1.8799999999999997E-3</v>
      </c>
      <c r="T138" s="55">
        <v>1</v>
      </c>
      <c r="U138" s="55">
        <v>75163</v>
      </c>
      <c r="V138" s="55">
        <v>24</v>
      </c>
      <c r="W138" s="55">
        <v>1</v>
      </c>
      <c r="X138" s="55">
        <f t="shared" si="21"/>
        <v>75139</v>
      </c>
      <c r="Y138" s="88">
        <f t="shared" si="22"/>
        <v>-4.8640820646831638E-3</v>
      </c>
      <c r="Z138" s="88">
        <f t="shared" si="23"/>
        <v>3.6480615485123729E-3</v>
      </c>
      <c r="AA138" s="88">
        <f t="shared" si="34"/>
        <v>-4.8640820646831638E-3</v>
      </c>
      <c r="AB138" s="55" t="s">
        <v>81</v>
      </c>
      <c r="AC138" s="88">
        <f t="shared" si="52"/>
        <v>-4.0000000000000001E-3</v>
      </c>
      <c r="AD138" s="88" cm="1">
        <f t="array" ref="AD138">_xlfn.IFS(
AND(L138="marginal_effect",M138="level"),N138*AN138/BF138,
AND(L138="marginal_effect",M138="sd (Y)"),N138*BH138*AN138/BF138,
AND(L138="marginal_effect",M138="sd (X)"),N138/AQ138*AN138/BF138,
AND(L138="semi_elasticity",M138="level"),N138*AN138,
AND(L138="semi_elasticity",M138="sd (Y)"),N138*AN138*BH138,
AND(L138="semi_elasticity",M138="sd (X)"),N138*AN138/AQ138,
AND(L138="level-log",M138="level"),N138/BF138,
AND(L138="level-log",M138="sd (X)"),N138/BF138/AQ138,
AND(L138="level-log",M138="sd (Y)"),N138/BF138*BH138,
AND(L138="elasticity",M138="level"),N138,
AND(L138="elasticity",M138="sd (X)"),N138/AQ138,
AND(L138="elasticity",M138="sd (Y)"),N138*BH138,
AND(L138="marginal_effect",M138="percent_of_mean"),N138*AN138/BF138/10)</f>
        <v>-4.0000000000000001E-3</v>
      </c>
      <c r="AE138" s="56">
        <f t="shared" si="25"/>
        <v>1</v>
      </c>
      <c r="AF138" s="88">
        <f t="shared" si="53"/>
        <v>3.0000000000000001E-3</v>
      </c>
      <c r="AG138" s="88" cm="1">
        <f t="array" ref="AG138">_xlfn.IFS(
AND(L138="marginal_effect",M138="level"),O138*AN138/BF138,
AND(L138="marginal_effect",M138="sd (Y)"),O138*BH138*AN138/BF138,
AND(L138="marginal_effect",M138="sd (X)"),O138/AQ138*AN138/BF138,
AND(L138="semi_elasticity",M138="level"),O138*AN138,
AND(L138="semi_elasticity",M138="sd (Y)"),O138*AN138*BH138,
AND(L138="semi_elasticity",M138="sd (X)"),O138*AN138/AQ138,
AND(L138="level-log",M138="level"),O138/BF138,
AND(L138="level-log",M138="sd (X)"),O138/BF138/AQ138,
AND(L138="level-log",M138="sd (Y)"),O138/BF138*BH138,
AND(L138="elasticity",M138="level"),O138,
AND(L138="elasticity",M138="sd (X)"),O138/AQ138,
AND(L138="elasticity",M138="sd (Y)"),O138*BH138,
AND(L138="marginal_effect",M138="percent_of_mean"),O138*AN138/BF138/10)</f>
        <v>3.0000000000000001E-3</v>
      </c>
      <c r="AH138" s="56">
        <f t="shared" si="26"/>
        <v>1</v>
      </c>
      <c r="AI138" s="88">
        <f t="shared" si="35"/>
        <v>-4.0000000000000001E-3</v>
      </c>
      <c r="AJ138" s="55">
        <v>0</v>
      </c>
      <c r="AK138" s="56">
        <f t="shared" si="28"/>
        <v>1</v>
      </c>
      <c r="AL138" s="55" t="s">
        <v>148</v>
      </c>
      <c r="AM138" s="55" t="s">
        <v>1333</v>
      </c>
      <c r="AN138" s="55">
        <v>55.06</v>
      </c>
      <c r="AO138" s="55">
        <v>0</v>
      </c>
      <c r="AP138" s="55">
        <f t="shared" si="54"/>
        <v>55.06</v>
      </c>
      <c r="AQ138" s="55">
        <v>34.270000000000003</v>
      </c>
      <c r="AR138" s="55">
        <v>0.13</v>
      </c>
      <c r="AS138" s="55">
        <v>248</v>
      </c>
      <c r="AT138" s="55" t="s">
        <v>83</v>
      </c>
      <c r="AU138" s="55" t="s">
        <v>109</v>
      </c>
      <c r="AV138" s="55" t="s">
        <v>133</v>
      </c>
      <c r="AW138" s="55" t="s">
        <v>109</v>
      </c>
      <c r="AX138" s="55" t="s">
        <v>86</v>
      </c>
      <c r="AY138" s="55">
        <v>0</v>
      </c>
      <c r="AZ138" s="55">
        <v>0</v>
      </c>
      <c r="BA138" s="55" t="s">
        <v>734</v>
      </c>
      <c r="BB138" s="55" t="s">
        <v>88</v>
      </c>
      <c r="BC138" s="55" t="s">
        <v>134</v>
      </c>
      <c r="BD138" s="55" t="s">
        <v>114</v>
      </c>
      <c r="BE138" s="55" t="s">
        <v>534</v>
      </c>
      <c r="BF138" s="55">
        <v>26.3</v>
      </c>
      <c r="BG138" s="55">
        <v>0</v>
      </c>
      <c r="BH138" s="55">
        <v>16.48</v>
      </c>
      <c r="BI138" s="55">
        <v>0</v>
      </c>
      <c r="BJ138" s="55">
        <v>138</v>
      </c>
      <c r="BK138" s="55" t="s">
        <v>538</v>
      </c>
      <c r="BL138" s="55" t="s">
        <v>84</v>
      </c>
      <c r="BM138" s="55">
        <v>1</v>
      </c>
      <c r="BN138" s="55" t="s">
        <v>539</v>
      </c>
      <c r="BO138" s="55" t="s">
        <v>540</v>
      </c>
      <c r="BP138" s="55" t="s">
        <v>540</v>
      </c>
      <c r="BQ138" s="55" t="s">
        <v>92</v>
      </c>
      <c r="BR138" s="55" t="s">
        <v>93</v>
      </c>
      <c r="BS138" s="55">
        <v>26.81</v>
      </c>
      <c r="BT138" s="55">
        <v>0</v>
      </c>
      <c r="BU138" s="55" t="s">
        <v>536</v>
      </c>
      <c r="BV138" s="55" t="s">
        <v>537</v>
      </c>
      <c r="BW138" s="55" t="s">
        <v>736</v>
      </c>
      <c r="BX138" s="55" t="s">
        <v>95</v>
      </c>
      <c r="BY138" s="55" t="s">
        <v>96</v>
      </c>
      <c r="BZ138" s="55">
        <v>0</v>
      </c>
      <c r="CA138" s="55">
        <v>0</v>
      </c>
      <c r="CB138" s="55" t="s">
        <v>97</v>
      </c>
      <c r="CC138" s="55" t="s">
        <v>546</v>
      </c>
      <c r="CD138" s="55">
        <v>1</v>
      </c>
      <c r="CE138" s="55" t="s">
        <v>2206</v>
      </c>
      <c r="CF138" s="55">
        <v>1</v>
      </c>
      <c r="CG138" s="55" t="s">
        <v>106</v>
      </c>
      <c r="CH138" s="55">
        <v>1</v>
      </c>
      <c r="CI138" s="55" t="s">
        <v>541</v>
      </c>
      <c r="CJ138" s="55" t="s">
        <v>98</v>
      </c>
      <c r="CK138" s="55">
        <v>42</v>
      </c>
      <c r="CL138" s="55">
        <v>0</v>
      </c>
      <c r="CM138" s="55">
        <v>0</v>
      </c>
      <c r="CN138" s="55" t="s">
        <v>99</v>
      </c>
      <c r="CO138" s="55" t="s">
        <v>97</v>
      </c>
      <c r="CP138" s="55" t="s">
        <v>100</v>
      </c>
      <c r="CQ138" s="55" t="s">
        <v>126</v>
      </c>
      <c r="CR138" s="57">
        <v>46219</v>
      </c>
      <c r="CT138" s="55" t="s">
        <v>551</v>
      </c>
    </row>
    <row r="139" spans="1:98" s="55" customFormat="1" x14ac:dyDescent="0.35">
      <c r="A139" s="54" t="s">
        <v>529</v>
      </c>
      <c r="B139" s="54" t="s">
        <v>2200</v>
      </c>
      <c r="C139" s="55" t="s">
        <v>530</v>
      </c>
      <c r="D139" s="55">
        <v>2017</v>
      </c>
      <c r="E139" s="54" t="s">
        <v>531</v>
      </c>
      <c r="F139" s="54" t="s">
        <v>532</v>
      </c>
      <c r="G139" s="55" t="s">
        <v>78</v>
      </c>
      <c r="H139" s="55">
        <v>1</v>
      </c>
      <c r="I139" s="55" t="s">
        <v>533</v>
      </c>
      <c r="J139" s="55" t="s">
        <v>79</v>
      </c>
      <c r="K139" s="55">
        <v>281</v>
      </c>
      <c r="L139" s="55" t="s">
        <v>80</v>
      </c>
      <c r="M139" s="55" t="s">
        <v>380</v>
      </c>
      <c r="N139" s="55">
        <v>-0.02</v>
      </c>
      <c r="O139" s="55">
        <v>5.0000000000000001E-3</v>
      </c>
      <c r="P139" s="88">
        <f t="shared" si="18"/>
        <v>-4</v>
      </c>
      <c r="Q139" s="55" t="s">
        <v>312</v>
      </c>
      <c r="R139" s="88">
        <f t="shared" si="19"/>
        <v>-2.98E-2</v>
      </c>
      <c r="S139" s="88">
        <f t="shared" si="20"/>
        <v>-1.0200000000000001E-2</v>
      </c>
      <c r="T139" s="55">
        <v>1</v>
      </c>
      <c r="U139" s="55">
        <v>75163</v>
      </c>
      <c r="V139" s="55">
        <v>24</v>
      </c>
      <c r="W139" s="55">
        <v>1</v>
      </c>
      <c r="X139" s="55">
        <f t="shared" si="21"/>
        <v>75139</v>
      </c>
      <c r="Y139" s="88">
        <f t="shared" si="22"/>
        <v>-1.4590865421064411E-2</v>
      </c>
      <c r="Z139" s="88">
        <f t="shared" si="23"/>
        <v>3.6477163552661022E-3</v>
      </c>
      <c r="AA139" s="88">
        <f t="shared" si="34"/>
        <v>-1.4590865421064411E-2</v>
      </c>
      <c r="AB139" s="55" t="s">
        <v>81</v>
      </c>
      <c r="AC139" s="88">
        <f t="shared" si="52"/>
        <v>-0.02</v>
      </c>
      <c r="AD139" s="88" cm="1">
        <f t="array" ref="AD139">_xlfn.IFS(
AND(L139="marginal_effect",M139="level"),N139*AN139/BF139,
AND(L139="marginal_effect",M139="sd (Y)"),N139*BH139*AN139/BF139,
AND(L139="marginal_effect",M139="sd (X)"),N139/AQ139*AN139/BF139,
AND(L139="semi_elasticity",M139="level"),N139*AN139,
AND(L139="semi_elasticity",M139="sd (Y)"),N139*AN139*BH139,
AND(L139="semi_elasticity",M139="sd (X)"),N139*AN139/AQ139,
AND(L139="level-log",M139="level"),N139/BF139,
AND(L139="level-log",M139="sd (X)"),N139/BF139/AQ139,
AND(L139="level-log",M139="sd (Y)"),N139/BF139*BH139,
AND(L139="elasticity",M139="level"),N139,
AND(L139="elasticity",M139="sd (X)"),N139/AQ139,
AND(L139="elasticity",M139="sd (Y)"),N139*BH139,
AND(L139="marginal_effect",M139="percent_of_mean"),N139*AN139/BF139/10)</f>
        <v>-0.02</v>
      </c>
      <c r="AE139" s="56">
        <f t="shared" si="25"/>
        <v>1</v>
      </c>
      <c r="AF139" s="88">
        <f t="shared" si="53"/>
        <v>5.0000000000000001E-3</v>
      </c>
      <c r="AG139" s="88" cm="1">
        <f t="array" ref="AG139">_xlfn.IFS(
AND(L139="marginal_effect",M139="level"),O139*AN139/BF139,
AND(L139="marginal_effect",M139="sd (Y)"),O139*BH139*AN139/BF139,
AND(L139="marginal_effect",M139="sd (X)"),O139/AQ139*AN139/BF139,
AND(L139="semi_elasticity",M139="level"),O139*AN139,
AND(L139="semi_elasticity",M139="sd (Y)"),O139*AN139*BH139,
AND(L139="semi_elasticity",M139="sd (X)"),O139*AN139/AQ139,
AND(L139="level-log",M139="level"),O139/BF139,
AND(L139="level-log",M139="sd (X)"),O139/BF139/AQ139,
AND(L139="level-log",M139="sd (Y)"),O139/BF139*BH139,
AND(L139="elasticity",M139="level"),O139,
AND(L139="elasticity",M139="sd (X)"),O139/AQ139,
AND(L139="elasticity",M139="sd (Y)"),O139*BH139,
AND(L139="marginal_effect",M139="percent_of_mean"),O139*AN139/BF139/10)</f>
        <v>5.0000000000000001E-3</v>
      </c>
      <c r="AH139" s="56">
        <f t="shared" si="26"/>
        <v>1</v>
      </c>
      <c r="AI139" s="88">
        <f t="shared" si="35"/>
        <v>-0.02</v>
      </c>
      <c r="AJ139" s="55">
        <v>0</v>
      </c>
      <c r="AK139" s="56">
        <f t="shared" si="28"/>
        <v>1</v>
      </c>
      <c r="AL139" s="55" t="s">
        <v>106</v>
      </c>
      <c r="AM139" s="55" t="s">
        <v>1333</v>
      </c>
      <c r="AN139" s="55">
        <v>23.76</v>
      </c>
      <c r="AO139" s="55">
        <v>0</v>
      </c>
      <c r="AP139" s="55">
        <f t="shared" si="54"/>
        <v>23.76</v>
      </c>
      <c r="AQ139" s="55">
        <v>16.22</v>
      </c>
      <c r="AR139" s="55">
        <v>0.53</v>
      </c>
      <c r="AS139" s="55">
        <v>158.28</v>
      </c>
      <c r="AT139" s="55" t="s">
        <v>83</v>
      </c>
      <c r="AU139" s="55" t="s">
        <v>109</v>
      </c>
      <c r="AV139" s="55" t="s">
        <v>133</v>
      </c>
      <c r="AW139" s="55" t="s">
        <v>109</v>
      </c>
      <c r="AX139" s="55" t="s">
        <v>86</v>
      </c>
      <c r="AY139" s="55">
        <v>0</v>
      </c>
      <c r="AZ139" s="55">
        <v>0</v>
      </c>
      <c r="BA139" s="55" t="s">
        <v>734</v>
      </c>
      <c r="BB139" s="55" t="s">
        <v>88</v>
      </c>
      <c r="BC139" s="55" t="s">
        <v>134</v>
      </c>
      <c r="BD139" s="55" t="s">
        <v>114</v>
      </c>
      <c r="BE139" s="55" t="s">
        <v>534</v>
      </c>
      <c r="BF139" s="55">
        <v>26.3</v>
      </c>
      <c r="BG139" s="55">
        <v>0</v>
      </c>
      <c r="BH139" s="55">
        <v>16.48</v>
      </c>
      <c r="BI139" s="55">
        <v>0</v>
      </c>
      <c r="BJ139" s="55">
        <v>138</v>
      </c>
      <c r="BK139" s="55" t="s">
        <v>538</v>
      </c>
      <c r="BL139" s="55" t="s">
        <v>84</v>
      </c>
      <c r="BM139" s="55">
        <v>1</v>
      </c>
      <c r="BN139" s="55" t="s">
        <v>539</v>
      </c>
      <c r="BO139" s="55" t="s">
        <v>540</v>
      </c>
      <c r="BP139" s="55" t="s">
        <v>540</v>
      </c>
      <c r="BQ139" s="55" t="s">
        <v>92</v>
      </c>
      <c r="BR139" s="55" t="s">
        <v>93</v>
      </c>
      <c r="BS139" s="55">
        <v>26.81</v>
      </c>
      <c r="BT139" s="55">
        <v>0</v>
      </c>
      <c r="BU139" s="55" t="s">
        <v>536</v>
      </c>
      <c r="BV139" s="55" t="s">
        <v>537</v>
      </c>
      <c r="BW139" s="55" t="s">
        <v>736</v>
      </c>
      <c r="BX139" s="55" t="s">
        <v>95</v>
      </c>
      <c r="BY139" s="55" t="s">
        <v>96</v>
      </c>
      <c r="BZ139" s="55">
        <v>0</v>
      </c>
      <c r="CA139" s="55">
        <v>0</v>
      </c>
      <c r="CB139" s="55" t="s">
        <v>97</v>
      </c>
      <c r="CC139" s="55" t="s">
        <v>547</v>
      </c>
      <c r="CD139" s="55">
        <v>1</v>
      </c>
      <c r="CE139" s="55" t="s">
        <v>2206</v>
      </c>
      <c r="CF139" s="55">
        <v>1</v>
      </c>
      <c r="CG139" s="55" t="s">
        <v>396</v>
      </c>
      <c r="CH139" s="55">
        <v>1</v>
      </c>
      <c r="CI139" s="55" t="s">
        <v>541</v>
      </c>
      <c r="CJ139" s="55" t="s">
        <v>98</v>
      </c>
      <c r="CK139" s="55">
        <v>42</v>
      </c>
      <c r="CL139" s="55">
        <v>0</v>
      </c>
      <c r="CM139" s="55">
        <v>0</v>
      </c>
      <c r="CN139" s="55" t="s">
        <v>99</v>
      </c>
      <c r="CO139" s="55" t="s">
        <v>97</v>
      </c>
      <c r="CP139" s="55" t="s">
        <v>100</v>
      </c>
      <c r="CQ139" s="55" t="s">
        <v>126</v>
      </c>
      <c r="CR139" s="57">
        <v>46219</v>
      </c>
      <c r="CT139" s="55" t="s">
        <v>552</v>
      </c>
    </row>
    <row r="140" spans="1:98" s="55" customFormat="1" x14ac:dyDescent="0.35">
      <c r="A140" s="54" t="s">
        <v>529</v>
      </c>
      <c r="B140" s="54" t="s">
        <v>2201</v>
      </c>
      <c r="C140" s="55" t="s">
        <v>530</v>
      </c>
      <c r="D140" s="55">
        <v>2017</v>
      </c>
      <c r="E140" s="54" t="s">
        <v>531</v>
      </c>
      <c r="F140" s="54" t="s">
        <v>532</v>
      </c>
      <c r="G140" s="55" t="s">
        <v>78</v>
      </c>
      <c r="H140" s="55">
        <v>1</v>
      </c>
      <c r="I140" s="55" t="s">
        <v>533</v>
      </c>
      <c r="J140" s="55" t="s">
        <v>79</v>
      </c>
      <c r="K140" s="55">
        <v>281</v>
      </c>
      <c r="L140" s="55" t="s">
        <v>80</v>
      </c>
      <c r="M140" s="55" t="s">
        <v>380</v>
      </c>
      <c r="N140" s="55">
        <v>-4.0000000000000001E-3</v>
      </c>
      <c r="O140" s="55">
        <v>4.0000000000000001E-3</v>
      </c>
      <c r="P140" s="88">
        <f t="shared" si="18"/>
        <v>-1</v>
      </c>
      <c r="Q140" s="55" t="s">
        <v>312</v>
      </c>
      <c r="R140" s="88">
        <f t="shared" si="19"/>
        <v>-1.184E-2</v>
      </c>
      <c r="S140" s="88">
        <f t="shared" si="20"/>
        <v>3.8399999999999997E-3</v>
      </c>
      <c r="T140" s="55">
        <v>1</v>
      </c>
      <c r="U140" s="55">
        <v>75163</v>
      </c>
      <c r="V140" s="55">
        <v>24</v>
      </c>
      <c r="W140" s="55">
        <v>1</v>
      </c>
      <c r="X140" s="55">
        <f t="shared" si="21"/>
        <v>75139</v>
      </c>
      <c r="Y140" s="88">
        <f t="shared" si="22"/>
        <v>-3.6480804290943665E-3</v>
      </c>
      <c r="Z140" s="88">
        <f t="shared" si="23"/>
        <v>3.6480804290943665E-3</v>
      </c>
      <c r="AA140" s="88">
        <f t="shared" si="34"/>
        <v>-3.6480804290943665E-3</v>
      </c>
      <c r="AB140" s="55" t="s">
        <v>81</v>
      </c>
      <c r="AC140" s="88">
        <f t="shared" si="52"/>
        <v>-4.0000000000000001E-3</v>
      </c>
      <c r="AD140" s="88" cm="1">
        <f t="array" ref="AD140">_xlfn.IFS(
AND(L140="marginal_effect",M140="level"),N140*AN140/BF140,
AND(L140="marginal_effect",M140="sd (Y)"),N140*BH140*AN140/BF140,
AND(L140="marginal_effect",M140="sd (X)"),N140/AQ140*AN140/BF140,
AND(L140="semi_elasticity",M140="level"),N140*AN140,
AND(L140="semi_elasticity",M140="sd (Y)"),N140*AN140*BH140,
AND(L140="semi_elasticity",M140="sd (X)"),N140*AN140/AQ140,
AND(L140="level-log",M140="level"),N140/BF140,
AND(L140="level-log",M140="sd (X)"),N140/BF140/AQ140,
AND(L140="level-log",M140="sd (Y)"),N140/BF140*BH140,
AND(L140="elasticity",M140="level"),N140,
AND(L140="elasticity",M140="sd (X)"),N140/AQ140,
AND(L140="elasticity",M140="sd (Y)"),N140*BH140,
AND(L140="marginal_effect",M140="percent_of_mean"),N140*AN140/BF140/10)</f>
        <v>-4.0000000000000001E-3</v>
      </c>
      <c r="AE140" s="56">
        <f t="shared" si="25"/>
        <v>1</v>
      </c>
      <c r="AF140" s="88">
        <f t="shared" si="53"/>
        <v>4.0000000000000001E-3</v>
      </c>
      <c r="AG140" s="88" cm="1">
        <f t="array" ref="AG140">_xlfn.IFS(
AND(L140="marginal_effect",M140="level"),O140*AN140/BF140,
AND(L140="marginal_effect",M140="sd (Y)"),O140*BH140*AN140/BF140,
AND(L140="marginal_effect",M140="sd (X)"),O140/AQ140*AN140/BF140,
AND(L140="semi_elasticity",M140="level"),O140*AN140,
AND(L140="semi_elasticity",M140="sd (Y)"),O140*AN140*BH140,
AND(L140="semi_elasticity",M140="sd (X)"),O140*AN140/AQ140,
AND(L140="level-log",M140="level"),O140/BF140,
AND(L140="level-log",M140="sd (X)"),O140/BF140/AQ140,
AND(L140="level-log",M140="sd (Y)"),O140/BF140*BH140,
AND(L140="elasticity",M140="level"),O140,
AND(L140="elasticity",M140="sd (X)"),O140/AQ140,
AND(L140="elasticity",M140="sd (Y)"),O140*BH140,
AND(L140="marginal_effect",M140="percent_of_mean"),O140*AN140/BF140/10)</f>
        <v>4.0000000000000001E-3</v>
      </c>
      <c r="AH140" s="56">
        <f t="shared" si="26"/>
        <v>1</v>
      </c>
      <c r="AI140" s="88">
        <f t="shared" si="35"/>
        <v>-4.0000000000000001E-3</v>
      </c>
      <c r="AJ140" s="55">
        <v>0</v>
      </c>
      <c r="AK140" s="56">
        <f t="shared" si="28"/>
        <v>1</v>
      </c>
      <c r="AL140" s="55" t="s">
        <v>148</v>
      </c>
      <c r="AM140" s="55" t="s">
        <v>1333</v>
      </c>
      <c r="AN140" s="55">
        <v>55.06</v>
      </c>
      <c r="AO140" s="55">
        <v>0</v>
      </c>
      <c r="AP140" s="55">
        <f t="shared" si="54"/>
        <v>55.06</v>
      </c>
      <c r="AQ140" s="55">
        <v>34.270000000000003</v>
      </c>
      <c r="AR140" s="55">
        <v>0.13</v>
      </c>
      <c r="AS140" s="55">
        <v>248</v>
      </c>
      <c r="AT140" s="55" t="s">
        <v>83</v>
      </c>
      <c r="AU140" s="55" t="s">
        <v>109</v>
      </c>
      <c r="AV140" s="55" t="s">
        <v>133</v>
      </c>
      <c r="AW140" s="55" t="s">
        <v>109</v>
      </c>
      <c r="AX140" s="55" t="s">
        <v>86</v>
      </c>
      <c r="AY140" s="55">
        <v>0</v>
      </c>
      <c r="AZ140" s="55">
        <v>0</v>
      </c>
      <c r="BA140" s="55" t="s">
        <v>734</v>
      </c>
      <c r="BB140" s="55" t="s">
        <v>88</v>
      </c>
      <c r="BC140" s="55" t="s">
        <v>134</v>
      </c>
      <c r="BD140" s="55" t="s">
        <v>114</v>
      </c>
      <c r="BE140" s="55" t="s">
        <v>534</v>
      </c>
      <c r="BF140" s="55">
        <v>26.3</v>
      </c>
      <c r="BG140" s="55">
        <v>0</v>
      </c>
      <c r="BH140" s="55">
        <v>16.48</v>
      </c>
      <c r="BI140" s="55">
        <v>0</v>
      </c>
      <c r="BJ140" s="55">
        <v>138</v>
      </c>
      <c r="BK140" s="55" t="s">
        <v>538</v>
      </c>
      <c r="BL140" s="55" t="s">
        <v>84</v>
      </c>
      <c r="BM140" s="55">
        <v>1</v>
      </c>
      <c r="BN140" s="55" t="s">
        <v>539</v>
      </c>
      <c r="BO140" s="55" t="s">
        <v>540</v>
      </c>
      <c r="BP140" s="55" t="s">
        <v>540</v>
      </c>
      <c r="BQ140" s="55" t="s">
        <v>92</v>
      </c>
      <c r="BR140" s="55" t="s">
        <v>93</v>
      </c>
      <c r="BS140" s="55">
        <v>26.81</v>
      </c>
      <c r="BT140" s="55">
        <v>0</v>
      </c>
      <c r="BU140" s="55" t="s">
        <v>536</v>
      </c>
      <c r="BV140" s="55" t="s">
        <v>537</v>
      </c>
      <c r="BW140" s="55" t="s">
        <v>736</v>
      </c>
      <c r="BX140" s="55" t="s">
        <v>95</v>
      </c>
      <c r="BY140" s="55" t="s">
        <v>96</v>
      </c>
      <c r="BZ140" s="55">
        <v>0</v>
      </c>
      <c r="CA140" s="55">
        <v>0</v>
      </c>
      <c r="CB140" s="55" t="s">
        <v>97</v>
      </c>
      <c r="CC140" s="55" t="s">
        <v>547</v>
      </c>
      <c r="CD140" s="55">
        <v>1</v>
      </c>
      <c r="CE140" s="55" t="s">
        <v>2206</v>
      </c>
      <c r="CF140" s="55">
        <v>1</v>
      </c>
      <c r="CG140" s="55" t="s">
        <v>106</v>
      </c>
      <c r="CH140" s="55">
        <v>1</v>
      </c>
      <c r="CI140" s="55" t="s">
        <v>541</v>
      </c>
      <c r="CJ140" s="55" t="s">
        <v>98</v>
      </c>
      <c r="CK140" s="55">
        <v>42</v>
      </c>
      <c r="CL140" s="55">
        <v>0</v>
      </c>
      <c r="CM140" s="55">
        <v>0</v>
      </c>
      <c r="CN140" s="55" t="s">
        <v>99</v>
      </c>
      <c r="CO140" s="55" t="s">
        <v>97</v>
      </c>
      <c r="CP140" s="55" t="s">
        <v>100</v>
      </c>
      <c r="CQ140" s="55" t="s">
        <v>126</v>
      </c>
      <c r="CR140" s="57">
        <v>46219</v>
      </c>
      <c r="CT140" s="55" t="s">
        <v>552</v>
      </c>
    </row>
    <row r="141" spans="1:98" s="55" customFormat="1" x14ac:dyDescent="0.35">
      <c r="A141" s="54" t="s">
        <v>529</v>
      </c>
      <c r="B141" s="54" t="s">
        <v>2202</v>
      </c>
      <c r="C141" s="55" t="s">
        <v>530</v>
      </c>
      <c r="D141" s="55">
        <v>2017</v>
      </c>
      <c r="E141" s="54" t="s">
        <v>531</v>
      </c>
      <c r="F141" s="54" t="s">
        <v>532</v>
      </c>
      <c r="G141" s="55" t="s">
        <v>78</v>
      </c>
      <c r="H141" s="55">
        <v>1</v>
      </c>
      <c r="I141" s="55" t="s">
        <v>533</v>
      </c>
      <c r="J141" s="55" t="s">
        <v>79</v>
      </c>
      <c r="K141" s="55">
        <v>281</v>
      </c>
      <c r="L141" s="55" t="s">
        <v>80</v>
      </c>
      <c r="M141" s="55" t="s">
        <v>380</v>
      </c>
      <c r="N141" s="55">
        <v>-2.1000000000000001E-2</v>
      </c>
      <c r="O141" s="55">
        <v>5.0000000000000001E-3</v>
      </c>
      <c r="P141" s="88">
        <f t="shared" si="18"/>
        <v>-4.2</v>
      </c>
      <c r="Q141" s="55" t="s">
        <v>312</v>
      </c>
      <c r="R141" s="88">
        <f t="shared" si="19"/>
        <v>-3.0800000000000001E-2</v>
      </c>
      <c r="S141" s="88">
        <f t="shared" si="20"/>
        <v>-1.1200000000000002E-2</v>
      </c>
      <c r="T141" s="55">
        <v>1</v>
      </c>
      <c r="U141" s="55">
        <v>75163</v>
      </c>
      <c r="V141" s="55">
        <v>24</v>
      </c>
      <c r="W141" s="55">
        <v>1</v>
      </c>
      <c r="X141" s="55">
        <f t="shared" si="21"/>
        <v>75139</v>
      </c>
      <c r="Y141" s="88">
        <f t="shared" si="22"/>
        <v>-1.5320241537177474E-2</v>
      </c>
      <c r="Z141" s="88">
        <f t="shared" si="23"/>
        <v>3.6476765564708272E-3</v>
      </c>
      <c r="AA141" s="88">
        <f t="shared" si="34"/>
        <v>-1.5320241537177474E-2</v>
      </c>
      <c r="AB141" s="55" t="s">
        <v>81</v>
      </c>
      <c r="AC141" s="88">
        <f t="shared" si="52"/>
        <v>-2.1000000000000001E-2</v>
      </c>
      <c r="AD141" s="88" cm="1">
        <f t="array" ref="AD141">_xlfn.IFS(
AND(L141="marginal_effect",M141="level"),N141*AN141/BF141,
AND(L141="marginal_effect",M141="sd (Y)"),N141*BH141*AN141/BF141,
AND(L141="marginal_effect",M141="sd (X)"),N141/AQ141*AN141/BF141,
AND(L141="semi_elasticity",M141="level"),N141*AN141,
AND(L141="semi_elasticity",M141="sd (Y)"),N141*AN141*BH141,
AND(L141="semi_elasticity",M141="sd (X)"),N141*AN141/AQ141,
AND(L141="level-log",M141="level"),N141/BF141,
AND(L141="level-log",M141="sd (X)"),N141/BF141/AQ141,
AND(L141="level-log",M141="sd (Y)"),N141/BF141*BH141,
AND(L141="elasticity",M141="level"),N141,
AND(L141="elasticity",M141="sd (X)"),N141/AQ141,
AND(L141="elasticity",M141="sd (Y)"),N141*BH141,
AND(L141="marginal_effect",M141="percent_of_mean"),N141*AN141/BF141/10)</f>
        <v>-2.1000000000000001E-2</v>
      </c>
      <c r="AE141" s="56">
        <f t="shared" si="25"/>
        <v>1</v>
      </c>
      <c r="AF141" s="88">
        <f t="shared" si="53"/>
        <v>5.0000000000000001E-3</v>
      </c>
      <c r="AG141" s="88" cm="1">
        <f t="array" ref="AG141">_xlfn.IFS(
AND(L141="marginal_effect",M141="level"),O141*AN141/BF141,
AND(L141="marginal_effect",M141="sd (Y)"),O141*BH141*AN141/BF141,
AND(L141="marginal_effect",M141="sd (X)"),O141/AQ141*AN141/BF141,
AND(L141="semi_elasticity",M141="level"),O141*AN141,
AND(L141="semi_elasticity",M141="sd (Y)"),O141*AN141*BH141,
AND(L141="semi_elasticity",M141="sd (X)"),O141*AN141/AQ141,
AND(L141="level-log",M141="level"),O141/BF141,
AND(L141="level-log",M141="sd (X)"),O141/BF141/AQ141,
AND(L141="level-log",M141="sd (Y)"),O141/BF141*BH141,
AND(L141="elasticity",M141="level"),O141,
AND(L141="elasticity",M141="sd (X)"),O141/AQ141,
AND(L141="elasticity",M141="sd (Y)"),O141*BH141,
AND(L141="marginal_effect",M141="percent_of_mean"),O141*AN141/BF141/10)</f>
        <v>5.0000000000000001E-3</v>
      </c>
      <c r="AH141" s="56">
        <f t="shared" si="26"/>
        <v>1</v>
      </c>
      <c r="AI141" s="88">
        <f t="shared" si="35"/>
        <v>-2.1000000000000001E-2</v>
      </c>
      <c r="AJ141" s="55">
        <v>0</v>
      </c>
      <c r="AK141" s="56">
        <f t="shared" si="28"/>
        <v>1</v>
      </c>
      <c r="AL141" s="55" t="s">
        <v>106</v>
      </c>
      <c r="AM141" s="55" t="s">
        <v>1333</v>
      </c>
      <c r="AN141" s="55">
        <v>23.76</v>
      </c>
      <c r="AO141" s="55">
        <v>0</v>
      </c>
      <c r="AP141" s="55">
        <f t="shared" si="54"/>
        <v>23.76</v>
      </c>
      <c r="AQ141" s="55">
        <v>16.22</v>
      </c>
      <c r="AR141" s="55">
        <v>0.53</v>
      </c>
      <c r="AS141" s="55">
        <v>158.28</v>
      </c>
      <c r="AT141" s="55" t="s">
        <v>83</v>
      </c>
      <c r="AU141" s="55" t="s">
        <v>109</v>
      </c>
      <c r="AV141" s="55" t="s">
        <v>133</v>
      </c>
      <c r="AW141" s="55" t="s">
        <v>109</v>
      </c>
      <c r="AX141" s="55" t="s">
        <v>86</v>
      </c>
      <c r="AY141" s="55">
        <v>0</v>
      </c>
      <c r="AZ141" s="55">
        <v>0</v>
      </c>
      <c r="BA141" s="55" t="s">
        <v>734</v>
      </c>
      <c r="BB141" s="55" t="s">
        <v>88</v>
      </c>
      <c r="BC141" s="55" t="s">
        <v>134</v>
      </c>
      <c r="BD141" s="55" t="s">
        <v>114</v>
      </c>
      <c r="BE141" s="55" t="s">
        <v>534</v>
      </c>
      <c r="BF141" s="55">
        <v>26.3</v>
      </c>
      <c r="BG141" s="55">
        <v>0</v>
      </c>
      <c r="BH141" s="55">
        <v>16.48</v>
      </c>
      <c r="BI141" s="55">
        <v>0</v>
      </c>
      <c r="BJ141" s="55">
        <v>138</v>
      </c>
      <c r="BK141" s="55" t="s">
        <v>538</v>
      </c>
      <c r="BL141" s="55" t="s">
        <v>84</v>
      </c>
      <c r="BM141" s="55">
        <v>1</v>
      </c>
      <c r="BN141" s="55" t="s">
        <v>539</v>
      </c>
      <c r="BO141" s="55" t="s">
        <v>540</v>
      </c>
      <c r="BP141" s="55" t="s">
        <v>540</v>
      </c>
      <c r="BQ141" s="55" t="s">
        <v>92</v>
      </c>
      <c r="BR141" s="55" t="s">
        <v>93</v>
      </c>
      <c r="BS141" s="55">
        <v>26.81</v>
      </c>
      <c r="BT141" s="55">
        <v>0</v>
      </c>
      <c r="BU141" s="55" t="s">
        <v>536</v>
      </c>
      <c r="BV141" s="55" t="s">
        <v>537</v>
      </c>
      <c r="BW141" s="55" t="s">
        <v>736</v>
      </c>
      <c r="BX141" s="55" t="s">
        <v>95</v>
      </c>
      <c r="BY141" s="55" t="s">
        <v>96</v>
      </c>
      <c r="BZ141" s="55">
        <v>0</v>
      </c>
      <c r="CA141" s="55">
        <v>0</v>
      </c>
      <c r="CB141" s="55" t="s">
        <v>97</v>
      </c>
      <c r="CC141" s="55" t="s">
        <v>548</v>
      </c>
      <c r="CD141" s="55">
        <v>1</v>
      </c>
      <c r="CE141" s="55" t="s">
        <v>2206</v>
      </c>
      <c r="CF141" s="55">
        <v>1</v>
      </c>
      <c r="CG141" s="55" t="s">
        <v>396</v>
      </c>
      <c r="CH141" s="55">
        <v>1</v>
      </c>
      <c r="CI141" s="55" t="s">
        <v>541</v>
      </c>
      <c r="CJ141" s="55" t="s">
        <v>98</v>
      </c>
      <c r="CK141" s="55">
        <v>42</v>
      </c>
      <c r="CL141" s="55">
        <v>0</v>
      </c>
      <c r="CM141" s="55">
        <v>1</v>
      </c>
      <c r="CN141" s="55" t="s">
        <v>99</v>
      </c>
      <c r="CO141" s="55" t="s">
        <v>97</v>
      </c>
      <c r="CP141" s="55" t="s">
        <v>100</v>
      </c>
      <c r="CQ141" s="55" t="s">
        <v>126</v>
      </c>
      <c r="CR141" s="57">
        <v>46219</v>
      </c>
      <c r="CT141" s="55" t="s">
        <v>553</v>
      </c>
    </row>
    <row r="142" spans="1:98" s="55" customFormat="1" x14ac:dyDescent="0.35">
      <c r="A142" s="54" t="s">
        <v>529</v>
      </c>
      <c r="B142" s="54" t="s">
        <v>2203</v>
      </c>
      <c r="C142" s="55" t="s">
        <v>530</v>
      </c>
      <c r="D142" s="55">
        <v>2017</v>
      </c>
      <c r="E142" s="54" t="s">
        <v>531</v>
      </c>
      <c r="F142" s="54" t="s">
        <v>532</v>
      </c>
      <c r="G142" s="55" t="s">
        <v>78</v>
      </c>
      <c r="H142" s="55">
        <v>1</v>
      </c>
      <c r="I142" s="55" t="s">
        <v>533</v>
      </c>
      <c r="J142" s="55" t="s">
        <v>79</v>
      </c>
      <c r="K142" s="55">
        <v>281</v>
      </c>
      <c r="L142" s="55" t="s">
        <v>80</v>
      </c>
      <c r="M142" s="55" t="s">
        <v>380</v>
      </c>
      <c r="N142" s="55">
        <v>-5.0000000000000001E-3</v>
      </c>
      <c r="O142" s="55">
        <v>4.0000000000000001E-3</v>
      </c>
      <c r="P142" s="88">
        <f t="shared" ref="P142:P205" si="55">N142/O142</f>
        <v>-1.25</v>
      </c>
      <c r="Q142" s="55" t="s">
        <v>312</v>
      </c>
      <c r="R142" s="88">
        <f t="shared" ref="R142:R205" si="56">N142-1.96*O142</f>
        <v>-1.2840000000000001E-2</v>
      </c>
      <c r="S142" s="88">
        <f t="shared" ref="S142:S205" si="57">N142+1.96*O142</f>
        <v>2.8399999999999996E-3</v>
      </c>
      <c r="T142" s="55">
        <v>1</v>
      </c>
      <c r="U142" s="55">
        <v>75163</v>
      </c>
      <c r="V142" s="55">
        <v>24</v>
      </c>
      <c r="W142" s="55">
        <v>1</v>
      </c>
      <c r="X142" s="55">
        <f t="shared" ref="X142:X205" si="58">IF(V142="NA",U142,U142-V142)</f>
        <v>75139</v>
      </c>
      <c r="Y142" s="88">
        <f t="shared" ref="Y142:Y205" si="59">P142/(P142^2 + X142)^(1/2)</f>
        <v>-4.5600834679480062E-3</v>
      </c>
      <c r="Z142" s="88">
        <f t="shared" ref="Z142:Z205" si="60">((1-Y142^2)/X142)^(1/2)</f>
        <v>3.6480667743584057E-3</v>
      </c>
      <c r="AA142" s="88">
        <f t="shared" si="34"/>
        <v>-4.5600834679480062E-3</v>
      </c>
      <c r="AB142" s="55" t="s">
        <v>81</v>
      </c>
      <c r="AC142" s="88">
        <f t="shared" si="52"/>
        <v>-5.0000000000000001E-3</v>
      </c>
      <c r="AD142" s="88" cm="1">
        <f t="array" ref="AD142">_xlfn.IFS(
AND(L142="marginal_effect",M142="level"),N142*AN142/BF142,
AND(L142="marginal_effect",M142="sd (Y)"),N142*BH142*AN142/BF142,
AND(L142="marginal_effect",M142="sd (X)"),N142/AQ142*AN142/BF142,
AND(L142="semi_elasticity",M142="level"),N142*AN142,
AND(L142="semi_elasticity",M142="sd (Y)"),N142*AN142*BH142,
AND(L142="semi_elasticity",M142="sd (X)"),N142*AN142/AQ142,
AND(L142="level-log",M142="level"),N142/BF142,
AND(L142="level-log",M142="sd (X)"),N142/BF142/AQ142,
AND(L142="level-log",M142="sd (Y)"),N142/BF142*BH142,
AND(L142="elasticity",M142="level"),N142,
AND(L142="elasticity",M142="sd (X)"),N142/AQ142,
AND(L142="elasticity",M142="sd (Y)"),N142*BH142,
AND(L142="marginal_effect",M142="percent_of_mean"),N142*AN142/BF142/10)</f>
        <v>-5.0000000000000001E-3</v>
      </c>
      <c r="AE142" s="56">
        <f t="shared" ref="AE142:AE205" si="61">IF(AC142=AD142,1,0)</f>
        <v>1</v>
      </c>
      <c r="AF142" s="88">
        <f t="shared" si="53"/>
        <v>4.0000000000000001E-3</v>
      </c>
      <c r="AG142" s="88" cm="1">
        <f t="array" ref="AG142">_xlfn.IFS(
AND(L142="marginal_effect",M142="level"),O142*AN142/BF142,
AND(L142="marginal_effect",M142="sd (Y)"),O142*BH142*AN142/BF142,
AND(L142="marginal_effect",M142="sd (X)"),O142/AQ142*AN142/BF142,
AND(L142="semi_elasticity",M142="level"),O142*AN142,
AND(L142="semi_elasticity",M142="sd (Y)"),O142*AN142*BH142,
AND(L142="semi_elasticity",M142="sd (X)"),O142*AN142/AQ142,
AND(L142="level-log",M142="level"),O142/BF142,
AND(L142="level-log",M142="sd (X)"),O142/BF142/AQ142,
AND(L142="level-log",M142="sd (Y)"),O142/BF142*BH142,
AND(L142="elasticity",M142="level"),O142,
AND(L142="elasticity",M142="sd (X)"),O142/AQ142,
AND(L142="elasticity",M142="sd (Y)"),O142*BH142,
AND(L142="marginal_effect",M142="percent_of_mean"),O142*AN142/BF142/10)</f>
        <v>4.0000000000000001E-3</v>
      </c>
      <c r="AH142" s="56">
        <f t="shared" ref="AH142:AH205" si="62">IF(AF142=AG142,1,0)</f>
        <v>1</v>
      </c>
      <c r="AI142" s="88">
        <f t="shared" si="35"/>
        <v>-5.0000000000000001E-3</v>
      </c>
      <c r="AJ142" s="55">
        <v>0</v>
      </c>
      <c r="AK142" s="56">
        <f t="shared" ref="AK142:AK205" si="63">IF(P142=(AC142/AF142),1,0)</f>
        <v>1</v>
      </c>
      <c r="AL142" s="55" t="s">
        <v>148</v>
      </c>
      <c r="AM142" s="55" t="s">
        <v>1333</v>
      </c>
      <c r="AN142" s="55">
        <v>55.06</v>
      </c>
      <c r="AO142" s="55">
        <v>0</v>
      </c>
      <c r="AP142" s="55">
        <f t="shared" si="54"/>
        <v>55.06</v>
      </c>
      <c r="AQ142" s="55">
        <v>34.270000000000003</v>
      </c>
      <c r="AR142" s="55">
        <v>0.13</v>
      </c>
      <c r="AS142" s="55">
        <v>248</v>
      </c>
      <c r="AT142" s="55" t="s">
        <v>83</v>
      </c>
      <c r="AU142" s="55" t="s">
        <v>109</v>
      </c>
      <c r="AV142" s="55" t="s">
        <v>133</v>
      </c>
      <c r="AW142" s="55" t="s">
        <v>109</v>
      </c>
      <c r="AX142" s="55" t="s">
        <v>86</v>
      </c>
      <c r="AY142" s="55">
        <v>0</v>
      </c>
      <c r="AZ142" s="55">
        <v>0</v>
      </c>
      <c r="BA142" s="55" t="s">
        <v>734</v>
      </c>
      <c r="BB142" s="55" t="s">
        <v>88</v>
      </c>
      <c r="BC142" s="55" t="s">
        <v>134</v>
      </c>
      <c r="BD142" s="55" t="s">
        <v>114</v>
      </c>
      <c r="BE142" s="55" t="s">
        <v>534</v>
      </c>
      <c r="BF142" s="55">
        <v>26.3</v>
      </c>
      <c r="BG142" s="55">
        <v>0</v>
      </c>
      <c r="BH142" s="55">
        <v>16.48</v>
      </c>
      <c r="BI142" s="55">
        <v>0</v>
      </c>
      <c r="BJ142" s="55">
        <v>138</v>
      </c>
      <c r="BK142" s="55" t="s">
        <v>538</v>
      </c>
      <c r="BL142" s="55" t="s">
        <v>84</v>
      </c>
      <c r="BM142" s="55">
        <v>1</v>
      </c>
      <c r="BN142" s="55" t="s">
        <v>539</v>
      </c>
      <c r="BO142" s="55" t="s">
        <v>540</v>
      </c>
      <c r="BP142" s="55" t="s">
        <v>540</v>
      </c>
      <c r="BQ142" s="55" t="s">
        <v>92</v>
      </c>
      <c r="BR142" s="55" t="s">
        <v>93</v>
      </c>
      <c r="BS142" s="55">
        <v>26.81</v>
      </c>
      <c r="BT142" s="55">
        <v>0</v>
      </c>
      <c r="BU142" s="55" t="s">
        <v>536</v>
      </c>
      <c r="BV142" s="55" t="s">
        <v>537</v>
      </c>
      <c r="BW142" s="55" t="s">
        <v>736</v>
      </c>
      <c r="BX142" s="55" t="s">
        <v>95</v>
      </c>
      <c r="BY142" s="55" t="s">
        <v>96</v>
      </c>
      <c r="BZ142" s="55">
        <v>0</v>
      </c>
      <c r="CA142" s="55">
        <v>0</v>
      </c>
      <c r="CB142" s="55" t="s">
        <v>97</v>
      </c>
      <c r="CC142" s="55" t="s">
        <v>548</v>
      </c>
      <c r="CD142" s="55">
        <v>1</v>
      </c>
      <c r="CE142" s="55" t="s">
        <v>2206</v>
      </c>
      <c r="CF142" s="55">
        <v>1</v>
      </c>
      <c r="CG142" s="55" t="s">
        <v>106</v>
      </c>
      <c r="CH142" s="55">
        <v>1</v>
      </c>
      <c r="CI142" s="55" t="s">
        <v>541</v>
      </c>
      <c r="CJ142" s="55" t="s">
        <v>98</v>
      </c>
      <c r="CK142" s="55">
        <v>42</v>
      </c>
      <c r="CL142" s="55">
        <v>0</v>
      </c>
      <c r="CM142" s="55">
        <v>0</v>
      </c>
      <c r="CN142" s="55" t="s">
        <v>99</v>
      </c>
      <c r="CO142" s="55" t="s">
        <v>97</v>
      </c>
      <c r="CP142" s="55" t="s">
        <v>100</v>
      </c>
      <c r="CQ142" s="55" t="s">
        <v>126</v>
      </c>
      <c r="CR142" s="57">
        <v>46219</v>
      </c>
      <c r="CT142" s="55" t="s">
        <v>553</v>
      </c>
    </row>
    <row r="143" spans="1:98" s="55" customFormat="1" x14ac:dyDescent="0.35">
      <c r="A143" s="54" t="s">
        <v>529</v>
      </c>
      <c r="B143" s="54" t="s">
        <v>554</v>
      </c>
      <c r="C143" s="55" t="s">
        <v>530</v>
      </c>
      <c r="D143" s="55">
        <v>2017</v>
      </c>
      <c r="E143" s="54" t="s">
        <v>531</v>
      </c>
      <c r="F143" s="54" t="s">
        <v>532</v>
      </c>
      <c r="G143" s="55" t="s">
        <v>78</v>
      </c>
      <c r="H143" s="55">
        <v>1</v>
      </c>
      <c r="I143" s="55" t="s">
        <v>533</v>
      </c>
      <c r="J143" s="55" t="s">
        <v>79</v>
      </c>
      <c r="K143" s="55">
        <v>281</v>
      </c>
      <c r="L143" s="55" t="s">
        <v>129</v>
      </c>
      <c r="M143" s="55" t="s">
        <v>557</v>
      </c>
      <c r="N143" s="55">
        <v>-2E-3</v>
      </c>
      <c r="O143" s="55">
        <v>1E-3</v>
      </c>
      <c r="P143" s="88">
        <f t="shared" si="55"/>
        <v>-2</v>
      </c>
      <c r="Q143" s="55" t="s">
        <v>312</v>
      </c>
      <c r="R143" s="88">
        <f t="shared" si="56"/>
        <v>-3.96E-3</v>
      </c>
      <c r="S143" s="88">
        <f t="shared" si="57"/>
        <v>-4.0000000000000105E-5</v>
      </c>
      <c r="T143" s="55">
        <v>1</v>
      </c>
      <c r="U143" s="55">
        <v>73832</v>
      </c>
      <c r="V143" s="55">
        <v>9</v>
      </c>
      <c r="W143" s="55">
        <v>1</v>
      </c>
      <c r="X143" s="55">
        <f t="shared" si="58"/>
        <v>73823</v>
      </c>
      <c r="Y143" s="88">
        <f t="shared" si="59"/>
        <v>-7.3607553818111912E-3</v>
      </c>
      <c r="Z143" s="88">
        <f t="shared" si="60"/>
        <v>3.6803776909055956E-3</v>
      </c>
      <c r="AA143" s="88">
        <f t="shared" si="34"/>
        <v>-7.3607553818111912E-3</v>
      </c>
      <c r="AB143" s="55" t="s">
        <v>81</v>
      </c>
      <c r="AC143" s="88">
        <f t="shared" ref="AC143:AC148" si="64">N143/AQ143*AN143/BF143</f>
        <v>-3.804826492865951E-3</v>
      </c>
      <c r="AD143" s="88" cm="1">
        <f t="array" ref="AD143">_xlfn.IFS(
AND(L143="marginal_effect",M143="level"),N143*AN143/BF143,
AND(L143="marginal_effect",M143="sd (Y)"),N143*BH143*AN143/BF143,
AND(L143="marginal_effect",M143="sd (X)"),N143/AQ143*AN143/BF143,
AND(L143="semi_elasticity",M143="level"),N143*AN143,
AND(L143="semi_elasticity",M143="sd (Y)"),N143*AN143*BH143,
AND(L143="semi_elasticity",M143="sd (X)"),N143*AN143/AQ143,
AND(L143="level-log",M143="level"),N143/BF143,
AND(L143="level-log",M143="sd (X)"),N143/BF143/AQ143,
AND(L143="level-log",M143="sd (Y)"),N143/BF143*BH143,
AND(L143="elasticity",M143="level"),N143,
AND(L143="elasticity",M143="sd (X)"),N143/AQ143,
AND(L143="elasticity",M143="sd (Y)"),N143*BH143,
AND(L143="marginal_effect",M143="percent_of_mean"),N143*AN143/BF143/10)</f>
        <v>-3.804826492865951E-3</v>
      </c>
      <c r="AE143" s="56">
        <f t="shared" si="61"/>
        <v>1</v>
      </c>
      <c r="AF143" s="88">
        <f t="shared" ref="AF143:AF148" si="65">O143/AQ143*AN143/BF143</f>
        <v>1.9024132464329755E-3</v>
      </c>
      <c r="AG143" s="88" cm="1">
        <f t="array" ref="AG143">_xlfn.IFS(
AND(L143="marginal_effect",M143="level"),O143*AN143/BF143,
AND(L143="marginal_effect",M143="sd (Y)"),O143*BH143*AN143/BF143,
AND(L143="marginal_effect",M143="sd (X)"),O143/AQ143*AN143/BF143,
AND(L143="semi_elasticity",M143="level"),O143*AN143,
AND(L143="semi_elasticity",M143="sd (Y)"),O143*AN143*BH143,
AND(L143="semi_elasticity",M143="sd (X)"),O143*AN143/AQ143,
AND(L143="level-log",M143="level"),O143/BF143,
AND(L143="level-log",M143="sd (X)"),O143/BF143/AQ143,
AND(L143="level-log",M143="sd (Y)"),O143/BF143*BH143,
AND(L143="elasticity",M143="level"),O143,
AND(L143="elasticity",M143="sd (X)"),O143/AQ143,
AND(L143="elasticity",M143="sd (Y)"),O143*BH143,
AND(L143="marginal_effect",M143="percent_of_mean"),O143*AN143/BF143/10)</f>
        <v>1.9024132464329755E-3</v>
      </c>
      <c r="AH143" s="56">
        <f t="shared" si="62"/>
        <v>1</v>
      </c>
      <c r="AI143" s="88">
        <f t="shared" si="35"/>
        <v>-3.804826492865951E-3</v>
      </c>
      <c r="AJ143" s="55">
        <v>0</v>
      </c>
      <c r="AK143" s="56">
        <f t="shared" si="63"/>
        <v>1</v>
      </c>
      <c r="AL143" s="55" t="s">
        <v>106</v>
      </c>
      <c r="AM143" s="55" t="s">
        <v>1333</v>
      </c>
      <c r="AN143" s="55">
        <v>23.76</v>
      </c>
      <c r="AO143" s="55">
        <v>0</v>
      </c>
      <c r="AP143" s="55">
        <f t="shared" si="54"/>
        <v>23.76</v>
      </c>
      <c r="AQ143" s="55">
        <v>16.22</v>
      </c>
      <c r="AR143" s="55">
        <v>0.53</v>
      </c>
      <c r="AS143" s="55">
        <v>158.28</v>
      </c>
      <c r="AT143" s="55" t="s">
        <v>83</v>
      </c>
      <c r="AU143" s="55" t="s">
        <v>109</v>
      </c>
      <c r="AV143" s="55" t="s">
        <v>133</v>
      </c>
      <c r="AW143" s="55" t="s">
        <v>109</v>
      </c>
      <c r="AX143" s="55" t="s">
        <v>86</v>
      </c>
      <c r="AY143" s="55">
        <v>0</v>
      </c>
      <c r="AZ143" s="55">
        <v>0</v>
      </c>
      <c r="BA143" s="55" t="s">
        <v>734</v>
      </c>
      <c r="BB143" s="55" t="s">
        <v>88</v>
      </c>
      <c r="BC143" s="55" t="s">
        <v>134</v>
      </c>
      <c r="BD143" s="55" t="s">
        <v>114</v>
      </c>
      <c r="BE143" s="55" t="s">
        <v>535</v>
      </c>
      <c r="BF143" s="55">
        <v>0.77</v>
      </c>
      <c r="BG143" s="55">
        <v>0</v>
      </c>
      <c r="BH143" s="55">
        <v>0.15</v>
      </c>
      <c r="BI143" s="55">
        <v>0</v>
      </c>
      <c r="BJ143" s="55">
        <v>1</v>
      </c>
      <c r="BK143" s="55" t="s">
        <v>538</v>
      </c>
      <c r="BL143" s="55" t="s">
        <v>84</v>
      </c>
      <c r="BM143" s="55">
        <v>1</v>
      </c>
      <c r="BN143" s="55" t="s">
        <v>539</v>
      </c>
      <c r="BO143" s="55" t="s">
        <v>540</v>
      </c>
      <c r="BP143" s="55" t="s">
        <v>540</v>
      </c>
      <c r="BQ143" s="55" t="s">
        <v>92</v>
      </c>
      <c r="BR143" s="55" t="s">
        <v>93</v>
      </c>
      <c r="BS143" s="55">
        <v>26.81</v>
      </c>
      <c r="BT143" s="55">
        <v>0</v>
      </c>
      <c r="BU143" s="55" t="s">
        <v>536</v>
      </c>
      <c r="BV143" s="55" t="s">
        <v>537</v>
      </c>
      <c r="BW143" s="55" t="s">
        <v>736</v>
      </c>
      <c r="BX143" s="55" t="s">
        <v>95</v>
      </c>
      <c r="BY143" s="55" t="s">
        <v>96</v>
      </c>
      <c r="BZ143" s="55">
        <v>0</v>
      </c>
      <c r="CA143" s="55">
        <v>0</v>
      </c>
      <c r="CB143" s="55" t="s">
        <v>97</v>
      </c>
      <c r="CC143" s="55" t="s">
        <v>97</v>
      </c>
      <c r="CD143" s="55">
        <v>0</v>
      </c>
      <c r="CE143" s="55" t="s">
        <v>97</v>
      </c>
      <c r="CF143" s="55">
        <v>1</v>
      </c>
      <c r="CG143" s="55" t="s">
        <v>396</v>
      </c>
      <c r="CH143" s="55">
        <v>1</v>
      </c>
      <c r="CI143" s="55" t="s">
        <v>541</v>
      </c>
      <c r="CJ143" s="55" t="s">
        <v>98</v>
      </c>
      <c r="CK143" s="55">
        <v>42</v>
      </c>
      <c r="CL143" s="55">
        <v>0</v>
      </c>
      <c r="CM143" s="55">
        <v>0</v>
      </c>
      <c r="CN143" s="55" t="s">
        <v>124</v>
      </c>
      <c r="CO143" s="55" t="s">
        <v>97</v>
      </c>
      <c r="CP143" s="55" t="s">
        <v>100</v>
      </c>
      <c r="CQ143" s="55" t="s">
        <v>126</v>
      </c>
      <c r="CR143" s="57">
        <v>46219</v>
      </c>
      <c r="CT143" s="55" t="s">
        <v>449</v>
      </c>
    </row>
    <row r="144" spans="1:98" s="55" customFormat="1" x14ac:dyDescent="0.35">
      <c r="A144" s="54" t="s">
        <v>529</v>
      </c>
      <c r="B144" s="54" t="s">
        <v>555</v>
      </c>
      <c r="C144" s="55" t="s">
        <v>530</v>
      </c>
      <c r="D144" s="55">
        <v>2017</v>
      </c>
      <c r="E144" s="54" t="s">
        <v>531</v>
      </c>
      <c r="F144" s="54" t="s">
        <v>532</v>
      </c>
      <c r="G144" s="55" t="s">
        <v>78</v>
      </c>
      <c r="H144" s="55">
        <v>1</v>
      </c>
      <c r="I144" s="55" t="s">
        <v>533</v>
      </c>
      <c r="J144" s="55" t="s">
        <v>79</v>
      </c>
      <c r="K144" s="55">
        <v>281</v>
      </c>
      <c r="L144" s="55" t="s">
        <v>129</v>
      </c>
      <c r="M144" s="55" t="s">
        <v>557</v>
      </c>
      <c r="N144" s="55">
        <v>-1E-3</v>
      </c>
      <c r="O144" s="55">
        <v>1E-3</v>
      </c>
      <c r="P144" s="88">
        <f t="shared" si="55"/>
        <v>-1</v>
      </c>
      <c r="Q144" s="55" t="s">
        <v>312</v>
      </c>
      <c r="R144" s="88">
        <f t="shared" si="56"/>
        <v>-2.96E-3</v>
      </c>
      <c r="S144" s="88">
        <f t="shared" si="57"/>
        <v>9.5999999999999992E-4</v>
      </c>
      <c r="T144" s="55">
        <v>1</v>
      </c>
      <c r="U144" s="55">
        <v>73832</v>
      </c>
      <c r="V144" s="55">
        <v>9</v>
      </c>
      <c r="W144" s="55">
        <v>1</v>
      </c>
      <c r="X144" s="55">
        <f t="shared" si="58"/>
        <v>73823</v>
      </c>
      <c r="Y144" s="88">
        <f t="shared" si="59"/>
        <v>-3.6804524702517766E-3</v>
      </c>
      <c r="Z144" s="88">
        <f t="shared" si="60"/>
        <v>3.6804524702517762E-3</v>
      </c>
      <c r="AA144" s="88">
        <f t="shared" si="34"/>
        <v>-3.6804524702517766E-3</v>
      </c>
      <c r="AB144" s="55" t="s">
        <v>81</v>
      </c>
      <c r="AC144" s="88">
        <f t="shared" si="64"/>
        <v>-1.9024132464329755E-3</v>
      </c>
      <c r="AD144" s="88" cm="1">
        <f t="array" ref="AD144">_xlfn.IFS(
AND(L144="marginal_effect",M144="level"),N144*AN144/BF144,
AND(L144="marginal_effect",M144="sd (Y)"),N144*BH144*AN144/BF144,
AND(L144="marginal_effect",M144="sd (X)"),N144/AQ144*AN144/BF144,
AND(L144="semi_elasticity",M144="level"),N144*AN144,
AND(L144="semi_elasticity",M144="sd (Y)"),N144*AN144*BH144,
AND(L144="semi_elasticity",M144="sd (X)"),N144*AN144/AQ144,
AND(L144="level-log",M144="level"),N144/BF144,
AND(L144="level-log",M144="sd (X)"),N144/BF144/AQ144,
AND(L144="level-log",M144="sd (Y)"),N144/BF144*BH144,
AND(L144="elasticity",M144="level"),N144,
AND(L144="elasticity",M144="sd (X)"),N144/AQ144,
AND(L144="elasticity",M144="sd (Y)"),N144*BH144,
AND(L144="marginal_effect",M144="percent_of_mean"),N144*AN144/BF144/10)</f>
        <v>-1.9024132464329755E-3</v>
      </c>
      <c r="AE144" s="56">
        <f t="shared" si="61"/>
        <v>1</v>
      </c>
      <c r="AF144" s="88">
        <f t="shared" si="65"/>
        <v>1.9024132464329755E-3</v>
      </c>
      <c r="AG144" s="88" cm="1">
        <f t="array" ref="AG144">_xlfn.IFS(
AND(L144="marginal_effect",M144="level"),O144*AN144/BF144,
AND(L144="marginal_effect",M144="sd (Y)"),O144*BH144*AN144/BF144,
AND(L144="marginal_effect",M144="sd (X)"),O144/AQ144*AN144/BF144,
AND(L144="semi_elasticity",M144="level"),O144*AN144,
AND(L144="semi_elasticity",M144="sd (Y)"),O144*AN144*BH144,
AND(L144="semi_elasticity",M144="sd (X)"),O144*AN144/AQ144,
AND(L144="level-log",M144="level"),O144/BF144,
AND(L144="level-log",M144="sd (X)"),O144/BF144/AQ144,
AND(L144="level-log",M144="sd (Y)"),O144/BF144*BH144,
AND(L144="elasticity",M144="level"),O144,
AND(L144="elasticity",M144="sd (X)"),O144/AQ144,
AND(L144="elasticity",M144="sd (Y)"),O144*BH144,
AND(L144="marginal_effect",M144="percent_of_mean"),O144*AN144/BF144/10)</f>
        <v>1.9024132464329755E-3</v>
      </c>
      <c r="AH144" s="56">
        <f t="shared" si="62"/>
        <v>1</v>
      </c>
      <c r="AI144" s="88">
        <f t="shared" si="35"/>
        <v>-1.9024132464329755E-3</v>
      </c>
      <c r="AJ144" s="55">
        <v>0</v>
      </c>
      <c r="AK144" s="56">
        <f t="shared" si="63"/>
        <v>1</v>
      </c>
      <c r="AL144" s="55" t="s">
        <v>106</v>
      </c>
      <c r="AM144" s="55" t="s">
        <v>1333</v>
      </c>
      <c r="AN144" s="55">
        <v>23.76</v>
      </c>
      <c r="AO144" s="55">
        <v>0</v>
      </c>
      <c r="AP144" s="55">
        <f t="shared" si="54"/>
        <v>23.76</v>
      </c>
      <c r="AQ144" s="55">
        <v>16.22</v>
      </c>
      <c r="AR144" s="55">
        <v>0.53</v>
      </c>
      <c r="AS144" s="55">
        <v>158.28</v>
      </c>
      <c r="AT144" s="55" t="s">
        <v>83</v>
      </c>
      <c r="AU144" s="55" t="s">
        <v>109</v>
      </c>
      <c r="AV144" s="55" t="s">
        <v>133</v>
      </c>
      <c r="AW144" s="55" t="s">
        <v>109</v>
      </c>
      <c r="AX144" s="55" t="s">
        <v>86</v>
      </c>
      <c r="AY144" s="55">
        <v>0</v>
      </c>
      <c r="AZ144" s="55">
        <v>0</v>
      </c>
      <c r="BA144" s="55" t="s">
        <v>734</v>
      </c>
      <c r="BB144" s="55" t="s">
        <v>88</v>
      </c>
      <c r="BC144" s="55" t="s">
        <v>134</v>
      </c>
      <c r="BD144" s="55" t="s">
        <v>114</v>
      </c>
      <c r="BE144" s="55" t="s">
        <v>535</v>
      </c>
      <c r="BF144" s="55">
        <v>0.77</v>
      </c>
      <c r="BG144" s="55">
        <v>0</v>
      </c>
      <c r="BH144" s="55">
        <v>0.15</v>
      </c>
      <c r="BI144" s="55">
        <v>0</v>
      </c>
      <c r="BJ144" s="55">
        <v>1</v>
      </c>
      <c r="BK144" s="55" t="s">
        <v>538</v>
      </c>
      <c r="BL144" s="55" t="s">
        <v>84</v>
      </c>
      <c r="BM144" s="55">
        <v>1</v>
      </c>
      <c r="BN144" s="55" t="s">
        <v>539</v>
      </c>
      <c r="BO144" s="55" t="s">
        <v>540</v>
      </c>
      <c r="BP144" s="55" t="s">
        <v>540</v>
      </c>
      <c r="BQ144" s="55" t="s">
        <v>92</v>
      </c>
      <c r="BR144" s="55" t="s">
        <v>93</v>
      </c>
      <c r="BS144" s="55">
        <v>26.81</v>
      </c>
      <c r="BT144" s="55">
        <v>0</v>
      </c>
      <c r="BU144" s="55" t="s">
        <v>536</v>
      </c>
      <c r="BV144" s="55" t="s">
        <v>537</v>
      </c>
      <c r="BW144" s="55" t="s">
        <v>736</v>
      </c>
      <c r="BX144" s="55" t="s">
        <v>95</v>
      </c>
      <c r="BY144" s="55" t="s">
        <v>96</v>
      </c>
      <c r="BZ144" s="55">
        <v>0</v>
      </c>
      <c r="CA144" s="55">
        <v>0</v>
      </c>
      <c r="CB144" s="55" t="s">
        <v>97</v>
      </c>
      <c r="CC144" s="55" t="s">
        <v>545</v>
      </c>
      <c r="CD144" s="55">
        <v>0</v>
      </c>
      <c r="CE144" s="55" t="s">
        <v>97</v>
      </c>
      <c r="CF144" s="55">
        <v>1</v>
      </c>
      <c r="CG144" s="55" t="s">
        <v>396</v>
      </c>
      <c r="CH144" s="55">
        <v>1</v>
      </c>
      <c r="CI144" s="55" t="s">
        <v>541</v>
      </c>
      <c r="CJ144" s="55" t="s">
        <v>98</v>
      </c>
      <c r="CK144" s="55">
        <v>42</v>
      </c>
      <c r="CL144" s="55">
        <v>0</v>
      </c>
      <c r="CM144" s="55">
        <v>0</v>
      </c>
      <c r="CN144" s="55" t="s">
        <v>124</v>
      </c>
      <c r="CO144" s="55" t="s">
        <v>97</v>
      </c>
      <c r="CP144" s="55" t="s">
        <v>100</v>
      </c>
      <c r="CQ144" s="55" t="s">
        <v>126</v>
      </c>
      <c r="CR144" s="57">
        <v>46219</v>
      </c>
      <c r="CT144" s="55" t="s">
        <v>450</v>
      </c>
    </row>
    <row r="145" spans="1:98" s="55" customFormat="1" x14ac:dyDescent="0.35">
      <c r="A145" s="54" t="s">
        <v>529</v>
      </c>
      <c r="B145" s="54" t="s">
        <v>556</v>
      </c>
      <c r="C145" s="55" t="s">
        <v>530</v>
      </c>
      <c r="D145" s="55">
        <v>2017</v>
      </c>
      <c r="E145" s="54" t="s">
        <v>531</v>
      </c>
      <c r="F145" s="54" t="s">
        <v>532</v>
      </c>
      <c r="G145" s="55" t="s">
        <v>78</v>
      </c>
      <c r="H145" s="55">
        <v>1</v>
      </c>
      <c r="I145" s="55" t="s">
        <v>533</v>
      </c>
      <c r="J145" s="55" t="s">
        <v>79</v>
      </c>
      <c r="K145" s="55">
        <v>281</v>
      </c>
      <c r="L145" s="55" t="s">
        <v>129</v>
      </c>
      <c r="M145" s="55" t="s">
        <v>557</v>
      </c>
      <c r="N145" s="55">
        <v>-2E-3</v>
      </c>
      <c r="O145" s="55">
        <v>1E-3</v>
      </c>
      <c r="P145" s="88">
        <f t="shared" si="55"/>
        <v>-2</v>
      </c>
      <c r="Q145" s="55" t="s">
        <v>312</v>
      </c>
      <c r="R145" s="88">
        <f t="shared" si="56"/>
        <v>-3.96E-3</v>
      </c>
      <c r="S145" s="88">
        <f t="shared" si="57"/>
        <v>-4.0000000000000105E-5</v>
      </c>
      <c r="T145" s="55">
        <v>1</v>
      </c>
      <c r="U145" s="55">
        <v>73832</v>
      </c>
      <c r="V145" s="55">
        <v>9</v>
      </c>
      <c r="W145" s="55">
        <v>1</v>
      </c>
      <c r="X145" s="55">
        <f t="shared" si="58"/>
        <v>73823</v>
      </c>
      <c r="Y145" s="88">
        <f t="shared" si="59"/>
        <v>-7.3607553818111912E-3</v>
      </c>
      <c r="Z145" s="88">
        <f t="shared" si="60"/>
        <v>3.6803776909055956E-3</v>
      </c>
      <c r="AA145" s="88">
        <f t="shared" si="34"/>
        <v>-7.3607553818111912E-3</v>
      </c>
      <c r="AB145" s="55" t="s">
        <v>81</v>
      </c>
      <c r="AC145" s="88">
        <f t="shared" si="64"/>
        <v>-3.804826492865951E-3</v>
      </c>
      <c r="AD145" s="88" cm="1">
        <f t="array" ref="AD145">_xlfn.IFS(
AND(L145="marginal_effect",M145="level"),N145*AN145/BF145,
AND(L145="marginal_effect",M145="sd (Y)"),N145*BH145*AN145/BF145,
AND(L145="marginal_effect",M145="sd (X)"),N145/AQ145*AN145/BF145,
AND(L145="semi_elasticity",M145="level"),N145*AN145,
AND(L145="semi_elasticity",M145="sd (Y)"),N145*AN145*BH145,
AND(L145="semi_elasticity",M145="sd (X)"),N145*AN145/AQ145,
AND(L145="level-log",M145="level"),N145/BF145,
AND(L145="level-log",M145="sd (X)"),N145/BF145/AQ145,
AND(L145="level-log",M145="sd (Y)"),N145/BF145*BH145,
AND(L145="elasticity",M145="level"),N145,
AND(L145="elasticity",M145="sd (X)"),N145/AQ145,
AND(L145="elasticity",M145="sd (Y)"),N145*BH145,
AND(L145="marginal_effect",M145="percent_of_mean"),N145*AN145/BF145/10)</f>
        <v>-3.804826492865951E-3</v>
      </c>
      <c r="AE145" s="56">
        <f t="shared" si="61"/>
        <v>1</v>
      </c>
      <c r="AF145" s="88">
        <f t="shared" si="65"/>
        <v>1.9024132464329755E-3</v>
      </c>
      <c r="AG145" s="88" cm="1">
        <f t="array" ref="AG145">_xlfn.IFS(
AND(L145="marginal_effect",M145="level"),O145*AN145/BF145,
AND(L145="marginal_effect",M145="sd (Y)"),O145*BH145*AN145/BF145,
AND(L145="marginal_effect",M145="sd (X)"),O145/AQ145*AN145/BF145,
AND(L145="semi_elasticity",M145="level"),O145*AN145,
AND(L145="semi_elasticity",M145="sd (Y)"),O145*AN145*BH145,
AND(L145="semi_elasticity",M145="sd (X)"),O145*AN145/AQ145,
AND(L145="level-log",M145="level"),O145/BF145,
AND(L145="level-log",M145="sd (X)"),O145/BF145/AQ145,
AND(L145="level-log",M145="sd (Y)"),O145/BF145*BH145,
AND(L145="elasticity",M145="level"),O145,
AND(L145="elasticity",M145="sd (X)"),O145/AQ145,
AND(L145="elasticity",M145="sd (Y)"),O145*BH145,
AND(L145="marginal_effect",M145="percent_of_mean"),O145*AN145/BF145/10)</f>
        <v>1.9024132464329755E-3</v>
      </c>
      <c r="AH145" s="56">
        <f t="shared" si="62"/>
        <v>1</v>
      </c>
      <c r="AI145" s="88">
        <f t="shared" si="35"/>
        <v>-3.804826492865951E-3</v>
      </c>
      <c r="AJ145" s="55">
        <v>0</v>
      </c>
      <c r="AK145" s="56">
        <f t="shared" si="63"/>
        <v>1</v>
      </c>
      <c r="AL145" s="55" t="s">
        <v>106</v>
      </c>
      <c r="AM145" s="55" t="s">
        <v>1333</v>
      </c>
      <c r="AN145" s="55">
        <v>23.76</v>
      </c>
      <c r="AO145" s="55">
        <v>0</v>
      </c>
      <c r="AP145" s="55">
        <f t="shared" si="54"/>
        <v>23.76</v>
      </c>
      <c r="AQ145" s="55">
        <v>16.22</v>
      </c>
      <c r="AR145" s="55">
        <v>0.53</v>
      </c>
      <c r="AS145" s="55">
        <v>158.28</v>
      </c>
      <c r="AT145" s="55" t="s">
        <v>83</v>
      </c>
      <c r="AU145" s="55" t="s">
        <v>109</v>
      </c>
      <c r="AV145" s="55" t="s">
        <v>133</v>
      </c>
      <c r="AW145" s="55" t="s">
        <v>109</v>
      </c>
      <c r="AX145" s="55" t="s">
        <v>86</v>
      </c>
      <c r="AY145" s="55">
        <v>0</v>
      </c>
      <c r="AZ145" s="55">
        <v>0</v>
      </c>
      <c r="BA145" s="55" t="s">
        <v>734</v>
      </c>
      <c r="BB145" s="55" t="s">
        <v>88</v>
      </c>
      <c r="BC145" s="55" t="s">
        <v>134</v>
      </c>
      <c r="BD145" s="55" t="s">
        <v>114</v>
      </c>
      <c r="BE145" s="55" t="s">
        <v>535</v>
      </c>
      <c r="BF145" s="55">
        <v>0.77</v>
      </c>
      <c r="BG145" s="55">
        <v>0</v>
      </c>
      <c r="BH145" s="55">
        <v>0.15</v>
      </c>
      <c r="BI145" s="55">
        <v>0</v>
      </c>
      <c r="BJ145" s="55">
        <v>1</v>
      </c>
      <c r="BK145" s="55" t="s">
        <v>538</v>
      </c>
      <c r="BL145" s="55" t="s">
        <v>84</v>
      </c>
      <c r="BM145" s="55">
        <v>1</v>
      </c>
      <c r="BN145" s="55" t="s">
        <v>539</v>
      </c>
      <c r="BO145" s="55" t="s">
        <v>540</v>
      </c>
      <c r="BP145" s="55" t="s">
        <v>540</v>
      </c>
      <c r="BQ145" s="55" t="s">
        <v>92</v>
      </c>
      <c r="BR145" s="55" t="s">
        <v>93</v>
      </c>
      <c r="BS145" s="55">
        <v>26.81</v>
      </c>
      <c r="BT145" s="55">
        <v>0</v>
      </c>
      <c r="BU145" s="55" t="s">
        <v>536</v>
      </c>
      <c r="BV145" s="55" t="s">
        <v>537</v>
      </c>
      <c r="BW145" s="55" t="s">
        <v>736</v>
      </c>
      <c r="BX145" s="55" t="s">
        <v>95</v>
      </c>
      <c r="BY145" s="55" t="s">
        <v>96</v>
      </c>
      <c r="BZ145" s="55">
        <v>0</v>
      </c>
      <c r="CA145" s="55">
        <v>0</v>
      </c>
      <c r="CB145" s="55" t="s">
        <v>97</v>
      </c>
      <c r="CC145" s="55" t="s">
        <v>548</v>
      </c>
      <c r="CD145" s="55">
        <v>1</v>
      </c>
      <c r="CE145" s="55" t="s">
        <v>2206</v>
      </c>
      <c r="CF145" s="55">
        <v>1</v>
      </c>
      <c r="CG145" s="55" t="s">
        <v>396</v>
      </c>
      <c r="CH145" s="55">
        <v>1</v>
      </c>
      <c r="CI145" s="55" t="s">
        <v>541</v>
      </c>
      <c r="CJ145" s="55" t="s">
        <v>98</v>
      </c>
      <c r="CK145" s="55">
        <v>42</v>
      </c>
      <c r="CL145" s="55">
        <v>0</v>
      </c>
      <c r="CM145" s="55">
        <v>0</v>
      </c>
      <c r="CN145" s="55" t="s">
        <v>124</v>
      </c>
      <c r="CO145" s="55" t="s">
        <v>97</v>
      </c>
      <c r="CP145" s="55" t="s">
        <v>100</v>
      </c>
      <c r="CQ145" s="55" t="s">
        <v>126</v>
      </c>
      <c r="CR145" s="57">
        <v>46219</v>
      </c>
      <c r="CT145" s="55" t="s">
        <v>451</v>
      </c>
    </row>
    <row r="146" spans="1:98" s="55" customFormat="1" x14ac:dyDescent="0.35">
      <c r="A146" s="54" t="s">
        <v>529</v>
      </c>
      <c r="B146" s="54" t="s">
        <v>558</v>
      </c>
      <c r="C146" s="55" t="s">
        <v>530</v>
      </c>
      <c r="D146" s="55">
        <v>2017</v>
      </c>
      <c r="E146" s="54" t="s">
        <v>531</v>
      </c>
      <c r="F146" s="54" t="s">
        <v>532</v>
      </c>
      <c r="G146" s="55" t="s">
        <v>78</v>
      </c>
      <c r="H146" s="55">
        <v>1</v>
      </c>
      <c r="I146" s="55" t="s">
        <v>533</v>
      </c>
      <c r="J146" s="55" t="s">
        <v>79</v>
      </c>
      <c r="K146" s="55">
        <v>281</v>
      </c>
      <c r="L146" s="55" t="s">
        <v>129</v>
      </c>
      <c r="M146" s="55" t="s">
        <v>557</v>
      </c>
      <c r="N146" s="55">
        <v>2E-3</v>
      </c>
      <c r="O146" s="55">
        <v>1E-3</v>
      </c>
      <c r="P146" s="88">
        <f t="shared" si="55"/>
        <v>2</v>
      </c>
      <c r="Q146" s="55" t="s">
        <v>312</v>
      </c>
      <c r="R146" s="88">
        <f t="shared" si="56"/>
        <v>4.0000000000000105E-5</v>
      </c>
      <c r="S146" s="88">
        <f t="shared" si="57"/>
        <v>3.96E-3</v>
      </c>
      <c r="T146" s="55">
        <v>1</v>
      </c>
      <c r="U146" s="55">
        <v>73718</v>
      </c>
      <c r="V146" s="55">
        <v>9</v>
      </c>
      <c r="W146" s="55">
        <v>1</v>
      </c>
      <c r="X146" s="55">
        <f t="shared" si="58"/>
        <v>73709</v>
      </c>
      <c r="Y146" s="88">
        <f t="shared" si="59"/>
        <v>7.3664450290167622E-3</v>
      </c>
      <c r="Z146" s="88">
        <f t="shared" si="60"/>
        <v>3.6832225145083807E-3</v>
      </c>
      <c r="AA146" s="88">
        <f>-Y146</f>
        <v>-7.3664450290167622E-3</v>
      </c>
      <c r="AB146" s="55" t="s">
        <v>81</v>
      </c>
      <c r="AC146" s="88">
        <f t="shared" si="64"/>
        <v>2.9297163995067824E-2</v>
      </c>
      <c r="AD146" s="88" cm="1">
        <f t="array" ref="AD146">_xlfn.IFS(
AND(L146="marginal_effect",M146="level"),N146*AN146/BF146,
AND(L146="marginal_effect",M146="sd (Y)"),N146*BH146*AN146/BF146,
AND(L146="marginal_effect",M146="sd (X)"),N146/AQ146*AN146/BF146,
AND(L146="semi_elasticity",M146="level"),N146*AN146,
AND(L146="semi_elasticity",M146="sd (Y)"),N146*AN146*BH146,
AND(L146="semi_elasticity",M146="sd (X)"),N146*AN146/AQ146,
AND(L146="level-log",M146="level"),N146/BF146,
AND(L146="level-log",M146="sd (X)"),N146/BF146/AQ146,
AND(L146="level-log",M146="sd (Y)"),N146/BF146*BH146,
AND(L146="elasticity",M146="level"),N146,
AND(L146="elasticity",M146="sd (X)"),N146/AQ146,
AND(L146="elasticity",M146="sd (Y)"),N146*BH146,
AND(L146="marginal_effect",M146="percent_of_mean"),N146*AN146/BF146/10)</f>
        <v>2.9297163995067824E-2</v>
      </c>
      <c r="AE146" s="56">
        <f t="shared" si="61"/>
        <v>1</v>
      </c>
      <c r="AF146" s="88">
        <f t="shared" si="65"/>
        <v>1.4648581997533912E-2</v>
      </c>
      <c r="AG146" s="88" cm="1">
        <f t="array" ref="AG146">_xlfn.IFS(
AND(L146="marginal_effect",M146="level"),O146*AN146/BF146,
AND(L146="marginal_effect",M146="sd (Y)"),O146*BH146*AN146/BF146,
AND(L146="marginal_effect",M146="sd (X)"),O146/AQ146*AN146/BF146,
AND(L146="semi_elasticity",M146="level"),O146*AN146,
AND(L146="semi_elasticity",M146="sd (Y)"),O146*AN146*BH146,
AND(L146="semi_elasticity",M146="sd (X)"),O146*AN146/AQ146,
AND(L146="level-log",M146="level"),O146/BF146,
AND(L146="level-log",M146="sd (X)"),O146/BF146/AQ146,
AND(L146="level-log",M146="sd (Y)"),O146/BF146*BH146,
AND(L146="elasticity",M146="level"),O146,
AND(L146="elasticity",M146="sd (X)"),O146/AQ146,
AND(L146="elasticity",M146="sd (Y)"),O146*BH146,
AND(L146="marginal_effect",M146="percent_of_mean"),O146*AN146/BF146/10)</f>
        <v>1.4648581997533912E-2</v>
      </c>
      <c r="AH146" s="56">
        <f t="shared" si="62"/>
        <v>1</v>
      </c>
      <c r="AI146" s="88">
        <f>-AC146</f>
        <v>-2.9297163995067824E-2</v>
      </c>
      <c r="AJ146" s="55">
        <v>0</v>
      </c>
      <c r="AK146" s="56">
        <f t="shared" si="63"/>
        <v>1</v>
      </c>
      <c r="AL146" s="55" t="s">
        <v>106</v>
      </c>
      <c r="AM146" s="55" t="s">
        <v>1333</v>
      </c>
      <c r="AN146" s="55">
        <v>23.76</v>
      </c>
      <c r="AO146" s="55">
        <v>0</v>
      </c>
      <c r="AP146" s="55">
        <f t="shared" si="54"/>
        <v>23.76</v>
      </c>
      <c r="AQ146" s="55">
        <v>16.22</v>
      </c>
      <c r="AR146" s="55">
        <v>0.53</v>
      </c>
      <c r="AS146" s="55">
        <v>158.28</v>
      </c>
      <c r="AT146" s="55" t="s">
        <v>83</v>
      </c>
      <c r="AU146" s="55" t="s">
        <v>109</v>
      </c>
      <c r="AV146" s="55" t="s">
        <v>133</v>
      </c>
      <c r="AW146" s="55" t="s">
        <v>109</v>
      </c>
      <c r="AX146" s="55" t="s">
        <v>86</v>
      </c>
      <c r="AY146" s="55">
        <v>0</v>
      </c>
      <c r="AZ146" s="55">
        <v>0</v>
      </c>
      <c r="BA146" s="55" t="s">
        <v>734</v>
      </c>
      <c r="BB146" s="55" t="s">
        <v>88</v>
      </c>
      <c r="BC146" s="55" t="s">
        <v>134</v>
      </c>
      <c r="BD146" s="55" t="s">
        <v>114</v>
      </c>
      <c r="BE146" s="55" t="s">
        <v>2179</v>
      </c>
      <c r="BF146" s="55">
        <v>0.1</v>
      </c>
      <c r="BG146" s="55">
        <v>0</v>
      </c>
      <c r="BH146" s="55">
        <v>0.15</v>
      </c>
      <c r="BI146" s="55">
        <v>0</v>
      </c>
      <c r="BJ146" s="55">
        <v>6</v>
      </c>
      <c r="BK146" s="55" t="s">
        <v>538</v>
      </c>
      <c r="BL146" s="55" t="s">
        <v>84</v>
      </c>
      <c r="BM146" s="55">
        <v>1</v>
      </c>
      <c r="BN146" s="55" t="s">
        <v>539</v>
      </c>
      <c r="BO146" s="55" t="s">
        <v>540</v>
      </c>
      <c r="BP146" s="55" t="s">
        <v>540</v>
      </c>
      <c r="BQ146" s="55" t="s">
        <v>92</v>
      </c>
      <c r="BR146" s="55" t="s">
        <v>93</v>
      </c>
      <c r="BS146" s="55">
        <v>26.81</v>
      </c>
      <c r="BT146" s="55">
        <v>0</v>
      </c>
      <c r="BU146" s="55" t="s">
        <v>536</v>
      </c>
      <c r="BV146" s="55" t="s">
        <v>537</v>
      </c>
      <c r="BW146" s="55" t="s">
        <v>736</v>
      </c>
      <c r="BX146" s="55" t="s">
        <v>95</v>
      </c>
      <c r="BY146" s="55" t="s">
        <v>96</v>
      </c>
      <c r="BZ146" s="55">
        <v>0</v>
      </c>
      <c r="CA146" s="55">
        <v>0</v>
      </c>
      <c r="CB146" s="55" t="s">
        <v>97</v>
      </c>
      <c r="CC146" s="55" t="s">
        <v>97</v>
      </c>
      <c r="CD146" s="55">
        <v>0</v>
      </c>
      <c r="CE146" s="55" t="s">
        <v>97</v>
      </c>
      <c r="CF146" s="55">
        <v>1</v>
      </c>
      <c r="CG146" s="55" t="s">
        <v>396</v>
      </c>
      <c r="CH146" s="55">
        <v>1</v>
      </c>
      <c r="CI146" s="55" t="s">
        <v>541</v>
      </c>
      <c r="CJ146" s="55" t="s">
        <v>98</v>
      </c>
      <c r="CK146" s="55">
        <v>42</v>
      </c>
      <c r="CL146" s="55">
        <v>0</v>
      </c>
      <c r="CM146" s="55">
        <v>0</v>
      </c>
      <c r="CN146" s="55" t="s">
        <v>124</v>
      </c>
      <c r="CO146" s="55" t="s">
        <v>97</v>
      </c>
      <c r="CP146" s="55" t="s">
        <v>100</v>
      </c>
      <c r="CQ146" s="55" t="s">
        <v>126</v>
      </c>
      <c r="CR146" s="57">
        <v>46219</v>
      </c>
      <c r="CT146" s="55" t="s">
        <v>452</v>
      </c>
    </row>
    <row r="147" spans="1:98" s="55" customFormat="1" x14ac:dyDescent="0.35">
      <c r="A147" s="54" t="s">
        <v>529</v>
      </c>
      <c r="B147" s="54" t="s">
        <v>559</v>
      </c>
      <c r="C147" s="55" t="s">
        <v>530</v>
      </c>
      <c r="D147" s="55">
        <v>2017</v>
      </c>
      <c r="E147" s="54" t="s">
        <v>531</v>
      </c>
      <c r="F147" s="54" t="s">
        <v>532</v>
      </c>
      <c r="G147" s="55" t="s">
        <v>78</v>
      </c>
      <c r="H147" s="55">
        <v>1</v>
      </c>
      <c r="I147" s="55" t="s">
        <v>533</v>
      </c>
      <c r="J147" s="55" t="s">
        <v>79</v>
      </c>
      <c r="K147" s="55">
        <v>281</v>
      </c>
      <c r="L147" s="55" t="s">
        <v>129</v>
      </c>
      <c r="M147" s="55" t="s">
        <v>557</v>
      </c>
      <c r="N147" s="55">
        <v>1E-3</v>
      </c>
      <c r="O147" s="55">
        <v>1E-3</v>
      </c>
      <c r="P147" s="88">
        <f t="shared" si="55"/>
        <v>1</v>
      </c>
      <c r="Q147" s="55" t="s">
        <v>312</v>
      </c>
      <c r="R147" s="88">
        <f t="shared" si="56"/>
        <v>-9.5999999999999992E-4</v>
      </c>
      <c r="S147" s="88">
        <f t="shared" si="57"/>
        <v>2.96E-3</v>
      </c>
      <c r="T147" s="55">
        <v>1</v>
      </c>
      <c r="U147" s="55">
        <v>73718</v>
      </c>
      <c r="V147" s="55">
        <v>9</v>
      </c>
      <c r="W147" s="55">
        <v>1</v>
      </c>
      <c r="X147" s="55">
        <f t="shared" si="58"/>
        <v>73709</v>
      </c>
      <c r="Y147" s="88">
        <f t="shared" si="59"/>
        <v>3.683297467398866E-3</v>
      </c>
      <c r="Z147" s="88">
        <f t="shared" si="60"/>
        <v>3.683297467398866E-3</v>
      </c>
      <c r="AA147" s="88">
        <f>-Y147</f>
        <v>-3.683297467398866E-3</v>
      </c>
      <c r="AB147" s="55" t="s">
        <v>81</v>
      </c>
      <c r="AC147" s="88">
        <f t="shared" si="64"/>
        <v>1.4648581997533912E-2</v>
      </c>
      <c r="AD147" s="88" cm="1">
        <f t="array" ref="AD147">_xlfn.IFS(
AND(L147="marginal_effect",M147="level"),N147*AN147/BF147,
AND(L147="marginal_effect",M147="sd (Y)"),N147*BH147*AN147/BF147,
AND(L147="marginal_effect",M147="sd (X)"),N147/AQ147*AN147/BF147,
AND(L147="semi_elasticity",M147="level"),N147*AN147,
AND(L147="semi_elasticity",M147="sd (Y)"),N147*AN147*BH147,
AND(L147="semi_elasticity",M147="sd (X)"),N147*AN147/AQ147,
AND(L147="level-log",M147="level"),N147/BF147,
AND(L147="level-log",M147="sd (X)"),N147/BF147/AQ147,
AND(L147="level-log",M147="sd (Y)"),N147/BF147*BH147,
AND(L147="elasticity",M147="level"),N147,
AND(L147="elasticity",M147="sd (X)"),N147/AQ147,
AND(L147="elasticity",M147="sd (Y)"),N147*BH147,
AND(L147="marginal_effect",M147="percent_of_mean"),N147*AN147/BF147/10)</f>
        <v>1.4648581997533912E-2</v>
      </c>
      <c r="AE147" s="56">
        <f t="shared" si="61"/>
        <v>1</v>
      </c>
      <c r="AF147" s="88">
        <f t="shared" si="65"/>
        <v>1.4648581997533912E-2</v>
      </c>
      <c r="AG147" s="88" cm="1">
        <f t="array" ref="AG147">_xlfn.IFS(
AND(L147="marginal_effect",M147="level"),O147*AN147/BF147,
AND(L147="marginal_effect",M147="sd (Y)"),O147*BH147*AN147/BF147,
AND(L147="marginal_effect",M147="sd (X)"),O147/AQ147*AN147/BF147,
AND(L147="semi_elasticity",M147="level"),O147*AN147,
AND(L147="semi_elasticity",M147="sd (Y)"),O147*AN147*BH147,
AND(L147="semi_elasticity",M147="sd (X)"),O147*AN147/AQ147,
AND(L147="level-log",M147="level"),O147/BF147,
AND(L147="level-log",M147="sd (X)"),O147/BF147/AQ147,
AND(L147="level-log",M147="sd (Y)"),O147/BF147*BH147,
AND(L147="elasticity",M147="level"),O147,
AND(L147="elasticity",M147="sd (X)"),O147/AQ147,
AND(L147="elasticity",M147="sd (Y)"),O147*BH147,
AND(L147="marginal_effect",M147="percent_of_mean"),O147*AN147/BF147/10)</f>
        <v>1.4648581997533912E-2</v>
      </c>
      <c r="AH147" s="56">
        <f t="shared" si="62"/>
        <v>1</v>
      </c>
      <c r="AI147" s="88">
        <f>-AC147</f>
        <v>-1.4648581997533912E-2</v>
      </c>
      <c r="AJ147" s="55">
        <v>0</v>
      </c>
      <c r="AK147" s="56">
        <f t="shared" si="63"/>
        <v>1</v>
      </c>
      <c r="AL147" s="55" t="s">
        <v>106</v>
      </c>
      <c r="AM147" s="55" t="s">
        <v>1333</v>
      </c>
      <c r="AN147" s="55">
        <v>23.76</v>
      </c>
      <c r="AO147" s="55">
        <v>0</v>
      </c>
      <c r="AP147" s="55">
        <f t="shared" si="54"/>
        <v>23.76</v>
      </c>
      <c r="AQ147" s="55">
        <v>16.22</v>
      </c>
      <c r="AR147" s="55">
        <v>0.53</v>
      </c>
      <c r="AS147" s="55">
        <v>158.28</v>
      </c>
      <c r="AT147" s="55" t="s">
        <v>83</v>
      </c>
      <c r="AU147" s="55" t="s">
        <v>109</v>
      </c>
      <c r="AV147" s="55" t="s">
        <v>133</v>
      </c>
      <c r="AW147" s="55" t="s">
        <v>109</v>
      </c>
      <c r="AX147" s="55" t="s">
        <v>86</v>
      </c>
      <c r="AY147" s="55">
        <v>0</v>
      </c>
      <c r="AZ147" s="55">
        <v>0</v>
      </c>
      <c r="BA147" s="55" t="s">
        <v>734</v>
      </c>
      <c r="BB147" s="55" t="s">
        <v>88</v>
      </c>
      <c r="BC147" s="55" t="s">
        <v>134</v>
      </c>
      <c r="BD147" s="55" t="s">
        <v>114</v>
      </c>
      <c r="BE147" s="55" t="s">
        <v>2179</v>
      </c>
      <c r="BF147" s="55">
        <v>0.1</v>
      </c>
      <c r="BG147" s="55">
        <v>0</v>
      </c>
      <c r="BH147" s="55">
        <v>0.15</v>
      </c>
      <c r="BI147" s="55">
        <v>0</v>
      </c>
      <c r="BJ147" s="55">
        <v>6</v>
      </c>
      <c r="BK147" s="55" t="s">
        <v>538</v>
      </c>
      <c r="BL147" s="55" t="s">
        <v>84</v>
      </c>
      <c r="BM147" s="55">
        <v>1</v>
      </c>
      <c r="BN147" s="55" t="s">
        <v>539</v>
      </c>
      <c r="BO147" s="55" t="s">
        <v>540</v>
      </c>
      <c r="BP147" s="55" t="s">
        <v>540</v>
      </c>
      <c r="BQ147" s="55" t="s">
        <v>92</v>
      </c>
      <c r="BR147" s="55" t="s">
        <v>93</v>
      </c>
      <c r="BS147" s="55">
        <v>26.81</v>
      </c>
      <c r="BT147" s="55">
        <v>0</v>
      </c>
      <c r="BU147" s="55" t="s">
        <v>536</v>
      </c>
      <c r="BV147" s="55" t="s">
        <v>537</v>
      </c>
      <c r="BW147" s="55" t="s">
        <v>736</v>
      </c>
      <c r="BX147" s="55" t="s">
        <v>95</v>
      </c>
      <c r="BY147" s="55" t="s">
        <v>96</v>
      </c>
      <c r="BZ147" s="55">
        <v>0</v>
      </c>
      <c r="CA147" s="55">
        <v>0</v>
      </c>
      <c r="CB147" s="55" t="s">
        <v>97</v>
      </c>
      <c r="CC147" s="55" t="s">
        <v>545</v>
      </c>
      <c r="CD147" s="55">
        <v>0</v>
      </c>
      <c r="CE147" s="55" t="s">
        <v>97</v>
      </c>
      <c r="CF147" s="55">
        <v>1</v>
      </c>
      <c r="CG147" s="55" t="s">
        <v>396</v>
      </c>
      <c r="CH147" s="55">
        <v>1</v>
      </c>
      <c r="CI147" s="55" t="s">
        <v>541</v>
      </c>
      <c r="CJ147" s="55" t="s">
        <v>98</v>
      </c>
      <c r="CK147" s="55">
        <v>42</v>
      </c>
      <c r="CL147" s="55">
        <v>0</v>
      </c>
      <c r="CM147" s="55">
        <v>0</v>
      </c>
      <c r="CN147" s="55" t="s">
        <v>124</v>
      </c>
      <c r="CO147" s="55" t="s">
        <v>97</v>
      </c>
      <c r="CP147" s="55" t="s">
        <v>100</v>
      </c>
      <c r="CQ147" s="55" t="s">
        <v>126</v>
      </c>
      <c r="CR147" s="57">
        <v>46219</v>
      </c>
      <c r="CT147" s="55" t="s">
        <v>521</v>
      </c>
    </row>
    <row r="148" spans="1:98" s="55" customFormat="1" x14ac:dyDescent="0.35">
      <c r="A148" s="54" t="s">
        <v>529</v>
      </c>
      <c r="B148" s="54" t="s">
        <v>560</v>
      </c>
      <c r="C148" s="55" t="s">
        <v>530</v>
      </c>
      <c r="D148" s="55">
        <v>2017</v>
      </c>
      <c r="E148" s="54" t="s">
        <v>531</v>
      </c>
      <c r="F148" s="54" t="s">
        <v>532</v>
      </c>
      <c r="G148" s="55" t="s">
        <v>78</v>
      </c>
      <c r="H148" s="55">
        <v>1</v>
      </c>
      <c r="I148" s="55" t="s">
        <v>533</v>
      </c>
      <c r="J148" s="55" t="s">
        <v>79</v>
      </c>
      <c r="K148" s="55">
        <v>281</v>
      </c>
      <c r="L148" s="55" t="s">
        <v>129</v>
      </c>
      <c r="M148" s="55" t="s">
        <v>557</v>
      </c>
      <c r="N148" s="55">
        <v>2E-3</v>
      </c>
      <c r="O148" s="55">
        <v>1E-3</v>
      </c>
      <c r="P148" s="88">
        <f t="shared" si="55"/>
        <v>2</v>
      </c>
      <c r="Q148" s="55" t="s">
        <v>312</v>
      </c>
      <c r="R148" s="88">
        <f t="shared" si="56"/>
        <v>4.0000000000000105E-5</v>
      </c>
      <c r="S148" s="88">
        <f t="shared" si="57"/>
        <v>3.96E-3</v>
      </c>
      <c r="T148" s="55">
        <v>1</v>
      </c>
      <c r="U148" s="55">
        <v>73718</v>
      </c>
      <c r="V148" s="55">
        <v>9</v>
      </c>
      <c r="W148" s="55">
        <v>1</v>
      </c>
      <c r="X148" s="55">
        <f t="shared" si="58"/>
        <v>73709</v>
      </c>
      <c r="Y148" s="88">
        <f t="shared" si="59"/>
        <v>7.3664450290167622E-3</v>
      </c>
      <c r="Z148" s="88">
        <f t="shared" si="60"/>
        <v>3.6832225145083807E-3</v>
      </c>
      <c r="AA148" s="88">
        <f>-Y148</f>
        <v>-7.3664450290167622E-3</v>
      </c>
      <c r="AB148" s="55" t="s">
        <v>81</v>
      </c>
      <c r="AC148" s="88">
        <f t="shared" si="64"/>
        <v>2.9297163995067824E-2</v>
      </c>
      <c r="AD148" s="88" cm="1">
        <f t="array" ref="AD148">_xlfn.IFS(
AND(L148="marginal_effect",M148="level"),N148*AN148/BF148,
AND(L148="marginal_effect",M148="sd (Y)"),N148*BH148*AN148/BF148,
AND(L148="marginal_effect",M148="sd (X)"),N148/AQ148*AN148/BF148,
AND(L148="semi_elasticity",M148="level"),N148*AN148,
AND(L148="semi_elasticity",M148="sd (Y)"),N148*AN148*BH148,
AND(L148="semi_elasticity",M148="sd (X)"),N148*AN148/AQ148,
AND(L148="level-log",M148="level"),N148/BF148,
AND(L148="level-log",M148="sd (X)"),N148/BF148/AQ148,
AND(L148="level-log",M148="sd (Y)"),N148/BF148*BH148,
AND(L148="elasticity",M148="level"),N148,
AND(L148="elasticity",M148="sd (X)"),N148/AQ148,
AND(L148="elasticity",M148="sd (Y)"),N148*BH148,
AND(L148="marginal_effect",M148="percent_of_mean"),N148*AN148/BF148/10)</f>
        <v>2.9297163995067824E-2</v>
      </c>
      <c r="AE148" s="56">
        <f t="shared" si="61"/>
        <v>1</v>
      </c>
      <c r="AF148" s="88">
        <f t="shared" si="65"/>
        <v>1.4648581997533912E-2</v>
      </c>
      <c r="AG148" s="88" cm="1">
        <f t="array" ref="AG148">_xlfn.IFS(
AND(L148="marginal_effect",M148="level"),O148*AN148/BF148,
AND(L148="marginal_effect",M148="sd (Y)"),O148*BH148*AN148/BF148,
AND(L148="marginal_effect",M148="sd (X)"),O148/AQ148*AN148/BF148,
AND(L148="semi_elasticity",M148="level"),O148*AN148,
AND(L148="semi_elasticity",M148="sd (Y)"),O148*AN148*BH148,
AND(L148="semi_elasticity",M148="sd (X)"),O148*AN148/AQ148,
AND(L148="level-log",M148="level"),O148/BF148,
AND(L148="level-log",M148="sd (X)"),O148/BF148/AQ148,
AND(L148="level-log",M148="sd (Y)"),O148/BF148*BH148,
AND(L148="elasticity",M148="level"),O148,
AND(L148="elasticity",M148="sd (X)"),O148/AQ148,
AND(L148="elasticity",M148="sd (Y)"),O148*BH148,
AND(L148="marginal_effect",M148="percent_of_mean"),O148*AN148/BF148/10)</f>
        <v>1.4648581997533912E-2</v>
      </c>
      <c r="AH148" s="56">
        <f t="shared" si="62"/>
        <v>1</v>
      </c>
      <c r="AI148" s="88">
        <f>-AC148</f>
        <v>-2.9297163995067824E-2</v>
      </c>
      <c r="AJ148" s="55">
        <v>0</v>
      </c>
      <c r="AK148" s="56">
        <f t="shared" si="63"/>
        <v>1</v>
      </c>
      <c r="AL148" s="55" t="s">
        <v>106</v>
      </c>
      <c r="AM148" s="55" t="s">
        <v>1333</v>
      </c>
      <c r="AN148" s="55">
        <v>23.76</v>
      </c>
      <c r="AO148" s="55">
        <v>0</v>
      </c>
      <c r="AP148" s="55">
        <f t="shared" si="54"/>
        <v>23.76</v>
      </c>
      <c r="AQ148" s="55">
        <v>16.22</v>
      </c>
      <c r="AR148" s="55">
        <v>0.53</v>
      </c>
      <c r="AS148" s="55">
        <v>158.28</v>
      </c>
      <c r="AT148" s="55" t="s">
        <v>83</v>
      </c>
      <c r="AU148" s="55" t="s">
        <v>109</v>
      </c>
      <c r="AV148" s="55" t="s">
        <v>133</v>
      </c>
      <c r="AW148" s="55" t="s">
        <v>109</v>
      </c>
      <c r="AX148" s="55" t="s">
        <v>86</v>
      </c>
      <c r="AY148" s="55">
        <v>0</v>
      </c>
      <c r="AZ148" s="55">
        <v>0</v>
      </c>
      <c r="BA148" s="55" t="s">
        <v>734</v>
      </c>
      <c r="BB148" s="55" t="s">
        <v>88</v>
      </c>
      <c r="BC148" s="55" t="s">
        <v>134</v>
      </c>
      <c r="BD148" s="55" t="s">
        <v>114</v>
      </c>
      <c r="BE148" s="55" t="s">
        <v>2179</v>
      </c>
      <c r="BF148" s="55">
        <v>0.1</v>
      </c>
      <c r="BG148" s="55">
        <v>0</v>
      </c>
      <c r="BH148" s="55">
        <v>0.15</v>
      </c>
      <c r="BI148" s="55">
        <v>0</v>
      </c>
      <c r="BJ148" s="55">
        <v>6</v>
      </c>
      <c r="BK148" s="55" t="s">
        <v>538</v>
      </c>
      <c r="BL148" s="55" t="s">
        <v>84</v>
      </c>
      <c r="BM148" s="55">
        <v>1</v>
      </c>
      <c r="BN148" s="55" t="s">
        <v>539</v>
      </c>
      <c r="BO148" s="55" t="s">
        <v>540</v>
      </c>
      <c r="BP148" s="55" t="s">
        <v>540</v>
      </c>
      <c r="BQ148" s="55" t="s">
        <v>92</v>
      </c>
      <c r="BR148" s="55" t="s">
        <v>93</v>
      </c>
      <c r="BS148" s="55">
        <v>26.81</v>
      </c>
      <c r="BT148" s="55">
        <v>0</v>
      </c>
      <c r="BU148" s="55" t="s">
        <v>536</v>
      </c>
      <c r="BV148" s="55" t="s">
        <v>537</v>
      </c>
      <c r="BW148" s="55" t="s">
        <v>736</v>
      </c>
      <c r="BX148" s="55" t="s">
        <v>95</v>
      </c>
      <c r="BY148" s="55" t="s">
        <v>96</v>
      </c>
      <c r="BZ148" s="55">
        <v>0</v>
      </c>
      <c r="CA148" s="55">
        <v>0</v>
      </c>
      <c r="CB148" s="55" t="s">
        <v>97</v>
      </c>
      <c r="CC148" s="55" t="s">
        <v>548</v>
      </c>
      <c r="CD148" s="55">
        <v>1</v>
      </c>
      <c r="CE148" s="55" t="s">
        <v>2206</v>
      </c>
      <c r="CF148" s="55">
        <v>1</v>
      </c>
      <c r="CG148" s="55" t="s">
        <v>396</v>
      </c>
      <c r="CH148" s="55">
        <v>1</v>
      </c>
      <c r="CI148" s="55" t="s">
        <v>541</v>
      </c>
      <c r="CJ148" s="55" t="s">
        <v>98</v>
      </c>
      <c r="CK148" s="55">
        <v>42</v>
      </c>
      <c r="CL148" s="55">
        <v>0</v>
      </c>
      <c r="CM148" s="55">
        <v>0</v>
      </c>
      <c r="CN148" s="55" t="s">
        <v>124</v>
      </c>
      <c r="CO148" s="55" t="s">
        <v>97</v>
      </c>
      <c r="CP148" s="55" t="s">
        <v>100</v>
      </c>
      <c r="CQ148" s="55" t="s">
        <v>126</v>
      </c>
      <c r="CR148" s="57">
        <v>46219</v>
      </c>
      <c r="CT148" s="55" t="s">
        <v>510</v>
      </c>
    </row>
    <row r="149" spans="1:98" s="55" customFormat="1" x14ac:dyDescent="0.35">
      <c r="A149" s="54" t="s">
        <v>529</v>
      </c>
      <c r="B149" s="54" t="s">
        <v>542</v>
      </c>
      <c r="C149" s="55" t="s">
        <v>530</v>
      </c>
      <c r="D149" s="55">
        <v>2017</v>
      </c>
      <c r="E149" s="54" t="s">
        <v>531</v>
      </c>
      <c r="F149" s="54" t="s">
        <v>532</v>
      </c>
      <c r="G149" s="55" t="s">
        <v>78</v>
      </c>
      <c r="H149" s="55">
        <v>1</v>
      </c>
      <c r="I149" s="55" t="s">
        <v>533</v>
      </c>
      <c r="J149" s="55" t="s">
        <v>79</v>
      </c>
      <c r="K149" s="55">
        <v>281</v>
      </c>
      <c r="L149" s="55" t="s">
        <v>104</v>
      </c>
      <c r="M149" s="55" t="s">
        <v>380</v>
      </c>
      <c r="N149" s="55">
        <v>-6.9999999999999999E-4</v>
      </c>
      <c r="O149" s="55">
        <v>2.0000000000000001E-4</v>
      </c>
      <c r="P149" s="88">
        <f t="shared" si="55"/>
        <v>-3.5</v>
      </c>
      <c r="Q149" s="55" t="s">
        <v>312</v>
      </c>
      <c r="R149" s="88">
        <f t="shared" si="56"/>
        <v>-1.0920000000000001E-3</v>
      </c>
      <c r="S149" s="88">
        <f t="shared" si="57"/>
        <v>-3.0800000000000001E-4</v>
      </c>
      <c r="T149" s="55">
        <v>1</v>
      </c>
      <c r="U149" s="55">
        <v>75163</v>
      </c>
      <c r="V149" s="55">
        <v>9</v>
      </c>
      <c r="W149" s="55">
        <v>1</v>
      </c>
      <c r="X149" s="55">
        <f t="shared" si="58"/>
        <v>75154</v>
      </c>
      <c r="Y149" s="88">
        <f t="shared" si="59"/>
        <v>-1.276605179995733E-2</v>
      </c>
      <c r="Z149" s="88">
        <f t="shared" si="60"/>
        <v>3.6474433714163801E-3</v>
      </c>
      <c r="AA149" s="88">
        <f t="shared" ref="AA149:AA180" si="66">Y149</f>
        <v>-1.276605179995733E-2</v>
      </c>
      <c r="AB149" s="55" t="s">
        <v>81</v>
      </c>
      <c r="AC149" s="88">
        <f>N149*AN149</f>
        <v>-1.6632000000000001E-2</v>
      </c>
      <c r="AD149" s="88" cm="1">
        <f t="array" ref="AD149">_xlfn.IFS(
AND(L149="marginal_effect",M149="level"),N149*AN149/BF149,
AND(L149="marginal_effect",M149="sd (Y)"),N149*BH149*AN149/BF149,
AND(L149="marginal_effect",M149="sd (X)"),N149/AQ149*AN149/BF149,
AND(L149="semi_elasticity",M149="level"),N149*AN149,
AND(L149="semi_elasticity",M149="sd (Y)"),N149*AN149*BH149,
AND(L149="semi_elasticity",M149="sd (X)"),N149*AN149/AQ149,
AND(L149="level-log",M149="level"),N149/BF149,
AND(L149="level-log",M149="sd (X)"),N149/BF149/AQ149,
AND(L149="level-log",M149="sd (Y)"),N149/BF149*BH149,
AND(L149="elasticity",M149="level"),N149,
AND(L149="elasticity",M149="sd (X)"),N149/AQ149,
AND(L149="elasticity",M149="sd (Y)"),N149*BH149,
AND(L149="marginal_effect",M149="percent_of_mean"),N149*AN149/BF149/10)</f>
        <v>-1.6632000000000001E-2</v>
      </c>
      <c r="AE149" s="56">
        <f t="shared" si="61"/>
        <v>1</v>
      </c>
      <c r="AF149" s="88">
        <f>O149*AN149</f>
        <v>4.7520000000000001E-3</v>
      </c>
      <c r="AG149" s="88" cm="1">
        <f t="array" ref="AG149">_xlfn.IFS(
AND(L149="marginal_effect",M149="level"),O149*AN149/BF149,
AND(L149="marginal_effect",M149="sd (Y)"),O149*BH149*AN149/BF149,
AND(L149="marginal_effect",M149="sd (X)"),O149/AQ149*AN149/BF149,
AND(L149="semi_elasticity",M149="level"),O149*AN149,
AND(L149="semi_elasticity",M149="sd (Y)"),O149*AN149*BH149,
AND(L149="semi_elasticity",M149="sd (X)"),O149*AN149/AQ149,
AND(L149="level-log",M149="level"),O149/BF149,
AND(L149="level-log",M149="sd (X)"),O149/BF149/AQ149,
AND(L149="level-log",M149="sd (Y)"),O149/BF149*BH149,
AND(L149="elasticity",M149="level"),O149,
AND(L149="elasticity",M149="sd (X)"),O149/AQ149,
AND(L149="elasticity",M149="sd (Y)"),O149*BH149,
AND(L149="marginal_effect",M149="percent_of_mean"),O149*AN149/BF149/10)</f>
        <v>4.7520000000000001E-3</v>
      </c>
      <c r="AH149" s="56">
        <f t="shared" si="62"/>
        <v>1</v>
      </c>
      <c r="AI149" s="88">
        <f t="shared" ref="AI149:AI180" si="67">AC149</f>
        <v>-1.6632000000000001E-2</v>
      </c>
      <c r="AJ149" s="55">
        <v>0</v>
      </c>
      <c r="AK149" s="56">
        <f t="shared" si="63"/>
        <v>1</v>
      </c>
      <c r="AL149" s="55" t="s">
        <v>106</v>
      </c>
      <c r="AM149" s="55" t="s">
        <v>1333</v>
      </c>
      <c r="AN149" s="55">
        <v>23.76</v>
      </c>
      <c r="AO149" s="55">
        <v>0</v>
      </c>
      <c r="AP149" s="55">
        <f t="shared" si="54"/>
        <v>23.76</v>
      </c>
      <c r="AQ149" s="55">
        <v>16.22</v>
      </c>
      <c r="AR149" s="55">
        <v>0.53</v>
      </c>
      <c r="AS149" s="55">
        <v>158.28</v>
      </c>
      <c r="AT149" s="55" t="s">
        <v>83</v>
      </c>
      <c r="AU149" s="55" t="s">
        <v>109</v>
      </c>
      <c r="AV149" s="55" t="s">
        <v>133</v>
      </c>
      <c r="AW149" s="55" t="s">
        <v>109</v>
      </c>
      <c r="AX149" s="55" t="s">
        <v>86</v>
      </c>
      <c r="AY149" s="55">
        <v>0</v>
      </c>
      <c r="AZ149" s="55">
        <v>0</v>
      </c>
      <c r="BA149" s="55" t="s">
        <v>734</v>
      </c>
      <c r="BB149" s="55" t="s">
        <v>88</v>
      </c>
      <c r="BC149" s="55" t="s">
        <v>134</v>
      </c>
      <c r="BD149" s="55" t="s">
        <v>114</v>
      </c>
      <c r="BE149" s="55" t="s">
        <v>534</v>
      </c>
      <c r="BF149" s="55">
        <v>26.3</v>
      </c>
      <c r="BG149" s="55">
        <v>0</v>
      </c>
      <c r="BH149" s="55">
        <v>16.48</v>
      </c>
      <c r="BI149" s="55">
        <v>0</v>
      </c>
      <c r="BJ149" s="55">
        <v>138</v>
      </c>
      <c r="BK149" s="55" t="s">
        <v>538</v>
      </c>
      <c r="BL149" s="55" t="s">
        <v>84</v>
      </c>
      <c r="BM149" s="55">
        <v>1</v>
      </c>
      <c r="BN149" s="55" t="s">
        <v>539</v>
      </c>
      <c r="BO149" s="55" t="s">
        <v>540</v>
      </c>
      <c r="BP149" s="55" t="s">
        <v>540</v>
      </c>
      <c r="BQ149" s="55" t="s">
        <v>92</v>
      </c>
      <c r="BR149" s="55" t="s">
        <v>93</v>
      </c>
      <c r="BS149" s="55">
        <v>26.81</v>
      </c>
      <c r="BT149" s="55">
        <v>0</v>
      </c>
      <c r="BU149" s="55" t="s">
        <v>536</v>
      </c>
      <c r="BV149" s="55" t="s">
        <v>537</v>
      </c>
      <c r="BW149" s="55" t="s">
        <v>736</v>
      </c>
      <c r="BX149" s="55" t="s">
        <v>95</v>
      </c>
      <c r="BY149" s="55" t="s">
        <v>96</v>
      </c>
      <c r="BZ149" s="55">
        <v>0</v>
      </c>
      <c r="CA149" s="55">
        <v>0</v>
      </c>
      <c r="CB149" s="55" t="s">
        <v>97</v>
      </c>
      <c r="CC149" s="55" t="s">
        <v>509</v>
      </c>
      <c r="CD149" s="55">
        <v>0</v>
      </c>
      <c r="CE149" s="55" t="s">
        <v>97</v>
      </c>
      <c r="CF149" s="55">
        <v>0</v>
      </c>
      <c r="CG149" s="55" t="s">
        <v>97</v>
      </c>
      <c r="CH149" s="55">
        <v>1</v>
      </c>
      <c r="CI149" s="55" t="s">
        <v>541</v>
      </c>
      <c r="CJ149" s="55" t="s">
        <v>98</v>
      </c>
      <c r="CK149" s="55">
        <v>42</v>
      </c>
      <c r="CL149" s="55">
        <v>0</v>
      </c>
      <c r="CM149" s="55">
        <v>0</v>
      </c>
      <c r="CN149" s="55" t="s">
        <v>124</v>
      </c>
      <c r="CO149" s="55" t="s">
        <v>97</v>
      </c>
      <c r="CP149" s="55" t="s">
        <v>100</v>
      </c>
      <c r="CQ149" s="55" t="s">
        <v>126</v>
      </c>
      <c r="CR149" s="57">
        <v>46219</v>
      </c>
      <c r="CT149" s="55" t="s">
        <v>561</v>
      </c>
    </row>
    <row r="150" spans="1:98" s="55" customFormat="1" x14ac:dyDescent="0.35">
      <c r="A150" s="54" t="s">
        <v>529</v>
      </c>
      <c r="B150" s="54" t="s">
        <v>544</v>
      </c>
      <c r="C150" s="55" t="s">
        <v>530</v>
      </c>
      <c r="D150" s="55">
        <v>2017</v>
      </c>
      <c r="E150" s="54" t="s">
        <v>531</v>
      </c>
      <c r="F150" s="54" t="s">
        <v>532</v>
      </c>
      <c r="G150" s="55" t="s">
        <v>78</v>
      </c>
      <c r="H150" s="55">
        <v>1</v>
      </c>
      <c r="I150" s="55" t="s">
        <v>533</v>
      </c>
      <c r="J150" s="55" t="s">
        <v>79</v>
      </c>
      <c r="K150" s="55">
        <v>281</v>
      </c>
      <c r="L150" s="55" t="s">
        <v>104</v>
      </c>
      <c r="M150" s="55" t="s">
        <v>380</v>
      </c>
      <c r="N150" s="55">
        <v>-1E-3</v>
      </c>
      <c r="O150" s="55">
        <v>2.0000000000000001E-4</v>
      </c>
      <c r="P150" s="88">
        <f t="shared" si="55"/>
        <v>-5</v>
      </c>
      <c r="Q150" s="55" t="s">
        <v>312</v>
      </c>
      <c r="R150" s="88">
        <f t="shared" si="56"/>
        <v>-1.392E-3</v>
      </c>
      <c r="S150" s="88">
        <f t="shared" si="57"/>
        <v>-6.0800000000000003E-4</v>
      </c>
      <c r="T150" s="55">
        <v>1</v>
      </c>
      <c r="U150" s="55">
        <v>75163</v>
      </c>
      <c r="V150" s="55">
        <v>23</v>
      </c>
      <c r="W150" s="55">
        <v>1</v>
      </c>
      <c r="X150" s="55">
        <f t="shared" si="58"/>
        <v>75140</v>
      </c>
      <c r="Y150" s="88">
        <f t="shared" si="59"/>
        <v>-1.8237368499643566E-2</v>
      </c>
      <c r="Z150" s="88">
        <f t="shared" si="60"/>
        <v>3.6474736999287131E-3</v>
      </c>
      <c r="AA150" s="88">
        <f t="shared" si="66"/>
        <v>-1.8237368499643566E-2</v>
      </c>
      <c r="AB150" s="55" t="s">
        <v>81</v>
      </c>
      <c r="AC150" s="88">
        <f>N150*AN150</f>
        <v>-2.3760000000000003E-2</v>
      </c>
      <c r="AD150" s="88" cm="1">
        <f t="array" ref="AD150">_xlfn.IFS(
AND(L150="marginal_effect",M150="level"),N150*AN150/BF150,
AND(L150="marginal_effect",M150="sd (Y)"),N150*BH150*AN150/BF150,
AND(L150="marginal_effect",M150="sd (X)"),N150/AQ150*AN150/BF150,
AND(L150="semi_elasticity",M150="level"),N150*AN150,
AND(L150="semi_elasticity",M150="sd (Y)"),N150*AN150*BH150,
AND(L150="semi_elasticity",M150="sd (X)"),N150*AN150/AQ150,
AND(L150="level-log",M150="level"),N150/BF150,
AND(L150="level-log",M150="sd (X)"),N150/BF150/AQ150,
AND(L150="level-log",M150="sd (Y)"),N150/BF150*BH150,
AND(L150="elasticity",M150="level"),N150,
AND(L150="elasticity",M150="sd (X)"),N150/AQ150,
AND(L150="elasticity",M150="sd (Y)"),N150*BH150,
AND(L150="marginal_effect",M150="percent_of_mean"),N150*AN150/BF150/10)</f>
        <v>-2.3760000000000003E-2</v>
      </c>
      <c r="AE150" s="56">
        <f t="shared" si="61"/>
        <v>1</v>
      </c>
      <c r="AF150" s="88">
        <f>O150*AN150</f>
        <v>4.7520000000000001E-3</v>
      </c>
      <c r="AG150" s="88" cm="1">
        <f t="array" ref="AG150">_xlfn.IFS(
AND(L150="marginal_effect",M150="level"),O150*AN150/BF150,
AND(L150="marginal_effect",M150="sd (Y)"),O150*BH150*AN150/BF150,
AND(L150="marginal_effect",M150="sd (X)"),O150/AQ150*AN150/BF150,
AND(L150="semi_elasticity",M150="level"),O150*AN150,
AND(L150="semi_elasticity",M150="sd (Y)"),O150*AN150*BH150,
AND(L150="semi_elasticity",M150="sd (X)"),O150*AN150/AQ150,
AND(L150="level-log",M150="level"),O150/BF150,
AND(L150="level-log",M150="sd (X)"),O150/BF150/AQ150,
AND(L150="level-log",M150="sd (Y)"),O150/BF150*BH150,
AND(L150="elasticity",M150="level"),O150,
AND(L150="elasticity",M150="sd (X)"),O150/AQ150,
AND(L150="elasticity",M150="sd (Y)"),O150*BH150,
AND(L150="marginal_effect",M150="percent_of_mean"),O150*AN150/BF150/10)</f>
        <v>4.7520000000000001E-3</v>
      </c>
      <c r="AH150" s="56">
        <f t="shared" si="62"/>
        <v>1</v>
      </c>
      <c r="AI150" s="88">
        <f t="shared" si="67"/>
        <v>-2.3760000000000003E-2</v>
      </c>
      <c r="AJ150" s="55">
        <v>0</v>
      </c>
      <c r="AK150" s="56">
        <f t="shared" si="63"/>
        <v>1</v>
      </c>
      <c r="AL150" s="55" t="s">
        <v>106</v>
      </c>
      <c r="AM150" s="55" t="s">
        <v>1333</v>
      </c>
      <c r="AN150" s="55">
        <v>23.76</v>
      </c>
      <c r="AO150" s="55">
        <v>0</v>
      </c>
      <c r="AP150" s="55">
        <f t="shared" si="54"/>
        <v>23.76</v>
      </c>
      <c r="AQ150" s="55">
        <v>16.22</v>
      </c>
      <c r="AR150" s="55">
        <v>0.53</v>
      </c>
      <c r="AS150" s="55">
        <v>158.28</v>
      </c>
      <c r="AT150" s="55" t="s">
        <v>83</v>
      </c>
      <c r="AU150" s="55" t="s">
        <v>109</v>
      </c>
      <c r="AV150" s="55" t="s">
        <v>133</v>
      </c>
      <c r="AW150" s="55" t="s">
        <v>109</v>
      </c>
      <c r="AX150" s="55" t="s">
        <v>86</v>
      </c>
      <c r="AY150" s="55">
        <v>0</v>
      </c>
      <c r="AZ150" s="55">
        <v>0</v>
      </c>
      <c r="BA150" s="55" t="s">
        <v>734</v>
      </c>
      <c r="BB150" s="55" t="s">
        <v>88</v>
      </c>
      <c r="BC150" s="55" t="s">
        <v>134</v>
      </c>
      <c r="BD150" s="55" t="s">
        <v>114</v>
      </c>
      <c r="BE150" s="55" t="s">
        <v>534</v>
      </c>
      <c r="BF150" s="55">
        <v>26.3</v>
      </c>
      <c r="BG150" s="55">
        <v>0</v>
      </c>
      <c r="BH150" s="55">
        <v>16.48</v>
      </c>
      <c r="BI150" s="55">
        <v>0</v>
      </c>
      <c r="BJ150" s="55">
        <v>138</v>
      </c>
      <c r="BK150" s="55" t="s">
        <v>538</v>
      </c>
      <c r="BL150" s="55" t="s">
        <v>84</v>
      </c>
      <c r="BM150" s="55">
        <v>1</v>
      </c>
      <c r="BN150" s="55" t="s">
        <v>539</v>
      </c>
      <c r="BO150" s="55" t="s">
        <v>540</v>
      </c>
      <c r="BP150" s="55" t="s">
        <v>540</v>
      </c>
      <c r="BQ150" s="55" t="s">
        <v>92</v>
      </c>
      <c r="BR150" s="55" t="s">
        <v>93</v>
      </c>
      <c r="BS150" s="55">
        <v>26.81</v>
      </c>
      <c r="BT150" s="55">
        <v>0</v>
      </c>
      <c r="BU150" s="55" t="s">
        <v>536</v>
      </c>
      <c r="BV150" s="55" t="s">
        <v>537</v>
      </c>
      <c r="BW150" s="55" t="s">
        <v>736</v>
      </c>
      <c r="BX150" s="55" t="s">
        <v>95</v>
      </c>
      <c r="BY150" s="55" t="s">
        <v>96</v>
      </c>
      <c r="BZ150" s="55">
        <v>0</v>
      </c>
      <c r="CA150" s="55">
        <v>0</v>
      </c>
      <c r="CB150" s="55" t="s">
        <v>97</v>
      </c>
      <c r="CC150" s="55" t="s">
        <v>548</v>
      </c>
      <c r="CD150" s="55">
        <v>1</v>
      </c>
      <c r="CE150" s="55" t="s">
        <v>2206</v>
      </c>
      <c r="CF150" s="55">
        <v>0</v>
      </c>
      <c r="CG150" s="55" t="s">
        <v>97</v>
      </c>
      <c r="CH150" s="55">
        <v>1</v>
      </c>
      <c r="CI150" s="55" t="s">
        <v>541</v>
      </c>
      <c r="CJ150" s="55" t="s">
        <v>98</v>
      </c>
      <c r="CK150" s="55">
        <v>42</v>
      </c>
      <c r="CL150" s="55">
        <v>0</v>
      </c>
      <c r="CM150" s="55">
        <v>0</v>
      </c>
      <c r="CN150" s="55" t="s">
        <v>124</v>
      </c>
      <c r="CO150" s="55" t="s">
        <v>97</v>
      </c>
      <c r="CP150" s="55" t="s">
        <v>100</v>
      </c>
      <c r="CQ150" s="55" t="s">
        <v>126</v>
      </c>
      <c r="CR150" s="57">
        <v>46219</v>
      </c>
      <c r="CT150" s="55" t="s">
        <v>562</v>
      </c>
    </row>
    <row r="151" spans="1:98" s="55" customFormat="1" x14ac:dyDescent="0.35">
      <c r="A151" s="54" t="s">
        <v>529</v>
      </c>
      <c r="B151" s="54" t="s">
        <v>563</v>
      </c>
      <c r="C151" s="55" t="s">
        <v>530</v>
      </c>
      <c r="D151" s="55">
        <v>2017</v>
      </c>
      <c r="E151" s="54" t="s">
        <v>531</v>
      </c>
      <c r="F151" s="54" t="s">
        <v>532</v>
      </c>
      <c r="G151" s="55" t="s">
        <v>78</v>
      </c>
      <c r="H151" s="55">
        <v>1</v>
      </c>
      <c r="I151" s="55" t="s">
        <v>533</v>
      </c>
      <c r="J151" s="55" t="s">
        <v>79</v>
      </c>
      <c r="K151" s="55">
        <v>281</v>
      </c>
      <c r="L151" s="55" t="s">
        <v>80</v>
      </c>
      <c r="M151" s="55" t="s">
        <v>380</v>
      </c>
      <c r="N151" s="55">
        <v>-1.4999999999999999E-2</v>
      </c>
      <c r="O151" s="55">
        <v>4.4000000000000003E-3</v>
      </c>
      <c r="P151" s="88">
        <f t="shared" si="55"/>
        <v>-3.4090909090909087</v>
      </c>
      <c r="Q151" s="55" t="s">
        <v>312</v>
      </c>
      <c r="R151" s="88">
        <f t="shared" si="56"/>
        <v>-2.3623999999999999E-2</v>
      </c>
      <c r="S151" s="88">
        <f t="shared" si="57"/>
        <v>-6.3759999999999997E-3</v>
      </c>
      <c r="T151" s="55">
        <v>1</v>
      </c>
      <c r="U151" s="55">
        <v>43346</v>
      </c>
      <c r="V151" s="55">
        <v>9</v>
      </c>
      <c r="W151" s="55">
        <v>1</v>
      </c>
      <c r="X151" s="55">
        <f t="shared" si="58"/>
        <v>43337</v>
      </c>
      <c r="Y151" s="88">
        <f t="shared" si="59"/>
        <v>-1.6373854802316186E-2</v>
      </c>
      <c r="Z151" s="88">
        <f t="shared" si="60"/>
        <v>4.8029974086794148E-3</v>
      </c>
      <c r="AA151" s="88">
        <f t="shared" si="66"/>
        <v>-1.6373854802316186E-2</v>
      </c>
      <c r="AB151" s="55" t="s">
        <v>81</v>
      </c>
      <c r="AC151" s="88">
        <f>N151</f>
        <v>-1.4999999999999999E-2</v>
      </c>
      <c r="AD151" s="88" cm="1">
        <f t="array" ref="AD151">_xlfn.IFS(
AND(L151="marginal_effect",M151="level"),N151*AN151/BF151,
AND(L151="marginal_effect",M151="sd (Y)"),N151*BH151*AN151/BF151,
AND(L151="marginal_effect",M151="sd (X)"),N151/AQ151*AN151/BF151,
AND(L151="semi_elasticity",M151="level"),N151*AN151,
AND(L151="semi_elasticity",M151="sd (Y)"),N151*AN151*BH151,
AND(L151="semi_elasticity",M151="sd (X)"),N151*AN151/AQ151,
AND(L151="level-log",M151="level"),N151/BF151,
AND(L151="level-log",M151="sd (X)"),N151/BF151/AQ151,
AND(L151="level-log",M151="sd (Y)"),N151/BF151*BH151,
AND(L151="elasticity",M151="level"),N151,
AND(L151="elasticity",M151="sd (X)"),N151/AQ151,
AND(L151="elasticity",M151="sd (Y)"),N151*BH151,
AND(L151="marginal_effect",M151="percent_of_mean"),N151*AN151/BF151/10)</f>
        <v>-1.4999999999999999E-2</v>
      </c>
      <c r="AE151" s="56">
        <f t="shared" si="61"/>
        <v>1</v>
      </c>
      <c r="AF151" s="88">
        <f>O151</f>
        <v>4.4000000000000003E-3</v>
      </c>
      <c r="AG151" s="88" cm="1">
        <f t="array" ref="AG151">_xlfn.IFS(
AND(L151="marginal_effect",M151="level"),O151*AN151/BF151,
AND(L151="marginal_effect",M151="sd (Y)"),O151*BH151*AN151/BF151,
AND(L151="marginal_effect",M151="sd (X)"),O151/AQ151*AN151/BF151,
AND(L151="semi_elasticity",M151="level"),O151*AN151,
AND(L151="semi_elasticity",M151="sd (Y)"),O151*AN151*BH151,
AND(L151="semi_elasticity",M151="sd (X)"),O151*AN151/AQ151,
AND(L151="level-log",M151="level"),O151/BF151,
AND(L151="level-log",M151="sd (X)"),O151/BF151/AQ151,
AND(L151="level-log",M151="sd (Y)"),O151/BF151*BH151,
AND(L151="elasticity",M151="level"),O151,
AND(L151="elasticity",M151="sd (X)"),O151/AQ151,
AND(L151="elasticity",M151="sd (Y)"),O151*BH151,
AND(L151="marginal_effect",M151="percent_of_mean"),O151*AN151/BF151/10)</f>
        <v>4.4000000000000003E-3</v>
      </c>
      <c r="AH151" s="56">
        <f t="shared" si="62"/>
        <v>1</v>
      </c>
      <c r="AI151" s="88">
        <f t="shared" si="67"/>
        <v>-1.4999999999999999E-2</v>
      </c>
      <c r="AJ151" s="55">
        <v>0</v>
      </c>
      <c r="AK151" s="56">
        <f t="shared" si="63"/>
        <v>1</v>
      </c>
      <c r="AL151" s="55" t="s">
        <v>106</v>
      </c>
      <c r="AM151" s="55" t="s">
        <v>1333</v>
      </c>
      <c r="AN151" s="55">
        <v>23.76</v>
      </c>
      <c r="AO151" s="55">
        <v>0</v>
      </c>
      <c r="AP151" s="55">
        <f t="shared" si="54"/>
        <v>23.76</v>
      </c>
      <c r="AQ151" s="55">
        <v>16.22</v>
      </c>
      <c r="AR151" s="55">
        <v>0.53</v>
      </c>
      <c r="AS151" s="55">
        <v>158.28</v>
      </c>
      <c r="AT151" s="55" t="s">
        <v>83</v>
      </c>
      <c r="AU151" s="55" t="s">
        <v>109</v>
      </c>
      <c r="AV151" s="55" t="s">
        <v>133</v>
      </c>
      <c r="AW151" s="55" t="s">
        <v>109</v>
      </c>
      <c r="AX151" s="55" t="s">
        <v>86</v>
      </c>
      <c r="AY151" s="55">
        <v>0</v>
      </c>
      <c r="AZ151" s="55">
        <v>0</v>
      </c>
      <c r="BA151" s="55" t="s">
        <v>734</v>
      </c>
      <c r="BB151" s="55" t="s">
        <v>88</v>
      </c>
      <c r="BC151" s="55" t="s">
        <v>134</v>
      </c>
      <c r="BD151" s="55" t="s">
        <v>114</v>
      </c>
      <c r="BE151" s="55" t="s">
        <v>534</v>
      </c>
      <c r="BF151" s="55">
        <v>34.200000000000003</v>
      </c>
      <c r="BG151" s="55">
        <v>0</v>
      </c>
      <c r="BH151" s="55">
        <v>14.47</v>
      </c>
      <c r="BI151" s="55">
        <v>1</v>
      </c>
      <c r="BJ151" s="55">
        <v>138</v>
      </c>
      <c r="BK151" s="55" t="s">
        <v>538</v>
      </c>
      <c r="BL151" s="55" t="s">
        <v>84</v>
      </c>
      <c r="BM151" s="55">
        <v>1</v>
      </c>
      <c r="BN151" s="55" t="s">
        <v>539</v>
      </c>
      <c r="BO151" s="55" t="s">
        <v>540</v>
      </c>
      <c r="BP151" s="55" t="s">
        <v>540</v>
      </c>
      <c r="BQ151" s="55" t="s">
        <v>92</v>
      </c>
      <c r="BR151" s="55" t="s">
        <v>93</v>
      </c>
      <c r="BS151" s="55">
        <v>26.81</v>
      </c>
      <c r="BT151" s="55">
        <v>0</v>
      </c>
      <c r="BU151" s="55" t="s">
        <v>536</v>
      </c>
      <c r="BV151" s="55" t="s">
        <v>537</v>
      </c>
      <c r="BW151" s="55" t="s">
        <v>736</v>
      </c>
      <c r="BX151" s="55" t="s">
        <v>95</v>
      </c>
      <c r="BY151" s="55" t="s">
        <v>96</v>
      </c>
      <c r="BZ151" s="55">
        <v>0</v>
      </c>
      <c r="CA151" s="55">
        <v>0</v>
      </c>
      <c r="CB151" s="55" t="s">
        <v>97</v>
      </c>
      <c r="CC151" s="55" t="s">
        <v>509</v>
      </c>
      <c r="CD151" s="55">
        <v>0</v>
      </c>
      <c r="CE151" s="55" t="s">
        <v>97</v>
      </c>
      <c r="CF151" s="55">
        <v>0</v>
      </c>
      <c r="CG151" s="55" t="s">
        <v>97</v>
      </c>
      <c r="CH151" s="55">
        <v>1</v>
      </c>
      <c r="CI151" s="55" t="s">
        <v>541</v>
      </c>
      <c r="CJ151" s="55" t="s">
        <v>98</v>
      </c>
      <c r="CK151" s="55">
        <v>42</v>
      </c>
      <c r="CL151" s="55">
        <v>0</v>
      </c>
      <c r="CM151" s="55">
        <v>0</v>
      </c>
      <c r="CN151" s="55" t="s">
        <v>124</v>
      </c>
      <c r="CO151" s="55" t="s">
        <v>97</v>
      </c>
      <c r="CP151" s="55" t="s">
        <v>100</v>
      </c>
      <c r="CQ151" s="55" t="s">
        <v>126</v>
      </c>
      <c r="CR151" s="57">
        <v>46219</v>
      </c>
      <c r="CT151" s="55" t="s">
        <v>565</v>
      </c>
    </row>
    <row r="152" spans="1:98" s="55" customFormat="1" x14ac:dyDescent="0.35">
      <c r="A152" s="54" t="s">
        <v>529</v>
      </c>
      <c r="B152" s="54" t="s">
        <v>564</v>
      </c>
      <c r="C152" s="55" t="s">
        <v>530</v>
      </c>
      <c r="D152" s="55">
        <v>2017</v>
      </c>
      <c r="E152" s="54" t="s">
        <v>531</v>
      </c>
      <c r="F152" s="54" t="s">
        <v>532</v>
      </c>
      <c r="G152" s="55" t="s">
        <v>78</v>
      </c>
      <c r="H152" s="55">
        <v>1</v>
      </c>
      <c r="I152" s="55" t="s">
        <v>533</v>
      </c>
      <c r="J152" s="55" t="s">
        <v>79</v>
      </c>
      <c r="K152" s="55">
        <v>281</v>
      </c>
      <c r="L152" s="55" t="s">
        <v>80</v>
      </c>
      <c r="M152" s="55" t="s">
        <v>380</v>
      </c>
      <c r="N152" s="55">
        <v>-2.1000000000000001E-2</v>
      </c>
      <c r="O152" s="55">
        <v>5.1000000000000004E-3</v>
      </c>
      <c r="P152" s="88">
        <f t="shared" si="55"/>
        <v>-4.117647058823529</v>
      </c>
      <c r="Q152" s="55" t="s">
        <v>312</v>
      </c>
      <c r="R152" s="88">
        <f t="shared" si="56"/>
        <v>-3.0996000000000003E-2</v>
      </c>
      <c r="S152" s="88">
        <f t="shared" si="57"/>
        <v>-1.1004000000000002E-2</v>
      </c>
      <c r="T152" s="55">
        <v>1</v>
      </c>
      <c r="U152" s="55">
        <v>43346</v>
      </c>
      <c r="V152" s="55">
        <v>23</v>
      </c>
      <c r="W152" s="55">
        <v>1</v>
      </c>
      <c r="X152" s="55">
        <f t="shared" si="58"/>
        <v>43323</v>
      </c>
      <c r="Y152" s="88">
        <f t="shared" si="59"/>
        <v>-1.9779025506666836E-2</v>
      </c>
      <c r="Z152" s="88">
        <f t="shared" si="60"/>
        <v>4.8034776230476608E-3</v>
      </c>
      <c r="AA152" s="88">
        <f t="shared" si="66"/>
        <v>-1.9779025506666836E-2</v>
      </c>
      <c r="AB152" s="55" t="s">
        <v>81</v>
      </c>
      <c r="AC152" s="88">
        <f>N152</f>
        <v>-2.1000000000000001E-2</v>
      </c>
      <c r="AD152" s="88" cm="1">
        <f t="array" ref="AD152">_xlfn.IFS(
AND(L152="marginal_effect",M152="level"),N152*AN152/BF152,
AND(L152="marginal_effect",M152="sd (Y)"),N152*BH152*AN152/BF152,
AND(L152="marginal_effect",M152="sd (X)"),N152/AQ152*AN152/BF152,
AND(L152="semi_elasticity",M152="level"),N152*AN152,
AND(L152="semi_elasticity",M152="sd (Y)"),N152*AN152*BH152,
AND(L152="semi_elasticity",M152="sd (X)"),N152*AN152/AQ152,
AND(L152="level-log",M152="level"),N152/BF152,
AND(L152="level-log",M152="sd (X)"),N152/BF152/AQ152,
AND(L152="level-log",M152="sd (Y)"),N152/BF152*BH152,
AND(L152="elasticity",M152="level"),N152,
AND(L152="elasticity",M152="sd (X)"),N152/AQ152,
AND(L152="elasticity",M152="sd (Y)"),N152*BH152,
AND(L152="marginal_effect",M152="percent_of_mean"),N152*AN152/BF152/10)</f>
        <v>-2.1000000000000001E-2</v>
      </c>
      <c r="AE152" s="56">
        <f t="shared" si="61"/>
        <v>1</v>
      </c>
      <c r="AF152" s="88">
        <f>O152</f>
        <v>5.1000000000000004E-3</v>
      </c>
      <c r="AG152" s="88" cm="1">
        <f t="array" ref="AG152">_xlfn.IFS(
AND(L152="marginal_effect",M152="level"),O152*AN152/BF152,
AND(L152="marginal_effect",M152="sd (Y)"),O152*BH152*AN152/BF152,
AND(L152="marginal_effect",M152="sd (X)"),O152/AQ152*AN152/BF152,
AND(L152="semi_elasticity",M152="level"),O152*AN152,
AND(L152="semi_elasticity",M152="sd (Y)"),O152*AN152*BH152,
AND(L152="semi_elasticity",M152="sd (X)"),O152*AN152/AQ152,
AND(L152="level-log",M152="level"),O152/BF152,
AND(L152="level-log",M152="sd (X)"),O152/BF152/AQ152,
AND(L152="level-log",M152="sd (Y)"),O152/BF152*BH152,
AND(L152="elasticity",M152="level"),O152,
AND(L152="elasticity",M152="sd (X)"),O152/AQ152,
AND(L152="elasticity",M152="sd (Y)"),O152*BH152,
AND(L152="marginal_effect",M152="percent_of_mean"),O152*AN152/BF152/10)</f>
        <v>5.1000000000000004E-3</v>
      </c>
      <c r="AH152" s="56">
        <f t="shared" si="62"/>
        <v>1</v>
      </c>
      <c r="AI152" s="88">
        <f t="shared" si="67"/>
        <v>-2.1000000000000001E-2</v>
      </c>
      <c r="AJ152" s="55">
        <v>0</v>
      </c>
      <c r="AK152" s="56">
        <f t="shared" si="63"/>
        <v>1</v>
      </c>
      <c r="AL152" s="55" t="s">
        <v>106</v>
      </c>
      <c r="AM152" s="55" t="s">
        <v>1333</v>
      </c>
      <c r="AN152" s="55">
        <v>23.76</v>
      </c>
      <c r="AO152" s="55">
        <v>0</v>
      </c>
      <c r="AP152" s="55">
        <f t="shared" si="54"/>
        <v>23.76</v>
      </c>
      <c r="AQ152" s="55">
        <v>16.22</v>
      </c>
      <c r="AR152" s="55">
        <v>0.53</v>
      </c>
      <c r="AS152" s="55">
        <v>158.28</v>
      </c>
      <c r="AT152" s="55" t="s">
        <v>83</v>
      </c>
      <c r="AU152" s="55" t="s">
        <v>109</v>
      </c>
      <c r="AV152" s="55" t="s">
        <v>133</v>
      </c>
      <c r="AW152" s="55" t="s">
        <v>109</v>
      </c>
      <c r="AX152" s="55" t="s">
        <v>86</v>
      </c>
      <c r="AY152" s="55">
        <v>0</v>
      </c>
      <c r="AZ152" s="55">
        <v>0</v>
      </c>
      <c r="BA152" s="55" t="s">
        <v>734</v>
      </c>
      <c r="BB152" s="55" t="s">
        <v>88</v>
      </c>
      <c r="BC152" s="55" t="s">
        <v>134</v>
      </c>
      <c r="BD152" s="55" t="s">
        <v>114</v>
      </c>
      <c r="BE152" s="55" t="s">
        <v>534</v>
      </c>
      <c r="BF152" s="55">
        <v>34.200000000000003</v>
      </c>
      <c r="BG152" s="55">
        <v>0</v>
      </c>
      <c r="BH152" s="55">
        <v>14.47</v>
      </c>
      <c r="BI152" s="55">
        <v>1</v>
      </c>
      <c r="BJ152" s="55">
        <v>138</v>
      </c>
      <c r="BK152" s="55" t="s">
        <v>538</v>
      </c>
      <c r="BL152" s="55" t="s">
        <v>84</v>
      </c>
      <c r="BM152" s="55">
        <v>1</v>
      </c>
      <c r="BN152" s="55" t="s">
        <v>539</v>
      </c>
      <c r="BO152" s="55" t="s">
        <v>540</v>
      </c>
      <c r="BP152" s="55" t="s">
        <v>540</v>
      </c>
      <c r="BQ152" s="55" t="s">
        <v>92</v>
      </c>
      <c r="BR152" s="55" t="s">
        <v>93</v>
      </c>
      <c r="BS152" s="55">
        <v>26.81</v>
      </c>
      <c r="BT152" s="55">
        <v>0</v>
      </c>
      <c r="BU152" s="55" t="s">
        <v>536</v>
      </c>
      <c r="BV152" s="55" t="s">
        <v>537</v>
      </c>
      <c r="BW152" s="55" t="s">
        <v>736</v>
      </c>
      <c r="BX152" s="55" t="s">
        <v>95</v>
      </c>
      <c r="BY152" s="55" t="s">
        <v>96</v>
      </c>
      <c r="BZ152" s="55">
        <v>0</v>
      </c>
      <c r="CA152" s="55">
        <v>0</v>
      </c>
      <c r="CB152" s="55" t="s">
        <v>97</v>
      </c>
      <c r="CC152" s="55" t="s">
        <v>548</v>
      </c>
      <c r="CD152" s="55">
        <v>1</v>
      </c>
      <c r="CE152" s="55" t="s">
        <v>2206</v>
      </c>
      <c r="CF152" s="55">
        <v>0</v>
      </c>
      <c r="CG152" s="55" t="s">
        <v>97</v>
      </c>
      <c r="CH152" s="55">
        <v>1</v>
      </c>
      <c r="CI152" s="55" t="s">
        <v>541</v>
      </c>
      <c r="CJ152" s="55" t="s">
        <v>98</v>
      </c>
      <c r="CK152" s="55">
        <v>42</v>
      </c>
      <c r="CL152" s="55">
        <v>0</v>
      </c>
      <c r="CM152" s="55">
        <v>0</v>
      </c>
      <c r="CN152" s="55" t="s">
        <v>124</v>
      </c>
      <c r="CO152" s="55" t="s">
        <v>97</v>
      </c>
      <c r="CP152" s="55" t="s">
        <v>100</v>
      </c>
      <c r="CQ152" s="55" t="s">
        <v>126</v>
      </c>
      <c r="CR152" s="57">
        <v>46219</v>
      </c>
      <c r="CT152" s="55" t="s">
        <v>566</v>
      </c>
    </row>
    <row r="153" spans="1:98" s="55" customFormat="1" x14ac:dyDescent="0.35">
      <c r="A153" s="54" t="s">
        <v>529</v>
      </c>
      <c r="B153" s="54" t="s">
        <v>567</v>
      </c>
      <c r="C153" s="55" t="s">
        <v>530</v>
      </c>
      <c r="D153" s="55">
        <v>2017</v>
      </c>
      <c r="E153" s="54" t="s">
        <v>531</v>
      </c>
      <c r="F153" s="54" t="s">
        <v>532</v>
      </c>
      <c r="G153" s="55" t="s">
        <v>78</v>
      </c>
      <c r="H153" s="55">
        <v>1</v>
      </c>
      <c r="I153" s="55" t="s">
        <v>533</v>
      </c>
      <c r="J153" s="55" t="s">
        <v>79</v>
      </c>
      <c r="K153" s="55">
        <v>281</v>
      </c>
      <c r="L153" s="55" t="s">
        <v>129</v>
      </c>
      <c r="M153" s="55" t="s">
        <v>380</v>
      </c>
      <c r="N153" s="55">
        <v>-2.1000000000000001E-2</v>
      </c>
      <c r="O153" s="55">
        <v>4.0000000000000001E-3</v>
      </c>
      <c r="P153" s="88">
        <f t="shared" si="55"/>
        <v>-5.25</v>
      </c>
      <c r="Q153" s="55" t="s">
        <v>312</v>
      </c>
      <c r="R153" s="88">
        <f t="shared" si="56"/>
        <v>-2.8840000000000001E-2</v>
      </c>
      <c r="S153" s="88">
        <f t="shared" si="57"/>
        <v>-1.3160000000000002E-2</v>
      </c>
      <c r="T153" s="55">
        <v>1</v>
      </c>
      <c r="U153" s="55">
        <v>75163</v>
      </c>
      <c r="V153" s="55">
        <v>19</v>
      </c>
      <c r="W153" s="55">
        <v>1</v>
      </c>
      <c r="X153" s="55">
        <f t="shared" si="58"/>
        <v>75144</v>
      </c>
      <c r="Y153" s="88">
        <f t="shared" si="59"/>
        <v>-1.9148401039312552E-2</v>
      </c>
      <c r="Z153" s="88">
        <f t="shared" si="60"/>
        <v>3.647314483678582E-3</v>
      </c>
      <c r="AA153" s="88">
        <f t="shared" si="66"/>
        <v>-1.9148401039312552E-2</v>
      </c>
      <c r="AB153" s="55" t="s">
        <v>81</v>
      </c>
      <c r="AC153" s="88">
        <f t="shared" ref="AC153:AC184" si="68">N153*AN153/BF153</f>
        <v>-1.8971863117870726E-2</v>
      </c>
      <c r="AD153" s="88" cm="1">
        <f t="array" ref="AD153">_xlfn.IFS(
AND(L153="marginal_effect",M153="level"),N153*AN153/BF153,
AND(L153="marginal_effect",M153="sd (Y)"),N153*BH153*AN153/BF153,
AND(L153="marginal_effect",M153="sd (X)"),N153/AQ153*AN153/BF153,
AND(L153="semi_elasticity",M153="level"),N153*AN153,
AND(L153="semi_elasticity",M153="sd (Y)"),N153*AN153*BH153,
AND(L153="semi_elasticity",M153="sd (X)"),N153*AN153/AQ153,
AND(L153="level-log",M153="level"),N153/BF153,
AND(L153="level-log",M153="sd (X)"),N153/BF153/AQ153,
AND(L153="level-log",M153="sd (Y)"),N153/BF153*BH153,
AND(L153="elasticity",M153="level"),N153,
AND(L153="elasticity",M153="sd (X)"),N153/AQ153,
AND(L153="elasticity",M153="sd (Y)"),N153*BH153,
AND(L153="marginal_effect",M153="percent_of_mean"),N153*AN153/BF153/10)</f>
        <v>-1.8971863117870726E-2</v>
      </c>
      <c r="AE153" s="56">
        <f t="shared" si="61"/>
        <v>1</v>
      </c>
      <c r="AF153" s="88">
        <f t="shared" ref="AF153:AF184" si="69">O153*AN153/BF153</f>
        <v>3.6136882129277569E-3</v>
      </c>
      <c r="AG153" s="88" cm="1">
        <f t="array" ref="AG153">_xlfn.IFS(
AND(L153="marginal_effect",M153="level"),O153*AN153/BF153,
AND(L153="marginal_effect",M153="sd (Y)"),O153*BH153*AN153/BF153,
AND(L153="marginal_effect",M153="sd (X)"),O153/AQ153*AN153/BF153,
AND(L153="semi_elasticity",M153="level"),O153*AN153,
AND(L153="semi_elasticity",M153="sd (Y)"),O153*AN153*BH153,
AND(L153="semi_elasticity",M153="sd (X)"),O153*AN153/AQ153,
AND(L153="level-log",M153="level"),O153/BF153,
AND(L153="level-log",M153="sd (X)"),O153/BF153/AQ153,
AND(L153="level-log",M153="sd (Y)"),O153/BF153*BH153,
AND(L153="elasticity",M153="level"),O153,
AND(L153="elasticity",M153="sd (X)"),O153/AQ153,
AND(L153="elasticity",M153="sd (Y)"),O153*BH153,
AND(L153="marginal_effect",M153="percent_of_mean"),O153*AN153/BF153/10)</f>
        <v>3.6136882129277569E-3</v>
      </c>
      <c r="AH153" s="56">
        <f t="shared" si="62"/>
        <v>1</v>
      </c>
      <c r="AI153" s="88">
        <f t="shared" si="67"/>
        <v>-1.8971863117870726E-2</v>
      </c>
      <c r="AJ153" s="55">
        <v>0</v>
      </c>
      <c r="AK153" s="56">
        <f t="shared" si="63"/>
        <v>1</v>
      </c>
      <c r="AL153" s="55" t="s">
        <v>106</v>
      </c>
      <c r="AM153" s="55" t="s">
        <v>1333</v>
      </c>
      <c r="AN153" s="55">
        <v>23.76</v>
      </c>
      <c r="AO153" s="55">
        <v>0</v>
      </c>
      <c r="AP153" s="55">
        <f t="shared" si="54"/>
        <v>23.76</v>
      </c>
      <c r="AQ153" s="55">
        <v>16.22</v>
      </c>
      <c r="AR153" s="55">
        <v>0.53</v>
      </c>
      <c r="AS153" s="55">
        <v>158.28</v>
      </c>
      <c r="AT153" s="55" t="s">
        <v>83</v>
      </c>
      <c r="AU153" s="55" t="s">
        <v>109</v>
      </c>
      <c r="AV153" s="55" t="s">
        <v>133</v>
      </c>
      <c r="AW153" s="55" t="s">
        <v>109</v>
      </c>
      <c r="AX153" s="55" t="s">
        <v>86</v>
      </c>
      <c r="AY153" s="55">
        <v>0</v>
      </c>
      <c r="AZ153" s="55">
        <v>0</v>
      </c>
      <c r="BA153" s="55" t="s">
        <v>734</v>
      </c>
      <c r="BB153" s="55" t="s">
        <v>88</v>
      </c>
      <c r="BC153" s="55" t="s">
        <v>134</v>
      </c>
      <c r="BD153" s="55" t="s">
        <v>114</v>
      </c>
      <c r="BE153" s="55" t="s">
        <v>534</v>
      </c>
      <c r="BF153" s="55">
        <v>26.3</v>
      </c>
      <c r="BG153" s="55">
        <v>0</v>
      </c>
      <c r="BH153" s="55">
        <v>16.48</v>
      </c>
      <c r="BI153" s="55">
        <v>0</v>
      </c>
      <c r="BJ153" s="55">
        <v>138</v>
      </c>
      <c r="BK153" s="55" t="s">
        <v>538</v>
      </c>
      <c r="BL153" s="55" t="s">
        <v>84</v>
      </c>
      <c r="BM153" s="55">
        <v>1</v>
      </c>
      <c r="BN153" s="55" t="s">
        <v>539</v>
      </c>
      <c r="BO153" s="55" t="s">
        <v>540</v>
      </c>
      <c r="BP153" s="55" t="s">
        <v>540</v>
      </c>
      <c r="BQ153" s="55" t="s">
        <v>92</v>
      </c>
      <c r="BR153" s="55" t="s">
        <v>93</v>
      </c>
      <c r="BS153" s="55">
        <v>26.81</v>
      </c>
      <c r="BT153" s="55">
        <v>0</v>
      </c>
      <c r="BU153" s="55" t="s">
        <v>536</v>
      </c>
      <c r="BV153" s="55" t="s">
        <v>537</v>
      </c>
      <c r="BW153" s="55" t="s">
        <v>736</v>
      </c>
      <c r="BX153" s="55" t="s">
        <v>95</v>
      </c>
      <c r="BY153" s="55" t="s">
        <v>96</v>
      </c>
      <c r="BZ153" s="55">
        <v>0</v>
      </c>
      <c r="CA153" s="55">
        <v>0</v>
      </c>
      <c r="CB153" s="55" t="s">
        <v>97</v>
      </c>
      <c r="CC153" s="55" t="s">
        <v>546</v>
      </c>
      <c r="CD153" s="55">
        <v>1</v>
      </c>
      <c r="CE153" s="55" t="s">
        <v>2206</v>
      </c>
      <c r="CF153" s="55">
        <v>1</v>
      </c>
      <c r="CG153" s="55" t="s">
        <v>396</v>
      </c>
      <c r="CH153" s="55">
        <v>1</v>
      </c>
      <c r="CI153" s="55" t="s">
        <v>541</v>
      </c>
      <c r="CJ153" s="55" t="s">
        <v>98</v>
      </c>
      <c r="CK153" s="55">
        <v>42</v>
      </c>
      <c r="CL153" s="55">
        <v>0</v>
      </c>
      <c r="CM153" s="55">
        <v>0</v>
      </c>
      <c r="CN153" s="55" t="s">
        <v>124</v>
      </c>
      <c r="CO153" s="55" t="s">
        <v>97</v>
      </c>
      <c r="CP153" s="55" t="s">
        <v>100</v>
      </c>
      <c r="CQ153" s="55" t="s">
        <v>126</v>
      </c>
      <c r="CR153" s="57">
        <v>46219</v>
      </c>
      <c r="CT153" s="55" t="s">
        <v>575</v>
      </c>
    </row>
    <row r="154" spans="1:98" s="55" customFormat="1" x14ac:dyDescent="0.35">
      <c r="A154" s="54" t="s">
        <v>529</v>
      </c>
      <c r="B154" s="54" t="s">
        <v>568</v>
      </c>
      <c r="C154" s="55" t="s">
        <v>530</v>
      </c>
      <c r="D154" s="55">
        <v>2017</v>
      </c>
      <c r="E154" s="54" t="s">
        <v>531</v>
      </c>
      <c r="F154" s="54" t="s">
        <v>532</v>
      </c>
      <c r="G154" s="55" t="s">
        <v>78</v>
      </c>
      <c r="H154" s="55">
        <v>1</v>
      </c>
      <c r="I154" s="55" t="s">
        <v>533</v>
      </c>
      <c r="J154" s="55" t="s">
        <v>79</v>
      </c>
      <c r="K154" s="55">
        <v>281</v>
      </c>
      <c r="L154" s="55" t="s">
        <v>129</v>
      </c>
      <c r="M154" s="55" t="s">
        <v>380</v>
      </c>
      <c r="N154" s="55">
        <v>-6.0000000000000001E-3</v>
      </c>
      <c r="O154" s="55">
        <v>3.0000000000000001E-3</v>
      </c>
      <c r="P154" s="88">
        <f t="shared" si="55"/>
        <v>-2</v>
      </c>
      <c r="Q154" s="55" t="s">
        <v>312</v>
      </c>
      <c r="R154" s="88">
        <f t="shared" si="56"/>
        <v>-1.188E-2</v>
      </c>
      <c r="S154" s="88">
        <f t="shared" si="57"/>
        <v>-1.2000000000000031E-4</v>
      </c>
      <c r="T154" s="55">
        <v>1</v>
      </c>
      <c r="U154" s="55">
        <v>75163</v>
      </c>
      <c r="V154" s="55">
        <v>19</v>
      </c>
      <c r="W154" s="55">
        <v>1</v>
      </c>
      <c r="X154" s="55">
        <f t="shared" si="58"/>
        <v>75144</v>
      </c>
      <c r="Y154" s="88">
        <f t="shared" si="59"/>
        <v>-7.2957724856412458E-3</v>
      </c>
      <c r="Z154" s="88">
        <f t="shared" si="60"/>
        <v>3.6478862428206229E-3</v>
      </c>
      <c r="AA154" s="88">
        <f t="shared" si="66"/>
        <v>-7.2957724856412458E-3</v>
      </c>
      <c r="AB154" s="55" t="s">
        <v>81</v>
      </c>
      <c r="AC154" s="88">
        <f t="shared" si="68"/>
        <v>-1.2561216730038025E-2</v>
      </c>
      <c r="AD154" s="88" cm="1">
        <f t="array" ref="AD154">_xlfn.IFS(
AND(L154="marginal_effect",M154="level"),N154*AN154/BF154,
AND(L154="marginal_effect",M154="sd (Y)"),N154*BH154*AN154/BF154,
AND(L154="marginal_effect",M154="sd (X)"),N154/AQ154*AN154/BF154,
AND(L154="semi_elasticity",M154="level"),N154*AN154,
AND(L154="semi_elasticity",M154="sd (Y)"),N154*AN154*BH154,
AND(L154="semi_elasticity",M154="sd (X)"),N154*AN154/AQ154,
AND(L154="level-log",M154="level"),N154/BF154,
AND(L154="level-log",M154="sd (X)"),N154/BF154/AQ154,
AND(L154="level-log",M154="sd (Y)"),N154/BF154*BH154,
AND(L154="elasticity",M154="level"),N154,
AND(L154="elasticity",M154="sd (X)"),N154/AQ154,
AND(L154="elasticity",M154="sd (Y)"),N154*BH154,
AND(L154="marginal_effect",M154="percent_of_mean"),N154*AN154/BF154/10)</f>
        <v>-1.2561216730038025E-2</v>
      </c>
      <c r="AE154" s="56">
        <f t="shared" si="61"/>
        <v>1</v>
      </c>
      <c r="AF154" s="88">
        <f t="shared" si="69"/>
        <v>6.2806083650190124E-3</v>
      </c>
      <c r="AG154" s="88" cm="1">
        <f t="array" ref="AG154">_xlfn.IFS(
AND(L154="marginal_effect",M154="level"),O154*AN154/BF154,
AND(L154="marginal_effect",M154="sd (Y)"),O154*BH154*AN154/BF154,
AND(L154="marginal_effect",M154="sd (X)"),O154/AQ154*AN154/BF154,
AND(L154="semi_elasticity",M154="level"),O154*AN154,
AND(L154="semi_elasticity",M154="sd (Y)"),O154*AN154*BH154,
AND(L154="semi_elasticity",M154="sd (X)"),O154*AN154/AQ154,
AND(L154="level-log",M154="level"),O154/BF154,
AND(L154="level-log",M154="sd (X)"),O154/BF154/AQ154,
AND(L154="level-log",M154="sd (Y)"),O154/BF154*BH154,
AND(L154="elasticity",M154="level"),O154,
AND(L154="elasticity",M154="sd (X)"),O154/AQ154,
AND(L154="elasticity",M154="sd (Y)"),O154*BH154,
AND(L154="marginal_effect",M154="percent_of_mean"),O154*AN154/BF154/10)</f>
        <v>6.2806083650190124E-3</v>
      </c>
      <c r="AH154" s="56">
        <f t="shared" si="62"/>
        <v>1</v>
      </c>
      <c r="AI154" s="88">
        <f t="shared" si="67"/>
        <v>-1.2561216730038025E-2</v>
      </c>
      <c r="AJ154" s="55">
        <v>0</v>
      </c>
      <c r="AK154" s="56">
        <f t="shared" si="63"/>
        <v>1</v>
      </c>
      <c r="AL154" s="55" t="s">
        <v>148</v>
      </c>
      <c r="AM154" s="55" t="s">
        <v>1333</v>
      </c>
      <c r="AN154" s="55">
        <v>55.06</v>
      </c>
      <c r="AO154" s="55">
        <v>0</v>
      </c>
      <c r="AP154" s="55">
        <f t="shared" si="54"/>
        <v>55.06</v>
      </c>
      <c r="AQ154" s="55">
        <v>34.270000000000003</v>
      </c>
      <c r="AR154" s="55">
        <v>0.13</v>
      </c>
      <c r="AS154" s="55">
        <v>248</v>
      </c>
      <c r="AT154" s="55" t="s">
        <v>83</v>
      </c>
      <c r="AU154" s="55" t="s">
        <v>109</v>
      </c>
      <c r="AV154" s="55" t="s">
        <v>133</v>
      </c>
      <c r="AW154" s="55" t="s">
        <v>109</v>
      </c>
      <c r="AX154" s="55" t="s">
        <v>86</v>
      </c>
      <c r="AY154" s="55">
        <v>0</v>
      </c>
      <c r="AZ154" s="55">
        <v>0</v>
      </c>
      <c r="BA154" s="55" t="s">
        <v>734</v>
      </c>
      <c r="BB154" s="55" t="s">
        <v>88</v>
      </c>
      <c r="BC154" s="55" t="s">
        <v>134</v>
      </c>
      <c r="BD154" s="55" t="s">
        <v>114</v>
      </c>
      <c r="BE154" s="55" t="s">
        <v>534</v>
      </c>
      <c r="BF154" s="55">
        <v>26.3</v>
      </c>
      <c r="BG154" s="55">
        <v>0</v>
      </c>
      <c r="BH154" s="55">
        <v>16.48</v>
      </c>
      <c r="BI154" s="55">
        <v>0</v>
      </c>
      <c r="BJ154" s="55">
        <v>138</v>
      </c>
      <c r="BK154" s="55" t="s">
        <v>538</v>
      </c>
      <c r="BL154" s="55" t="s">
        <v>84</v>
      </c>
      <c r="BM154" s="55">
        <v>1</v>
      </c>
      <c r="BN154" s="55" t="s">
        <v>539</v>
      </c>
      <c r="BO154" s="55" t="s">
        <v>540</v>
      </c>
      <c r="BP154" s="55" t="s">
        <v>540</v>
      </c>
      <c r="BQ154" s="55" t="s">
        <v>92</v>
      </c>
      <c r="BR154" s="55" t="s">
        <v>93</v>
      </c>
      <c r="BS154" s="55">
        <v>26.81</v>
      </c>
      <c r="BT154" s="55">
        <v>0</v>
      </c>
      <c r="BU154" s="55" t="s">
        <v>536</v>
      </c>
      <c r="BV154" s="55" t="s">
        <v>537</v>
      </c>
      <c r="BW154" s="55" t="s">
        <v>736</v>
      </c>
      <c r="BX154" s="55" t="s">
        <v>95</v>
      </c>
      <c r="BY154" s="55" t="s">
        <v>96</v>
      </c>
      <c r="BZ154" s="55">
        <v>0</v>
      </c>
      <c r="CA154" s="55">
        <v>0</v>
      </c>
      <c r="CB154" s="55" t="s">
        <v>97</v>
      </c>
      <c r="CC154" s="55" t="s">
        <v>546</v>
      </c>
      <c r="CD154" s="55">
        <v>1</v>
      </c>
      <c r="CE154" s="55" t="s">
        <v>2206</v>
      </c>
      <c r="CF154" s="55">
        <v>1</v>
      </c>
      <c r="CG154" s="55" t="s">
        <v>106</v>
      </c>
      <c r="CH154" s="55">
        <v>1</v>
      </c>
      <c r="CI154" s="55" t="s">
        <v>541</v>
      </c>
      <c r="CJ154" s="55" t="s">
        <v>98</v>
      </c>
      <c r="CK154" s="55">
        <v>42</v>
      </c>
      <c r="CL154" s="55">
        <v>0</v>
      </c>
      <c r="CM154" s="55">
        <v>0</v>
      </c>
      <c r="CN154" s="55" t="s">
        <v>124</v>
      </c>
      <c r="CO154" s="55" t="s">
        <v>97</v>
      </c>
      <c r="CP154" s="55" t="s">
        <v>100</v>
      </c>
      <c r="CQ154" s="55" t="s">
        <v>126</v>
      </c>
      <c r="CR154" s="57">
        <v>46219</v>
      </c>
      <c r="CT154" s="55" t="s">
        <v>575</v>
      </c>
    </row>
    <row r="155" spans="1:98" s="55" customFormat="1" x14ac:dyDescent="0.35">
      <c r="A155" s="54" t="s">
        <v>529</v>
      </c>
      <c r="B155" s="54" t="s">
        <v>569</v>
      </c>
      <c r="C155" s="55" t="s">
        <v>530</v>
      </c>
      <c r="D155" s="55">
        <v>2017</v>
      </c>
      <c r="E155" s="54" t="s">
        <v>531</v>
      </c>
      <c r="F155" s="54" t="s">
        <v>532</v>
      </c>
      <c r="G155" s="55" t="s">
        <v>78</v>
      </c>
      <c r="H155" s="55">
        <v>1</v>
      </c>
      <c r="I155" s="55" t="s">
        <v>533</v>
      </c>
      <c r="J155" s="55" t="s">
        <v>79</v>
      </c>
      <c r="K155" s="55">
        <v>281</v>
      </c>
      <c r="L155" s="55" t="s">
        <v>129</v>
      </c>
      <c r="M155" s="55" t="s">
        <v>380</v>
      </c>
      <c r="N155" s="55">
        <v>-2.1999999999999999E-2</v>
      </c>
      <c r="O155" s="55">
        <v>4.0000000000000001E-3</v>
      </c>
      <c r="P155" s="88">
        <f t="shared" si="55"/>
        <v>-5.5</v>
      </c>
      <c r="Q155" s="55" t="s">
        <v>312</v>
      </c>
      <c r="R155" s="88">
        <f t="shared" si="56"/>
        <v>-2.9839999999999998E-2</v>
      </c>
      <c r="S155" s="88">
        <f t="shared" si="57"/>
        <v>-1.4159999999999999E-2</v>
      </c>
      <c r="T155" s="55">
        <v>1</v>
      </c>
      <c r="U155" s="55">
        <v>75163</v>
      </c>
      <c r="V155" s="55">
        <v>19</v>
      </c>
      <c r="W155" s="55">
        <v>1</v>
      </c>
      <c r="X155" s="55">
        <f t="shared" si="58"/>
        <v>75144</v>
      </c>
      <c r="Y155" s="88">
        <f t="shared" si="59"/>
        <v>-2.0059871077678589E-2</v>
      </c>
      <c r="Z155" s="88">
        <f t="shared" si="60"/>
        <v>3.6472492868506526E-3</v>
      </c>
      <c r="AA155" s="88">
        <f t="shared" si="66"/>
        <v>-2.0059871077678589E-2</v>
      </c>
      <c r="AB155" s="55" t="s">
        <v>81</v>
      </c>
      <c r="AC155" s="88">
        <f t="shared" si="68"/>
        <v>-1.9875285171102659E-2</v>
      </c>
      <c r="AD155" s="88" cm="1">
        <f t="array" ref="AD155">_xlfn.IFS(
AND(L155="marginal_effect",M155="level"),N155*AN155/BF155,
AND(L155="marginal_effect",M155="sd (Y)"),N155*BH155*AN155/BF155,
AND(L155="marginal_effect",M155="sd (X)"),N155/AQ155*AN155/BF155,
AND(L155="semi_elasticity",M155="level"),N155*AN155,
AND(L155="semi_elasticity",M155="sd (Y)"),N155*AN155*BH155,
AND(L155="semi_elasticity",M155="sd (X)"),N155*AN155/AQ155,
AND(L155="level-log",M155="level"),N155/BF155,
AND(L155="level-log",M155="sd (X)"),N155/BF155/AQ155,
AND(L155="level-log",M155="sd (Y)"),N155/BF155*BH155,
AND(L155="elasticity",M155="level"),N155,
AND(L155="elasticity",M155="sd (X)"),N155/AQ155,
AND(L155="elasticity",M155="sd (Y)"),N155*BH155,
AND(L155="marginal_effect",M155="percent_of_mean"),N155*AN155/BF155/10)</f>
        <v>-1.9875285171102659E-2</v>
      </c>
      <c r="AE155" s="56">
        <f t="shared" si="61"/>
        <v>1</v>
      </c>
      <c r="AF155" s="88">
        <f t="shared" si="69"/>
        <v>3.6136882129277569E-3</v>
      </c>
      <c r="AG155" s="88" cm="1">
        <f t="array" ref="AG155">_xlfn.IFS(
AND(L155="marginal_effect",M155="level"),O155*AN155/BF155,
AND(L155="marginal_effect",M155="sd (Y)"),O155*BH155*AN155/BF155,
AND(L155="marginal_effect",M155="sd (X)"),O155/AQ155*AN155/BF155,
AND(L155="semi_elasticity",M155="level"),O155*AN155,
AND(L155="semi_elasticity",M155="sd (Y)"),O155*AN155*BH155,
AND(L155="semi_elasticity",M155="sd (X)"),O155*AN155/AQ155,
AND(L155="level-log",M155="level"),O155/BF155,
AND(L155="level-log",M155="sd (X)"),O155/BF155/AQ155,
AND(L155="level-log",M155="sd (Y)"),O155/BF155*BH155,
AND(L155="elasticity",M155="level"),O155,
AND(L155="elasticity",M155="sd (X)"),O155/AQ155,
AND(L155="elasticity",M155="sd (Y)"),O155*BH155,
AND(L155="marginal_effect",M155="percent_of_mean"),O155*AN155/BF155/10)</f>
        <v>3.6136882129277569E-3</v>
      </c>
      <c r="AH155" s="56">
        <f t="shared" si="62"/>
        <v>1</v>
      </c>
      <c r="AI155" s="88">
        <f t="shared" si="67"/>
        <v>-1.9875285171102659E-2</v>
      </c>
      <c r="AJ155" s="55">
        <v>0</v>
      </c>
      <c r="AK155" s="56">
        <f t="shared" si="63"/>
        <v>1</v>
      </c>
      <c r="AL155" s="55" t="s">
        <v>106</v>
      </c>
      <c r="AM155" s="55" t="s">
        <v>1333</v>
      </c>
      <c r="AN155" s="55">
        <v>23.76</v>
      </c>
      <c r="AO155" s="55">
        <v>0</v>
      </c>
      <c r="AP155" s="55">
        <f t="shared" si="54"/>
        <v>23.76</v>
      </c>
      <c r="AQ155" s="55">
        <v>16.22</v>
      </c>
      <c r="AR155" s="55">
        <v>0.53</v>
      </c>
      <c r="AS155" s="55">
        <v>158.28</v>
      </c>
      <c r="AT155" s="55" t="s">
        <v>83</v>
      </c>
      <c r="AU155" s="55" t="s">
        <v>109</v>
      </c>
      <c r="AV155" s="55" t="s">
        <v>133</v>
      </c>
      <c r="AW155" s="55" t="s">
        <v>109</v>
      </c>
      <c r="AX155" s="55" t="s">
        <v>86</v>
      </c>
      <c r="AY155" s="55">
        <v>0</v>
      </c>
      <c r="AZ155" s="55">
        <v>0</v>
      </c>
      <c r="BA155" s="55" t="s">
        <v>734</v>
      </c>
      <c r="BB155" s="55" t="s">
        <v>88</v>
      </c>
      <c r="BC155" s="55" t="s">
        <v>134</v>
      </c>
      <c r="BD155" s="55" t="s">
        <v>114</v>
      </c>
      <c r="BE155" s="55" t="s">
        <v>534</v>
      </c>
      <c r="BF155" s="55">
        <v>26.3</v>
      </c>
      <c r="BG155" s="55">
        <v>0</v>
      </c>
      <c r="BH155" s="55">
        <v>16.48</v>
      </c>
      <c r="BI155" s="55">
        <v>0</v>
      </c>
      <c r="BJ155" s="55">
        <v>138</v>
      </c>
      <c r="BK155" s="55" t="s">
        <v>538</v>
      </c>
      <c r="BL155" s="55" t="s">
        <v>84</v>
      </c>
      <c r="BM155" s="55">
        <v>1</v>
      </c>
      <c r="BN155" s="55" t="s">
        <v>539</v>
      </c>
      <c r="BO155" s="55" t="s">
        <v>540</v>
      </c>
      <c r="BP155" s="55" t="s">
        <v>540</v>
      </c>
      <c r="BQ155" s="55" t="s">
        <v>92</v>
      </c>
      <c r="BR155" s="55" t="s">
        <v>93</v>
      </c>
      <c r="BS155" s="55">
        <v>26.81</v>
      </c>
      <c r="BT155" s="55">
        <v>0</v>
      </c>
      <c r="BU155" s="55" t="s">
        <v>536</v>
      </c>
      <c r="BV155" s="55" t="s">
        <v>537</v>
      </c>
      <c r="BW155" s="55" t="s">
        <v>736</v>
      </c>
      <c r="BX155" s="55" t="s">
        <v>95</v>
      </c>
      <c r="BY155" s="55" t="s">
        <v>96</v>
      </c>
      <c r="BZ155" s="55">
        <v>0</v>
      </c>
      <c r="CA155" s="55">
        <v>0</v>
      </c>
      <c r="CB155" s="55" t="s">
        <v>97</v>
      </c>
      <c r="CC155" s="55" t="s">
        <v>548</v>
      </c>
      <c r="CD155" s="55">
        <v>1</v>
      </c>
      <c r="CE155" s="55" t="s">
        <v>2206</v>
      </c>
      <c r="CF155" s="55">
        <v>1</v>
      </c>
      <c r="CG155" s="55" t="s">
        <v>396</v>
      </c>
      <c r="CH155" s="55">
        <v>1</v>
      </c>
      <c r="CI155" s="55" t="s">
        <v>541</v>
      </c>
      <c r="CJ155" s="55" t="s">
        <v>98</v>
      </c>
      <c r="CK155" s="55">
        <v>42</v>
      </c>
      <c r="CL155" s="55">
        <v>0</v>
      </c>
      <c r="CM155" s="55">
        <v>1</v>
      </c>
      <c r="CN155" s="55" t="s">
        <v>124</v>
      </c>
      <c r="CO155" s="55" t="s">
        <v>97</v>
      </c>
      <c r="CP155" s="55" t="s">
        <v>100</v>
      </c>
      <c r="CQ155" s="55" t="s">
        <v>126</v>
      </c>
      <c r="CR155" s="57">
        <v>46219</v>
      </c>
      <c r="CT155" s="55" t="s">
        <v>576</v>
      </c>
    </row>
    <row r="156" spans="1:98" s="55" customFormat="1" x14ac:dyDescent="0.35">
      <c r="A156" s="54" t="s">
        <v>529</v>
      </c>
      <c r="B156" s="54" t="s">
        <v>570</v>
      </c>
      <c r="C156" s="55" t="s">
        <v>530</v>
      </c>
      <c r="D156" s="55">
        <v>2017</v>
      </c>
      <c r="E156" s="54" t="s">
        <v>531</v>
      </c>
      <c r="F156" s="54" t="s">
        <v>532</v>
      </c>
      <c r="G156" s="55" t="s">
        <v>78</v>
      </c>
      <c r="H156" s="55">
        <v>1</v>
      </c>
      <c r="I156" s="55" t="s">
        <v>533</v>
      </c>
      <c r="J156" s="55" t="s">
        <v>79</v>
      </c>
      <c r="K156" s="55">
        <v>281</v>
      </c>
      <c r="L156" s="55" t="s">
        <v>129</v>
      </c>
      <c r="M156" s="55" t="s">
        <v>380</v>
      </c>
      <c r="N156" s="55">
        <v>-4.0000000000000001E-3</v>
      </c>
      <c r="O156" s="55">
        <v>3.0000000000000001E-3</v>
      </c>
      <c r="P156" s="88">
        <f t="shared" si="55"/>
        <v>-1.3333333333333333</v>
      </c>
      <c r="Q156" s="55" t="s">
        <v>312</v>
      </c>
      <c r="R156" s="88">
        <f t="shared" si="56"/>
        <v>-9.8799999999999999E-3</v>
      </c>
      <c r="S156" s="88">
        <f t="shared" si="57"/>
        <v>1.8799999999999997E-3</v>
      </c>
      <c r="T156" s="55">
        <v>1</v>
      </c>
      <c r="U156" s="55">
        <v>75163</v>
      </c>
      <c r="V156" s="55">
        <v>19</v>
      </c>
      <c r="W156" s="55">
        <v>1</v>
      </c>
      <c r="X156" s="55">
        <f t="shared" si="58"/>
        <v>75144</v>
      </c>
      <c r="Y156" s="88">
        <f t="shared" si="59"/>
        <v>-4.8639202404555763E-3</v>
      </c>
      <c r="Z156" s="88">
        <f t="shared" si="60"/>
        <v>3.6479401803416822E-3</v>
      </c>
      <c r="AA156" s="88">
        <f t="shared" si="66"/>
        <v>-4.8639202404555763E-3</v>
      </c>
      <c r="AB156" s="55" t="s">
        <v>81</v>
      </c>
      <c r="AC156" s="88">
        <f t="shared" si="68"/>
        <v>-8.3741444866920148E-3</v>
      </c>
      <c r="AD156" s="88" cm="1">
        <f t="array" ref="AD156">_xlfn.IFS(
AND(L156="marginal_effect",M156="level"),N156*AN156/BF156,
AND(L156="marginal_effect",M156="sd (Y)"),N156*BH156*AN156/BF156,
AND(L156="marginal_effect",M156="sd (X)"),N156/AQ156*AN156/BF156,
AND(L156="semi_elasticity",M156="level"),N156*AN156,
AND(L156="semi_elasticity",M156="sd (Y)"),N156*AN156*BH156,
AND(L156="semi_elasticity",M156="sd (X)"),N156*AN156/AQ156,
AND(L156="level-log",M156="level"),N156/BF156,
AND(L156="level-log",M156="sd (X)"),N156/BF156/AQ156,
AND(L156="level-log",M156="sd (Y)"),N156/BF156*BH156,
AND(L156="elasticity",M156="level"),N156,
AND(L156="elasticity",M156="sd (X)"),N156/AQ156,
AND(L156="elasticity",M156="sd (Y)"),N156*BH156,
AND(L156="marginal_effect",M156="percent_of_mean"),N156*AN156/BF156/10)</f>
        <v>-8.3741444866920148E-3</v>
      </c>
      <c r="AE156" s="56">
        <f t="shared" si="61"/>
        <v>1</v>
      </c>
      <c r="AF156" s="88">
        <f t="shared" si="69"/>
        <v>6.2806083650190124E-3</v>
      </c>
      <c r="AG156" s="88" cm="1">
        <f t="array" ref="AG156">_xlfn.IFS(
AND(L156="marginal_effect",M156="level"),O156*AN156/BF156,
AND(L156="marginal_effect",M156="sd (Y)"),O156*BH156*AN156/BF156,
AND(L156="marginal_effect",M156="sd (X)"),O156/AQ156*AN156/BF156,
AND(L156="semi_elasticity",M156="level"),O156*AN156,
AND(L156="semi_elasticity",M156="sd (Y)"),O156*AN156*BH156,
AND(L156="semi_elasticity",M156="sd (X)"),O156*AN156/AQ156,
AND(L156="level-log",M156="level"),O156/BF156,
AND(L156="level-log",M156="sd (X)"),O156/BF156/AQ156,
AND(L156="level-log",M156="sd (Y)"),O156/BF156*BH156,
AND(L156="elasticity",M156="level"),O156,
AND(L156="elasticity",M156="sd (X)"),O156/AQ156,
AND(L156="elasticity",M156="sd (Y)"),O156*BH156,
AND(L156="marginal_effect",M156="percent_of_mean"),O156*AN156/BF156/10)</f>
        <v>6.2806083650190124E-3</v>
      </c>
      <c r="AH156" s="56">
        <f t="shared" si="62"/>
        <v>1</v>
      </c>
      <c r="AI156" s="88">
        <f t="shared" si="67"/>
        <v>-8.3741444866920148E-3</v>
      </c>
      <c r="AJ156" s="55">
        <v>0</v>
      </c>
      <c r="AK156" s="56">
        <f t="shared" si="63"/>
        <v>1</v>
      </c>
      <c r="AL156" s="55" t="s">
        <v>148</v>
      </c>
      <c r="AM156" s="55" t="s">
        <v>1333</v>
      </c>
      <c r="AN156" s="55">
        <v>55.06</v>
      </c>
      <c r="AO156" s="55">
        <v>0</v>
      </c>
      <c r="AP156" s="55">
        <f t="shared" si="54"/>
        <v>55.06</v>
      </c>
      <c r="AQ156" s="55">
        <v>34.270000000000003</v>
      </c>
      <c r="AR156" s="55">
        <v>0.13</v>
      </c>
      <c r="AS156" s="55">
        <v>248</v>
      </c>
      <c r="AT156" s="55" t="s">
        <v>83</v>
      </c>
      <c r="AU156" s="55" t="s">
        <v>109</v>
      </c>
      <c r="AV156" s="55" t="s">
        <v>133</v>
      </c>
      <c r="AW156" s="55" t="s">
        <v>109</v>
      </c>
      <c r="AX156" s="55" t="s">
        <v>86</v>
      </c>
      <c r="AY156" s="55">
        <v>0</v>
      </c>
      <c r="AZ156" s="55">
        <v>0</v>
      </c>
      <c r="BA156" s="55" t="s">
        <v>734</v>
      </c>
      <c r="BB156" s="55" t="s">
        <v>88</v>
      </c>
      <c r="BC156" s="55" t="s">
        <v>134</v>
      </c>
      <c r="BD156" s="55" t="s">
        <v>114</v>
      </c>
      <c r="BE156" s="55" t="s">
        <v>534</v>
      </c>
      <c r="BF156" s="55">
        <v>26.3</v>
      </c>
      <c r="BG156" s="55">
        <v>0</v>
      </c>
      <c r="BH156" s="55">
        <v>16.48</v>
      </c>
      <c r="BI156" s="55">
        <v>0</v>
      </c>
      <c r="BJ156" s="55">
        <v>138</v>
      </c>
      <c r="BK156" s="55" t="s">
        <v>538</v>
      </c>
      <c r="BL156" s="55" t="s">
        <v>84</v>
      </c>
      <c r="BM156" s="55">
        <v>1</v>
      </c>
      <c r="BN156" s="55" t="s">
        <v>539</v>
      </c>
      <c r="BO156" s="55" t="s">
        <v>540</v>
      </c>
      <c r="BP156" s="55" t="s">
        <v>540</v>
      </c>
      <c r="BQ156" s="55" t="s">
        <v>92</v>
      </c>
      <c r="BR156" s="55" t="s">
        <v>93</v>
      </c>
      <c r="BS156" s="55">
        <v>26.81</v>
      </c>
      <c r="BT156" s="55">
        <v>0</v>
      </c>
      <c r="BU156" s="55" t="s">
        <v>536</v>
      </c>
      <c r="BV156" s="55" t="s">
        <v>537</v>
      </c>
      <c r="BW156" s="55" t="s">
        <v>736</v>
      </c>
      <c r="BX156" s="55" t="s">
        <v>95</v>
      </c>
      <c r="BY156" s="55" t="s">
        <v>96</v>
      </c>
      <c r="BZ156" s="55">
        <v>0</v>
      </c>
      <c r="CA156" s="55">
        <v>0</v>
      </c>
      <c r="CB156" s="55" t="s">
        <v>97</v>
      </c>
      <c r="CC156" s="55" t="s">
        <v>548</v>
      </c>
      <c r="CD156" s="55">
        <v>1</v>
      </c>
      <c r="CE156" s="55" t="s">
        <v>2206</v>
      </c>
      <c r="CF156" s="55">
        <v>1</v>
      </c>
      <c r="CG156" s="55" t="s">
        <v>106</v>
      </c>
      <c r="CH156" s="55">
        <v>1</v>
      </c>
      <c r="CI156" s="55" t="s">
        <v>541</v>
      </c>
      <c r="CJ156" s="55" t="s">
        <v>98</v>
      </c>
      <c r="CK156" s="55">
        <v>42</v>
      </c>
      <c r="CL156" s="55">
        <v>0</v>
      </c>
      <c r="CM156" s="55">
        <v>0</v>
      </c>
      <c r="CN156" s="55" t="s">
        <v>124</v>
      </c>
      <c r="CO156" s="55" t="s">
        <v>97</v>
      </c>
      <c r="CP156" s="55" t="s">
        <v>100</v>
      </c>
      <c r="CQ156" s="55" t="s">
        <v>126</v>
      </c>
      <c r="CR156" s="57">
        <v>46219</v>
      </c>
      <c r="CT156" s="55" t="s">
        <v>576</v>
      </c>
    </row>
    <row r="157" spans="1:98" s="55" customFormat="1" x14ac:dyDescent="0.35">
      <c r="A157" s="54" t="s">
        <v>529</v>
      </c>
      <c r="B157" s="54" t="s">
        <v>571</v>
      </c>
      <c r="C157" s="55" t="s">
        <v>530</v>
      </c>
      <c r="D157" s="55">
        <v>2017</v>
      </c>
      <c r="E157" s="54" t="s">
        <v>531</v>
      </c>
      <c r="F157" s="54" t="s">
        <v>532</v>
      </c>
      <c r="G157" s="55" t="s">
        <v>78</v>
      </c>
      <c r="H157" s="55">
        <v>1</v>
      </c>
      <c r="I157" s="55" t="s">
        <v>533</v>
      </c>
      <c r="J157" s="55" t="s">
        <v>79</v>
      </c>
      <c r="K157" s="55">
        <v>281</v>
      </c>
      <c r="L157" s="55" t="s">
        <v>129</v>
      </c>
      <c r="M157" s="55" t="s">
        <v>380</v>
      </c>
      <c r="N157" s="55">
        <v>-2.1000000000000001E-2</v>
      </c>
      <c r="O157" s="55">
        <v>4.0000000000000001E-3</v>
      </c>
      <c r="P157" s="88">
        <f t="shared" si="55"/>
        <v>-5.25</v>
      </c>
      <c r="Q157" s="55" t="s">
        <v>312</v>
      </c>
      <c r="R157" s="88">
        <f t="shared" si="56"/>
        <v>-2.8840000000000001E-2</v>
      </c>
      <c r="S157" s="88">
        <f t="shared" si="57"/>
        <v>-1.3160000000000002E-2</v>
      </c>
      <c r="T157" s="55">
        <v>1</v>
      </c>
      <c r="U157" s="55">
        <v>75163</v>
      </c>
      <c r="V157" s="55">
        <v>23</v>
      </c>
      <c r="W157" s="55">
        <v>1</v>
      </c>
      <c r="X157" s="55">
        <f t="shared" si="58"/>
        <v>75140</v>
      </c>
      <c r="Y157" s="88">
        <f t="shared" si="59"/>
        <v>-1.9148910518286367E-2</v>
      </c>
      <c r="Z157" s="88">
        <f t="shared" si="60"/>
        <v>3.6474115272926411E-3</v>
      </c>
      <c r="AA157" s="88">
        <f t="shared" si="66"/>
        <v>-1.9148910518286367E-2</v>
      </c>
      <c r="AB157" s="55" t="s">
        <v>81</v>
      </c>
      <c r="AC157" s="88">
        <f t="shared" si="68"/>
        <v>-1.8971863117870726E-2</v>
      </c>
      <c r="AD157" s="88" cm="1">
        <f t="array" ref="AD157">_xlfn.IFS(
AND(L157="marginal_effect",M157="level"),N157*AN157/BF157,
AND(L157="marginal_effect",M157="sd (Y)"),N157*BH157*AN157/BF157,
AND(L157="marginal_effect",M157="sd (X)"),N157/AQ157*AN157/BF157,
AND(L157="semi_elasticity",M157="level"),N157*AN157,
AND(L157="semi_elasticity",M157="sd (Y)"),N157*AN157*BH157,
AND(L157="semi_elasticity",M157="sd (X)"),N157*AN157/AQ157,
AND(L157="level-log",M157="level"),N157/BF157,
AND(L157="level-log",M157="sd (X)"),N157/BF157/AQ157,
AND(L157="level-log",M157="sd (Y)"),N157/BF157*BH157,
AND(L157="elasticity",M157="level"),N157,
AND(L157="elasticity",M157="sd (X)"),N157/AQ157,
AND(L157="elasticity",M157="sd (Y)"),N157*BH157,
AND(L157="marginal_effect",M157="percent_of_mean"),N157*AN157/BF157/10)</f>
        <v>-1.8971863117870726E-2</v>
      </c>
      <c r="AE157" s="56">
        <f t="shared" si="61"/>
        <v>1</v>
      </c>
      <c r="AF157" s="88">
        <f t="shared" si="69"/>
        <v>3.6136882129277569E-3</v>
      </c>
      <c r="AG157" s="88" cm="1">
        <f t="array" ref="AG157">_xlfn.IFS(
AND(L157="marginal_effect",M157="level"),O157*AN157/BF157,
AND(L157="marginal_effect",M157="sd (Y)"),O157*BH157*AN157/BF157,
AND(L157="marginal_effect",M157="sd (X)"),O157/AQ157*AN157/BF157,
AND(L157="semi_elasticity",M157="level"),O157*AN157,
AND(L157="semi_elasticity",M157="sd (Y)"),O157*AN157*BH157,
AND(L157="semi_elasticity",M157="sd (X)"),O157*AN157/AQ157,
AND(L157="level-log",M157="level"),O157/BF157,
AND(L157="level-log",M157="sd (X)"),O157/BF157/AQ157,
AND(L157="level-log",M157="sd (Y)"),O157/BF157*BH157,
AND(L157="elasticity",M157="level"),O157,
AND(L157="elasticity",M157="sd (X)"),O157/AQ157,
AND(L157="elasticity",M157="sd (Y)"),O157*BH157,
AND(L157="marginal_effect",M157="percent_of_mean"),O157*AN157/BF157/10)</f>
        <v>3.6136882129277569E-3</v>
      </c>
      <c r="AH157" s="56">
        <f t="shared" si="62"/>
        <v>1</v>
      </c>
      <c r="AI157" s="88">
        <f t="shared" si="67"/>
        <v>-1.8971863117870726E-2</v>
      </c>
      <c r="AJ157" s="55">
        <v>0</v>
      </c>
      <c r="AK157" s="56">
        <f t="shared" si="63"/>
        <v>1</v>
      </c>
      <c r="AL157" s="55" t="s">
        <v>106</v>
      </c>
      <c r="AM157" s="55" t="s">
        <v>1333</v>
      </c>
      <c r="AN157" s="55">
        <v>23.76</v>
      </c>
      <c r="AO157" s="55">
        <v>0</v>
      </c>
      <c r="AP157" s="55">
        <f t="shared" si="54"/>
        <v>23.76</v>
      </c>
      <c r="AQ157" s="55">
        <v>16.22</v>
      </c>
      <c r="AR157" s="55">
        <v>0.53</v>
      </c>
      <c r="AS157" s="55">
        <v>158.28</v>
      </c>
      <c r="AT157" s="55" t="s">
        <v>83</v>
      </c>
      <c r="AU157" s="55" t="s">
        <v>109</v>
      </c>
      <c r="AV157" s="55" t="s">
        <v>133</v>
      </c>
      <c r="AW157" s="55" t="s">
        <v>109</v>
      </c>
      <c r="AX157" s="55" t="s">
        <v>86</v>
      </c>
      <c r="AY157" s="55">
        <v>0</v>
      </c>
      <c r="AZ157" s="55">
        <v>0</v>
      </c>
      <c r="BA157" s="55" t="s">
        <v>734</v>
      </c>
      <c r="BB157" s="55" t="s">
        <v>88</v>
      </c>
      <c r="BC157" s="55" t="s">
        <v>134</v>
      </c>
      <c r="BD157" s="55" t="s">
        <v>114</v>
      </c>
      <c r="BE157" s="55" t="s">
        <v>534</v>
      </c>
      <c r="BF157" s="55">
        <v>26.3</v>
      </c>
      <c r="BG157" s="55">
        <v>0</v>
      </c>
      <c r="BH157" s="55">
        <v>16.48</v>
      </c>
      <c r="BI157" s="55">
        <v>0</v>
      </c>
      <c r="BJ157" s="55">
        <v>138</v>
      </c>
      <c r="BK157" s="55" t="s">
        <v>538</v>
      </c>
      <c r="BL157" s="55" t="s">
        <v>84</v>
      </c>
      <c r="BM157" s="55">
        <v>1</v>
      </c>
      <c r="BN157" s="55" t="s">
        <v>539</v>
      </c>
      <c r="BO157" s="55" t="s">
        <v>540</v>
      </c>
      <c r="BP157" s="55" t="s">
        <v>540</v>
      </c>
      <c r="BQ157" s="55" t="s">
        <v>92</v>
      </c>
      <c r="BR157" s="55" t="s">
        <v>93</v>
      </c>
      <c r="BS157" s="55">
        <v>26.81</v>
      </c>
      <c r="BT157" s="55">
        <v>0</v>
      </c>
      <c r="BU157" s="55" t="s">
        <v>536</v>
      </c>
      <c r="BV157" s="55" t="s">
        <v>537</v>
      </c>
      <c r="BW157" s="55" t="s">
        <v>736</v>
      </c>
      <c r="BX157" s="55" t="s">
        <v>95</v>
      </c>
      <c r="BY157" s="55" t="s">
        <v>96</v>
      </c>
      <c r="BZ157" s="55">
        <v>0</v>
      </c>
      <c r="CA157" s="55">
        <v>0</v>
      </c>
      <c r="CB157" s="55" t="s">
        <v>97</v>
      </c>
      <c r="CC157" s="55" t="s">
        <v>546</v>
      </c>
      <c r="CD157" s="55">
        <v>1</v>
      </c>
      <c r="CE157" s="55" t="s">
        <v>2206</v>
      </c>
      <c r="CF157" s="55">
        <v>1</v>
      </c>
      <c r="CG157" s="55" t="s">
        <v>396</v>
      </c>
      <c r="CH157" s="55">
        <v>1</v>
      </c>
      <c r="CI157" s="55" t="s">
        <v>541</v>
      </c>
      <c r="CJ157" s="55" t="s">
        <v>98</v>
      </c>
      <c r="CK157" s="55">
        <v>42</v>
      </c>
      <c r="CL157" s="55">
        <v>0</v>
      </c>
      <c r="CM157" s="55">
        <v>0</v>
      </c>
      <c r="CN157" s="55" t="s">
        <v>124</v>
      </c>
      <c r="CO157" s="55" t="s">
        <v>97</v>
      </c>
      <c r="CP157" s="55" t="s">
        <v>100</v>
      </c>
      <c r="CQ157" s="55" t="s">
        <v>126</v>
      </c>
      <c r="CR157" s="57">
        <v>46219</v>
      </c>
      <c r="CT157" s="55" t="s">
        <v>577</v>
      </c>
    </row>
    <row r="158" spans="1:98" s="55" customFormat="1" x14ac:dyDescent="0.35">
      <c r="A158" s="54" t="s">
        <v>529</v>
      </c>
      <c r="B158" s="54" t="s">
        <v>572</v>
      </c>
      <c r="C158" s="55" t="s">
        <v>530</v>
      </c>
      <c r="D158" s="55">
        <v>2017</v>
      </c>
      <c r="E158" s="54" t="s">
        <v>531</v>
      </c>
      <c r="F158" s="54" t="s">
        <v>532</v>
      </c>
      <c r="G158" s="55" t="s">
        <v>78</v>
      </c>
      <c r="H158" s="55">
        <v>1</v>
      </c>
      <c r="I158" s="55" t="s">
        <v>533</v>
      </c>
      <c r="J158" s="55" t="s">
        <v>79</v>
      </c>
      <c r="K158" s="55">
        <v>281</v>
      </c>
      <c r="L158" s="55" t="s">
        <v>129</v>
      </c>
      <c r="M158" s="55" t="s">
        <v>380</v>
      </c>
      <c r="N158" s="55">
        <v>-7.0000000000000001E-3</v>
      </c>
      <c r="O158" s="55">
        <v>3.0000000000000001E-3</v>
      </c>
      <c r="P158" s="88">
        <f t="shared" si="55"/>
        <v>-2.3333333333333335</v>
      </c>
      <c r="Q158" s="55" t="s">
        <v>312</v>
      </c>
      <c r="R158" s="88">
        <f t="shared" si="56"/>
        <v>-1.2879999999999999E-2</v>
      </c>
      <c r="S158" s="88">
        <f t="shared" si="57"/>
        <v>-1.1200000000000003E-3</v>
      </c>
      <c r="T158" s="55">
        <v>1</v>
      </c>
      <c r="U158" s="55">
        <v>75163</v>
      </c>
      <c r="V158" s="55">
        <v>23</v>
      </c>
      <c r="W158" s="55">
        <v>1</v>
      </c>
      <c r="X158" s="55">
        <f t="shared" si="58"/>
        <v>75140</v>
      </c>
      <c r="Y158" s="88">
        <f t="shared" si="59"/>
        <v>-8.5118792994111347E-3</v>
      </c>
      <c r="Z158" s="88">
        <f t="shared" si="60"/>
        <v>3.6479482711762011E-3</v>
      </c>
      <c r="AA158" s="88">
        <f t="shared" si="66"/>
        <v>-8.5118792994111347E-3</v>
      </c>
      <c r="AB158" s="55" t="s">
        <v>81</v>
      </c>
      <c r="AC158" s="88">
        <f t="shared" si="68"/>
        <v>-1.4654752851711028E-2</v>
      </c>
      <c r="AD158" s="88" cm="1">
        <f t="array" ref="AD158">_xlfn.IFS(
AND(L158="marginal_effect",M158="level"),N158*AN158/BF158,
AND(L158="marginal_effect",M158="sd (Y)"),N158*BH158*AN158/BF158,
AND(L158="marginal_effect",M158="sd (X)"),N158/AQ158*AN158/BF158,
AND(L158="semi_elasticity",M158="level"),N158*AN158,
AND(L158="semi_elasticity",M158="sd (Y)"),N158*AN158*BH158,
AND(L158="semi_elasticity",M158="sd (X)"),N158*AN158/AQ158,
AND(L158="level-log",M158="level"),N158/BF158,
AND(L158="level-log",M158="sd (X)"),N158/BF158/AQ158,
AND(L158="level-log",M158="sd (Y)"),N158/BF158*BH158,
AND(L158="elasticity",M158="level"),N158,
AND(L158="elasticity",M158="sd (X)"),N158/AQ158,
AND(L158="elasticity",M158="sd (Y)"),N158*BH158,
AND(L158="marginal_effect",M158="percent_of_mean"),N158*AN158/BF158/10)</f>
        <v>-1.4654752851711028E-2</v>
      </c>
      <c r="AE158" s="56">
        <f t="shared" si="61"/>
        <v>1</v>
      </c>
      <c r="AF158" s="88">
        <f t="shared" si="69"/>
        <v>6.2806083650190124E-3</v>
      </c>
      <c r="AG158" s="88" cm="1">
        <f t="array" ref="AG158">_xlfn.IFS(
AND(L158="marginal_effect",M158="level"),O158*AN158/BF158,
AND(L158="marginal_effect",M158="sd (Y)"),O158*BH158*AN158/BF158,
AND(L158="marginal_effect",M158="sd (X)"),O158/AQ158*AN158/BF158,
AND(L158="semi_elasticity",M158="level"),O158*AN158,
AND(L158="semi_elasticity",M158="sd (Y)"),O158*AN158*BH158,
AND(L158="semi_elasticity",M158="sd (X)"),O158*AN158/AQ158,
AND(L158="level-log",M158="level"),O158/BF158,
AND(L158="level-log",M158="sd (X)"),O158/BF158/AQ158,
AND(L158="level-log",M158="sd (Y)"),O158/BF158*BH158,
AND(L158="elasticity",M158="level"),O158,
AND(L158="elasticity",M158="sd (X)"),O158/AQ158,
AND(L158="elasticity",M158="sd (Y)"),O158*BH158,
AND(L158="marginal_effect",M158="percent_of_mean"),O158*AN158/BF158/10)</f>
        <v>6.2806083650190124E-3</v>
      </c>
      <c r="AH158" s="56">
        <f t="shared" si="62"/>
        <v>1</v>
      </c>
      <c r="AI158" s="88">
        <f t="shared" si="67"/>
        <v>-1.4654752851711028E-2</v>
      </c>
      <c r="AJ158" s="55">
        <v>0</v>
      </c>
      <c r="AK158" s="56">
        <f t="shared" si="63"/>
        <v>1</v>
      </c>
      <c r="AL158" s="55" t="s">
        <v>148</v>
      </c>
      <c r="AM158" s="55" t="s">
        <v>1333</v>
      </c>
      <c r="AN158" s="55">
        <v>55.06</v>
      </c>
      <c r="AO158" s="55">
        <v>0</v>
      </c>
      <c r="AP158" s="55">
        <f t="shared" si="54"/>
        <v>55.06</v>
      </c>
      <c r="AQ158" s="55">
        <v>34.270000000000003</v>
      </c>
      <c r="AR158" s="55">
        <v>0.13</v>
      </c>
      <c r="AS158" s="55">
        <v>248</v>
      </c>
      <c r="AT158" s="55" t="s">
        <v>83</v>
      </c>
      <c r="AU158" s="55" t="s">
        <v>109</v>
      </c>
      <c r="AV158" s="55" t="s">
        <v>133</v>
      </c>
      <c r="AW158" s="55" t="s">
        <v>109</v>
      </c>
      <c r="AX158" s="55" t="s">
        <v>86</v>
      </c>
      <c r="AY158" s="55">
        <v>0</v>
      </c>
      <c r="AZ158" s="55">
        <v>0</v>
      </c>
      <c r="BA158" s="55" t="s">
        <v>734</v>
      </c>
      <c r="BB158" s="55" t="s">
        <v>88</v>
      </c>
      <c r="BC158" s="55" t="s">
        <v>134</v>
      </c>
      <c r="BD158" s="55" t="s">
        <v>114</v>
      </c>
      <c r="BE158" s="55" t="s">
        <v>534</v>
      </c>
      <c r="BF158" s="55">
        <v>26.3</v>
      </c>
      <c r="BG158" s="55">
        <v>0</v>
      </c>
      <c r="BH158" s="55">
        <v>16.48</v>
      </c>
      <c r="BI158" s="55">
        <v>0</v>
      </c>
      <c r="BJ158" s="55">
        <v>138</v>
      </c>
      <c r="BK158" s="55" t="s">
        <v>538</v>
      </c>
      <c r="BL158" s="55" t="s">
        <v>84</v>
      </c>
      <c r="BM158" s="55">
        <v>1</v>
      </c>
      <c r="BN158" s="55" t="s">
        <v>539</v>
      </c>
      <c r="BO158" s="55" t="s">
        <v>540</v>
      </c>
      <c r="BP158" s="55" t="s">
        <v>540</v>
      </c>
      <c r="BQ158" s="55" t="s">
        <v>92</v>
      </c>
      <c r="BR158" s="55" t="s">
        <v>93</v>
      </c>
      <c r="BS158" s="55">
        <v>26.81</v>
      </c>
      <c r="BT158" s="55">
        <v>0</v>
      </c>
      <c r="BU158" s="55" t="s">
        <v>536</v>
      </c>
      <c r="BV158" s="55" t="s">
        <v>537</v>
      </c>
      <c r="BW158" s="55" t="s">
        <v>736</v>
      </c>
      <c r="BX158" s="55" t="s">
        <v>95</v>
      </c>
      <c r="BY158" s="55" t="s">
        <v>96</v>
      </c>
      <c r="BZ158" s="55">
        <v>0</v>
      </c>
      <c r="CA158" s="55">
        <v>0</v>
      </c>
      <c r="CB158" s="55" t="s">
        <v>97</v>
      </c>
      <c r="CC158" s="55" t="s">
        <v>546</v>
      </c>
      <c r="CD158" s="55">
        <v>1</v>
      </c>
      <c r="CE158" s="55" t="s">
        <v>2206</v>
      </c>
      <c r="CF158" s="55">
        <v>1</v>
      </c>
      <c r="CG158" s="55" t="s">
        <v>106</v>
      </c>
      <c r="CH158" s="55">
        <v>1</v>
      </c>
      <c r="CI158" s="55" t="s">
        <v>541</v>
      </c>
      <c r="CJ158" s="55" t="s">
        <v>98</v>
      </c>
      <c r="CK158" s="55">
        <v>42</v>
      </c>
      <c r="CL158" s="55">
        <v>0</v>
      </c>
      <c r="CM158" s="55">
        <v>0</v>
      </c>
      <c r="CN158" s="55" t="s">
        <v>124</v>
      </c>
      <c r="CO158" s="55" t="s">
        <v>97</v>
      </c>
      <c r="CP158" s="55" t="s">
        <v>100</v>
      </c>
      <c r="CQ158" s="55" t="s">
        <v>126</v>
      </c>
      <c r="CR158" s="57">
        <v>46219</v>
      </c>
      <c r="CT158" s="55" t="s">
        <v>577</v>
      </c>
    </row>
    <row r="159" spans="1:98" s="55" customFormat="1" x14ac:dyDescent="0.35">
      <c r="A159" s="54" t="s">
        <v>529</v>
      </c>
      <c r="B159" s="54" t="s">
        <v>573</v>
      </c>
      <c r="C159" s="55" t="s">
        <v>530</v>
      </c>
      <c r="D159" s="55">
        <v>2017</v>
      </c>
      <c r="E159" s="54" t="s">
        <v>531</v>
      </c>
      <c r="F159" s="54" t="s">
        <v>532</v>
      </c>
      <c r="G159" s="55" t="s">
        <v>78</v>
      </c>
      <c r="H159" s="55">
        <v>1</v>
      </c>
      <c r="I159" s="55" t="s">
        <v>533</v>
      </c>
      <c r="J159" s="55" t="s">
        <v>79</v>
      </c>
      <c r="K159" s="55">
        <v>281</v>
      </c>
      <c r="L159" s="55" t="s">
        <v>129</v>
      </c>
      <c r="M159" s="55" t="s">
        <v>380</v>
      </c>
      <c r="N159" s="55">
        <v>-2.1999999999999999E-2</v>
      </c>
      <c r="O159" s="55">
        <v>4.0000000000000001E-3</v>
      </c>
      <c r="P159" s="88">
        <f t="shared" si="55"/>
        <v>-5.5</v>
      </c>
      <c r="Q159" s="55" t="s">
        <v>312</v>
      </c>
      <c r="R159" s="88">
        <f t="shared" si="56"/>
        <v>-2.9839999999999998E-2</v>
      </c>
      <c r="S159" s="88">
        <f t="shared" si="57"/>
        <v>-1.4159999999999999E-2</v>
      </c>
      <c r="T159" s="55">
        <v>1</v>
      </c>
      <c r="U159" s="55">
        <v>75163</v>
      </c>
      <c r="V159" s="55">
        <v>23</v>
      </c>
      <c r="W159" s="55">
        <v>1</v>
      </c>
      <c r="X159" s="55">
        <f t="shared" si="58"/>
        <v>75140</v>
      </c>
      <c r="Y159" s="88">
        <f t="shared" si="59"/>
        <v>-2.0060404788933391E-2</v>
      </c>
      <c r="Z159" s="88">
        <f t="shared" si="60"/>
        <v>3.6473463252606163E-3</v>
      </c>
      <c r="AA159" s="88">
        <f t="shared" si="66"/>
        <v>-2.0060404788933391E-2</v>
      </c>
      <c r="AB159" s="55" t="s">
        <v>81</v>
      </c>
      <c r="AC159" s="88">
        <f t="shared" si="68"/>
        <v>-1.9875285171102659E-2</v>
      </c>
      <c r="AD159" s="88" cm="1">
        <f t="array" ref="AD159">_xlfn.IFS(
AND(L159="marginal_effect",M159="level"),N159*AN159/BF159,
AND(L159="marginal_effect",M159="sd (Y)"),N159*BH159*AN159/BF159,
AND(L159="marginal_effect",M159="sd (X)"),N159/AQ159*AN159/BF159,
AND(L159="semi_elasticity",M159="level"),N159*AN159,
AND(L159="semi_elasticity",M159="sd (Y)"),N159*AN159*BH159,
AND(L159="semi_elasticity",M159="sd (X)"),N159*AN159/AQ159,
AND(L159="level-log",M159="level"),N159/BF159,
AND(L159="level-log",M159="sd (X)"),N159/BF159/AQ159,
AND(L159="level-log",M159="sd (Y)"),N159/BF159*BH159,
AND(L159="elasticity",M159="level"),N159,
AND(L159="elasticity",M159="sd (X)"),N159/AQ159,
AND(L159="elasticity",M159="sd (Y)"),N159*BH159,
AND(L159="marginal_effect",M159="percent_of_mean"),N159*AN159/BF159/10)</f>
        <v>-1.9875285171102659E-2</v>
      </c>
      <c r="AE159" s="56">
        <f t="shared" si="61"/>
        <v>1</v>
      </c>
      <c r="AF159" s="88">
        <f t="shared" si="69"/>
        <v>3.6136882129277569E-3</v>
      </c>
      <c r="AG159" s="88" cm="1">
        <f t="array" ref="AG159">_xlfn.IFS(
AND(L159="marginal_effect",M159="level"),O159*AN159/BF159,
AND(L159="marginal_effect",M159="sd (Y)"),O159*BH159*AN159/BF159,
AND(L159="marginal_effect",M159="sd (X)"),O159/AQ159*AN159/BF159,
AND(L159="semi_elasticity",M159="level"),O159*AN159,
AND(L159="semi_elasticity",M159="sd (Y)"),O159*AN159*BH159,
AND(L159="semi_elasticity",M159="sd (X)"),O159*AN159/AQ159,
AND(L159="level-log",M159="level"),O159/BF159,
AND(L159="level-log",M159="sd (X)"),O159/BF159/AQ159,
AND(L159="level-log",M159="sd (Y)"),O159/BF159*BH159,
AND(L159="elasticity",M159="level"),O159,
AND(L159="elasticity",M159="sd (X)"),O159/AQ159,
AND(L159="elasticity",M159="sd (Y)"),O159*BH159,
AND(L159="marginal_effect",M159="percent_of_mean"),O159*AN159/BF159/10)</f>
        <v>3.6136882129277569E-3</v>
      </c>
      <c r="AH159" s="56">
        <f t="shared" si="62"/>
        <v>1</v>
      </c>
      <c r="AI159" s="88">
        <f t="shared" si="67"/>
        <v>-1.9875285171102659E-2</v>
      </c>
      <c r="AJ159" s="55">
        <v>0</v>
      </c>
      <c r="AK159" s="56">
        <f t="shared" si="63"/>
        <v>1</v>
      </c>
      <c r="AL159" s="55" t="s">
        <v>106</v>
      </c>
      <c r="AM159" s="55" t="s">
        <v>1333</v>
      </c>
      <c r="AN159" s="55">
        <v>23.76</v>
      </c>
      <c r="AO159" s="55">
        <v>0</v>
      </c>
      <c r="AP159" s="55">
        <f t="shared" si="54"/>
        <v>23.76</v>
      </c>
      <c r="AQ159" s="55">
        <v>16.22</v>
      </c>
      <c r="AR159" s="55">
        <v>0.53</v>
      </c>
      <c r="AS159" s="55">
        <v>158.28</v>
      </c>
      <c r="AT159" s="55" t="s">
        <v>83</v>
      </c>
      <c r="AU159" s="55" t="s">
        <v>109</v>
      </c>
      <c r="AV159" s="55" t="s">
        <v>133</v>
      </c>
      <c r="AW159" s="55" t="s">
        <v>109</v>
      </c>
      <c r="AX159" s="55" t="s">
        <v>86</v>
      </c>
      <c r="AY159" s="55">
        <v>0</v>
      </c>
      <c r="AZ159" s="55">
        <v>0</v>
      </c>
      <c r="BA159" s="55" t="s">
        <v>734</v>
      </c>
      <c r="BB159" s="55" t="s">
        <v>88</v>
      </c>
      <c r="BC159" s="55" t="s">
        <v>134</v>
      </c>
      <c r="BD159" s="55" t="s">
        <v>114</v>
      </c>
      <c r="BE159" s="55" t="s">
        <v>534</v>
      </c>
      <c r="BF159" s="55">
        <v>26.3</v>
      </c>
      <c r="BG159" s="55">
        <v>0</v>
      </c>
      <c r="BH159" s="55">
        <v>16.48</v>
      </c>
      <c r="BI159" s="55">
        <v>0</v>
      </c>
      <c r="BJ159" s="55">
        <v>138</v>
      </c>
      <c r="BK159" s="55" t="s">
        <v>538</v>
      </c>
      <c r="BL159" s="55" t="s">
        <v>84</v>
      </c>
      <c r="BM159" s="55">
        <v>1</v>
      </c>
      <c r="BN159" s="55" t="s">
        <v>539</v>
      </c>
      <c r="BO159" s="55" t="s">
        <v>540</v>
      </c>
      <c r="BP159" s="55" t="s">
        <v>540</v>
      </c>
      <c r="BQ159" s="55" t="s">
        <v>92</v>
      </c>
      <c r="BR159" s="55" t="s">
        <v>93</v>
      </c>
      <c r="BS159" s="55">
        <v>26.81</v>
      </c>
      <c r="BT159" s="55">
        <v>0</v>
      </c>
      <c r="BU159" s="55" t="s">
        <v>536</v>
      </c>
      <c r="BV159" s="55" t="s">
        <v>537</v>
      </c>
      <c r="BW159" s="55" t="s">
        <v>736</v>
      </c>
      <c r="BX159" s="55" t="s">
        <v>95</v>
      </c>
      <c r="BY159" s="55" t="s">
        <v>96</v>
      </c>
      <c r="BZ159" s="55">
        <v>0</v>
      </c>
      <c r="CA159" s="55">
        <v>0</v>
      </c>
      <c r="CB159" s="55" t="s">
        <v>97</v>
      </c>
      <c r="CC159" s="55" t="s">
        <v>548</v>
      </c>
      <c r="CD159" s="55">
        <v>1</v>
      </c>
      <c r="CE159" s="55" t="s">
        <v>2206</v>
      </c>
      <c r="CF159" s="55">
        <v>1</v>
      </c>
      <c r="CG159" s="55" t="s">
        <v>396</v>
      </c>
      <c r="CH159" s="55">
        <v>1</v>
      </c>
      <c r="CI159" s="55" t="s">
        <v>541</v>
      </c>
      <c r="CJ159" s="55" t="s">
        <v>98</v>
      </c>
      <c r="CK159" s="55">
        <v>42</v>
      </c>
      <c r="CL159" s="55">
        <v>0</v>
      </c>
      <c r="CM159" s="55">
        <v>1</v>
      </c>
      <c r="CN159" s="55" t="s">
        <v>124</v>
      </c>
      <c r="CO159" s="55" t="s">
        <v>97</v>
      </c>
      <c r="CP159" s="55" t="s">
        <v>100</v>
      </c>
      <c r="CQ159" s="55" t="s">
        <v>126</v>
      </c>
      <c r="CR159" s="57">
        <v>46219</v>
      </c>
      <c r="CT159" s="55" t="s">
        <v>578</v>
      </c>
    </row>
    <row r="160" spans="1:98" s="55" customFormat="1" x14ac:dyDescent="0.35">
      <c r="A160" s="54" t="s">
        <v>529</v>
      </c>
      <c r="B160" s="54" t="s">
        <v>574</v>
      </c>
      <c r="C160" s="55" t="s">
        <v>530</v>
      </c>
      <c r="D160" s="55">
        <v>2017</v>
      </c>
      <c r="E160" s="54" t="s">
        <v>531</v>
      </c>
      <c r="F160" s="54" t="s">
        <v>532</v>
      </c>
      <c r="G160" s="55" t="s">
        <v>78</v>
      </c>
      <c r="H160" s="55">
        <v>1</v>
      </c>
      <c r="I160" s="55" t="s">
        <v>533</v>
      </c>
      <c r="J160" s="55" t="s">
        <v>79</v>
      </c>
      <c r="K160" s="55">
        <v>281</v>
      </c>
      <c r="L160" s="55" t="s">
        <v>129</v>
      </c>
      <c r="M160" s="55" t="s">
        <v>380</v>
      </c>
      <c r="N160" s="55">
        <v>-6.0000000000000001E-3</v>
      </c>
      <c r="O160" s="55">
        <v>3.0000000000000001E-3</v>
      </c>
      <c r="P160" s="88">
        <f t="shared" si="55"/>
        <v>-2</v>
      </c>
      <c r="Q160" s="55" t="s">
        <v>312</v>
      </c>
      <c r="R160" s="88">
        <f t="shared" si="56"/>
        <v>-1.188E-2</v>
      </c>
      <c r="S160" s="88">
        <f t="shared" si="57"/>
        <v>-1.2000000000000031E-4</v>
      </c>
      <c r="T160" s="55">
        <v>1</v>
      </c>
      <c r="U160" s="55">
        <v>75163</v>
      </c>
      <c r="V160" s="55">
        <v>23</v>
      </c>
      <c r="W160" s="55">
        <v>1</v>
      </c>
      <c r="X160" s="55">
        <f t="shared" si="58"/>
        <v>75140</v>
      </c>
      <c r="Y160" s="88">
        <f t="shared" si="59"/>
        <v>-7.2959666641624239E-3</v>
      </c>
      <c r="Z160" s="88">
        <f t="shared" si="60"/>
        <v>3.6479833320812115E-3</v>
      </c>
      <c r="AA160" s="88">
        <f t="shared" si="66"/>
        <v>-7.2959666641624239E-3</v>
      </c>
      <c r="AB160" s="55" t="s">
        <v>81</v>
      </c>
      <c r="AC160" s="88">
        <f t="shared" si="68"/>
        <v>-1.2561216730038025E-2</v>
      </c>
      <c r="AD160" s="88" cm="1">
        <f t="array" ref="AD160">_xlfn.IFS(
AND(L160="marginal_effect",M160="level"),N160*AN160/BF160,
AND(L160="marginal_effect",M160="sd (Y)"),N160*BH160*AN160/BF160,
AND(L160="marginal_effect",M160="sd (X)"),N160/AQ160*AN160/BF160,
AND(L160="semi_elasticity",M160="level"),N160*AN160,
AND(L160="semi_elasticity",M160="sd (Y)"),N160*AN160*BH160,
AND(L160="semi_elasticity",M160="sd (X)"),N160*AN160/AQ160,
AND(L160="level-log",M160="level"),N160/BF160,
AND(L160="level-log",M160="sd (X)"),N160/BF160/AQ160,
AND(L160="level-log",M160="sd (Y)"),N160/BF160*BH160,
AND(L160="elasticity",M160="level"),N160,
AND(L160="elasticity",M160="sd (X)"),N160/AQ160,
AND(L160="elasticity",M160="sd (Y)"),N160*BH160,
AND(L160="marginal_effect",M160="percent_of_mean"),N160*AN160/BF160/10)</f>
        <v>-1.2561216730038025E-2</v>
      </c>
      <c r="AE160" s="56">
        <f t="shared" si="61"/>
        <v>1</v>
      </c>
      <c r="AF160" s="88">
        <f t="shared" si="69"/>
        <v>6.2806083650190124E-3</v>
      </c>
      <c r="AG160" s="88" cm="1">
        <f t="array" ref="AG160">_xlfn.IFS(
AND(L160="marginal_effect",M160="level"),O160*AN160/BF160,
AND(L160="marginal_effect",M160="sd (Y)"),O160*BH160*AN160/BF160,
AND(L160="marginal_effect",M160="sd (X)"),O160/AQ160*AN160/BF160,
AND(L160="semi_elasticity",M160="level"),O160*AN160,
AND(L160="semi_elasticity",M160="sd (Y)"),O160*AN160*BH160,
AND(L160="semi_elasticity",M160="sd (X)"),O160*AN160/AQ160,
AND(L160="level-log",M160="level"),O160/BF160,
AND(L160="level-log",M160="sd (X)"),O160/BF160/AQ160,
AND(L160="level-log",M160="sd (Y)"),O160/BF160*BH160,
AND(L160="elasticity",M160="level"),O160,
AND(L160="elasticity",M160="sd (X)"),O160/AQ160,
AND(L160="elasticity",M160="sd (Y)"),O160*BH160,
AND(L160="marginal_effect",M160="percent_of_mean"),O160*AN160/BF160/10)</f>
        <v>6.2806083650190124E-3</v>
      </c>
      <c r="AH160" s="56">
        <f t="shared" si="62"/>
        <v>1</v>
      </c>
      <c r="AI160" s="88">
        <f t="shared" si="67"/>
        <v>-1.2561216730038025E-2</v>
      </c>
      <c r="AJ160" s="55">
        <v>0</v>
      </c>
      <c r="AK160" s="56">
        <f t="shared" si="63"/>
        <v>1</v>
      </c>
      <c r="AL160" s="55" t="s">
        <v>148</v>
      </c>
      <c r="AM160" s="55" t="s">
        <v>1333</v>
      </c>
      <c r="AN160" s="55">
        <v>55.06</v>
      </c>
      <c r="AO160" s="55">
        <v>0</v>
      </c>
      <c r="AP160" s="55">
        <f t="shared" si="54"/>
        <v>55.06</v>
      </c>
      <c r="AQ160" s="55">
        <v>34.270000000000003</v>
      </c>
      <c r="AR160" s="55">
        <v>0.13</v>
      </c>
      <c r="AS160" s="55">
        <v>248</v>
      </c>
      <c r="AT160" s="55" t="s">
        <v>83</v>
      </c>
      <c r="AU160" s="55" t="s">
        <v>109</v>
      </c>
      <c r="AV160" s="55" t="s">
        <v>133</v>
      </c>
      <c r="AW160" s="55" t="s">
        <v>109</v>
      </c>
      <c r="AX160" s="55" t="s">
        <v>86</v>
      </c>
      <c r="AY160" s="55">
        <v>0</v>
      </c>
      <c r="AZ160" s="55">
        <v>0</v>
      </c>
      <c r="BA160" s="55" t="s">
        <v>734</v>
      </c>
      <c r="BB160" s="55" t="s">
        <v>88</v>
      </c>
      <c r="BC160" s="55" t="s">
        <v>134</v>
      </c>
      <c r="BD160" s="55" t="s">
        <v>114</v>
      </c>
      <c r="BE160" s="55" t="s">
        <v>534</v>
      </c>
      <c r="BF160" s="55">
        <v>26.3</v>
      </c>
      <c r="BG160" s="55">
        <v>0</v>
      </c>
      <c r="BH160" s="55">
        <v>16.48</v>
      </c>
      <c r="BI160" s="55">
        <v>0</v>
      </c>
      <c r="BJ160" s="55">
        <v>138</v>
      </c>
      <c r="BK160" s="55" t="s">
        <v>538</v>
      </c>
      <c r="BL160" s="55" t="s">
        <v>84</v>
      </c>
      <c r="BM160" s="55">
        <v>1</v>
      </c>
      <c r="BN160" s="55" t="s">
        <v>539</v>
      </c>
      <c r="BO160" s="55" t="s">
        <v>540</v>
      </c>
      <c r="BP160" s="55" t="s">
        <v>540</v>
      </c>
      <c r="BQ160" s="55" t="s">
        <v>92</v>
      </c>
      <c r="BR160" s="55" t="s">
        <v>93</v>
      </c>
      <c r="BS160" s="55">
        <v>26.81</v>
      </c>
      <c r="BT160" s="55">
        <v>0</v>
      </c>
      <c r="BU160" s="55" t="s">
        <v>536</v>
      </c>
      <c r="BV160" s="55" t="s">
        <v>537</v>
      </c>
      <c r="BW160" s="55" t="s">
        <v>736</v>
      </c>
      <c r="BX160" s="55" t="s">
        <v>95</v>
      </c>
      <c r="BY160" s="55" t="s">
        <v>96</v>
      </c>
      <c r="BZ160" s="55">
        <v>0</v>
      </c>
      <c r="CA160" s="55">
        <v>0</v>
      </c>
      <c r="CB160" s="55" t="s">
        <v>97</v>
      </c>
      <c r="CC160" s="55" t="s">
        <v>548</v>
      </c>
      <c r="CD160" s="55">
        <v>1</v>
      </c>
      <c r="CE160" s="55" t="s">
        <v>2206</v>
      </c>
      <c r="CF160" s="55">
        <v>1</v>
      </c>
      <c r="CG160" s="55" t="s">
        <v>106</v>
      </c>
      <c r="CH160" s="55">
        <v>1</v>
      </c>
      <c r="CI160" s="55" t="s">
        <v>541</v>
      </c>
      <c r="CJ160" s="55" t="s">
        <v>98</v>
      </c>
      <c r="CK160" s="55">
        <v>42</v>
      </c>
      <c r="CL160" s="55">
        <v>0</v>
      </c>
      <c r="CM160" s="55">
        <v>0</v>
      </c>
      <c r="CN160" s="55" t="s">
        <v>124</v>
      </c>
      <c r="CO160" s="55" t="s">
        <v>97</v>
      </c>
      <c r="CP160" s="55" t="s">
        <v>100</v>
      </c>
      <c r="CQ160" s="55" t="s">
        <v>126</v>
      </c>
      <c r="CR160" s="57">
        <v>46219</v>
      </c>
      <c r="CT160" s="55" t="s">
        <v>578</v>
      </c>
    </row>
    <row r="161" spans="1:98" s="35" customFormat="1" x14ac:dyDescent="0.35">
      <c r="A161" s="34" t="s">
        <v>583</v>
      </c>
      <c r="B161" s="34" t="s">
        <v>602</v>
      </c>
      <c r="C161" s="35" t="s">
        <v>584</v>
      </c>
      <c r="D161" s="35">
        <v>2018</v>
      </c>
      <c r="E161" s="34" t="s">
        <v>585</v>
      </c>
      <c r="F161" s="34" t="s">
        <v>586</v>
      </c>
      <c r="G161" s="35" t="s">
        <v>78</v>
      </c>
      <c r="H161" s="35">
        <v>1</v>
      </c>
      <c r="I161" s="35" t="s">
        <v>390</v>
      </c>
      <c r="J161" s="35" t="s">
        <v>79</v>
      </c>
      <c r="K161" s="35">
        <v>366</v>
      </c>
      <c r="L161" s="35" t="s">
        <v>129</v>
      </c>
      <c r="M161" s="35" t="s">
        <v>380</v>
      </c>
      <c r="N161" s="35">
        <v>-4.0000000000000001E-3</v>
      </c>
      <c r="O161" s="35">
        <v>1E-3</v>
      </c>
      <c r="P161" s="89">
        <f t="shared" si="55"/>
        <v>-4</v>
      </c>
      <c r="Q161" s="35" t="s">
        <v>312</v>
      </c>
      <c r="R161" s="89">
        <f t="shared" si="56"/>
        <v>-5.96E-3</v>
      </c>
      <c r="S161" s="89">
        <f t="shared" si="57"/>
        <v>-2.0400000000000001E-3</v>
      </c>
      <c r="T161" s="35">
        <v>1</v>
      </c>
      <c r="U161" s="35">
        <v>623573</v>
      </c>
      <c r="V161" s="35" t="s">
        <v>312</v>
      </c>
      <c r="W161" s="35" t="s">
        <v>312</v>
      </c>
      <c r="X161" s="35">
        <f t="shared" si="58"/>
        <v>623573</v>
      </c>
      <c r="Y161" s="89">
        <f t="shared" si="59"/>
        <v>-5.0653652713530976E-3</v>
      </c>
      <c r="Z161" s="89">
        <f t="shared" si="60"/>
        <v>1.2663413178382744E-3</v>
      </c>
      <c r="AA161" s="89">
        <f t="shared" si="66"/>
        <v>-5.0653652713530976E-3</v>
      </c>
      <c r="AB161" s="35" t="s">
        <v>81</v>
      </c>
      <c r="AC161" s="89">
        <f t="shared" si="68"/>
        <v>-5.2720677146311972E-3</v>
      </c>
      <c r="AD161" s="89" cm="1">
        <f t="array" ref="AD161">_xlfn.IFS(
AND(L161="marginal_effect",M161="level"),N161*AN161/BF161,
AND(L161="marginal_effect",M161="sd (Y)"),N161*BH161*AN161/BF161,
AND(L161="marginal_effect",M161="sd (X)"),N161/AQ161*AN161/BF161,
AND(L161="semi_elasticity",M161="level"),N161*AN161,
AND(L161="semi_elasticity",M161="sd (Y)"),N161*AN161*BH161,
AND(L161="semi_elasticity",M161="sd (X)"),N161*AN161/AQ161,
AND(L161="level-log",M161="level"),N161/BF161,
AND(L161="level-log",M161="sd (X)"),N161/BF161/AQ161,
AND(L161="level-log",M161="sd (Y)"),N161/BF161*BH161,
AND(L161="elasticity",M161="level"),N161,
AND(L161="elasticity",M161="sd (X)"),N161/AQ161,
AND(L161="elasticity",M161="sd (Y)"),N161*BH161,
AND(L161="marginal_effect",M161="percent_of_mean"),N161*AN161/BF161/10)</f>
        <v>-5.2720677146311972E-3</v>
      </c>
      <c r="AE161" s="49">
        <f t="shared" si="61"/>
        <v>1</v>
      </c>
      <c r="AF161" s="89">
        <f t="shared" si="69"/>
        <v>1.3180169286577993E-3</v>
      </c>
      <c r="AG161" s="89" cm="1">
        <f t="array" ref="AG161">_xlfn.IFS(
AND(L161="marginal_effect",M161="level"),O161*AN161/BF161,
AND(L161="marginal_effect",M161="sd (Y)"),O161*BH161*AN161/BF161,
AND(L161="marginal_effect",M161="sd (X)"),O161/AQ161*AN161/BF161,
AND(L161="semi_elasticity",M161="level"),O161*AN161,
AND(L161="semi_elasticity",M161="sd (Y)"),O161*AN161*BH161,
AND(L161="semi_elasticity",M161="sd (X)"),O161*AN161/AQ161,
AND(L161="level-log",M161="level"),O161/BF161,
AND(L161="level-log",M161="sd (X)"),O161/BF161/AQ161,
AND(L161="level-log",M161="sd (Y)"),O161/BF161*BH161,
AND(L161="elasticity",M161="level"),O161,
AND(L161="elasticity",M161="sd (X)"),O161/AQ161,
AND(L161="elasticity",M161="sd (Y)"),O161*BH161,
AND(L161="marginal_effect",M161="percent_of_mean"),O161*AN161/BF161/10)</f>
        <v>1.3180169286577993E-3</v>
      </c>
      <c r="AH161" s="49">
        <f t="shared" si="62"/>
        <v>1</v>
      </c>
      <c r="AI161" s="89">
        <f t="shared" si="67"/>
        <v>-5.2720677146311972E-3</v>
      </c>
      <c r="AJ161" s="35">
        <v>0</v>
      </c>
      <c r="AK161" s="49">
        <f t="shared" si="63"/>
        <v>1</v>
      </c>
      <c r="AL161" s="35" t="s">
        <v>82</v>
      </c>
      <c r="AM161" s="35" t="s">
        <v>296</v>
      </c>
      <c r="AN161" s="35">
        <v>1.0900000000000001</v>
      </c>
      <c r="AO161" s="35">
        <v>0</v>
      </c>
      <c r="AP161" s="35">
        <f>AN161*10</f>
        <v>10.9</v>
      </c>
      <c r="AQ161" s="35">
        <v>0.57999999999999996</v>
      </c>
      <c r="AR161" s="35" t="s">
        <v>312</v>
      </c>
      <c r="AS161" s="35" t="s">
        <v>312</v>
      </c>
      <c r="AT161" s="35" t="s">
        <v>83</v>
      </c>
      <c r="AU161" s="35" t="s">
        <v>109</v>
      </c>
      <c r="AV161" s="35" t="s">
        <v>133</v>
      </c>
      <c r="AW161" s="35" t="s">
        <v>134</v>
      </c>
      <c r="AX161" s="35" t="s">
        <v>86</v>
      </c>
      <c r="AY161" s="35">
        <v>0</v>
      </c>
      <c r="AZ161" s="35">
        <v>0</v>
      </c>
      <c r="BA161" s="58" t="s">
        <v>111</v>
      </c>
      <c r="BB161" s="35" t="s">
        <v>88</v>
      </c>
      <c r="BC161" s="35" t="s">
        <v>587</v>
      </c>
      <c r="BD161" s="35" t="s">
        <v>114</v>
      </c>
      <c r="BE161" s="35" t="s">
        <v>595</v>
      </c>
      <c r="BF161" s="35">
        <v>0.82699999999999996</v>
      </c>
      <c r="BG161" s="35">
        <v>0</v>
      </c>
      <c r="BH161" s="35">
        <v>0.378</v>
      </c>
      <c r="BI161" s="35" t="s">
        <v>312</v>
      </c>
      <c r="BJ161" s="35" t="s">
        <v>312</v>
      </c>
      <c r="BK161" s="35" t="s">
        <v>91</v>
      </c>
      <c r="BL161" s="35" t="s">
        <v>84</v>
      </c>
      <c r="BM161" s="35">
        <v>1</v>
      </c>
      <c r="BN161" s="35" t="s">
        <v>539</v>
      </c>
      <c r="BO161" s="35" t="s">
        <v>589</v>
      </c>
      <c r="BP161" s="35" t="s">
        <v>588</v>
      </c>
      <c r="BQ161" s="35" t="s">
        <v>92</v>
      </c>
      <c r="BR161" s="35" t="s">
        <v>312</v>
      </c>
      <c r="BS161" s="35" t="s">
        <v>312</v>
      </c>
      <c r="BT161" s="35" t="s">
        <v>312</v>
      </c>
      <c r="BU161" s="35">
        <v>2008</v>
      </c>
      <c r="BV161" s="35">
        <v>2015</v>
      </c>
      <c r="BW161" s="35" t="s">
        <v>596</v>
      </c>
      <c r="BX161" s="35" t="s">
        <v>95</v>
      </c>
      <c r="BY161" s="35" t="s">
        <v>592</v>
      </c>
      <c r="BZ161" s="35">
        <v>0</v>
      </c>
      <c r="CA161" s="35">
        <v>0</v>
      </c>
      <c r="CB161" s="35" t="s">
        <v>97</v>
      </c>
      <c r="CC161" s="35" t="s">
        <v>625</v>
      </c>
      <c r="CD161" s="35">
        <v>1</v>
      </c>
      <c r="CE161" s="35" t="s">
        <v>594</v>
      </c>
      <c r="CF161" s="35">
        <v>1</v>
      </c>
      <c r="CG161" s="35" t="s">
        <v>597</v>
      </c>
      <c r="CH161" s="35">
        <v>1</v>
      </c>
      <c r="CI161" s="35" t="s">
        <v>541</v>
      </c>
      <c r="CJ161" s="35" t="s">
        <v>98</v>
      </c>
      <c r="CK161" s="35">
        <v>62</v>
      </c>
      <c r="CL161" s="35">
        <v>1</v>
      </c>
      <c r="CM161" s="35">
        <v>1</v>
      </c>
      <c r="CN161" s="35" t="s">
        <v>99</v>
      </c>
      <c r="CO161" s="35" t="s">
        <v>97</v>
      </c>
      <c r="CP161" s="35" t="s">
        <v>100</v>
      </c>
      <c r="CQ161" s="35" t="s">
        <v>126</v>
      </c>
      <c r="CR161" s="36">
        <v>46220</v>
      </c>
      <c r="CT161" s="35" t="s">
        <v>601</v>
      </c>
    </row>
    <row r="162" spans="1:98" s="35" customFormat="1" x14ac:dyDescent="0.35">
      <c r="A162" s="34" t="s">
        <v>583</v>
      </c>
      <c r="B162" s="34" t="s">
        <v>603</v>
      </c>
      <c r="C162" s="35" t="s">
        <v>584</v>
      </c>
      <c r="D162" s="35">
        <v>2018</v>
      </c>
      <c r="E162" s="34" t="s">
        <v>585</v>
      </c>
      <c r="F162" s="34" t="s">
        <v>586</v>
      </c>
      <c r="G162" s="35" t="s">
        <v>78</v>
      </c>
      <c r="H162" s="35">
        <v>1</v>
      </c>
      <c r="I162" s="35" t="s">
        <v>390</v>
      </c>
      <c r="J162" s="35" t="s">
        <v>79</v>
      </c>
      <c r="K162" s="35">
        <v>366</v>
      </c>
      <c r="L162" s="35" t="s">
        <v>129</v>
      </c>
      <c r="M162" s="35" t="s">
        <v>380</v>
      </c>
      <c r="N162" s="35">
        <v>-0.02</v>
      </c>
      <c r="O162" s="35">
        <v>8.0000000000000002E-3</v>
      </c>
      <c r="P162" s="89">
        <f t="shared" si="55"/>
        <v>-2.5</v>
      </c>
      <c r="Q162" s="35" t="s">
        <v>312</v>
      </c>
      <c r="R162" s="89">
        <f t="shared" si="56"/>
        <v>-3.5680000000000003E-2</v>
      </c>
      <c r="S162" s="89">
        <f t="shared" si="57"/>
        <v>-4.3200000000000009E-3</v>
      </c>
      <c r="T162" s="35">
        <v>1</v>
      </c>
      <c r="U162" s="35">
        <v>623573</v>
      </c>
      <c r="V162" s="35" t="s">
        <v>312</v>
      </c>
      <c r="W162" s="35" t="s">
        <v>312</v>
      </c>
      <c r="X162" s="35">
        <f t="shared" si="58"/>
        <v>623573</v>
      </c>
      <c r="Y162" s="89">
        <f t="shared" si="59"/>
        <v>-3.1658780444161518E-3</v>
      </c>
      <c r="Z162" s="89">
        <f t="shared" si="60"/>
        <v>1.2663512177664607E-3</v>
      </c>
      <c r="AA162" s="89">
        <f t="shared" si="66"/>
        <v>-3.1658780444161518E-3</v>
      </c>
      <c r="AB162" s="35" t="s">
        <v>81</v>
      </c>
      <c r="AC162" s="89">
        <f t="shared" si="68"/>
        <v>-7.1342200725513904E-3</v>
      </c>
      <c r="AD162" s="89" cm="1">
        <f t="array" ref="AD162">_xlfn.IFS(
AND(L162="marginal_effect",M162="level"),N162*AN162/BF162,
AND(L162="marginal_effect",M162="sd (Y)"),N162*BH162*AN162/BF162,
AND(L162="marginal_effect",M162="sd (X)"),N162/AQ162*AN162/BF162,
AND(L162="semi_elasticity",M162="level"),N162*AN162,
AND(L162="semi_elasticity",M162="sd (Y)"),N162*AN162*BH162,
AND(L162="semi_elasticity",M162="sd (X)"),N162*AN162/AQ162,
AND(L162="level-log",M162="level"),N162/BF162,
AND(L162="level-log",M162="sd (X)"),N162/BF162/AQ162,
AND(L162="level-log",M162="sd (Y)"),N162/BF162*BH162,
AND(L162="elasticity",M162="level"),N162,
AND(L162="elasticity",M162="sd (X)"),N162/AQ162,
AND(L162="elasticity",M162="sd (Y)"),N162*BH162,
AND(L162="marginal_effect",M162="percent_of_mean"),N162*AN162/BF162/10)</f>
        <v>-7.1342200725513904E-3</v>
      </c>
      <c r="AE162" s="49">
        <f t="shared" si="61"/>
        <v>1</v>
      </c>
      <c r="AF162" s="89">
        <f t="shared" si="69"/>
        <v>2.8536880290205564E-3</v>
      </c>
      <c r="AG162" s="89" cm="1">
        <f t="array" ref="AG162">_xlfn.IFS(
AND(L162="marginal_effect",M162="level"),O162*AN162/BF162,
AND(L162="marginal_effect",M162="sd (Y)"),O162*BH162*AN162/BF162,
AND(L162="marginal_effect",M162="sd (X)"),O162/AQ162*AN162/BF162,
AND(L162="semi_elasticity",M162="level"),O162*AN162,
AND(L162="semi_elasticity",M162="sd (Y)"),O162*AN162*BH162,
AND(L162="semi_elasticity",M162="sd (X)"),O162*AN162/AQ162,
AND(L162="level-log",M162="level"),O162/BF162,
AND(L162="level-log",M162="sd (X)"),O162/BF162/AQ162,
AND(L162="level-log",M162="sd (Y)"),O162/BF162*BH162,
AND(L162="elasticity",M162="level"),O162,
AND(L162="elasticity",M162="sd (X)"),O162/AQ162,
AND(L162="elasticity",M162="sd (Y)"),O162*BH162,
AND(L162="marginal_effect",M162="percent_of_mean"),O162*AN162/BF162/10)</f>
        <v>2.8536880290205564E-3</v>
      </c>
      <c r="AH162" s="49">
        <f t="shared" si="62"/>
        <v>1</v>
      </c>
      <c r="AI162" s="89">
        <f t="shared" si="67"/>
        <v>-7.1342200725513904E-3</v>
      </c>
      <c r="AJ162" s="35">
        <v>0</v>
      </c>
      <c r="AK162" s="49">
        <f t="shared" si="63"/>
        <v>1</v>
      </c>
      <c r="AL162" s="35" t="s">
        <v>162</v>
      </c>
      <c r="AM162" s="35" t="s">
        <v>590</v>
      </c>
      <c r="AN162" s="35">
        <v>0.29499999999999998</v>
      </c>
      <c r="AO162" s="35">
        <v>0</v>
      </c>
      <c r="AP162" s="35">
        <f>AN162</f>
        <v>0.29499999999999998</v>
      </c>
      <c r="AQ162" s="35">
        <v>0.13900000000000001</v>
      </c>
      <c r="AR162" s="35" t="s">
        <v>312</v>
      </c>
      <c r="AS162" s="35" t="s">
        <v>312</v>
      </c>
      <c r="AT162" s="35" t="s">
        <v>83</v>
      </c>
      <c r="AU162" s="35" t="s">
        <v>109</v>
      </c>
      <c r="AV162" s="35" t="s">
        <v>133</v>
      </c>
      <c r="AW162" s="35" t="s">
        <v>134</v>
      </c>
      <c r="AX162" s="35" t="s">
        <v>86</v>
      </c>
      <c r="AY162" s="35">
        <v>0</v>
      </c>
      <c r="AZ162" s="35">
        <v>0</v>
      </c>
      <c r="BA162" s="58" t="s">
        <v>111</v>
      </c>
      <c r="BB162" s="35" t="s">
        <v>88</v>
      </c>
      <c r="BC162" s="35" t="s">
        <v>587</v>
      </c>
      <c r="BD162" s="35" t="s">
        <v>114</v>
      </c>
      <c r="BE162" s="35" t="s">
        <v>595</v>
      </c>
      <c r="BF162" s="35">
        <v>0.82699999999999996</v>
      </c>
      <c r="BG162" s="35">
        <v>0</v>
      </c>
      <c r="BH162" s="35">
        <v>0.378</v>
      </c>
      <c r="BI162" s="35" t="s">
        <v>312</v>
      </c>
      <c r="BJ162" s="35" t="s">
        <v>312</v>
      </c>
      <c r="BK162" s="35" t="s">
        <v>91</v>
      </c>
      <c r="BL162" s="35" t="s">
        <v>84</v>
      </c>
      <c r="BM162" s="35">
        <v>1</v>
      </c>
      <c r="BN162" s="35" t="s">
        <v>539</v>
      </c>
      <c r="BO162" s="35" t="s">
        <v>589</v>
      </c>
      <c r="BP162" s="35" t="s">
        <v>588</v>
      </c>
      <c r="BQ162" s="35" t="s">
        <v>92</v>
      </c>
      <c r="BR162" s="35" t="s">
        <v>312</v>
      </c>
      <c r="BS162" s="35" t="s">
        <v>312</v>
      </c>
      <c r="BT162" s="35" t="s">
        <v>312</v>
      </c>
      <c r="BU162" s="35">
        <v>2008</v>
      </c>
      <c r="BV162" s="35">
        <v>2015</v>
      </c>
      <c r="BW162" s="35" t="s">
        <v>596</v>
      </c>
      <c r="BX162" s="35" t="s">
        <v>95</v>
      </c>
      <c r="BY162" s="35" t="s">
        <v>592</v>
      </c>
      <c r="BZ162" s="35">
        <v>0</v>
      </c>
      <c r="CA162" s="35">
        <v>0</v>
      </c>
      <c r="CB162" s="35" t="s">
        <v>97</v>
      </c>
      <c r="CC162" s="35" t="s">
        <v>625</v>
      </c>
      <c r="CD162" s="35">
        <v>1</v>
      </c>
      <c r="CE162" s="35" t="s">
        <v>594</v>
      </c>
      <c r="CF162" s="35">
        <v>1</v>
      </c>
      <c r="CG162" s="35" t="s">
        <v>598</v>
      </c>
      <c r="CH162" s="35">
        <v>1</v>
      </c>
      <c r="CI162" s="35" t="s">
        <v>541</v>
      </c>
      <c r="CJ162" s="35" t="s">
        <v>98</v>
      </c>
      <c r="CK162" s="35">
        <v>62</v>
      </c>
      <c r="CL162" s="35">
        <v>1</v>
      </c>
      <c r="CM162" s="35">
        <v>1</v>
      </c>
      <c r="CN162" s="35" t="s">
        <v>99</v>
      </c>
      <c r="CO162" s="35" t="s">
        <v>97</v>
      </c>
      <c r="CP162" s="35" t="s">
        <v>100</v>
      </c>
      <c r="CQ162" s="35" t="s">
        <v>600</v>
      </c>
      <c r="CR162" s="36">
        <v>46220</v>
      </c>
      <c r="CT162" s="35" t="s">
        <v>601</v>
      </c>
    </row>
    <row r="163" spans="1:98" s="35" customFormat="1" x14ac:dyDescent="0.35">
      <c r="A163" s="34" t="s">
        <v>583</v>
      </c>
      <c r="B163" s="34" t="s">
        <v>604</v>
      </c>
      <c r="C163" s="35" t="s">
        <v>584</v>
      </c>
      <c r="D163" s="35">
        <v>2018</v>
      </c>
      <c r="E163" s="34" t="s">
        <v>585</v>
      </c>
      <c r="F163" s="34" t="s">
        <v>586</v>
      </c>
      <c r="G163" s="35" t="s">
        <v>78</v>
      </c>
      <c r="H163" s="35">
        <v>1</v>
      </c>
      <c r="I163" s="35" t="s">
        <v>390</v>
      </c>
      <c r="J163" s="35" t="s">
        <v>79</v>
      </c>
      <c r="K163" s="35">
        <v>366</v>
      </c>
      <c r="L163" s="35" t="s">
        <v>129</v>
      </c>
      <c r="M163" s="35" t="s">
        <v>380</v>
      </c>
      <c r="N163" s="35">
        <v>2.9000000000000001E-2</v>
      </c>
      <c r="O163" s="35">
        <v>4.8000000000000001E-2</v>
      </c>
      <c r="P163" s="89">
        <f t="shared" si="55"/>
        <v>0.60416666666666663</v>
      </c>
      <c r="Q163" s="35" t="s">
        <v>312</v>
      </c>
      <c r="R163" s="89">
        <f t="shared" si="56"/>
        <v>-6.5079999999999999E-2</v>
      </c>
      <c r="S163" s="89">
        <f t="shared" si="57"/>
        <v>0.12307999999999999</v>
      </c>
      <c r="T163" s="35">
        <v>1</v>
      </c>
      <c r="U163" s="35">
        <v>623573</v>
      </c>
      <c r="V163" s="35" t="s">
        <v>312</v>
      </c>
      <c r="W163" s="35" t="s">
        <v>312</v>
      </c>
      <c r="X163" s="35">
        <f t="shared" si="58"/>
        <v>623573</v>
      </c>
      <c r="Y163" s="89">
        <f t="shared" si="59"/>
        <v>7.6509080431944097E-4</v>
      </c>
      <c r="Z163" s="89">
        <f t="shared" si="60"/>
        <v>1.2663571933563161E-3</v>
      </c>
      <c r="AA163" s="89">
        <f t="shared" si="66"/>
        <v>7.6509080431944097E-4</v>
      </c>
      <c r="AB163" s="35" t="s">
        <v>81</v>
      </c>
      <c r="AC163" s="89">
        <f t="shared" si="68"/>
        <v>1.1922611850060461E-3</v>
      </c>
      <c r="AD163" s="89" cm="1">
        <f t="array" ref="AD163">_xlfn.IFS(
AND(L163="marginal_effect",M163="level"),N163*AN163/BF163,
AND(L163="marginal_effect",M163="sd (Y)"),N163*BH163*AN163/BF163,
AND(L163="marginal_effect",M163="sd (X)"),N163/AQ163*AN163/BF163,
AND(L163="semi_elasticity",M163="level"),N163*AN163,
AND(L163="semi_elasticity",M163="sd (Y)"),N163*AN163*BH163,
AND(L163="semi_elasticity",M163="sd (X)"),N163*AN163/AQ163,
AND(L163="level-log",M163="level"),N163/BF163,
AND(L163="level-log",M163="sd (X)"),N163/BF163/AQ163,
AND(L163="level-log",M163="sd (Y)"),N163/BF163*BH163,
AND(L163="elasticity",M163="level"),N163,
AND(L163="elasticity",M163="sd (X)"),N163/AQ163,
AND(L163="elasticity",M163="sd (Y)"),N163*BH163,
AND(L163="marginal_effect",M163="percent_of_mean"),N163*AN163/BF163/10)</f>
        <v>1.1922611850060461E-3</v>
      </c>
      <c r="AE163" s="49">
        <f t="shared" si="61"/>
        <v>1</v>
      </c>
      <c r="AF163" s="89">
        <f t="shared" si="69"/>
        <v>1.9733978234582833E-3</v>
      </c>
      <c r="AG163" s="89" cm="1">
        <f t="array" ref="AG163">_xlfn.IFS(
AND(L163="marginal_effect",M163="level"),O163*AN163/BF163,
AND(L163="marginal_effect",M163="sd (Y)"),O163*BH163*AN163/BF163,
AND(L163="marginal_effect",M163="sd (X)"),O163/AQ163*AN163/BF163,
AND(L163="semi_elasticity",M163="level"),O163*AN163,
AND(L163="semi_elasticity",M163="sd (Y)"),O163*AN163*BH163,
AND(L163="semi_elasticity",M163="sd (X)"),O163*AN163/AQ163,
AND(L163="level-log",M163="level"),O163/BF163,
AND(L163="level-log",M163="sd (X)"),O163/BF163/AQ163,
AND(L163="level-log",M163="sd (Y)"),O163/BF163*BH163,
AND(L163="elasticity",M163="level"),O163,
AND(L163="elasticity",M163="sd (X)"),O163/AQ163,
AND(L163="elasticity",M163="sd (Y)"),O163*BH163,
AND(L163="marginal_effect",M163="percent_of_mean"),O163*AN163/BF163/10)</f>
        <v>1.9733978234582833E-3</v>
      </c>
      <c r="AH163" s="49">
        <f t="shared" si="62"/>
        <v>1</v>
      </c>
      <c r="AI163" s="89">
        <f t="shared" si="67"/>
        <v>1.1922611850060461E-3</v>
      </c>
      <c r="AJ163" s="35">
        <v>0</v>
      </c>
      <c r="AK163" s="49">
        <f t="shared" si="63"/>
        <v>1</v>
      </c>
      <c r="AL163" s="35" t="s">
        <v>148</v>
      </c>
      <c r="AM163" s="35" t="s">
        <v>590</v>
      </c>
      <c r="AN163" s="35">
        <f>0.034</f>
        <v>3.4000000000000002E-2</v>
      </c>
      <c r="AO163" s="35">
        <v>0</v>
      </c>
      <c r="AP163" s="35">
        <f>AN163</f>
        <v>3.4000000000000002E-2</v>
      </c>
      <c r="AQ163" s="35">
        <v>1.4999999999999999E-2</v>
      </c>
      <c r="AR163" s="35" t="s">
        <v>312</v>
      </c>
      <c r="AS163" s="35" t="s">
        <v>312</v>
      </c>
      <c r="AT163" s="35" t="s">
        <v>83</v>
      </c>
      <c r="AU163" s="35" t="s">
        <v>109</v>
      </c>
      <c r="AV163" s="35" t="s">
        <v>133</v>
      </c>
      <c r="AW163" s="35" t="s">
        <v>134</v>
      </c>
      <c r="AX163" s="35" t="s">
        <v>86</v>
      </c>
      <c r="AY163" s="35">
        <v>0</v>
      </c>
      <c r="AZ163" s="35">
        <v>0</v>
      </c>
      <c r="BA163" s="58" t="s">
        <v>111</v>
      </c>
      <c r="BB163" s="35" t="s">
        <v>88</v>
      </c>
      <c r="BC163" s="35" t="s">
        <v>587</v>
      </c>
      <c r="BD163" s="35" t="s">
        <v>114</v>
      </c>
      <c r="BE163" s="35" t="s">
        <v>595</v>
      </c>
      <c r="BF163" s="35">
        <v>0.82699999999999996</v>
      </c>
      <c r="BG163" s="35">
        <v>0</v>
      </c>
      <c r="BH163" s="35">
        <v>0.378</v>
      </c>
      <c r="BI163" s="35" t="s">
        <v>312</v>
      </c>
      <c r="BJ163" s="35" t="s">
        <v>312</v>
      </c>
      <c r="BK163" s="35" t="s">
        <v>91</v>
      </c>
      <c r="BL163" s="35" t="s">
        <v>84</v>
      </c>
      <c r="BM163" s="35">
        <v>1</v>
      </c>
      <c r="BN163" s="35" t="s">
        <v>539</v>
      </c>
      <c r="BO163" s="35" t="s">
        <v>589</v>
      </c>
      <c r="BP163" s="35" t="s">
        <v>588</v>
      </c>
      <c r="BQ163" s="35" t="s">
        <v>92</v>
      </c>
      <c r="BR163" s="35" t="s">
        <v>312</v>
      </c>
      <c r="BS163" s="35" t="s">
        <v>312</v>
      </c>
      <c r="BT163" s="35" t="s">
        <v>312</v>
      </c>
      <c r="BU163" s="35">
        <v>2008</v>
      </c>
      <c r="BV163" s="35">
        <v>2015</v>
      </c>
      <c r="BW163" s="35" t="s">
        <v>596</v>
      </c>
      <c r="BX163" s="35" t="s">
        <v>95</v>
      </c>
      <c r="BY163" s="35" t="s">
        <v>592</v>
      </c>
      <c r="BZ163" s="35">
        <v>0</v>
      </c>
      <c r="CA163" s="35">
        <v>0</v>
      </c>
      <c r="CB163" s="35" t="s">
        <v>97</v>
      </c>
      <c r="CC163" s="35" t="s">
        <v>625</v>
      </c>
      <c r="CD163" s="35">
        <v>1</v>
      </c>
      <c r="CE163" s="35" t="s">
        <v>594</v>
      </c>
      <c r="CF163" s="35">
        <v>1</v>
      </c>
      <c r="CG163" s="35" t="s">
        <v>599</v>
      </c>
      <c r="CH163" s="35">
        <v>1</v>
      </c>
      <c r="CI163" s="35" t="s">
        <v>541</v>
      </c>
      <c r="CJ163" s="35" t="s">
        <v>98</v>
      </c>
      <c r="CK163" s="35">
        <v>62</v>
      </c>
      <c r="CL163" s="35">
        <v>0</v>
      </c>
      <c r="CM163" s="35">
        <v>0</v>
      </c>
      <c r="CN163" s="35" t="s">
        <v>99</v>
      </c>
      <c r="CO163" s="35" t="s">
        <v>97</v>
      </c>
      <c r="CP163" s="35" t="s">
        <v>100</v>
      </c>
      <c r="CQ163" s="35" t="s">
        <v>126</v>
      </c>
      <c r="CR163" s="36">
        <v>46220</v>
      </c>
      <c r="CT163" s="35" t="s">
        <v>601</v>
      </c>
    </row>
    <row r="164" spans="1:98" s="35" customFormat="1" x14ac:dyDescent="0.35">
      <c r="A164" s="34" t="s">
        <v>583</v>
      </c>
      <c r="B164" s="34" t="s">
        <v>605</v>
      </c>
      <c r="C164" s="35" t="s">
        <v>584</v>
      </c>
      <c r="D164" s="35">
        <v>2018</v>
      </c>
      <c r="E164" s="34" t="s">
        <v>585</v>
      </c>
      <c r="F164" s="34" t="s">
        <v>586</v>
      </c>
      <c r="G164" s="35" t="s">
        <v>78</v>
      </c>
      <c r="H164" s="35">
        <v>1</v>
      </c>
      <c r="I164" s="35" t="s">
        <v>390</v>
      </c>
      <c r="J164" s="35" t="s">
        <v>79</v>
      </c>
      <c r="K164" s="35">
        <v>366</v>
      </c>
      <c r="L164" s="35" t="s">
        <v>129</v>
      </c>
      <c r="M164" s="35" t="s">
        <v>380</v>
      </c>
      <c r="N164" s="35">
        <v>-5.0000000000000001E-3</v>
      </c>
      <c r="O164" s="35">
        <v>1E-3</v>
      </c>
      <c r="P164" s="89">
        <f t="shared" si="55"/>
        <v>-5</v>
      </c>
      <c r="Q164" s="35" t="s">
        <v>312</v>
      </c>
      <c r="R164" s="89">
        <f t="shared" si="56"/>
        <v>-6.96E-3</v>
      </c>
      <c r="S164" s="89">
        <f t="shared" si="57"/>
        <v>-3.0400000000000002E-3</v>
      </c>
      <c r="T164" s="35">
        <v>1</v>
      </c>
      <c r="U164" s="35">
        <v>623573</v>
      </c>
      <c r="V164" s="35" t="s">
        <v>312</v>
      </c>
      <c r="W164" s="35" t="s">
        <v>312</v>
      </c>
      <c r="X164" s="35">
        <f t="shared" si="58"/>
        <v>623573</v>
      </c>
      <c r="Y164" s="89">
        <f t="shared" si="59"/>
        <v>-6.3316608982455121E-3</v>
      </c>
      <c r="Z164" s="89">
        <f t="shared" si="60"/>
        <v>1.2663321796491025E-3</v>
      </c>
      <c r="AA164" s="89">
        <f t="shared" si="66"/>
        <v>-6.3316608982455121E-3</v>
      </c>
      <c r="AB164" s="35" t="s">
        <v>81</v>
      </c>
      <c r="AC164" s="89">
        <f t="shared" si="68"/>
        <v>-6.590084643288998E-3</v>
      </c>
      <c r="AD164" s="89" cm="1">
        <f t="array" ref="AD164">_xlfn.IFS(
AND(L164="marginal_effect",M164="level"),N164*AN164/BF164,
AND(L164="marginal_effect",M164="sd (Y)"),N164*BH164*AN164/BF164,
AND(L164="marginal_effect",M164="sd (X)"),N164/AQ164*AN164/BF164,
AND(L164="semi_elasticity",M164="level"),N164*AN164,
AND(L164="semi_elasticity",M164="sd (Y)"),N164*AN164*BH164,
AND(L164="semi_elasticity",M164="sd (X)"),N164*AN164/AQ164,
AND(L164="level-log",M164="level"),N164/BF164,
AND(L164="level-log",M164="sd (X)"),N164/BF164/AQ164,
AND(L164="level-log",M164="sd (Y)"),N164/BF164*BH164,
AND(L164="elasticity",M164="level"),N164,
AND(L164="elasticity",M164="sd (X)"),N164/AQ164,
AND(L164="elasticity",M164="sd (Y)"),N164*BH164,
AND(L164="marginal_effect",M164="percent_of_mean"),N164*AN164/BF164/10)</f>
        <v>-6.590084643288998E-3</v>
      </c>
      <c r="AE164" s="49">
        <f t="shared" si="61"/>
        <v>1</v>
      </c>
      <c r="AF164" s="89">
        <f t="shared" si="69"/>
        <v>1.3180169286577993E-3</v>
      </c>
      <c r="AG164" s="89" cm="1">
        <f t="array" ref="AG164">_xlfn.IFS(
AND(L164="marginal_effect",M164="level"),O164*AN164/BF164,
AND(L164="marginal_effect",M164="sd (Y)"),O164*BH164*AN164/BF164,
AND(L164="marginal_effect",M164="sd (X)"),O164/AQ164*AN164/BF164,
AND(L164="semi_elasticity",M164="level"),O164*AN164,
AND(L164="semi_elasticity",M164="sd (Y)"),O164*AN164*BH164,
AND(L164="semi_elasticity",M164="sd (X)"),O164*AN164/AQ164,
AND(L164="level-log",M164="level"),O164/BF164,
AND(L164="level-log",M164="sd (X)"),O164/BF164/AQ164,
AND(L164="level-log",M164="sd (Y)"),O164/BF164*BH164,
AND(L164="elasticity",M164="level"),O164,
AND(L164="elasticity",M164="sd (X)"),O164/AQ164,
AND(L164="elasticity",M164="sd (Y)"),O164*BH164,
AND(L164="marginal_effect",M164="percent_of_mean"),O164*AN164/BF164/10)</f>
        <v>1.3180169286577993E-3</v>
      </c>
      <c r="AH164" s="49">
        <f t="shared" si="62"/>
        <v>1</v>
      </c>
      <c r="AI164" s="89">
        <f t="shared" si="67"/>
        <v>-6.590084643288998E-3</v>
      </c>
      <c r="AJ164" s="35">
        <v>0</v>
      </c>
      <c r="AK164" s="49">
        <f t="shared" si="63"/>
        <v>1</v>
      </c>
      <c r="AL164" s="35" t="s">
        <v>82</v>
      </c>
      <c r="AM164" s="35" t="s">
        <v>296</v>
      </c>
      <c r="AN164" s="35">
        <v>1.0900000000000001</v>
      </c>
      <c r="AO164" s="35">
        <v>0</v>
      </c>
      <c r="AP164" s="35">
        <f>AN164*10</f>
        <v>10.9</v>
      </c>
      <c r="AQ164" s="35">
        <v>0.57999999999999996</v>
      </c>
      <c r="AR164" s="35" t="s">
        <v>312</v>
      </c>
      <c r="AS164" s="35" t="s">
        <v>312</v>
      </c>
      <c r="AT164" s="35" t="s">
        <v>83</v>
      </c>
      <c r="AU164" s="35" t="s">
        <v>109</v>
      </c>
      <c r="AV164" s="35" t="s">
        <v>133</v>
      </c>
      <c r="AW164" s="35" t="s">
        <v>134</v>
      </c>
      <c r="AX164" s="35" t="s">
        <v>86</v>
      </c>
      <c r="AY164" s="35">
        <v>0</v>
      </c>
      <c r="AZ164" s="35">
        <v>0</v>
      </c>
      <c r="BA164" s="58" t="s">
        <v>111</v>
      </c>
      <c r="BB164" s="35" t="s">
        <v>88</v>
      </c>
      <c r="BC164" s="35" t="s">
        <v>587</v>
      </c>
      <c r="BD164" s="35" t="s">
        <v>114</v>
      </c>
      <c r="BE164" s="35" t="s">
        <v>595</v>
      </c>
      <c r="BF164" s="35">
        <v>0.82699999999999996</v>
      </c>
      <c r="BG164" s="35">
        <v>0</v>
      </c>
      <c r="BH164" s="35">
        <v>0.378</v>
      </c>
      <c r="BI164" s="35" t="s">
        <v>312</v>
      </c>
      <c r="BJ164" s="35" t="s">
        <v>312</v>
      </c>
      <c r="BK164" s="35" t="s">
        <v>91</v>
      </c>
      <c r="BL164" s="35" t="s">
        <v>84</v>
      </c>
      <c r="BM164" s="35">
        <v>1</v>
      </c>
      <c r="BN164" s="35" t="s">
        <v>539</v>
      </c>
      <c r="BO164" s="35" t="s">
        <v>589</v>
      </c>
      <c r="BP164" s="35" t="s">
        <v>588</v>
      </c>
      <c r="BQ164" s="35" t="s">
        <v>92</v>
      </c>
      <c r="BR164" s="35" t="s">
        <v>312</v>
      </c>
      <c r="BS164" s="35" t="s">
        <v>312</v>
      </c>
      <c r="BT164" s="35" t="s">
        <v>312</v>
      </c>
      <c r="BU164" s="35">
        <v>2008</v>
      </c>
      <c r="BV164" s="35">
        <v>2015</v>
      </c>
      <c r="BW164" s="35" t="s">
        <v>596</v>
      </c>
      <c r="BX164" s="35" t="s">
        <v>95</v>
      </c>
      <c r="BY164" s="35" t="s">
        <v>592</v>
      </c>
      <c r="BZ164" s="35">
        <v>0</v>
      </c>
      <c r="CA164" s="35">
        <v>0</v>
      </c>
      <c r="CB164" s="35" t="s">
        <v>97</v>
      </c>
      <c r="CC164" s="35" t="s">
        <v>625</v>
      </c>
      <c r="CD164" s="35">
        <v>1</v>
      </c>
      <c r="CE164" s="35" t="s">
        <v>594</v>
      </c>
      <c r="CF164" s="35">
        <v>1</v>
      </c>
      <c r="CG164" s="35" t="s">
        <v>597</v>
      </c>
      <c r="CH164" s="35">
        <v>1</v>
      </c>
      <c r="CI164" s="35" t="s">
        <v>541</v>
      </c>
      <c r="CJ164" s="35" t="s">
        <v>98</v>
      </c>
      <c r="CK164" s="35">
        <v>62</v>
      </c>
      <c r="CL164" s="35">
        <v>0</v>
      </c>
      <c r="CM164" s="35">
        <v>0</v>
      </c>
      <c r="CN164" s="35" t="s">
        <v>99</v>
      </c>
      <c r="CO164" s="35" t="s">
        <v>97</v>
      </c>
      <c r="CP164" s="35" t="s">
        <v>100</v>
      </c>
      <c r="CQ164" s="35" t="s">
        <v>126</v>
      </c>
      <c r="CR164" s="36">
        <v>46220</v>
      </c>
      <c r="CT164" s="35" t="s">
        <v>611</v>
      </c>
    </row>
    <row r="165" spans="1:98" s="35" customFormat="1" x14ac:dyDescent="0.35">
      <c r="A165" s="34" t="s">
        <v>583</v>
      </c>
      <c r="B165" s="34" t="s">
        <v>606</v>
      </c>
      <c r="C165" s="35" t="s">
        <v>584</v>
      </c>
      <c r="D165" s="35">
        <v>2018</v>
      </c>
      <c r="E165" s="34" t="s">
        <v>585</v>
      </c>
      <c r="F165" s="34" t="s">
        <v>586</v>
      </c>
      <c r="G165" s="35" t="s">
        <v>78</v>
      </c>
      <c r="H165" s="35">
        <v>1</v>
      </c>
      <c r="I165" s="35" t="s">
        <v>390</v>
      </c>
      <c r="J165" s="35" t="s">
        <v>79</v>
      </c>
      <c r="K165" s="35">
        <v>366</v>
      </c>
      <c r="L165" s="35" t="s">
        <v>129</v>
      </c>
      <c r="M165" s="35" t="s">
        <v>380</v>
      </c>
      <c r="N165" s="35">
        <v>-2.1999999999999999E-2</v>
      </c>
      <c r="O165" s="35">
        <v>8.0000000000000002E-3</v>
      </c>
      <c r="P165" s="89">
        <f t="shared" si="55"/>
        <v>-2.75</v>
      </c>
      <c r="Q165" s="35" t="s">
        <v>312</v>
      </c>
      <c r="R165" s="89">
        <f t="shared" si="56"/>
        <v>-3.7679999999999998E-2</v>
      </c>
      <c r="S165" s="89">
        <f t="shared" si="57"/>
        <v>-6.3199999999999992E-3</v>
      </c>
      <c r="T165" s="35">
        <v>1</v>
      </c>
      <c r="U165" s="35">
        <v>623573</v>
      </c>
      <c r="V165" s="35" t="s">
        <v>312</v>
      </c>
      <c r="W165" s="35" t="s">
        <v>312</v>
      </c>
      <c r="X165" s="35">
        <f t="shared" si="58"/>
        <v>623573</v>
      </c>
      <c r="Y165" s="89">
        <f t="shared" si="59"/>
        <v>-3.4824621839433145E-3</v>
      </c>
      <c r="Z165" s="89">
        <f t="shared" si="60"/>
        <v>1.2663498850702963E-3</v>
      </c>
      <c r="AA165" s="89">
        <f t="shared" si="66"/>
        <v>-3.4824621839433145E-3</v>
      </c>
      <c r="AB165" s="35" t="s">
        <v>81</v>
      </c>
      <c r="AC165" s="89">
        <f t="shared" si="68"/>
        <v>-7.8476420798065296E-3</v>
      </c>
      <c r="AD165" s="89" cm="1">
        <f t="array" ref="AD165">_xlfn.IFS(
AND(L165="marginal_effect",M165="level"),N165*AN165/BF165,
AND(L165="marginal_effect",M165="sd (Y)"),N165*BH165*AN165/BF165,
AND(L165="marginal_effect",M165="sd (X)"),N165/AQ165*AN165/BF165,
AND(L165="semi_elasticity",M165="level"),N165*AN165,
AND(L165="semi_elasticity",M165="sd (Y)"),N165*AN165*BH165,
AND(L165="semi_elasticity",M165="sd (X)"),N165*AN165/AQ165,
AND(L165="level-log",M165="level"),N165/BF165,
AND(L165="level-log",M165="sd (X)"),N165/BF165/AQ165,
AND(L165="level-log",M165="sd (Y)"),N165/BF165*BH165,
AND(L165="elasticity",M165="level"),N165,
AND(L165="elasticity",M165="sd (X)"),N165/AQ165,
AND(L165="elasticity",M165="sd (Y)"),N165*BH165,
AND(L165="marginal_effect",M165="percent_of_mean"),N165*AN165/BF165/10)</f>
        <v>-7.8476420798065296E-3</v>
      </c>
      <c r="AE165" s="49">
        <f t="shared" si="61"/>
        <v>1</v>
      </c>
      <c r="AF165" s="89">
        <f t="shared" si="69"/>
        <v>2.8536880290205564E-3</v>
      </c>
      <c r="AG165" s="89" cm="1">
        <f t="array" ref="AG165">_xlfn.IFS(
AND(L165="marginal_effect",M165="level"),O165*AN165/BF165,
AND(L165="marginal_effect",M165="sd (Y)"),O165*BH165*AN165/BF165,
AND(L165="marginal_effect",M165="sd (X)"),O165/AQ165*AN165/BF165,
AND(L165="semi_elasticity",M165="level"),O165*AN165,
AND(L165="semi_elasticity",M165="sd (Y)"),O165*AN165*BH165,
AND(L165="semi_elasticity",M165="sd (X)"),O165*AN165/AQ165,
AND(L165="level-log",M165="level"),O165/BF165,
AND(L165="level-log",M165="sd (X)"),O165/BF165/AQ165,
AND(L165="level-log",M165="sd (Y)"),O165/BF165*BH165,
AND(L165="elasticity",M165="level"),O165,
AND(L165="elasticity",M165="sd (X)"),O165/AQ165,
AND(L165="elasticity",M165="sd (Y)"),O165*BH165,
AND(L165="marginal_effect",M165="percent_of_mean"),O165*AN165/BF165/10)</f>
        <v>2.8536880290205564E-3</v>
      </c>
      <c r="AH165" s="49">
        <f t="shared" si="62"/>
        <v>1</v>
      </c>
      <c r="AI165" s="89">
        <f t="shared" si="67"/>
        <v>-7.8476420798065296E-3</v>
      </c>
      <c r="AJ165" s="35">
        <v>0</v>
      </c>
      <c r="AK165" s="49">
        <f t="shared" si="63"/>
        <v>1</v>
      </c>
      <c r="AL165" s="35" t="s">
        <v>162</v>
      </c>
      <c r="AM165" s="35" t="s">
        <v>590</v>
      </c>
      <c r="AN165" s="35">
        <v>0.29499999999999998</v>
      </c>
      <c r="AO165" s="35">
        <v>0</v>
      </c>
      <c r="AP165" s="35">
        <f>AN165</f>
        <v>0.29499999999999998</v>
      </c>
      <c r="AQ165" s="35">
        <v>0.13900000000000001</v>
      </c>
      <c r="AR165" s="35" t="s">
        <v>312</v>
      </c>
      <c r="AS165" s="35" t="s">
        <v>312</v>
      </c>
      <c r="AT165" s="35" t="s">
        <v>83</v>
      </c>
      <c r="AU165" s="35" t="s">
        <v>109</v>
      </c>
      <c r="AV165" s="35" t="s">
        <v>133</v>
      </c>
      <c r="AW165" s="35" t="s">
        <v>134</v>
      </c>
      <c r="AX165" s="35" t="s">
        <v>86</v>
      </c>
      <c r="AY165" s="35">
        <v>0</v>
      </c>
      <c r="AZ165" s="35">
        <v>0</v>
      </c>
      <c r="BA165" s="58" t="s">
        <v>111</v>
      </c>
      <c r="BB165" s="35" t="s">
        <v>88</v>
      </c>
      <c r="BC165" s="35" t="s">
        <v>587</v>
      </c>
      <c r="BD165" s="35" t="s">
        <v>114</v>
      </c>
      <c r="BE165" s="35" t="s">
        <v>595</v>
      </c>
      <c r="BF165" s="35">
        <v>0.82699999999999996</v>
      </c>
      <c r="BG165" s="35">
        <v>0</v>
      </c>
      <c r="BH165" s="35">
        <v>0.378</v>
      </c>
      <c r="BI165" s="35" t="s">
        <v>312</v>
      </c>
      <c r="BJ165" s="35" t="s">
        <v>312</v>
      </c>
      <c r="BK165" s="35" t="s">
        <v>91</v>
      </c>
      <c r="BL165" s="35" t="s">
        <v>84</v>
      </c>
      <c r="BM165" s="35">
        <v>1</v>
      </c>
      <c r="BN165" s="35" t="s">
        <v>539</v>
      </c>
      <c r="BO165" s="35" t="s">
        <v>589</v>
      </c>
      <c r="BP165" s="35" t="s">
        <v>588</v>
      </c>
      <c r="BQ165" s="35" t="s">
        <v>92</v>
      </c>
      <c r="BR165" s="35" t="s">
        <v>312</v>
      </c>
      <c r="BS165" s="35" t="s">
        <v>312</v>
      </c>
      <c r="BT165" s="35" t="s">
        <v>312</v>
      </c>
      <c r="BU165" s="35">
        <v>2008</v>
      </c>
      <c r="BV165" s="35">
        <v>2015</v>
      </c>
      <c r="BW165" s="35" t="s">
        <v>596</v>
      </c>
      <c r="BX165" s="35" t="s">
        <v>95</v>
      </c>
      <c r="BY165" s="35" t="s">
        <v>592</v>
      </c>
      <c r="BZ165" s="35">
        <v>0</v>
      </c>
      <c r="CA165" s="35">
        <v>0</v>
      </c>
      <c r="CB165" s="35" t="s">
        <v>97</v>
      </c>
      <c r="CC165" s="35" t="s">
        <v>625</v>
      </c>
      <c r="CD165" s="35">
        <v>1</v>
      </c>
      <c r="CE165" s="35" t="s">
        <v>594</v>
      </c>
      <c r="CF165" s="35">
        <v>1</v>
      </c>
      <c r="CG165" s="35" t="s">
        <v>598</v>
      </c>
      <c r="CH165" s="35">
        <v>1</v>
      </c>
      <c r="CI165" s="35" t="s">
        <v>541</v>
      </c>
      <c r="CJ165" s="35" t="s">
        <v>98</v>
      </c>
      <c r="CK165" s="35">
        <v>62</v>
      </c>
      <c r="CL165" s="35">
        <v>0</v>
      </c>
      <c r="CM165" s="35">
        <v>0</v>
      </c>
      <c r="CN165" s="35" t="s">
        <v>99</v>
      </c>
      <c r="CO165" s="35" t="s">
        <v>97</v>
      </c>
      <c r="CP165" s="35" t="s">
        <v>100</v>
      </c>
      <c r="CQ165" s="35" t="s">
        <v>600</v>
      </c>
      <c r="CR165" s="36">
        <v>46220</v>
      </c>
      <c r="CT165" s="35" t="s">
        <v>611</v>
      </c>
    </row>
    <row r="166" spans="1:98" s="35" customFormat="1" x14ac:dyDescent="0.35">
      <c r="A166" s="34" t="s">
        <v>583</v>
      </c>
      <c r="B166" s="34" t="s">
        <v>607</v>
      </c>
      <c r="C166" s="35" t="s">
        <v>584</v>
      </c>
      <c r="D166" s="35">
        <v>2018</v>
      </c>
      <c r="E166" s="34" t="s">
        <v>585</v>
      </c>
      <c r="F166" s="34" t="s">
        <v>586</v>
      </c>
      <c r="G166" s="35" t="s">
        <v>78</v>
      </c>
      <c r="H166" s="35">
        <v>1</v>
      </c>
      <c r="I166" s="35" t="s">
        <v>390</v>
      </c>
      <c r="J166" s="35" t="s">
        <v>79</v>
      </c>
      <c r="K166" s="35">
        <v>366</v>
      </c>
      <c r="L166" s="35" t="s">
        <v>129</v>
      </c>
      <c r="M166" s="35" t="s">
        <v>380</v>
      </c>
      <c r="N166" s="35">
        <v>8.6999999999999994E-2</v>
      </c>
      <c r="O166" s="35">
        <v>4.7E-2</v>
      </c>
      <c r="P166" s="89">
        <f t="shared" si="55"/>
        <v>1.8510638297872339</v>
      </c>
      <c r="Q166" s="35" t="s">
        <v>312</v>
      </c>
      <c r="R166" s="89">
        <f t="shared" si="56"/>
        <v>-5.1199999999999996E-3</v>
      </c>
      <c r="S166" s="89">
        <f t="shared" si="57"/>
        <v>0.17912</v>
      </c>
      <c r="T166" s="35">
        <v>1</v>
      </c>
      <c r="U166" s="35">
        <v>623573</v>
      </c>
      <c r="V166" s="35" t="s">
        <v>312</v>
      </c>
      <c r="W166" s="35" t="s">
        <v>312</v>
      </c>
      <c r="X166" s="35">
        <f t="shared" si="58"/>
        <v>623573</v>
      </c>
      <c r="Y166" s="89">
        <f t="shared" si="59"/>
        <v>2.3441022420602033E-3</v>
      </c>
      <c r="Z166" s="89">
        <f t="shared" si="60"/>
        <v>1.2663540847911445E-3</v>
      </c>
      <c r="AA166" s="89">
        <f t="shared" si="66"/>
        <v>2.3441022420602033E-3</v>
      </c>
      <c r="AB166" s="35" t="s">
        <v>81</v>
      </c>
      <c r="AC166" s="89">
        <f t="shared" si="68"/>
        <v>3.5767835550181383E-3</v>
      </c>
      <c r="AD166" s="89" cm="1">
        <f t="array" ref="AD166">_xlfn.IFS(
AND(L166="marginal_effect",M166="level"),N166*AN166/BF166,
AND(L166="marginal_effect",M166="sd (Y)"),N166*BH166*AN166/BF166,
AND(L166="marginal_effect",M166="sd (X)"),N166/AQ166*AN166/BF166,
AND(L166="semi_elasticity",M166="level"),N166*AN166,
AND(L166="semi_elasticity",M166="sd (Y)"),N166*AN166*BH166,
AND(L166="semi_elasticity",M166="sd (X)"),N166*AN166/AQ166,
AND(L166="level-log",M166="level"),N166/BF166,
AND(L166="level-log",M166="sd (X)"),N166/BF166/AQ166,
AND(L166="level-log",M166="sd (Y)"),N166/BF166*BH166,
AND(L166="elasticity",M166="level"),N166,
AND(L166="elasticity",M166="sd (X)"),N166/AQ166,
AND(L166="elasticity",M166="sd (Y)"),N166*BH166,
AND(L166="marginal_effect",M166="percent_of_mean"),N166*AN166/BF166/10)</f>
        <v>3.5767835550181383E-3</v>
      </c>
      <c r="AE166" s="49">
        <f t="shared" si="61"/>
        <v>1</v>
      </c>
      <c r="AF166" s="89">
        <f t="shared" si="69"/>
        <v>1.9322853688029022E-3</v>
      </c>
      <c r="AG166" s="89" cm="1">
        <f t="array" ref="AG166">_xlfn.IFS(
AND(L166="marginal_effect",M166="level"),O166*AN166/BF166,
AND(L166="marginal_effect",M166="sd (Y)"),O166*BH166*AN166/BF166,
AND(L166="marginal_effect",M166="sd (X)"),O166/AQ166*AN166/BF166,
AND(L166="semi_elasticity",M166="level"),O166*AN166,
AND(L166="semi_elasticity",M166="sd (Y)"),O166*AN166*BH166,
AND(L166="semi_elasticity",M166="sd (X)"),O166*AN166/AQ166,
AND(L166="level-log",M166="level"),O166/BF166,
AND(L166="level-log",M166="sd (X)"),O166/BF166/AQ166,
AND(L166="level-log",M166="sd (Y)"),O166/BF166*BH166,
AND(L166="elasticity",M166="level"),O166,
AND(L166="elasticity",M166="sd (X)"),O166/AQ166,
AND(L166="elasticity",M166="sd (Y)"),O166*BH166,
AND(L166="marginal_effect",M166="percent_of_mean"),O166*AN166/BF166/10)</f>
        <v>1.9322853688029022E-3</v>
      </c>
      <c r="AH166" s="49">
        <f t="shared" si="62"/>
        <v>1</v>
      </c>
      <c r="AI166" s="89">
        <f t="shared" si="67"/>
        <v>3.5767835550181383E-3</v>
      </c>
      <c r="AJ166" s="35">
        <v>0</v>
      </c>
      <c r="AK166" s="49">
        <f t="shared" si="63"/>
        <v>1</v>
      </c>
      <c r="AL166" s="35" t="s">
        <v>148</v>
      </c>
      <c r="AM166" s="35" t="s">
        <v>590</v>
      </c>
      <c r="AN166" s="35">
        <f>0.034</f>
        <v>3.4000000000000002E-2</v>
      </c>
      <c r="AO166" s="35">
        <v>0</v>
      </c>
      <c r="AP166" s="35">
        <f>AN166</f>
        <v>3.4000000000000002E-2</v>
      </c>
      <c r="AQ166" s="35">
        <v>1.4999999999999999E-2</v>
      </c>
      <c r="AR166" s="35" t="s">
        <v>312</v>
      </c>
      <c r="AS166" s="35" t="s">
        <v>312</v>
      </c>
      <c r="AT166" s="35" t="s">
        <v>83</v>
      </c>
      <c r="AU166" s="35" t="s">
        <v>109</v>
      </c>
      <c r="AV166" s="35" t="s">
        <v>133</v>
      </c>
      <c r="AW166" s="35" t="s">
        <v>134</v>
      </c>
      <c r="AX166" s="35" t="s">
        <v>86</v>
      </c>
      <c r="AY166" s="35">
        <v>0</v>
      </c>
      <c r="AZ166" s="35">
        <v>0</v>
      </c>
      <c r="BA166" s="58" t="s">
        <v>111</v>
      </c>
      <c r="BB166" s="35" t="s">
        <v>88</v>
      </c>
      <c r="BC166" s="35" t="s">
        <v>587</v>
      </c>
      <c r="BD166" s="35" t="s">
        <v>114</v>
      </c>
      <c r="BE166" s="35" t="s">
        <v>595</v>
      </c>
      <c r="BF166" s="35">
        <v>0.82699999999999996</v>
      </c>
      <c r="BG166" s="35">
        <v>0</v>
      </c>
      <c r="BH166" s="35">
        <v>0.378</v>
      </c>
      <c r="BI166" s="35" t="s">
        <v>312</v>
      </c>
      <c r="BJ166" s="35" t="s">
        <v>312</v>
      </c>
      <c r="BK166" s="35" t="s">
        <v>91</v>
      </c>
      <c r="BL166" s="35" t="s">
        <v>84</v>
      </c>
      <c r="BM166" s="35">
        <v>1</v>
      </c>
      <c r="BN166" s="35" t="s">
        <v>539</v>
      </c>
      <c r="BO166" s="35" t="s">
        <v>589</v>
      </c>
      <c r="BP166" s="35" t="s">
        <v>588</v>
      </c>
      <c r="BQ166" s="35" t="s">
        <v>92</v>
      </c>
      <c r="BR166" s="35" t="s">
        <v>312</v>
      </c>
      <c r="BS166" s="35" t="s">
        <v>312</v>
      </c>
      <c r="BT166" s="35" t="s">
        <v>312</v>
      </c>
      <c r="BU166" s="35">
        <v>2008</v>
      </c>
      <c r="BV166" s="35">
        <v>2015</v>
      </c>
      <c r="BW166" s="35" t="s">
        <v>596</v>
      </c>
      <c r="BX166" s="35" t="s">
        <v>95</v>
      </c>
      <c r="BY166" s="35" t="s">
        <v>592</v>
      </c>
      <c r="BZ166" s="35">
        <v>0</v>
      </c>
      <c r="CA166" s="35">
        <v>0</v>
      </c>
      <c r="CB166" s="35" t="s">
        <v>97</v>
      </c>
      <c r="CC166" s="35" t="s">
        <v>625</v>
      </c>
      <c r="CD166" s="35">
        <v>1</v>
      </c>
      <c r="CE166" s="35" t="s">
        <v>594</v>
      </c>
      <c r="CF166" s="35">
        <v>1</v>
      </c>
      <c r="CG166" s="35" t="s">
        <v>599</v>
      </c>
      <c r="CH166" s="35">
        <v>1</v>
      </c>
      <c r="CI166" s="35" t="s">
        <v>541</v>
      </c>
      <c r="CJ166" s="35" t="s">
        <v>98</v>
      </c>
      <c r="CK166" s="35">
        <v>62</v>
      </c>
      <c r="CL166" s="35">
        <v>0</v>
      </c>
      <c r="CM166" s="35">
        <v>0</v>
      </c>
      <c r="CN166" s="35" t="s">
        <v>99</v>
      </c>
      <c r="CO166" s="35" t="s">
        <v>97</v>
      </c>
      <c r="CP166" s="35" t="s">
        <v>100</v>
      </c>
      <c r="CQ166" s="35" t="s">
        <v>126</v>
      </c>
      <c r="CR166" s="36">
        <v>46220</v>
      </c>
      <c r="CT166" s="35" t="s">
        <v>611</v>
      </c>
    </row>
    <row r="167" spans="1:98" s="35" customFormat="1" x14ac:dyDescent="0.35">
      <c r="A167" s="34" t="s">
        <v>583</v>
      </c>
      <c r="B167" s="34" t="s">
        <v>608</v>
      </c>
      <c r="C167" s="35" t="s">
        <v>584</v>
      </c>
      <c r="D167" s="35">
        <v>2018</v>
      </c>
      <c r="E167" s="34" t="s">
        <v>585</v>
      </c>
      <c r="F167" s="34" t="s">
        <v>586</v>
      </c>
      <c r="G167" s="35" t="s">
        <v>78</v>
      </c>
      <c r="H167" s="35">
        <v>1</v>
      </c>
      <c r="I167" s="35" t="s">
        <v>390</v>
      </c>
      <c r="J167" s="35" t="s">
        <v>79</v>
      </c>
      <c r="K167" s="35">
        <v>366</v>
      </c>
      <c r="L167" s="35" t="s">
        <v>129</v>
      </c>
      <c r="M167" s="35" t="s">
        <v>380</v>
      </c>
      <c r="N167" s="35">
        <v>-5.0000000000000001E-3</v>
      </c>
      <c r="O167" s="35">
        <v>1E-3</v>
      </c>
      <c r="P167" s="89">
        <f t="shared" si="55"/>
        <v>-5</v>
      </c>
      <c r="Q167" s="35" t="s">
        <v>312</v>
      </c>
      <c r="R167" s="89">
        <f t="shared" si="56"/>
        <v>-6.96E-3</v>
      </c>
      <c r="S167" s="89">
        <f t="shared" si="57"/>
        <v>-3.0400000000000002E-3</v>
      </c>
      <c r="T167" s="35">
        <v>1</v>
      </c>
      <c r="U167" s="35">
        <v>623573</v>
      </c>
      <c r="V167" s="35" t="s">
        <v>312</v>
      </c>
      <c r="W167" s="35" t="s">
        <v>312</v>
      </c>
      <c r="X167" s="35">
        <f t="shared" si="58"/>
        <v>623573</v>
      </c>
      <c r="Y167" s="89">
        <f t="shared" si="59"/>
        <v>-6.3316608982455121E-3</v>
      </c>
      <c r="Z167" s="89">
        <f t="shared" si="60"/>
        <v>1.2663321796491025E-3</v>
      </c>
      <c r="AA167" s="89">
        <f t="shared" si="66"/>
        <v>-6.3316608982455121E-3</v>
      </c>
      <c r="AB167" s="35" t="s">
        <v>81</v>
      </c>
      <c r="AC167" s="89">
        <f t="shared" si="68"/>
        <v>-6.590084643288998E-3</v>
      </c>
      <c r="AD167" s="89" cm="1">
        <f t="array" ref="AD167">_xlfn.IFS(
AND(L167="marginal_effect",M167="level"),N167*AN167/BF167,
AND(L167="marginal_effect",M167="sd (Y)"),N167*BH167*AN167/BF167,
AND(L167="marginal_effect",M167="sd (X)"),N167/AQ167*AN167/BF167,
AND(L167="semi_elasticity",M167="level"),N167*AN167,
AND(L167="semi_elasticity",M167="sd (Y)"),N167*AN167*BH167,
AND(L167="semi_elasticity",M167="sd (X)"),N167*AN167/AQ167,
AND(L167="level-log",M167="level"),N167/BF167,
AND(L167="level-log",M167="sd (X)"),N167/BF167/AQ167,
AND(L167="level-log",M167="sd (Y)"),N167/BF167*BH167,
AND(L167="elasticity",M167="level"),N167,
AND(L167="elasticity",M167="sd (X)"),N167/AQ167,
AND(L167="elasticity",M167="sd (Y)"),N167*BH167,
AND(L167="marginal_effect",M167="percent_of_mean"),N167*AN167/BF167/10)</f>
        <v>-6.590084643288998E-3</v>
      </c>
      <c r="AE167" s="49">
        <f t="shared" si="61"/>
        <v>1</v>
      </c>
      <c r="AF167" s="89">
        <f t="shared" si="69"/>
        <v>1.3180169286577993E-3</v>
      </c>
      <c r="AG167" s="89" cm="1">
        <f t="array" ref="AG167">_xlfn.IFS(
AND(L167="marginal_effect",M167="level"),O167*AN167/BF167,
AND(L167="marginal_effect",M167="sd (Y)"),O167*BH167*AN167/BF167,
AND(L167="marginal_effect",M167="sd (X)"),O167/AQ167*AN167/BF167,
AND(L167="semi_elasticity",M167="level"),O167*AN167,
AND(L167="semi_elasticity",M167="sd (Y)"),O167*AN167*BH167,
AND(L167="semi_elasticity",M167="sd (X)"),O167*AN167/AQ167,
AND(L167="level-log",M167="level"),O167/BF167,
AND(L167="level-log",M167="sd (X)"),O167/BF167/AQ167,
AND(L167="level-log",M167="sd (Y)"),O167/BF167*BH167,
AND(L167="elasticity",M167="level"),O167,
AND(L167="elasticity",M167="sd (X)"),O167/AQ167,
AND(L167="elasticity",M167="sd (Y)"),O167*BH167,
AND(L167="marginal_effect",M167="percent_of_mean"),O167*AN167/BF167/10)</f>
        <v>1.3180169286577993E-3</v>
      </c>
      <c r="AH167" s="49">
        <f t="shared" si="62"/>
        <v>1</v>
      </c>
      <c r="AI167" s="89">
        <f t="shared" si="67"/>
        <v>-6.590084643288998E-3</v>
      </c>
      <c r="AJ167" s="35">
        <v>0</v>
      </c>
      <c r="AK167" s="49">
        <f t="shared" si="63"/>
        <v>1</v>
      </c>
      <c r="AL167" s="35" t="s">
        <v>82</v>
      </c>
      <c r="AM167" s="35" t="s">
        <v>296</v>
      </c>
      <c r="AN167" s="35">
        <v>1.0900000000000001</v>
      </c>
      <c r="AO167" s="35">
        <v>0</v>
      </c>
      <c r="AP167" s="35">
        <f>AN167*10</f>
        <v>10.9</v>
      </c>
      <c r="AQ167" s="35">
        <v>0.57999999999999996</v>
      </c>
      <c r="AR167" s="35" t="s">
        <v>312</v>
      </c>
      <c r="AS167" s="35" t="s">
        <v>312</v>
      </c>
      <c r="AT167" s="35" t="s">
        <v>83</v>
      </c>
      <c r="AU167" s="35" t="s">
        <v>109</v>
      </c>
      <c r="AV167" s="35" t="s">
        <v>133</v>
      </c>
      <c r="AW167" s="35" t="s">
        <v>134</v>
      </c>
      <c r="AX167" s="35" t="s">
        <v>86</v>
      </c>
      <c r="AY167" s="35">
        <v>0</v>
      </c>
      <c r="AZ167" s="35">
        <v>0</v>
      </c>
      <c r="BA167" s="58" t="s">
        <v>111</v>
      </c>
      <c r="BB167" s="35" t="s">
        <v>88</v>
      </c>
      <c r="BC167" s="35" t="s">
        <v>587</v>
      </c>
      <c r="BD167" s="35" t="s">
        <v>114</v>
      </c>
      <c r="BE167" s="35" t="s">
        <v>595</v>
      </c>
      <c r="BF167" s="35">
        <v>0.82699999999999996</v>
      </c>
      <c r="BG167" s="35">
        <v>0</v>
      </c>
      <c r="BH167" s="35">
        <v>0.378</v>
      </c>
      <c r="BI167" s="35" t="s">
        <v>312</v>
      </c>
      <c r="BJ167" s="35" t="s">
        <v>312</v>
      </c>
      <c r="BK167" s="35" t="s">
        <v>91</v>
      </c>
      <c r="BL167" s="35" t="s">
        <v>84</v>
      </c>
      <c r="BM167" s="35">
        <v>1</v>
      </c>
      <c r="BN167" s="35" t="s">
        <v>539</v>
      </c>
      <c r="BO167" s="35" t="s">
        <v>589</v>
      </c>
      <c r="BP167" s="35" t="s">
        <v>588</v>
      </c>
      <c r="BQ167" s="35" t="s">
        <v>92</v>
      </c>
      <c r="BR167" s="35" t="s">
        <v>312</v>
      </c>
      <c r="BS167" s="35" t="s">
        <v>312</v>
      </c>
      <c r="BT167" s="35" t="s">
        <v>312</v>
      </c>
      <c r="BU167" s="35">
        <v>2008</v>
      </c>
      <c r="BV167" s="35">
        <v>2015</v>
      </c>
      <c r="BW167" s="35" t="s">
        <v>596</v>
      </c>
      <c r="BX167" s="35" t="s">
        <v>95</v>
      </c>
      <c r="BY167" s="35" t="s">
        <v>592</v>
      </c>
      <c r="BZ167" s="35">
        <v>0</v>
      </c>
      <c r="CA167" s="35">
        <v>0</v>
      </c>
      <c r="CB167" s="35" t="s">
        <v>97</v>
      </c>
      <c r="CC167" s="35" t="s">
        <v>625</v>
      </c>
      <c r="CD167" s="35">
        <v>1</v>
      </c>
      <c r="CE167" s="35" t="s">
        <v>594</v>
      </c>
      <c r="CF167" s="35">
        <v>1</v>
      </c>
      <c r="CG167" s="35" t="s">
        <v>597</v>
      </c>
      <c r="CH167" s="35">
        <v>1</v>
      </c>
      <c r="CI167" s="35" t="s">
        <v>541</v>
      </c>
      <c r="CJ167" s="35" t="s">
        <v>98</v>
      </c>
      <c r="CK167" s="35">
        <v>62</v>
      </c>
      <c r="CL167" s="35">
        <v>0</v>
      </c>
      <c r="CM167" s="35">
        <v>0</v>
      </c>
      <c r="CN167" s="35" t="s">
        <v>99</v>
      </c>
      <c r="CO167" s="35" t="s">
        <v>97</v>
      </c>
      <c r="CP167" s="35" t="s">
        <v>100</v>
      </c>
      <c r="CQ167" s="35" t="s">
        <v>126</v>
      </c>
      <c r="CR167" s="36">
        <v>46220</v>
      </c>
      <c r="CT167" s="35" t="s">
        <v>553</v>
      </c>
    </row>
    <row r="168" spans="1:98" s="35" customFormat="1" x14ac:dyDescent="0.35">
      <c r="A168" s="34" t="s">
        <v>583</v>
      </c>
      <c r="B168" s="34" t="s">
        <v>609</v>
      </c>
      <c r="C168" s="35" t="s">
        <v>584</v>
      </c>
      <c r="D168" s="35">
        <v>2018</v>
      </c>
      <c r="E168" s="34" t="s">
        <v>585</v>
      </c>
      <c r="F168" s="34" t="s">
        <v>586</v>
      </c>
      <c r="G168" s="35" t="s">
        <v>78</v>
      </c>
      <c r="H168" s="35">
        <v>1</v>
      </c>
      <c r="I168" s="35" t="s">
        <v>390</v>
      </c>
      <c r="J168" s="35" t="s">
        <v>79</v>
      </c>
      <c r="K168" s="35">
        <v>366</v>
      </c>
      <c r="L168" s="35" t="s">
        <v>129</v>
      </c>
      <c r="M168" s="35" t="s">
        <v>380</v>
      </c>
      <c r="N168" s="35">
        <v>-2.1999999999999999E-2</v>
      </c>
      <c r="O168" s="35">
        <v>8.0000000000000002E-3</v>
      </c>
      <c r="P168" s="89">
        <f t="shared" si="55"/>
        <v>-2.75</v>
      </c>
      <c r="Q168" s="35" t="s">
        <v>312</v>
      </c>
      <c r="R168" s="89">
        <f t="shared" si="56"/>
        <v>-3.7679999999999998E-2</v>
      </c>
      <c r="S168" s="89">
        <f t="shared" si="57"/>
        <v>-6.3199999999999992E-3</v>
      </c>
      <c r="T168" s="35">
        <v>1</v>
      </c>
      <c r="U168" s="35">
        <v>623573</v>
      </c>
      <c r="V168" s="35" t="s">
        <v>312</v>
      </c>
      <c r="W168" s="35" t="s">
        <v>312</v>
      </c>
      <c r="X168" s="35">
        <f t="shared" si="58"/>
        <v>623573</v>
      </c>
      <c r="Y168" s="89">
        <f t="shared" si="59"/>
        <v>-3.4824621839433145E-3</v>
      </c>
      <c r="Z168" s="89">
        <f t="shared" si="60"/>
        <v>1.2663498850702963E-3</v>
      </c>
      <c r="AA168" s="89">
        <f t="shared" si="66"/>
        <v>-3.4824621839433145E-3</v>
      </c>
      <c r="AB168" s="35" t="s">
        <v>81</v>
      </c>
      <c r="AC168" s="89">
        <f t="shared" si="68"/>
        <v>-7.8476420798065296E-3</v>
      </c>
      <c r="AD168" s="89" cm="1">
        <f t="array" ref="AD168">_xlfn.IFS(
AND(L168="marginal_effect",M168="level"),N168*AN168/BF168,
AND(L168="marginal_effect",M168="sd (Y)"),N168*BH168*AN168/BF168,
AND(L168="marginal_effect",M168="sd (X)"),N168/AQ168*AN168/BF168,
AND(L168="semi_elasticity",M168="level"),N168*AN168,
AND(L168="semi_elasticity",M168="sd (Y)"),N168*AN168*BH168,
AND(L168="semi_elasticity",M168="sd (X)"),N168*AN168/AQ168,
AND(L168="level-log",M168="level"),N168/BF168,
AND(L168="level-log",M168="sd (X)"),N168/BF168/AQ168,
AND(L168="level-log",M168="sd (Y)"),N168/BF168*BH168,
AND(L168="elasticity",M168="level"),N168,
AND(L168="elasticity",M168="sd (X)"),N168/AQ168,
AND(L168="elasticity",M168="sd (Y)"),N168*BH168,
AND(L168="marginal_effect",M168="percent_of_mean"),N168*AN168/BF168/10)</f>
        <v>-7.8476420798065296E-3</v>
      </c>
      <c r="AE168" s="49">
        <f t="shared" si="61"/>
        <v>1</v>
      </c>
      <c r="AF168" s="89">
        <f t="shared" si="69"/>
        <v>2.8536880290205564E-3</v>
      </c>
      <c r="AG168" s="89" cm="1">
        <f t="array" ref="AG168">_xlfn.IFS(
AND(L168="marginal_effect",M168="level"),O168*AN168/BF168,
AND(L168="marginal_effect",M168="sd (Y)"),O168*BH168*AN168/BF168,
AND(L168="marginal_effect",M168="sd (X)"),O168/AQ168*AN168/BF168,
AND(L168="semi_elasticity",M168="level"),O168*AN168,
AND(L168="semi_elasticity",M168="sd (Y)"),O168*AN168*BH168,
AND(L168="semi_elasticity",M168="sd (X)"),O168*AN168/AQ168,
AND(L168="level-log",M168="level"),O168/BF168,
AND(L168="level-log",M168="sd (X)"),O168/BF168/AQ168,
AND(L168="level-log",M168="sd (Y)"),O168/BF168*BH168,
AND(L168="elasticity",M168="level"),O168,
AND(L168="elasticity",M168="sd (X)"),O168/AQ168,
AND(L168="elasticity",M168="sd (Y)"),O168*BH168,
AND(L168="marginal_effect",M168="percent_of_mean"),O168*AN168/BF168/10)</f>
        <v>2.8536880290205564E-3</v>
      </c>
      <c r="AH168" s="49">
        <f t="shared" si="62"/>
        <v>1</v>
      </c>
      <c r="AI168" s="89">
        <f t="shared" si="67"/>
        <v>-7.8476420798065296E-3</v>
      </c>
      <c r="AJ168" s="35">
        <v>0</v>
      </c>
      <c r="AK168" s="49">
        <f t="shared" si="63"/>
        <v>1</v>
      </c>
      <c r="AL168" s="35" t="s">
        <v>162</v>
      </c>
      <c r="AM168" s="35" t="s">
        <v>590</v>
      </c>
      <c r="AN168" s="35">
        <v>0.29499999999999998</v>
      </c>
      <c r="AO168" s="35">
        <v>0</v>
      </c>
      <c r="AP168" s="35">
        <f>AN168</f>
        <v>0.29499999999999998</v>
      </c>
      <c r="AQ168" s="35">
        <v>0.13900000000000001</v>
      </c>
      <c r="AR168" s="35" t="s">
        <v>312</v>
      </c>
      <c r="AS168" s="35" t="s">
        <v>312</v>
      </c>
      <c r="AT168" s="35" t="s">
        <v>83</v>
      </c>
      <c r="AU168" s="35" t="s">
        <v>109</v>
      </c>
      <c r="AV168" s="35" t="s">
        <v>133</v>
      </c>
      <c r="AW168" s="35" t="s">
        <v>134</v>
      </c>
      <c r="AX168" s="35" t="s">
        <v>86</v>
      </c>
      <c r="AY168" s="35">
        <v>0</v>
      </c>
      <c r="AZ168" s="35">
        <v>0</v>
      </c>
      <c r="BA168" s="58" t="s">
        <v>111</v>
      </c>
      <c r="BB168" s="35" t="s">
        <v>88</v>
      </c>
      <c r="BC168" s="35" t="s">
        <v>587</v>
      </c>
      <c r="BD168" s="35" t="s">
        <v>114</v>
      </c>
      <c r="BE168" s="35" t="s">
        <v>595</v>
      </c>
      <c r="BF168" s="35">
        <v>0.82699999999999996</v>
      </c>
      <c r="BG168" s="35">
        <v>0</v>
      </c>
      <c r="BH168" s="35">
        <v>0.378</v>
      </c>
      <c r="BI168" s="35" t="s">
        <v>312</v>
      </c>
      <c r="BJ168" s="35" t="s">
        <v>312</v>
      </c>
      <c r="BK168" s="35" t="s">
        <v>91</v>
      </c>
      <c r="BL168" s="35" t="s">
        <v>84</v>
      </c>
      <c r="BM168" s="35">
        <v>1</v>
      </c>
      <c r="BN168" s="35" t="s">
        <v>539</v>
      </c>
      <c r="BO168" s="35" t="s">
        <v>589</v>
      </c>
      <c r="BP168" s="35" t="s">
        <v>588</v>
      </c>
      <c r="BQ168" s="35" t="s">
        <v>92</v>
      </c>
      <c r="BR168" s="35" t="s">
        <v>312</v>
      </c>
      <c r="BS168" s="35" t="s">
        <v>312</v>
      </c>
      <c r="BT168" s="35" t="s">
        <v>312</v>
      </c>
      <c r="BU168" s="35">
        <v>2008</v>
      </c>
      <c r="BV168" s="35">
        <v>2015</v>
      </c>
      <c r="BW168" s="35" t="s">
        <v>596</v>
      </c>
      <c r="BX168" s="35" t="s">
        <v>95</v>
      </c>
      <c r="BY168" s="35" t="s">
        <v>592</v>
      </c>
      <c r="BZ168" s="35">
        <v>0</v>
      </c>
      <c r="CA168" s="35">
        <v>0</v>
      </c>
      <c r="CB168" s="35" t="s">
        <v>97</v>
      </c>
      <c r="CC168" s="35" t="s">
        <v>625</v>
      </c>
      <c r="CD168" s="35">
        <v>1</v>
      </c>
      <c r="CE168" s="35" t="s">
        <v>594</v>
      </c>
      <c r="CF168" s="35">
        <v>1</v>
      </c>
      <c r="CG168" s="35" t="s">
        <v>598</v>
      </c>
      <c r="CH168" s="35">
        <v>1</v>
      </c>
      <c r="CI168" s="35" t="s">
        <v>541</v>
      </c>
      <c r="CJ168" s="35" t="s">
        <v>98</v>
      </c>
      <c r="CK168" s="35">
        <v>62</v>
      </c>
      <c r="CL168" s="35">
        <v>0</v>
      </c>
      <c r="CM168" s="35">
        <v>0</v>
      </c>
      <c r="CN168" s="35" t="s">
        <v>99</v>
      </c>
      <c r="CO168" s="35" t="s">
        <v>97</v>
      </c>
      <c r="CP168" s="35" t="s">
        <v>100</v>
      </c>
      <c r="CQ168" s="35" t="s">
        <v>600</v>
      </c>
      <c r="CR168" s="36">
        <v>46220</v>
      </c>
      <c r="CT168" s="35" t="s">
        <v>553</v>
      </c>
    </row>
    <row r="169" spans="1:98" s="35" customFormat="1" x14ac:dyDescent="0.35">
      <c r="A169" s="34" t="s">
        <v>583</v>
      </c>
      <c r="B169" s="34" t="s">
        <v>610</v>
      </c>
      <c r="C169" s="35" t="s">
        <v>584</v>
      </c>
      <c r="D169" s="35">
        <v>2018</v>
      </c>
      <c r="E169" s="34" t="s">
        <v>585</v>
      </c>
      <c r="F169" s="34" t="s">
        <v>586</v>
      </c>
      <c r="G169" s="35" t="s">
        <v>78</v>
      </c>
      <c r="H169" s="35">
        <v>1</v>
      </c>
      <c r="I169" s="35" t="s">
        <v>390</v>
      </c>
      <c r="J169" s="35" t="s">
        <v>79</v>
      </c>
      <c r="K169" s="35">
        <v>366</v>
      </c>
      <c r="L169" s="35" t="s">
        <v>129</v>
      </c>
      <c r="M169" s="35" t="s">
        <v>380</v>
      </c>
      <c r="N169" s="35">
        <v>6.8000000000000005E-2</v>
      </c>
      <c r="O169" s="35">
        <v>4.7E-2</v>
      </c>
      <c r="P169" s="89">
        <f t="shared" si="55"/>
        <v>1.446808510638298</v>
      </c>
      <c r="Q169" s="35" t="s">
        <v>312</v>
      </c>
      <c r="R169" s="89">
        <f t="shared" si="56"/>
        <v>-2.4119999999999989E-2</v>
      </c>
      <c r="S169" s="89">
        <f t="shared" si="57"/>
        <v>0.16011999999999998</v>
      </c>
      <c r="T169" s="35">
        <v>1</v>
      </c>
      <c r="U169" s="35">
        <v>623573</v>
      </c>
      <c r="V169" s="35" t="s">
        <v>312</v>
      </c>
      <c r="W169" s="35" t="s">
        <v>312</v>
      </c>
      <c r="X169" s="35">
        <f t="shared" si="58"/>
        <v>623573</v>
      </c>
      <c r="Y169" s="89">
        <f t="shared" si="59"/>
        <v>1.8321738259170618E-3</v>
      </c>
      <c r="Z169" s="89">
        <f t="shared" si="60"/>
        <v>1.2663554385014986E-3</v>
      </c>
      <c r="AA169" s="89">
        <f t="shared" si="66"/>
        <v>1.8321738259170618E-3</v>
      </c>
      <c r="AB169" s="35" t="s">
        <v>81</v>
      </c>
      <c r="AC169" s="89">
        <f t="shared" si="68"/>
        <v>2.7956469165659015E-3</v>
      </c>
      <c r="AD169" s="89" cm="1">
        <f t="array" ref="AD169">_xlfn.IFS(
AND(L169="marginal_effect",M169="level"),N169*AN169/BF169,
AND(L169="marginal_effect",M169="sd (Y)"),N169*BH169*AN169/BF169,
AND(L169="marginal_effect",M169="sd (X)"),N169/AQ169*AN169/BF169,
AND(L169="semi_elasticity",M169="level"),N169*AN169,
AND(L169="semi_elasticity",M169="sd (Y)"),N169*AN169*BH169,
AND(L169="semi_elasticity",M169="sd (X)"),N169*AN169/AQ169,
AND(L169="level-log",M169="level"),N169/BF169,
AND(L169="level-log",M169="sd (X)"),N169/BF169/AQ169,
AND(L169="level-log",M169="sd (Y)"),N169/BF169*BH169,
AND(L169="elasticity",M169="level"),N169,
AND(L169="elasticity",M169="sd (X)"),N169/AQ169,
AND(L169="elasticity",M169="sd (Y)"),N169*BH169,
AND(L169="marginal_effect",M169="percent_of_mean"),N169*AN169/BF169/10)</f>
        <v>2.7956469165659015E-3</v>
      </c>
      <c r="AE169" s="49">
        <f t="shared" si="61"/>
        <v>1</v>
      </c>
      <c r="AF169" s="89">
        <f t="shared" si="69"/>
        <v>1.9322853688029022E-3</v>
      </c>
      <c r="AG169" s="89" cm="1">
        <f t="array" ref="AG169">_xlfn.IFS(
AND(L169="marginal_effect",M169="level"),O169*AN169/BF169,
AND(L169="marginal_effect",M169="sd (Y)"),O169*BH169*AN169/BF169,
AND(L169="marginal_effect",M169="sd (X)"),O169/AQ169*AN169/BF169,
AND(L169="semi_elasticity",M169="level"),O169*AN169,
AND(L169="semi_elasticity",M169="sd (Y)"),O169*AN169*BH169,
AND(L169="semi_elasticity",M169="sd (X)"),O169*AN169/AQ169,
AND(L169="level-log",M169="level"),O169/BF169,
AND(L169="level-log",M169="sd (X)"),O169/BF169/AQ169,
AND(L169="level-log",M169="sd (Y)"),O169/BF169*BH169,
AND(L169="elasticity",M169="level"),O169,
AND(L169="elasticity",M169="sd (X)"),O169/AQ169,
AND(L169="elasticity",M169="sd (Y)"),O169*BH169,
AND(L169="marginal_effect",M169="percent_of_mean"),O169*AN169/BF169/10)</f>
        <v>1.9322853688029022E-3</v>
      </c>
      <c r="AH169" s="49">
        <f t="shared" si="62"/>
        <v>1</v>
      </c>
      <c r="AI169" s="89">
        <f t="shared" si="67"/>
        <v>2.7956469165659015E-3</v>
      </c>
      <c r="AJ169" s="35">
        <v>0</v>
      </c>
      <c r="AK169" s="49">
        <f t="shared" si="63"/>
        <v>1</v>
      </c>
      <c r="AL169" s="35" t="s">
        <v>148</v>
      </c>
      <c r="AM169" s="35" t="s">
        <v>590</v>
      </c>
      <c r="AN169" s="35">
        <f>0.034</f>
        <v>3.4000000000000002E-2</v>
      </c>
      <c r="AO169" s="35">
        <v>0</v>
      </c>
      <c r="AP169" s="35">
        <f>AN169</f>
        <v>3.4000000000000002E-2</v>
      </c>
      <c r="AQ169" s="35">
        <v>1.4999999999999999E-2</v>
      </c>
      <c r="AR169" s="35" t="s">
        <v>312</v>
      </c>
      <c r="AS169" s="35" t="s">
        <v>312</v>
      </c>
      <c r="AT169" s="35" t="s">
        <v>83</v>
      </c>
      <c r="AU169" s="35" t="s">
        <v>109</v>
      </c>
      <c r="AV169" s="35" t="s">
        <v>133</v>
      </c>
      <c r="AW169" s="35" t="s">
        <v>134</v>
      </c>
      <c r="AX169" s="35" t="s">
        <v>86</v>
      </c>
      <c r="AY169" s="35">
        <v>0</v>
      </c>
      <c r="AZ169" s="35">
        <v>0</v>
      </c>
      <c r="BA169" s="58" t="s">
        <v>111</v>
      </c>
      <c r="BB169" s="35" t="s">
        <v>88</v>
      </c>
      <c r="BC169" s="35" t="s">
        <v>587</v>
      </c>
      <c r="BD169" s="35" t="s">
        <v>114</v>
      </c>
      <c r="BE169" s="35" t="s">
        <v>595</v>
      </c>
      <c r="BF169" s="35">
        <v>0.82699999999999996</v>
      </c>
      <c r="BG169" s="35">
        <v>0</v>
      </c>
      <c r="BH169" s="35">
        <v>0.378</v>
      </c>
      <c r="BI169" s="35" t="s">
        <v>312</v>
      </c>
      <c r="BJ169" s="35" t="s">
        <v>312</v>
      </c>
      <c r="BK169" s="35" t="s">
        <v>91</v>
      </c>
      <c r="BL169" s="35" t="s">
        <v>84</v>
      </c>
      <c r="BM169" s="35">
        <v>1</v>
      </c>
      <c r="BN169" s="35" t="s">
        <v>539</v>
      </c>
      <c r="BO169" s="35" t="s">
        <v>589</v>
      </c>
      <c r="BP169" s="35" t="s">
        <v>588</v>
      </c>
      <c r="BQ169" s="35" t="s">
        <v>92</v>
      </c>
      <c r="BR169" s="35" t="s">
        <v>312</v>
      </c>
      <c r="BS169" s="35" t="s">
        <v>312</v>
      </c>
      <c r="BT169" s="35" t="s">
        <v>312</v>
      </c>
      <c r="BU169" s="35">
        <v>2008</v>
      </c>
      <c r="BV169" s="35">
        <v>2015</v>
      </c>
      <c r="BW169" s="35" t="s">
        <v>596</v>
      </c>
      <c r="BX169" s="35" t="s">
        <v>95</v>
      </c>
      <c r="BY169" s="35" t="s">
        <v>592</v>
      </c>
      <c r="BZ169" s="35">
        <v>0</v>
      </c>
      <c r="CA169" s="35">
        <v>0</v>
      </c>
      <c r="CB169" s="35" t="s">
        <v>97</v>
      </c>
      <c r="CC169" s="35" t="s">
        <v>625</v>
      </c>
      <c r="CD169" s="35">
        <v>1</v>
      </c>
      <c r="CE169" s="35" t="s">
        <v>594</v>
      </c>
      <c r="CF169" s="35">
        <v>1</v>
      </c>
      <c r="CG169" s="35" t="s">
        <v>599</v>
      </c>
      <c r="CH169" s="35">
        <v>1</v>
      </c>
      <c r="CI169" s="35" t="s">
        <v>541</v>
      </c>
      <c r="CJ169" s="35" t="s">
        <v>98</v>
      </c>
      <c r="CK169" s="35">
        <v>62</v>
      </c>
      <c r="CL169" s="35">
        <v>0</v>
      </c>
      <c r="CM169" s="35">
        <v>0</v>
      </c>
      <c r="CN169" s="35" t="s">
        <v>99</v>
      </c>
      <c r="CO169" s="35" t="s">
        <v>97</v>
      </c>
      <c r="CP169" s="35" t="s">
        <v>100</v>
      </c>
      <c r="CQ169" s="35" t="s">
        <v>126</v>
      </c>
      <c r="CR169" s="36">
        <v>46220</v>
      </c>
      <c r="CT169" s="35" t="s">
        <v>553</v>
      </c>
    </row>
    <row r="170" spans="1:98" s="35" customFormat="1" x14ac:dyDescent="0.35">
      <c r="A170" s="34" t="s">
        <v>583</v>
      </c>
      <c r="B170" s="34" t="s">
        <v>612</v>
      </c>
      <c r="C170" s="35" t="s">
        <v>584</v>
      </c>
      <c r="D170" s="35">
        <v>2018</v>
      </c>
      <c r="E170" s="34" t="s">
        <v>585</v>
      </c>
      <c r="F170" s="34" t="s">
        <v>586</v>
      </c>
      <c r="G170" s="35" t="s">
        <v>78</v>
      </c>
      <c r="H170" s="35">
        <v>1</v>
      </c>
      <c r="I170" s="35" t="s">
        <v>390</v>
      </c>
      <c r="J170" s="35" t="s">
        <v>79</v>
      </c>
      <c r="K170" s="35">
        <v>366</v>
      </c>
      <c r="L170" s="35" t="s">
        <v>129</v>
      </c>
      <c r="M170" s="35" t="s">
        <v>380</v>
      </c>
      <c r="N170" s="35">
        <v>-5.0000000000000001E-3</v>
      </c>
      <c r="O170" s="35">
        <v>1E-3</v>
      </c>
      <c r="P170" s="89">
        <f t="shared" si="55"/>
        <v>-5</v>
      </c>
      <c r="Q170" s="35" t="s">
        <v>312</v>
      </c>
      <c r="R170" s="89">
        <f t="shared" si="56"/>
        <v>-6.96E-3</v>
      </c>
      <c r="S170" s="89">
        <f t="shared" si="57"/>
        <v>-3.0400000000000002E-3</v>
      </c>
      <c r="T170" s="35">
        <v>1</v>
      </c>
      <c r="U170" s="35">
        <v>623573</v>
      </c>
      <c r="V170" s="35" t="s">
        <v>312</v>
      </c>
      <c r="W170" s="35" t="s">
        <v>312</v>
      </c>
      <c r="X170" s="35">
        <f t="shared" si="58"/>
        <v>623573</v>
      </c>
      <c r="Y170" s="89">
        <f t="shared" si="59"/>
        <v>-6.3316608982455121E-3</v>
      </c>
      <c r="Z170" s="89">
        <f t="shared" si="60"/>
        <v>1.2663321796491025E-3</v>
      </c>
      <c r="AA170" s="89">
        <f t="shared" si="66"/>
        <v>-6.3316608982455121E-3</v>
      </c>
      <c r="AB170" s="35" t="s">
        <v>81</v>
      </c>
      <c r="AC170" s="89">
        <f t="shared" si="68"/>
        <v>-6.590084643288998E-3</v>
      </c>
      <c r="AD170" s="89" cm="1">
        <f t="array" ref="AD170">_xlfn.IFS(
AND(L170="marginal_effect",M170="level"),N170*AN170/BF170,
AND(L170="marginal_effect",M170="sd (Y)"),N170*BH170*AN170/BF170,
AND(L170="marginal_effect",M170="sd (X)"),N170/AQ170*AN170/BF170,
AND(L170="semi_elasticity",M170="level"),N170*AN170,
AND(L170="semi_elasticity",M170="sd (Y)"),N170*AN170*BH170,
AND(L170="semi_elasticity",M170="sd (X)"),N170*AN170/AQ170,
AND(L170="level-log",M170="level"),N170/BF170,
AND(L170="level-log",M170="sd (X)"),N170/BF170/AQ170,
AND(L170="level-log",M170="sd (Y)"),N170/BF170*BH170,
AND(L170="elasticity",M170="level"),N170,
AND(L170="elasticity",M170="sd (X)"),N170/AQ170,
AND(L170="elasticity",M170="sd (Y)"),N170*BH170,
AND(L170="marginal_effect",M170="percent_of_mean"),N170*AN170/BF170/10)</f>
        <v>-6.590084643288998E-3</v>
      </c>
      <c r="AE170" s="49">
        <f t="shared" si="61"/>
        <v>1</v>
      </c>
      <c r="AF170" s="89">
        <f t="shared" si="69"/>
        <v>1.3180169286577993E-3</v>
      </c>
      <c r="AG170" s="89" cm="1">
        <f t="array" ref="AG170">_xlfn.IFS(
AND(L170="marginal_effect",M170="level"),O170*AN170/BF170,
AND(L170="marginal_effect",M170="sd (Y)"),O170*BH170*AN170/BF170,
AND(L170="marginal_effect",M170="sd (X)"),O170/AQ170*AN170/BF170,
AND(L170="semi_elasticity",M170="level"),O170*AN170,
AND(L170="semi_elasticity",M170="sd (Y)"),O170*AN170*BH170,
AND(L170="semi_elasticity",M170="sd (X)"),O170*AN170/AQ170,
AND(L170="level-log",M170="level"),O170/BF170,
AND(L170="level-log",M170="sd (X)"),O170/BF170/AQ170,
AND(L170="level-log",M170="sd (Y)"),O170/BF170*BH170,
AND(L170="elasticity",M170="level"),O170,
AND(L170="elasticity",M170="sd (X)"),O170/AQ170,
AND(L170="elasticity",M170="sd (Y)"),O170*BH170,
AND(L170="marginal_effect",M170="percent_of_mean"),O170*AN170/BF170/10)</f>
        <v>1.3180169286577993E-3</v>
      </c>
      <c r="AH170" s="49">
        <f t="shared" si="62"/>
        <v>1</v>
      </c>
      <c r="AI170" s="89">
        <f t="shared" si="67"/>
        <v>-6.590084643288998E-3</v>
      </c>
      <c r="AJ170" s="35">
        <v>0</v>
      </c>
      <c r="AK170" s="49">
        <f t="shared" si="63"/>
        <v>1</v>
      </c>
      <c r="AL170" s="35" t="s">
        <v>82</v>
      </c>
      <c r="AM170" s="35" t="s">
        <v>296</v>
      </c>
      <c r="AN170" s="35">
        <v>1.0900000000000001</v>
      </c>
      <c r="AO170" s="35">
        <v>0</v>
      </c>
      <c r="AP170" s="35">
        <f>AN170*10</f>
        <v>10.9</v>
      </c>
      <c r="AQ170" s="35">
        <v>0.57999999999999996</v>
      </c>
      <c r="AR170" s="35" t="s">
        <v>312</v>
      </c>
      <c r="AS170" s="35" t="s">
        <v>312</v>
      </c>
      <c r="AT170" s="35" t="s">
        <v>83</v>
      </c>
      <c r="AU170" s="35" t="s">
        <v>109</v>
      </c>
      <c r="AV170" s="35" t="s">
        <v>133</v>
      </c>
      <c r="AW170" s="35" t="s">
        <v>134</v>
      </c>
      <c r="AX170" s="35" t="s">
        <v>86</v>
      </c>
      <c r="AY170" s="35">
        <v>0</v>
      </c>
      <c r="AZ170" s="35">
        <v>0</v>
      </c>
      <c r="BA170" s="58" t="s">
        <v>111</v>
      </c>
      <c r="BB170" s="35" t="s">
        <v>88</v>
      </c>
      <c r="BC170" s="35" t="s">
        <v>587</v>
      </c>
      <c r="BD170" s="35" t="s">
        <v>114</v>
      </c>
      <c r="BE170" s="35" t="s">
        <v>595</v>
      </c>
      <c r="BF170" s="35">
        <v>0.82699999999999996</v>
      </c>
      <c r="BG170" s="35">
        <v>0</v>
      </c>
      <c r="BH170" s="35">
        <v>0.378</v>
      </c>
      <c r="BI170" s="35" t="s">
        <v>312</v>
      </c>
      <c r="BJ170" s="35" t="s">
        <v>312</v>
      </c>
      <c r="BK170" s="35" t="s">
        <v>91</v>
      </c>
      <c r="BL170" s="35" t="s">
        <v>84</v>
      </c>
      <c r="BM170" s="35">
        <v>1</v>
      </c>
      <c r="BN170" s="35" t="s">
        <v>539</v>
      </c>
      <c r="BO170" s="35" t="s">
        <v>589</v>
      </c>
      <c r="BP170" s="35" t="s">
        <v>588</v>
      </c>
      <c r="BQ170" s="35" t="s">
        <v>92</v>
      </c>
      <c r="BR170" s="35" t="s">
        <v>312</v>
      </c>
      <c r="BS170" s="35" t="s">
        <v>312</v>
      </c>
      <c r="BT170" s="35" t="s">
        <v>312</v>
      </c>
      <c r="BU170" s="35">
        <v>2008</v>
      </c>
      <c r="BV170" s="35">
        <v>2015</v>
      </c>
      <c r="BW170" s="35" t="s">
        <v>596</v>
      </c>
      <c r="BX170" s="35" t="s">
        <v>95</v>
      </c>
      <c r="BY170" s="35" t="s">
        <v>592</v>
      </c>
      <c r="BZ170" s="35">
        <v>0</v>
      </c>
      <c r="CA170" s="35">
        <v>0</v>
      </c>
      <c r="CB170" s="35" t="s">
        <v>97</v>
      </c>
      <c r="CC170" s="35" t="s">
        <v>593</v>
      </c>
      <c r="CD170" s="35">
        <v>1</v>
      </c>
      <c r="CE170" s="35" t="s">
        <v>594</v>
      </c>
      <c r="CF170" s="35">
        <v>1</v>
      </c>
      <c r="CG170" s="35" t="s">
        <v>597</v>
      </c>
      <c r="CH170" s="35">
        <v>1</v>
      </c>
      <c r="CI170" s="35" t="s">
        <v>541</v>
      </c>
      <c r="CJ170" s="35" t="s">
        <v>98</v>
      </c>
      <c r="CK170" s="35">
        <v>62</v>
      </c>
      <c r="CL170" s="35">
        <v>0</v>
      </c>
      <c r="CM170" s="35">
        <v>0</v>
      </c>
      <c r="CN170" s="35" t="s">
        <v>99</v>
      </c>
      <c r="CO170" s="35" t="s">
        <v>97</v>
      </c>
      <c r="CP170" s="35" t="s">
        <v>100</v>
      </c>
      <c r="CQ170" s="35" t="s">
        <v>126</v>
      </c>
      <c r="CR170" s="36">
        <v>46220</v>
      </c>
      <c r="CT170" s="35" t="s">
        <v>552</v>
      </c>
    </row>
    <row r="171" spans="1:98" s="35" customFormat="1" x14ac:dyDescent="0.35">
      <c r="A171" s="34" t="s">
        <v>583</v>
      </c>
      <c r="B171" s="34" t="s">
        <v>613</v>
      </c>
      <c r="C171" s="35" t="s">
        <v>584</v>
      </c>
      <c r="D171" s="35">
        <v>2018</v>
      </c>
      <c r="E171" s="34" t="s">
        <v>585</v>
      </c>
      <c r="F171" s="34" t="s">
        <v>586</v>
      </c>
      <c r="G171" s="35" t="s">
        <v>78</v>
      </c>
      <c r="H171" s="35">
        <v>1</v>
      </c>
      <c r="I171" s="35" t="s">
        <v>390</v>
      </c>
      <c r="J171" s="35" t="s">
        <v>79</v>
      </c>
      <c r="K171" s="35">
        <v>366</v>
      </c>
      <c r="L171" s="35" t="s">
        <v>129</v>
      </c>
      <c r="M171" s="35" t="s">
        <v>380</v>
      </c>
      <c r="N171" s="35">
        <v>-2.5999999999999999E-2</v>
      </c>
      <c r="O171" s="35">
        <v>0.01</v>
      </c>
      <c r="P171" s="89">
        <f t="shared" si="55"/>
        <v>-2.5999999999999996</v>
      </c>
      <c r="Q171" s="35" t="s">
        <v>312</v>
      </c>
      <c r="R171" s="89">
        <f t="shared" si="56"/>
        <v>-4.5600000000000002E-2</v>
      </c>
      <c r="S171" s="89">
        <f t="shared" si="57"/>
        <v>-6.3999999999999994E-3</v>
      </c>
      <c r="T171" s="35">
        <v>1</v>
      </c>
      <c r="U171" s="35">
        <v>623573</v>
      </c>
      <c r="V171" s="35" t="s">
        <v>312</v>
      </c>
      <c r="W171" s="35" t="s">
        <v>312</v>
      </c>
      <c r="X171" s="35">
        <f t="shared" si="58"/>
        <v>623573</v>
      </c>
      <c r="Y171" s="89">
        <f t="shared" si="59"/>
        <v>-3.2925118197876017E-3</v>
      </c>
      <c r="Z171" s="89">
        <f t="shared" si="60"/>
        <v>1.2663506999183085E-3</v>
      </c>
      <c r="AA171" s="89">
        <f t="shared" si="66"/>
        <v>-3.2925118197876017E-3</v>
      </c>
      <c r="AB171" s="35" t="s">
        <v>81</v>
      </c>
      <c r="AC171" s="89">
        <f t="shared" si="68"/>
        <v>-9.2744860943168063E-3</v>
      </c>
      <c r="AD171" s="89" cm="1">
        <f t="array" ref="AD171">_xlfn.IFS(
AND(L171="marginal_effect",M171="level"),N171*AN171/BF171,
AND(L171="marginal_effect",M171="sd (Y)"),N171*BH171*AN171/BF171,
AND(L171="marginal_effect",M171="sd (X)"),N171/AQ171*AN171/BF171,
AND(L171="semi_elasticity",M171="level"),N171*AN171,
AND(L171="semi_elasticity",M171="sd (Y)"),N171*AN171*BH171,
AND(L171="semi_elasticity",M171="sd (X)"),N171*AN171/AQ171,
AND(L171="level-log",M171="level"),N171/BF171,
AND(L171="level-log",M171="sd (X)"),N171/BF171/AQ171,
AND(L171="level-log",M171="sd (Y)"),N171/BF171*BH171,
AND(L171="elasticity",M171="level"),N171,
AND(L171="elasticity",M171="sd (X)"),N171/AQ171,
AND(L171="elasticity",M171="sd (Y)"),N171*BH171,
AND(L171="marginal_effect",M171="percent_of_mean"),N171*AN171/BF171/10)</f>
        <v>-9.2744860943168063E-3</v>
      </c>
      <c r="AE171" s="49">
        <f t="shared" si="61"/>
        <v>1</v>
      </c>
      <c r="AF171" s="89">
        <f t="shared" si="69"/>
        <v>3.5671100362756952E-3</v>
      </c>
      <c r="AG171" s="89" cm="1">
        <f t="array" ref="AG171">_xlfn.IFS(
AND(L171="marginal_effect",M171="level"),O171*AN171/BF171,
AND(L171="marginal_effect",M171="sd (Y)"),O171*BH171*AN171/BF171,
AND(L171="marginal_effect",M171="sd (X)"),O171/AQ171*AN171/BF171,
AND(L171="semi_elasticity",M171="level"),O171*AN171,
AND(L171="semi_elasticity",M171="sd (Y)"),O171*AN171*BH171,
AND(L171="semi_elasticity",M171="sd (X)"),O171*AN171/AQ171,
AND(L171="level-log",M171="level"),O171/BF171,
AND(L171="level-log",M171="sd (X)"),O171/BF171/AQ171,
AND(L171="level-log",M171="sd (Y)"),O171/BF171*BH171,
AND(L171="elasticity",M171="level"),O171,
AND(L171="elasticity",M171="sd (X)"),O171/AQ171,
AND(L171="elasticity",M171="sd (Y)"),O171*BH171,
AND(L171="marginal_effect",M171="percent_of_mean"),O171*AN171/BF171/10)</f>
        <v>3.5671100362756952E-3</v>
      </c>
      <c r="AH171" s="49">
        <f t="shared" si="62"/>
        <v>1</v>
      </c>
      <c r="AI171" s="89">
        <f t="shared" si="67"/>
        <v>-9.2744860943168063E-3</v>
      </c>
      <c r="AJ171" s="35">
        <v>0</v>
      </c>
      <c r="AK171" s="49">
        <f t="shared" si="63"/>
        <v>1</v>
      </c>
      <c r="AL171" s="35" t="s">
        <v>162</v>
      </c>
      <c r="AM171" s="35" t="s">
        <v>590</v>
      </c>
      <c r="AN171" s="35">
        <v>0.29499999999999998</v>
      </c>
      <c r="AO171" s="35">
        <v>0</v>
      </c>
      <c r="AP171" s="35">
        <f>AN171</f>
        <v>0.29499999999999998</v>
      </c>
      <c r="AQ171" s="35">
        <v>0.13900000000000001</v>
      </c>
      <c r="AR171" s="35" t="s">
        <v>312</v>
      </c>
      <c r="AS171" s="35" t="s">
        <v>312</v>
      </c>
      <c r="AT171" s="35" t="s">
        <v>83</v>
      </c>
      <c r="AU171" s="35" t="s">
        <v>109</v>
      </c>
      <c r="AV171" s="35" t="s">
        <v>133</v>
      </c>
      <c r="AW171" s="35" t="s">
        <v>134</v>
      </c>
      <c r="AX171" s="35" t="s">
        <v>86</v>
      </c>
      <c r="AY171" s="35">
        <v>0</v>
      </c>
      <c r="AZ171" s="35">
        <v>0</v>
      </c>
      <c r="BA171" s="58" t="s">
        <v>111</v>
      </c>
      <c r="BB171" s="35" t="s">
        <v>88</v>
      </c>
      <c r="BC171" s="35" t="s">
        <v>587</v>
      </c>
      <c r="BD171" s="35" t="s">
        <v>114</v>
      </c>
      <c r="BE171" s="35" t="s">
        <v>595</v>
      </c>
      <c r="BF171" s="35">
        <v>0.82699999999999996</v>
      </c>
      <c r="BG171" s="35">
        <v>0</v>
      </c>
      <c r="BH171" s="35">
        <v>0.378</v>
      </c>
      <c r="BI171" s="35" t="s">
        <v>312</v>
      </c>
      <c r="BJ171" s="35" t="s">
        <v>312</v>
      </c>
      <c r="BK171" s="35" t="s">
        <v>91</v>
      </c>
      <c r="BL171" s="35" t="s">
        <v>84</v>
      </c>
      <c r="BM171" s="35">
        <v>1</v>
      </c>
      <c r="BN171" s="35" t="s">
        <v>539</v>
      </c>
      <c r="BO171" s="35" t="s">
        <v>589</v>
      </c>
      <c r="BP171" s="35" t="s">
        <v>588</v>
      </c>
      <c r="BQ171" s="35" t="s">
        <v>92</v>
      </c>
      <c r="BR171" s="35" t="s">
        <v>312</v>
      </c>
      <c r="BS171" s="35" t="s">
        <v>312</v>
      </c>
      <c r="BT171" s="35" t="s">
        <v>312</v>
      </c>
      <c r="BU171" s="35">
        <v>2008</v>
      </c>
      <c r="BV171" s="35">
        <v>2015</v>
      </c>
      <c r="BW171" s="35" t="s">
        <v>596</v>
      </c>
      <c r="BX171" s="35" t="s">
        <v>95</v>
      </c>
      <c r="BY171" s="35" t="s">
        <v>592</v>
      </c>
      <c r="BZ171" s="35">
        <v>0</v>
      </c>
      <c r="CA171" s="35">
        <v>0</v>
      </c>
      <c r="CB171" s="35" t="s">
        <v>97</v>
      </c>
      <c r="CC171" s="35" t="s">
        <v>593</v>
      </c>
      <c r="CD171" s="35">
        <v>1</v>
      </c>
      <c r="CE171" s="35" t="s">
        <v>594</v>
      </c>
      <c r="CF171" s="35">
        <v>1</v>
      </c>
      <c r="CG171" s="35" t="s">
        <v>598</v>
      </c>
      <c r="CH171" s="35">
        <v>1</v>
      </c>
      <c r="CI171" s="35" t="s">
        <v>541</v>
      </c>
      <c r="CJ171" s="35" t="s">
        <v>98</v>
      </c>
      <c r="CK171" s="35">
        <v>62</v>
      </c>
      <c r="CL171" s="35">
        <v>0</v>
      </c>
      <c r="CM171" s="35">
        <v>0</v>
      </c>
      <c r="CN171" s="35" t="s">
        <v>99</v>
      </c>
      <c r="CO171" s="35" t="s">
        <v>97</v>
      </c>
      <c r="CP171" s="35" t="s">
        <v>100</v>
      </c>
      <c r="CQ171" s="35" t="s">
        <v>600</v>
      </c>
      <c r="CR171" s="36">
        <v>46220</v>
      </c>
      <c r="CT171" s="35" t="s">
        <v>552</v>
      </c>
    </row>
    <row r="172" spans="1:98" s="35" customFormat="1" x14ac:dyDescent="0.35">
      <c r="A172" s="34" t="s">
        <v>583</v>
      </c>
      <c r="B172" s="34" t="s">
        <v>614</v>
      </c>
      <c r="C172" s="35" t="s">
        <v>584</v>
      </c>
      <c r="D172" s="35">
        <v>2018</v>
      </c>
      <c r="E172" s="34" t="s">
        <v>585</v>
      </c>
      <c r="F172" s="34" t="s">
        <v>586</v>
      </c>
      <c r="G172" s="35" t="s">
        <v>78</v>
      </c>
      <c r="H172" s="35">
        <v>1</v>
      </c>
      <c r="I172" s="35" t="s">
        <v>390</v>
      </c>
      <c r="J172" s="35" t="s">
        <v>79</v>
      </c>
      <c r="K172" s="35">
        <v>366</v>
      </c>
      <c r="L172" s="35" t="s">
        <v>129</v>
      </c>
      <c r="M172" s="35" t="s">
        <v>380</v>
      </c>
      <c r="N172" s="35">
        <v>0.11799999999999999</v>
      </c>
      <c r="O172" s="35">
        <v>5.2999999999999999E-2</v>
      </c>
      <c r="P172" s="89">
        <f t="shared" si="55"/>
        <v>2.2264150943396226</v>
      </c>
      <c r="Q172" s="35" t="s">
        <v>312</v>
      </c>
      <c r="R172" s="89">
        <f t="shared" si="56"/>
        <v>1.4119999999999994E-2</v>
      </c>
      <c r="S172" s="89">
        <f t="shared" si="57"/>
        <v>0.22187999999999999</v>
      </c>
      <c r="T172" s="35">
        <v>1</v>
      </c>
      <c r="U172" s="35">
        <v>623573</v>
      </c>
      <c r="V172" s="35" t="s">
        <v>312</v>
      </c>
      <c r="W172" s="35" t="s">
        <v>312</v>
      </c>
      <c r="X172" s="35">
        <f t="shared" si="58"/>
        <v>623573</v>
      </c>
      <c r="Y172" s="89">
        <f t="shared" si="59"/>
        <v>2.8194263892029037E-3</v>
      </c>
      <c r="Z172" s="89">
        <f t="shared" si="60"/>
        <v>1.2663525307436772E-3</v>
      </c>
      <c r="AA172" s="89">
        <f t="shared" si="66"/>
        <v>2.8194263892029037E-3</v>
      </c>
      <c r="AB172" s="35" t="s">
        <v>81</v>
      </c>
      <c r="AC172" s="89">
        <f t="shared" si="68"/>
        <v>4.8512696493349461E-3</v>
      </c>
      <c r="AD172" s="89" cm="1">
        <f t="array" ref="AD172">_xlfn.IFS(
AND(L172="marginal_effect",M172="level"),N172*AN172/BF172,
AND(L172="marginal_effect",M172="sd (Y)"),N172*BH172*AN172/BF172,
AND(L172="marginal_effect",M172="sd (X)"),N172/AQ172*AN172/BF172,
AND(L172="semi_elasticity",M172="level"),N172*AN172,
AND(L172="semi_elasticity",M172="sd (Y)"),N172*AN172*BH172,
AND(L172="semi_elasticity",M172="sd (X)"),N172*AN172/AQ172,
AND(L172="level-log",M172="level"),N172/BF172,
AND(L172="level-log",M172="sd (X)"),N172/BF172/AQ172,
AND(L172="level-log",M172="sd (Y)"),N172/BF172*BH172,
AND(L172="elasticity",M172="level"),N172,
AND(L172="elasticity",M172="sd (X)"),N172/AQ172,
AND(L172="elasticity",M172="sd (Y)"),N172*BH172,
AND(L172="marginal_effect",M172="percent_of_mean"),N172*AN172/BF172/10)</f>
        <v>4.8512696493349461E-3</v>
      </c>
      <c r="AE172" s="49">
        <f t="shared" si="61"/>
        <v>1</v>
      </c>
      <c r="AF172" s="89">
        <f t="shared" si="69"/>
        <v>2.1789600967351873E-3</v>
      </c>
      <c r="AG172" s="89" cm="1">
        <f t="array" ref="AG172">_xlfn.IFS(
AND(L172="marginal_effect",M172="level"),O172*AN172/BF172,
AND(L172="marginal_effect",M172="sd (Y)"),O172*BH172*AN172/BF172,
AND(L172="marginal_effect",M172="sd (X)"),O172/AQ172*AN172/BF172,
AND(L172="semi_elasticity",M172="level"),O172*AN172,
AND(L172="semi_elasticity",M172="sd (Y)"),O172*AN172*BH172,
AND(L172="semi_elasticity",M172="sd (X)"),O172*AN172/AQ172,
AND(L172="level-log",M172="level"),O172/BF172,
AND(L172="level-log",M172="sd (X)"),O172/BF172/AQ172,
AND(L172="level-log",M172="sd (Y)"),O172/BF172*BH172,
AND(L172="elasticity",M172="level"),O172,
AND(L172="elasticity",M172="sd (X)"),O172/AQ172,
AND(L172="elasticity",M172="sd (Y)"),O172*BH172,
AND(L172="marginal_effect",M172="percent_of_mean"),O172*AN172/BF172/10)</f>
        <v>2.1789600967351873E-3</v>
      </c>
      <c r="AH172" s="49">
        <f t="shared" si="62"/>
        <v>1</v>
      </c>
      <c r="AI172" s="89">
        <f t="shared" si="67"/>
        <v>4.8512696493349461E-3</v>
      </c>
      <c r="AJ172" s="35">
        <v>0</v>
      </c>
      <c r="AK172" s="49">
        <f t="shared" si="63"/>
        <v>1</v>
      </c>
      <c r="AL172" s="35" t="s">
        <v>148</v>
      </c>
      <c r="AM172" s="35" t="s">
        <v>590</v>
      </c>
      <c r="AN172" s="35">
        <f>0.034</f>
        <v>3.4000000000000002E-2</v>
      </c>
      <c r="AO172" s="35">
        <v>0</v>
      </c>
      <c r="AP172" s="35">
        <f>AN172</f>
        <v>3.4000000000000002E-2</v>
      </c>
      <c r="AQ172" s="35">
        <v>1.4999999999999999E-2</v>
      </c>
      <c r="AR172" s="35" t="s">
        <v>312</v>
      </c>
      <c r="AS172" s="35" t="s">
        <v>312</v>
      </c>
      <c r="AT172" s="35" t="s">
        <v>83</v>
      </c>
      <c r="AU172" s="35" t="s">
        <v>109</v>
      </c>
      <c r="AV172" s="35" t="s">
        <v>133</v>
      </c>
      <c r="AW172" s="35" t="s">
        <v>134</v>
      </c>
      <c r="AX172" s="35" t="s">
        <v>86</v>
      </c>
      <c r="AY172" s="35">
        <v>0</v>
      </c>
      <c r="AZ172" s="35">
        <v>0</v>
      </c>
      <c r="BA172" s="58" t="s">
        <v>111</v>
      </c>
      <c r="BB172" s="35" t="s">
        <v>88</v>
      </c>
      <c r="BC172" s="35" t="s">
        <v>587</v>
      </c>
      <c r="BD172" s="35" t="s">
        <v>114</v>
      </c>
      <c r="BE172" s="35" t="s">
        <v>595</v>
      </c>
      <c r="BF172" s="35">
        <v>0.82699999999999996</v>
      </c>
      <c r="BG172" s="35">
        <v>0</v>
      </c>
      <c r="BH172" s="35">
        <v>0.378</v>
      </c>
      <c r="BI172" s="35" t="s">
        <v>312</v>
      </c>
      <c r="BJ172" s="35" t="s">
        <v>312</v>
      </c>
      <c r="BK172" s="35" t="s">
        <v>91</v>
      </c>
      <c r="BL172" s="35" t="s">
        <v>84</v>
      </c>
      <c r="BM172" s="35">
        <v>1</v>
      </c>
      <c r="BN172" s="35" t="s">
        <v>539</v>
      </c>
      <c r="BO172" s="35" t="s">
        <v>589</v>
      </c>
      <c r="BP172" s="35" t="s">
        <v>588</v>
      </c>
      <c r="BQ172" s="35" t="s">
        <v>92</v>
      </c>
      <c r="BR172" s="35" t="s">
        <v>312</v>
      </c>
      <c r="BS172" s="35" t="s">
        <v>312</v>
      </c>
      <c r="BT172" s="35" t="s">
        <v>312</v>
      </c>
      <c r="BU172" s="35">
        <v>2008</v>
      </c>
      <c r="BV172" s="35">
        <v>2015</v>
      </c>
      <c r="BW172" s="35" t="s">
        <v>596</v>
      </c>
      <c r="BX172" s="35" t="s">
        <v>95</v>
      </c>
      <c r="BY172" s="35" t="s">
        <v>592</v>
      </c>
      <c r="BZ172" s="35">
        <v>0</v>
      </c>
      <c r="CA172" s="35">
        <v>0</v>
      </c>
      <c r="CB172" s="35" t="s">
        <v>97</v>
      </c>
      <c r="CC172" s="35" t="s">
        <v>593</v>
      </c>
      <c r="CD172" s="35">
        <v>1</v>
      </c>
      <c r="CE172" s="35" t="s">
        <v>594</v>
      </c>
      <c r="CF172" s="35">
        <v>1</v>
      </c>
      <c r="CG172" s="35" t="s">
        <v>599</v>
      </c>
      <c r="CH172" s="35">
        <v>1</v>
      </c>
      <c r="CI172" s="35" t="s">
        <v>541</v>
      </c>
      <c r="CJ172" s="35" t="s">
        <v>98</v>
      </c>
      <c r="CK172" s="35">
        <v>62</v>
      </c>
      <c r="CL172" s="35">
        <v>0</v>
      </c>
      <c r="CM172" s="35">
        <v>0</v>
      </c>
      <c r="CN172" s="35" t="s">
        <v>99</v>
      </c>
      <c r="CO172" s="35" t="s">
        <v>97</v>
      </c>
      <c r="CP172" s="35" t="s">
        <v>100</v>
      </c>
      <c r="CQ172" s="35" t="s">
        <v>126</v>
      </c>
      <c r="CR172" s="36">
        <v>46220</v>
      </c>
      <c r="CT172" s="35" t="s">
        <v>552</v>
      </c>
    </row>
    <row r="173" spans="1:98" s="35" customFormat="1" x14ac:dyDescent="0.35">
      <c r="A173" s="34" t="s">
        <v>583</v>
      </c>
      <c r="B173" s="34" t="s">
        <v>615</v>
      </c>
      <c r="C173" s="35" t="s">
        <v>584</v>
      </c>
      <c r="D173" s="35">
        <v>2018</v>
      </c>
      <c r="E173" s="34" t="s">
        <v>585</v>
      </c>
      <c r="F173" s="34" t="s">
        <v>586</v>
      </c>
      <c r="G173" s="35" t="s">
        <v>78</v>
      </c>
      <c r="H173" s="35">
        <v>1</v>
      </c>
      <c r="I173" s="35" t="s">
        <v>390</v>
      </c>
      <c r="J173" s="35" t="s">
        <v>79</v>
      </c>
      <c r="K173" s="35">
        <v>366</v>
      </c>
      <c r="L173" s="35" t="s">
        <v>129</v>
      </c>
      <c r="M173" s="35" t="s">
        <v>380</v>
      </c>
      <c r="N173" s="35">
        <v>-4.0000000000000001E-3</v>
      </c>
      <c r="O173" s="35">
        <v>1E-3</v>
      </c>
      <c r="P173" s="89">
        <f t="shared" si="55"/>
        <v>-4</v>
      </c>
      <c r="Q173" s="35" t="s">
        <v>312</v>
      </c>
      <c r="R173" s="89">
        <f t="shared" si="56"/>
        <v>-5.96E-3</v>
      </c>
      <c r="S173" s="89">
        <f t="shared" si="57"/>
        <v>-2.0400000000000001E-3</v>
      </c>
      <c r="T173" s="35">
        <v>1</v>
      </c>
      <c r="U173" s="35">
        <v>624354</v>
      </c>
      <c r="V173" s="35" t="s">
        <v>312</v>
      </c>
      <c r="W173" s="35" t="s">
        <v>312</v>
      </c>
      <c r="X173" s="35">
        <f t="shared" si="58"/>
        <v>624354</v>
      </c>
      <c r="Y173" s="89">
        <f t="shared" si="59"/>
        <v>-5.0621962464412803E-3</v>
      </c>
      <c r="Z173" s="89">
        <f t="shared" si="60"/>
        <v>1.2655490616103199E-3</v>
      </c>
      <c r="AA173" s="89">
        <f t="shared" si="66"/>
        <v>-5.0621962464412803E-3</v>
      </c>
      <c r="AB173" s="35" t="s">
        <v>81</v>
      </c>
      <c r="AC173" s="89">
        <f t="shared" si="68"/>
        <v>-5.2720677146311972E-3</v>
      </c>
      <c r="AD173" s="89" cm="1">
        <f t="array" ref="AD173">_xlfn.IFS(
AND(L173="marginal_effect",M173="level"),N173*AN173/BF173,
AND(L173="marginal_effect",M173="sd (Y)"),N173*BH173*AN173/BF173,
AND(L173="marginal_effect",M173="sd (X)"),N173/AQ173*AN173/BF173,
AND(L173="semi_elasticity",M173="level"),N173*AN173,
AND(L173="semi_elasticity",M173="sd (Y)"),N173*AN173*BH173,
AND(L173="semi_elasticity",M173="sd (X)"),N173*AN173/AQ173,
AND(L173="level-log",M173="level"),N173/BF173,
AND(L173="level-log",M173="sd (X)"),N173/BF173/AQ173,
AND(L173="level-log",M173="sd (Y)"),N173/BF173*BH173,
AND(L173="elasticity",M173="level"),N173,
AND(L173="elasticity",M173="sd (X)"),N173/AQ173,
AND(L173="elasticity",M173="sd (Y)"),N173*BH173,
AND(L173="marginal_effect",M173="percent_of_mean"),N173*AN173/BF173/10)</f>
        <v>-5.2720677146311972E-3</v>
      </c>
      <c r="AE173" s="49">
        <f t="shared" si="61"/>
        <v>1</v>
      </c>
      <c r="AF173" s="89">
        <f t="shared" si="69"/>
        <v>1.3180169286577993E-3</v>
      </c>
      <c r="AG173" s="89" cm="1">
        <f t="array" ref="AG173">_xlfn.IFS(
AND(L173="marginal_effect",M173="level"),O173*AN173/BF173,
AND(L173="marginal_effect",M173="sd (Y)"),O173*BH173*AN173/BF173,
AND(L173="marginal_effect",M173="sd (X)"),O173/AQ173*AN173/BF173,
AND(L173="semi_elasticity",M173="level"),O173*AN173,
AND(L173="semi_elasticity",M173="sd (Y)"),O173*AN173*BH173,
AND(L173="semi_elasticity",M173="sd (X)"),O173*AN173/AQ173,
AND(L173="level-log",M173="level"),O173/BF173,
AND(L173="level-log",M173="sd (X)"),O173/BF173/AQ173,
AND(L173="level-log",M173="sd (Y)"),O173/BF173*BH173,
AND(L173="elasticity",M173="level"),O173,
AND(L173="elasticity",M173="sd (X)"),O173/AQ173,
AND(L173="elasticity",M173="sd (Y)"),O173*BH173,
AND(L173="marginal_effect",M173="percent_of_mean"),O173*AN173/BF173/10)</f>
        <v>1.3180169286577993E-3</v>
      </c>
      <c r="AH173" s="49">
        <f t="shared" si="62"/>
        <v>1</v>
      </c>
      <c r="AI173" s="89">
        <f t="shared" si="67"/>
        <v>-5.2720677146311972E-3</v>
      </c>
      <c r="AJ173" s="35">
        <v>0</v>
      </c>
      <c r="AK173" s="49">
        <f t="shared" si="63"/>
        <v>1</v>
      </c>
      <c r="AL173" s="35" t="s">
        <v>82</v>
      </c>
      <c r="AM173" s="35" t="s">
        <v>296</v>
      </c>
      <c r="AN173" s="35">
        <v>1.0900000000000001</v>
      </c>
      <c r="AO173" s="35">
        <v>0</v>
      </c>
      <c r="AP173" s="35">
        <f>AN173*10</f>
        <v>10.9</v>
      </c>
      <c r="AQ173" s="35">
        <v>0.57999999999999996</v>
      </c>
      <c r="AR173" s="35" t="s">
        <v>312</v>
      </c>
      <c r="AS173" s="35" t="s">
        <v>312</v>
      </c>
      <c r="AT173" s="35" t="s">
        <v>83</v>
      </c>
      <c r="AU173" s="35" t="s">
        <v>109</v>
      </c>
      <c r="AV173" s="35" t="s">
        <v>133</v>
      </c>
      <c r="AW173" s="35" t="s">
        <v>134</v>
      </c>
      <c r="AX173" s="35" t="s">
        <v>86</v>
      </c>
      <c r="AY173" s="35">
        <v>0</v>
      </c>
      <c r="AZ173" s="35">
        <v>0</v>
      </c>
      <c r="BA173" s="58" t="s">
        <v>111</v>
      </c>
      <c r="BB173" s="35" t="s">
        <v>88</v>
      </c>
      <c r="BC173" s="35" t="s">
        <v>587</v>
      </c>
      <c r="BD173" s="35" t="s">
        <v>114</v>
      </c>
      <c r="BE173" s="35" t="s">
        <v>595</v>
      </c>
      <c r="BF173" s="35">
        <v>0.82699999999999996</v>
      </c>
      <c r="BG173" s="35">
        <v>0</v>
      </c>
      <c r="BH173" s="35">
        <v>0.378</v>
      </c>
      <c r="BI173" s="35" t="s">
        <v>312</v>
      </c>
      <c r="BJ173" s="35" t="s">
        <v>312</v>
      </c>
      <c r="BK173" s="35" t="s">
        <v>91</v>
      </c>
      <c r="BL173" s="35" t="s">
        <v>84</v>
      </c>
      <c r="BM173" s="35">
        <v>1</v>
      </c>
      <c r="BN173" s="35" t="s">
        <v>539</v>
      </c>
      <c r="BO173" s="35" t="s">
        <v>589</v>
      </c>
      <c r="BP173" s="35" t="s">
        <v>588</v>
      </c>
      <c r="BQ173" s="35" t="s">
        <v>92</v>
      </c>
      <c r="BR173" s="35" t="s">
        <v>312</v>
      </c>
      <c r="BS173" s="35" t="s">
        <v>312</v>
      </c>
      <c r="BT173" s="35" t="s">
        <v>312</v>
      </c>
      <c r="BU173" s="35">
        <v>2008</v>
      </c>
      <c r="BV173" s="35">
        <v>2015</v>
      </c>
      <c r="BW173" s="35" t="s">
        <v>596</v>
      </c>
      <c r="BX173" s="35" t="s">
        <v>95</v>
      </c>
      <c r="BY173" s="35" t="s">
        <v>592</v>
      </c>
      <c r="BZ173" s="35">
        <v>0</v>
      </c>
      <c r="CA173" s="35">
        <v>0</v>
      </c>
      <c r="CB173" s="35" t="s">
        <v>97</v>
      </c>
      <c r="CC173" s="35" t="s">
        <v>593</v>
      </c>
      <c r="CD173" s="35">
        <v>1</v>
      </c>
      <c r="CE173" s="35" t="s">
        <v>594</v>
      </c>
      <c r="CF173" s="35">
        <v>1</v>
      </c>
      <c r="CG173" s="35" t="s">
        <v>597</v>
      </c>
      <c r="CH173" s="35">
        <v>1</v>
      </c>
      <c r="CI173" s="35" t="s">
        <v>541</v>
      </c>
      <c r="CJ173" s="35" t="s">
        <v>98</v>
      </c>
      <c r="CK173" s="35">
        <v>62</v>
      </c>
      <c r="CL173" s="35">
        <v>0</v>
      </c>
      <c r="CM173" s="35">
        <v>0</v>
      </c>
      <c r="CN173" s="35" t="s">
        <v>99</v>
      </c>
      <c r="CO173" s="35" t="s">
        <v>97</v>
      </c>
      <c r="CP173" s="35" t="s">
        <v>100</v>
      </c>
      <c r="CQ173" s="35" t="s">
        <v>126</v>
      </c>
      <c r="CR173" s="36">
        <v>46220</v>
      </c>
      <c r="CT173" s="35" t="s">
        <v>551</v>
      </c>
    </row>
    <row r="174" spans="1:98" s="35" customFormat="1" x14ac:dyDescent="0.35">
      <c r="A174" s="34" t="s">
        <v>583</v>
      </c>
      <c r="B174" s="34" t="s">
        <v>616</v>
      </c>
      <c r="C174" s="35" t="s">
        <v>584</v>
      </c>
      <c r="D174" s="35">
        <v>2018</v>
      </c>
      <c r="E174" s="34" t="s">
        <v>585</v>
      </c>
      <c r="F174" s="34" t="s">
        <v>586</v>
      </c>
      <c r="G174" s="35" t="s">
        <v>78</v>
      </c>
      <c r="H174" s="35">
        <v>1</v>
      </c>
      <c r="I174" s="35" t="s">
        <v>390</v>
      </c>
      <c r="J174" s="35" t="s">
        <v>79</v>
      </c>
      <c r="K174" s="35">
        <v>366</v>
      </c>
      <c r="L174" s="35" t="s">
        <v>129</v>
      </c>
      <c r="M174" s="35" t="s">
        <v>380</v>
      </c>
      <c r="N174" s="35">
        <v>-2.4E-2</v>
      </c>
      <c r="O174" s="35">
        <v>0.01</v>
      </c>
      <c r="P174" s="89">
        <f t="shared" si="55"/>
        <v>-2.4</v>
      </c>
      <c r="Q174" s="35" t="s">
        <v>312</v>
      </c>
      <c r="R174" s="89">
        <f t="shared" si="56"/>
        <v>-4.36E-2</v>
      </c>
      <c r="S174" s="89">
        <f t="shared" si="57"/>
        <v>-4.4000000000000011E-3</v>
      </c>
      <c r="T174" s="35">
        <v>1</v>
      </c>
      <c r="U174" s="35">
        <v>624354</v>
      </c>
      <c r="V174" s="35" t="s">
        <v>312</v>
      </c>
      <c r="W174" s="35" t="s">
        <v>312</v>
      </c>
      <c r="X174" s="35">
        <f t="shared" si="58"/>
        <v>624354</v>
      </c>
      <c r="Y174" s="89">
        <f t="shared" si="59"/>
        <v>-3.0373426549841938E-3</v>
      </c>
      <c r="Z174" s="89">
        <f t="shared" si="60"/>
        <v>1.2655594395767475E-3</v>
      </c>
      <c r="AA174" s="89">
        <f t="shared" si="66"/>
        <v>-3.0373426549841938E-3</v>
      </c>
      <c r="AB174" s="35" t="s">
        <v>81</v>
      </c>
      <c r="AC174" s="89">
        <f t="shared" si="68"/>
        <v>-8.5610640870616688E-3</v>
      </c>
      <c r="AD174" s="89" cm="1">
        <f t="array" ref="AD174">_xlfn.IFS(
AND(L174="marginal_effect",M174="level"),N174*AN174/BF174,
AND(L174="marginal_effect",M174="sd (Y)"),N174*BH174*AN174/BF174,
AND(L174="marginal_effect",M174="sd (X)"),N174/AQ174*AN174/BF174,
AND(L174="semi_elasticity",M174="level"),N174*AN174,
AND(L174="semi_elasticity",M174="sd (Y)"),N174*AN174*BH174,
AND(L174="semi_elasticity",M174="sd (X)"),N174*AN174/AQ174,
AND(L174="level-log",M174="level"),N174/BF174,
AND(L174="level-log",M174="sd (X)"),N174/BF174/AQ174,
AND(L174="level-log",M174="sd (Y)"),N174/BF174*BH174,
AND(L174="elasticity",M174="level"),N174,
AND(L174="elasticity",M174="sd (X)"),N174/AQ174,
AND(L174="elasticity",M174="sd (Y)"),N174*BH174,
AND(L174="marginal_effect",M174="percent_of_mean"),N174*AN174/BF174/10)</f>
        <v>-8.5610640870616688E-3</v>
      </c>
      <c r="AE174" s="49">
        <f t="shared" si="61"/>
        <v>1</v>
      </c>
      <c r="AF174" s="89">
        <f t="shared" si="69"/>
        <v>3.5671100362756952E-3</v>
      </c>
      <c r="AG174" s="89" cm="1">
        <f t="array" ref="AG174">_xlfn.IFS(
AND(L174="marginal_effect",M174="level"),O174*AN174/BF174,
AND(L174="marginal_effect",M174="sd (Y)"),O174*BH174*AN174/BF174,
AND(L174="marginal_effect",M174="sd (X)"),O174/AQ174*AN174/BF174,
AND(L174="semi_elasticity",M174="level"),O174*AN174,
AND(L174="semi_elasticity",M174="sd (Y)"),O174*AN174*BH174,
AND(L174="semi_elasticity",M174="sd (X)"),O174*AN174/AQ174,
AND(L174="level-log",M174="level"),O174/BF174,
AND(L174="level-log",M174="sd (X)"),O174/BF174/AQ174,
AND(L174="level-log",M174="sd (Y)"),O174/BF174*BH174,
AND(L174="elasticity",M174="level"),O174,
AND(L174="elasticity",M174="sd (X)"),O174/AQ174,
AND(L174="elasticity",M174="sd (Y)"),O174*BH174,
AND(L174="marginal_effect",M174="percent_of_mean"),O174*AN174/BF174/10)</f>
        <v>3.5671100362756952E-3</v>
      </c>
      <c r="AH174" s="49">
        <f t="shared" si="62"/>
        <v>1</v>
      </c>
      <c r="AI174" s="89">
        <f t="shared" si="67"/>
        <v>-8.5610640870616688E-3</v>
      </c>
      <c r="AJ174" s="35">
        <v>0</v>
      </c>
      <c r="AK174" s="49">
        <f t="shared" si="63"/>
        <v>1</v>
      </c>
      <c r="AL174" s="35" t="s">
        <v>162</v>
      </c>
      <c r="AM174" s="35" t="s">
        <v>590</v>
      </c>
      <c r="AN174" s="35">
        <v>0.29499999999999998</v>
      </c>
      <c r="AO174" s="35">
        <v>0</v>
      </c>
      <c r="AP174" s="35">
        <f>AN174</f>
        <v>0.29499999999999998</v>
      </c>
      <c r="AQ174" s="35">
        <v>0.13900000000000001</v>
      </c>
      <c r="AR174" s="35" t="s">
        <v>312</v>
      </c>
      <c r="AS174" s="35" t="s">
        <v>312</v>
      </c>
      <c r="AT174" s="35" t="s">
        <v>83</v>
      </c>
      <c r="AU174" s="35" t="s">
        <v>109</v>
      </c>
      <c r="AV174" s="35" t="s">
        <v>133</v>
      </c>
      <c r="AW174" s="35" t="s">
        <v>134</v>
      </c>
      <c r="AX174" s="35" t="s">
        <v>86</v>
      </c>
      <c r="AY174" s="35">
        <v>0</v>
      </c>
      <c r="AZ174" s="35">
        <v>0</v>
      </c>
      <c r="BA174" s="58" t="s">
        <v>111</v>
      </c>
      <c r="BB174" s="35" t="s">
        <v>88</v>
      </c>
      <c r="BC174" s="35" t="s">
        <v>587</v>
      </c>
      <c r="BD174" s="35" t="s">
        <v>114</v>
      </c>
      <c r="BE174" s="35" t="s">
        <v>595</v>
      </c>
      <c r="BF174" s="35">
        <v>0.82699999999999996</v>
      </c>
      <c r="BG174" s="35">
        <v>0</v>
      </c>
      <c r="BH174" s="35">
        <v>0.378</v>
      </c>
      <c r="BI174" s="35" t="s">
        <v>312</v>
      </c>
      <c r="BJ174" s="35" t="s">
        <v>312</v>
      </c>
      <c r="BK174" s="35" t="s">
        <v>91</v>
      </c>
      <c r="BL174" s="35" t="s">
        <v>84</v>
      </c>
      <c r="BM174" s="35">
        <v>1</v>
      </c>
      <c r="BN174" s="35" t="s">
        <v>539</v>
      </c>
      <c r="BO174" s="35" t="s">
        <v>589</v>
      </c>
      <c r="BP174" s="35" t="s">
        <v>588</v>
      </c>
      <c r="BQ174" s="35" t="s">
        <v>92</v>
      </c>
      <c r="BR174" s="35" t="s">
        <v>312</v>
      </c>
      <c r="BS174" s="35" t="s">
        <v>312</v>
      </c>
      <c r="BT174" s="35" t="s">
        <v>312</v>
      </c>
      <c r="BU174" s="35">
        <v>2008</v>
      </c>
      <c r="BV174" s="35">
        <v>2015</v>
      </c>
      <c r="BW174" s="35" t="s">
        <v>596</v>
      </c>
      <c r="BX174" s="35" t="s">
        <v>95</v>
      </c>
      <c r="BY174" s="35" t="s">
        <v>592</v>
      </c>
      <c r="BZ174" s="35">
        <v>0</v>
      </c>
      <c r="CA174" s="35">
        <v>0</v>
      </c>
      <c r="CB174" s="35" t="s">
        <v>97</v>
      </c>
      <c r="CC174" s="35" t="s">
        <v>593</v>
      </c>
      <c r="CD174" s="35">
        <v>1</v>
      </c>
      <c r="CE174" s="35" t="s">
        <v>594</v>
      </c>
      <c r="CF174" s="35">
        <v>1</v>
      </c>
      <c r="CG174" s="35" t="s">
        <v>598</v>
      </c>
      <c r="CH174" s="35">
        <v>1</v>
      </c>
      <c r="CI174" s="35" t="s">
        <v>541</v>
      </c>
      <c r="CJ174" s="35" t="s">
        <v>98</v>
      </c>
      <c r="CK174" s="35">
        <v>62</v>
      </c>
      <c r="CL174" s="35">
        <v>0</v>
      </c>
      <c r="CM174" s="35">
        <v>0</v>
      </c>
      <c r="CN174" s="35" t="s">
        <v>99</v>
      </c>
      <c r="CO174" s="35" t="s">
        <v>97</v>
      </c>
      <c r="CP174" s="35" t="s">
        <v>100</v>
      </c>
      <c r="CQ174" s="35" t="s">
        <v>600</v>
      </c>
      <c r="CR174" s="36">
        <v>46220</v>
      </c>
      <c r="CT174" s="35" t="s">
        <v>551</v>
      </c>
    </row>
    <row r="175" spans="1:98" s="35" customFormat="1" x14ac:dyDescent="0.35">
      <c r="A175" s="34" t="s">
        <v>583</v>
      </c>
      <c r="B175" s="34" t="s">
        <v>617</v>
      </c>
      <c r="C175" s="35" t="s">
        <v>584</v>
      </c>
      <c r="D175" s="35">
        <v>2018</v>
      </c>
      <c r="E175" s="34" t="s">
        <v>585</v>
      </c>
      <c r="F175" s="34" t="s">
        <v>586</v>
      </c>
      <c r="G175" s="35" t="s">
        <v>78</v>
      </c>
      <c r="H175" s="35">
        <v>1</v>
      </c>
      <c r="I175" s="35" t="s">
        <v>390</v>
      </c>
      <c r="J175" s="35" t="s">
        <v>79</v>
      </c>
      <c r="K175" s="35">
        <v>366</v>
      </c>
      <c r="L175" s="35" t="s">
        <v>129</v>
      </c>
      <c r="M175" s="35" t="s">
        <v>380</v>
      </c>
      <c r="N175" s="35">
        <v>0.111</v>
      </c>
      <c r="O175" s="35">
        <v>5.3999999999999999E-2</v>
      </c>
      <c r="P175" s="89">
        <f t="shared" si="55"/>
        <v>2.0555555555555558</v>
      </c>
      <c r="Q175" s="35" t="s">
        <v>312</v>
      </c>
      <c r="R175" s="89">
        <f t="shared" si="56"/>
        <v>5.1599999999999979E-3</v>
      </c>
      <c r="S175" s="89">
        <f t="shared" si="57"/>
        <v>0.21684</v>
      </c>
      <c r="T175" s="35">
        <v>1</v>
      </c>
      <c r="U175" s="35">
        <v>624354</v>
      </c>
      <c r="V175" s="35" t="s">
        <v>312</v>
      </c>
      <c r="W175" s="35" t="s">
        <v>312</v>
      </c>
      <c r="X175" s="35">
        <f t="shared" si="58"/>
        <v>624354</v>
      </c>
      <c r="Y175" s="89">
        <f t="shared" si="59"/>
        <v>2.6014309340997321E-3</v>
      </c>
      <c r="Z175" s="89">
        <f t="shared" si="60"/>
        <v>1.2655609949674374E-3</v>
      </c>
      <c r="AA175" s="89">
        <f t="shared" si="66"/>
        <v>2.6014309340997321E-3</v>
      </c>
      <c r="AB175" s="35" t="s">
        <v>81</v>
      </c>
      <c r="AC175" s="89">
        <f t="shared" si="68"/>
        <v>4.5634824667472804E-3</v>
      </c>
      <c r="AD175" s="89" cm="1">
        <f t="array" ref="AD175">_xlfn.IFS(
AND(L175="marginal_effect",M175="level"),N175*AN175/BF175,
AND(L175="marginal_effect",M175="sd (Y)"),N175*BH175*AN175/BF175,
AND(L175="marginal_effect",M175="sd (X)"),N175/AQ175*AN175/BF175,
AND(L175="semi_elasticity",M175="level"),N175*AN175,
AND(L175="semi_elasticity",M175="sd (Y)"),N175*AN175*BH175,
AND(L175="semi_elasticity",M175="sd (X)"),N175*AN175/AQ175,
AND(L175="level-log",M175="level"),N175/BF175,
AND(L175="level-log",M175="sd (X)"),N175/BF175/AQ175,
AND(L175="level-log",M175="sd (Y)"),N175/BF175*BH175,
AND(L175="elasticity",M175="level"),N175,
AND(L175="elasticity",M175="sd (X)"),N175/AQ175,
AND(L175="elasticity",M175="sd (Y)"),N175*BH175,
AND(L175="marginal_effect",M175="percent_of_mean"),N175*AN175/BF175/10)</f>
        <v>4.5634824667472804E-3</v>
      </c>
      <c r="AE175" s="49">
        <f t="shared" si="61"/>
        <v>1</v>
      </c>
      <c r="AF175" s="89">
        <f t="shared" si="69"/>
        <v>2.2200725513905686E-3</v>
      </c>
      <c r="AG175" s="89" cm="1">
        <f t="array" ref="AG175">_xlfn.IFS(
AND(L175="marginal_effect",M175="level"),O175*AN175/BF175,
AND(L175="marginal_effect",M175="sd (Y)"),O175*BH175*AN175/BF175,
AND(L175="marginal_effect",M175="sd (X)"),O175/AQ175*AN175/BF175,
AND(L175="semi_elasticity",M175="level"),O175*AN175,
AND(L175="semi_elasticity",M175="sd (Y)"),O175*AN175*BH175,
AND(L175="semi_elasticity",M175="sd (X)"),O175*AN175/AQ175,
AND(L175="level-log",M175="level"),O175/BF175,
AND(L175="level-log",M175="sd (X)"),O175/BF175/AQ175,
AND(L175="level-log",M175="sd (Y)"),O175/BF175*BH175,
AND(L175="elasticity",M175="level"),O175,
AND(L175="elasticity",M175="sd (X)"),O175/AQ175,
AND(L175="elasticity",M175="sd (Y)"),O175*BH175,
AND(L175="marginal_effect",M175="percent_of_mean"),O175*AN175/BF175/10)</f>
        <v>2.2200725513905686E-3</v>
      </c>
      <c r="AH175" s="49">
        <f t="shared" si="62"/>
        <v>1</v>
      </c>
      <c r="AI175" s="89">
        <f t="shared" si="67"/>
        <v>4.5634824667472804E-3</v>
      </c>
      <c r="AJ175" s="35">
        <v>0</v>
      </c>
      <c r="AK175" s="49">
        <f t="shared" si="63"/>
        <v>1</v>
      </c>
      <c r="AL175" s="35" t="s">
        <v>148</v>
      </c>
      <c r="AM175" s="35" t="s">
        <v>590</v>
      </c>
      <c r="AN175" s="35">
        <f>0.034</f>
        <v>3.4000000000000002E-2</v>
      </c>
      <c r="AO175" s="35">
        <v>0</v>
      </c>
      <c r="AP175" s="35">
        <f>AN175</f>
        <v>3.4000000000000002E-2</v>
      </c>
      <c r="AQ175" s="35">
        <v>1.4999999999999999E-2</v>
      </c>
      <c r="AR175" s="35" t="s">
        <v>312</v>
      </c>
      <c r="AS175" s="35" t="s">
        <v>312</v>
      </c>
      <c r="AT175" s="35" t="s">
        <v>83</v>
      </c>
      <c r="AU175" s="35" t="s">
        <v>109</v>
      </c>
      <c r="AV175" s="35" t="s">
        <v>133</v>
      </c>
      <c r="AW175" s="35" t="s">
        <v>134</v>
      </c>
      <c r="AX175" s="35" t="s">
        <v>86</v>
      </c>
      <c r="AY175" s="35">
        <v>0</v>
      </c>
      <c r="AZ175" s="35">
        <v>0</v>
      </c>
      <c r="BA175" s="58" t="s">
        <v>111</v>
      </c>
      <c r="BB175" s="35" t="s">
        <v>88</v>
      </c>
      <c r="BC175" s="35" t="s">
        <v>587</v>
      </c>
      <c r="BD175" s="35" t="s">
        <v>114</v>
      </c>
      <c r="BE175" s="35" t="s">
        <v>595</v>
      </c>
      <c r="BF175" s="35">
        <v>0.82699999999999996</v>
      </c>
      <c r="BG175" s="35">
        <v>0</v>
      </c>
      <c r="BH175" s="35">
        <v>0.378</v>
      </c>
      <c r="BI175" s="35" t="s">
        <v>312</v>
      </c>
      <c r="BJ175" s="35" t="s">
        <v>312</v>
      </c>
      <c r="BK175" s="35" t="s">
        <v>91</v>
      </c>
      <c r="BL175" s="35" t="s">
        <v>84</v>
      </c>
      <c r="BM175" s="35">
        <v>1</v>
      </c>
      <c r="BN175" s="35" t="s">
        <v>539</v>
      </c>
      <c r="BO175" s="35" t="s">
        <v>589</v>
      </c>
      <c r="BP175" s="35" t="s">
        <v>588</v>
      </c>
      <c r="BQ175" s="35" t="s">
        <v>92</v>
      </c>
      <c r="BR175" s="35" t="s">
        <v>312</v>
      </c>
      <c r="BS175" s="35" t="s">
        <v>312</v>
      </c>
      <c r="BT175" s="35" t="s">
        <v>312</v>
      </c>
      <c r="BU175" s="35">
        <v>2008</v>
      </c>
      <c r="BV175" s="35">
        <v>2015</v>
      </c>
      <c r="BW175" s="35" t="s">
        <v>596</v>
      </c>
      <c r="BX175" s="35" t="s">
        <v>95</v>
      </c>
      <c r="BY175" s="35" t="s">
        <v>592</v>
      </c>
      <c r="BZ175" s="35">
        <v>0</v>
      </c>
      <c r="CA175" s="35">
        <v>0</v>
      </c>
      <c r="CB175" s="35" t="s">
        <v>97</v>
      </c>
      <c r="CC175" s="35" t="s">
        <v>593</v>
      </c>
      <c r="CD175" s="35">
        <v>1</v>
      </c>
      <c r="CE175" s="35" t="s">
        <v>594</v>
      </c>
      <c r="CF175" s="35">
        <v>1</v>
      </c>
      <c r="CG175" s="35" t="s">
        <v>599</v>
      </c>
      <c r="CH175" s="35">
        <v>1</v>
      </c>
      <c r="CI175" s="35" t="s">
        <v>541</v>
      </c>
      <c r="CJ175" s="35" t="s">
        <v>98</v>
      </c>
      <c r="CK175" s="35">
        <v>62</v>
      </c>
      <c r="CL175" s="35">
        <v>0</v>
      </c>
      <c r="CM175" s="35">
        <v>0</v>
      </c>
      <c r="CN175" s="35" t="s">
        <v>99</v>
      </c>
      <c r="CO175" s="35" t="s">
        <v>97</v>
      </c>
      <c r="CP175" s="35" t="s">
        <v>100</v>
      </c>
      <c r="CQ175" s="35" t="s">
        <v>126</v>
      </c>
      <c r="CR175" s="36">
        <v>46220</v>
      </c>
      <c r="CT175" s="35" t="s">
        <v>551</v>
      </c>
    </row>
    <row r="176" spans="1:98" s="35" customFormat="1" x14ac:dyDescent="0.35">
      <c r="A176" s="34" t="s">
        <v>583</v>
      </c>
      <c r="B176" s="34" t="s">
        <v>618</v>
      </c>
      <c r="C176" s="35" t="s">
        <v>584</v>
      </c>
      <c r="D176" s="35">
        <v>2018</v>
      </c>
      <c r="E176" s="34" t="s">
        <v>585</v>
      </c>
      <c r="F176" s="34" t="s">
        <v>586</v>
      </c>
      <c r="G176" s="35" t="s">
        <v>78</v>
      </c>
      <c r="H176" s="35">
        <v>1</v>
      </c>
      <c r="I176" s="35" t="s">
        <v>390</v>
      </c>
      <c r="J176" s="35" t="s">
        <v>79</v>
      </c>
      <c r="K176" s="35">
        <v>366</v>
      </c>
      <c r="L176" s="35" t="s">
        <v>129</v>
      </c>
      <c r="M176" s="35" t="s">
        <v>380</v>
      </c>
      <c r="N176" s="35">
        <v>-5.0000000000000001E-3</v>
      </c>
      <c r="O176" s="35">
        <v>1E-3</v>
      </c>
      <c r="P176" s="89">
        <f t="shared" si="55"/>
        <v>-5</v>
      </c>
      <c r="Q176" s="35" t="s">
        <v>312</v>
      </c>
      <c r="R176" s="89">
        <f t="shared" si="56"/>
        <v>-6.96E-3</v>
      </c>
      <c r="S176" s="89">
        <f t="shared" si="57"/>
        <v>-3.0400000000000002E-3</v>
      </c>
      <c r="T176" s="35">
        <v>1</v>
      </c>
      <c r="U176" s="35">
        <v>624354</v>
      </c>
      <c r="V176" s="35" t="s">
        <v>312</v>
      </c>
      <c r="W176" s="35" t="s">
        <v>312</v>
      </c>
      <c r="X176" s="35">
        <f t="shared" si="58"/>
        <v>624354</v>
      </c>
      <c r="Y176" s="89">
        <f t="shared" si="59"/>
        <v>-6.3276997028078328E-3</v>
      </c>
      <c r="Z176" s="89">
        <f t="shared" si="60"/>
        <v>1.2655399405615663E-3</v>
      </c>
      <c r="AA176" s="89">
        <f t="shared" si="66"/>
        <v>-6.3276997028078328E-3</v>
      </c>
      <c r="AB176" s="35" t="s">
        <v>81</v>
      </c>
      <c r="AC176" s="89">
        <f t="shared" si="68"/>
        <v>-6.590084643288998E-3</v>
      </c>
      <c r="AD176" s="89" cm="1">
        <f t="array" ref="AD176">_xlfn.IFS(
AND(L176="marginal_effect",M176="level"),N176*AN176/BF176,
AND(L176="marginal_effect",M176="sd (Y)"),N176*BH176*AN176/BF176,
AND(L176="marginal_effect",M176="sd (X)"),N176/AQ176*AN176/BF176,
AND(L176="semi_elasticity",M176="level"),N176*AN176,
AND(L176="semi_elasticity",M176="sd (Y)"),N176*AN176*BH176,
AND(L176="semi_elasticity",M176="sd (X)"),N176*AN176/AQ176,
AND(L176="level-log",M176="level"),N176/BF176,
AND(L176="level-log",M176="sd (X)"),N176/BF176/AQ176,
AND(L176="level-log",M176="sd (Y)"),N176/BF176*BH176,
AND(L176="elasticity",M176="level"),N176,
AND(L176="elasticity",M176="sd (X)"),N176/AQ176,
AND(L176="elasticity",M176="sd (Y)"),N176*BH176,
AND(L176="marginal_effect",M176="percent_of_mean"),N176*AN176/BF176/10)</f>
        <v>-6.590084643288998E-3</v>
      </c>
      <c r="AE176" s="49">
        <f t="shared" si="61"/>
        <v>1</v>
      </c>
      <c r="AF176" s="89">
        <f t="shared" si="69"/>
        <v>1.3180169286577993E-3</v>
      </c>
      <c r="AG176" s="89" cm="1">
        <f t="array" ref="AG176">_xlfn.IFS(
AND(L176="marginal_effect",M176="level"),O176*AN176/BF176,
AND(L176="marginal_effect",M176="sd (Y)"),O176*BH176*AN176/BF176,
AND(L176="marginal_effect",M176="sd (X)"),O176/AQ176*AN176/BF176,
AND(L176="semi_elasticity",M176="level"),O176*AN176,
AND(L176="semi_elasticity",M176="sd (Y)"),O176*AN176*BH176,
AND(L176="semi_elasticity",M176="sd (X)"),O176*AN176/AQ176,
AND(L176="level-log",M176="level"),O176/BF176,
AND(L176="level-log",M176="sd (X)"),O176/BF176/AQ176,
AND(L176="level-log",M176="sd (Y)"),O176/BF176*BH176,
AND(L176="elasticity",M176="level"),O176,
AND(L176="elasticity",M176="sd (X)"),O176/AQ176,
AND(L176="elasticity",M176="sd (Y)"),O176*BH176,
AND(L176="marginal_effect",M176="percent_of_mean"),O176*AN176/BF176/10)</f>
        <v>1.3180169286577993E-3</v>
      </c>
      <c r="AH176" s="49">
        <f t="shared" si="62"/>
        <v>1</v>
      </c>
      <c r="AI176" s="89">
        <f t="shared" si="67"/>
        <v>-6.590084643288998E-3</v>
      </c>
      <c r="AJ176" s="35">
        <v>0</v>
      </c>
      <c r="AK176" s="49">
        <f t="shared" si="63"/>
        <v>1</v>
      </c>
      <c r="AL176" s="35" t="s">
        <v>82</v>
      </c>
      <c r="AM176" s="35" t="s">
        <v>296</v>
      </c>
      <c r="AN176" s="35">
        <v>1.0900000000000001</v>
      </c>
      <c r="AO176" s="35">
        <v>0</v>
      </c>
      <c r="AP176" s="35">
        <f>AN176*10</f>
        <v>10.9</v>
      </c>
      <c r="AQ176" s="35">
        <v>0.57999999999999996</v>
      </c>
      <c r="AR176" s="35" t="s">
        <v>312</v>
      </c>
      <c r="AS176" s="35" t="s">
        <v>312</v>
      </c>
      <c r="AT176" s="35" t="s">
        <v>83</v>
      </c>
      <c r="AU176" s="35" t="s">
        <v>109</v>
      </c>
      <c r="AV176" s="35" t="s">
        <v>133</v>
      </c>
      <c r="AW176" s="35" t="s">
        <v>134</v>
      </c>
      <c r="AX176" s="35" t="s">
        <v>86</v>
      </c>
      <c r="AY176" s="35">
        <v>0</v>
      </c>
      <c r="AZ176" s="35">
        <v>0</v>
      </c>
      <c r="BA176" s="58" t="s">
        <v>111</v>
      </c>
      <c r="BB176" s="35" t="s">
        <v>88</v>
      </c>
      <c r="BC176" s="35" t="s">
        <v>587</v>
      </c>
      <c r="BD176" s="35" t="s">
        <v>114</v>
      </c>
      <c r="BE176" s="35" t="s">
        <v>595</v>
      </c>
      <c r="BF176" s="35">
        <v>0.82699999999999996</v>
      </c>
      <c r="BG176" s="35">
        <v>0</v>
      </c>
      <c r="BH176" s="35">
        <v>0.378</v>
      </c>
      <c r="BI176" s="35" t="s">
        <v>312</v>
      </c>
      <c r="BJ176" s="35" t="s">
        <v>312</v>
      </c>
      <c r="BK176" s="35" t="s">
        <v>91</v>
      </c>
      <c r="BL176" s="35" t="s">
        <v>84</v>
      </c>
      <c r="BM176" s="35">
        <v>1</v>
      </c>
      <c r="BN176" s="35" t="s">
        <v>539</v>
      </c>
      <c r="BO176" s="35" t="s">
        <v>589</v>
      </c>
      <c r="BP176" s="35" t="s">
        <v>588</v>
      </c>
      <c r="BQ176" s="35" t="s">
        <v>92</v>
      </c>
      <c r="BR176" s="35" t="s">
        <v>312</v>
      </c>
      <c r="BS176" s="35" t="s">
        <v>312</v>
      </c>
      <c r="BT176" s="35" t="s">
        <v>312</v>
      </c>
      <c r="BU176" s="35">
        <v>2008</v>
      </c>
      <c r="BV176" s="35">
        <v>2015</v>
      </c>
      <c r="BW176" s="35" t="s">
        <v>596</v>
      </c>
      <c r="BX176" s="35" t="s">
        <v>95</v>
      </c>
      <c r="BY176" s="35" t="s">
        <v>592</v>
      </c>
      <c r="BZ176" s="35">
        <v>0</v>
      </c>
      <c r="CA176" s="35">
        <v>0</v>
      </c>
      <c r="CB176" s="35" t="s">
        <v>97</v>
      </c>
      <c r="CC176" s="35" t="s">
        <v>625</v>
      </c>
      <c r="CD176" s="35">
        <v>1</v>
      </c>
      <c r="CE176" s="35" t="s">
        <v>594</v>
      </c>
      <c r="CF176" s="35">
        <v>1</v>
      </c>
      <c r="CG176" s="35" t="s">
        <v>597</v>
      </c>
      <c r="CH176" s="35">
        <v>1</v>
      </c>
      <c r="CI176" s="35" t="s">
        <v>541</v>
      </c>
      <c r="CJ176" s="35" t="s">
        <v>98</v>
      </c>
      <c r="CK176" s="35">
        <v>62</v>
      </c>
      <c r="CL176" s="35">
        <v>0</v>
      </c>
      <c r="CM176" s="35">
        <v>0</v>
      </c>
      <c r="CN176" s="35" t="s">
        <v>99</v>
      </c>
      <c r="CO176" s="35" t="s">
        <v>97</v>
      </c>
      <c r="CP176" s="35" t="s">
        <v>100</v>
      </c>
      <c r="CQ176" s="35" t="s">
        <v>126</v>
      </c>
      <c r="CR176" s="36">
        <v>46220</v>
      </c>
      <c r="CT176" s="35" t="s">
        <v>550</v>
      </c>
    </row>
    <row r="177" spans="1:98" s="35" customFormat="1" x14ac:dyDescent="0.35">
      <c r="A177" s="34" t="s">
        <v>583</v>
      </c>
      <c r="B177" s="34" t="s">
        <v>619</v>
      </c>
      <c r="C177" s="35" t="s">
        <v>584</v>
      </c>
      <c r="D177" s="35">
        <v>2018</v>
      </c>
      <c r="E177" s="34" t="s">
        <v>585</v>
      </c>
      <c r="F177" s="34" t="s">
        <v>586</v>
      </c>
      <c r="G177" s="35" t="s">
        <v>78</v>
      </c>
      <c r="H177" s="35">
        <v>1</v>
      </c>
      <c r="I177" s="35" t="s">
        <v>390</v>
      </c>
      <c r="J177" s="35" t="s">
        <v>79</v>
      </c>
      <c r="K177" s="35">
        <v>366</v>
      </c>
      <c r="L177" s="35" t="s">
        <v>129</v>
      </c>
      <c r="M177" s="35" t="s">
        <v>380</v>
      </c>
      <c r="N177" s="35">
        <v>-2.4E-2</v>
      </c>
      <c r="O177" s="35">
        <v>0.01</v>
      </c>
      <c r="P177" s="89">
        <f t="shared" si="55"/>
        <v>-2.4</v>
      </c>
      <c r="Q177" s="35" t="s">
        <v>312</v>
      </c>
      <c r="R177" s="89">
        <f t="shared" si="56"/>
        <v>-4.36E-2</v>
      </c>
      <c r="S177" s="89">
        <f t="shared" si="57"/>
        <v>-4.4000000000000011E-3</v>
      </c>
      <c r="T177" s="35">
        <v>1</v>
      </c>
      <c r="U177" s="35">
        <v>624354</v>
      </c>
      <c r="V177" s="35" t="s">
        <v>312</v>
      </c>
      <c r="W177" s="35" t="s">
        <v>312</v>
      </c>
      <c r="X177" s="35">
        <f t="shared" si="58"/>
        <v>624354</v>
      </c>
      <c r="Y177" s="89">
        <f t="shared" si="59"/>
        <v>-3.0373426549841938E-3</v>
      </c>
      <c r="Z177" s="89">
        <f t="shared" si="60"/>
        <v>1.2655594395767475E-3</v>
      </c>
      <c r="AA177" s="89">
        <f t="shared" si="66"/>
        <v>-3.0373426549841938E-3</v>
      </c>
      <c r="AB177" s="35" t="s">
        <v>81</v>
      </c>
      <c r="AC177" s="89">
        <f t="shared" si="68"/>
        <v>-8.5610640870616688E-3</v>
      </c>
      <c r="AD177" s="89" cm="1">
        <f t="array" ref="AD177">_xlfn.IFS(
AND(L177="marginal_effect",M177="level"),N177*AN177/BF177,
AND(L177="marginal_effect",M177="sd (Y)"),N177*BH177*AN177/BF177,
AND(L177="marginal_effect",M177="sd (X)"),N177/AQ177*AN177/BF177,
AND(L177="semi_elasticity",M177="level"),N177*AN177,
AND(L177="semi_elasticity",M177="sd (Y)"),N177*AN177*BH177,
AND(L177="semi_elasticity",M177="sd (X)"),N177*AN177/AQ177,
AND(L177="level-log",M177="level"),N177/BF177,
AND(L177="level-log",M177="sd (X)"),N177/BF177/AQ177,
AND(L177="level-log",M177="sd (Y)"),N177/BF177*BH177,
AND(L177="elasticity",M177="level"),N177,
AND(L177="elasticity",M177="sd (X)"),N177/AQ177,
AND(L177="elasticity",M177="sd (Y)"),N177*BH177,
AND(L177="marginal_effect",M177="percent_of_mean"),N177*AN177/BF177/10)</f>
        <v>-8.5610640870616688E-3</v>
      </c>
      <c r="AE177" s="49">
        <f t="shared" si="61"/>
        <v>1</v>
      </c>
      <c r="AF177" s="89">
        <f t="shared" si="69"/>
        <v>3.5671100362756952E-3</v>
      </c>
      <c r="AG177" s="89" cm="1">
        <f t="array" ref="AG177">_xlfn.IFS(
AND(L177="marginal_effect",M177="level"),O177*AN177/BF177,
AND(L177="marginal_effect",M177="sd (Y)"),O177*BH177*AN177/BF177,
AND(L177="marginal_effect",M177="sd (X)"),O177/AQ177*AN177/BF177,
AND(L177="semi_elasticity",M177="level"),O177*AN177,
AND(L177="semi_elasticity",M177="sd (Y)"),O177*AN177*BH177,
AND(L177="semi_elasticity",M177="sd (X)"),O177*AN177/AQ177,
AND(L177="level-log",M177="level"),O177/BF177,
AND(L177="level-log",M177="sd (X)"),O177/BF177/AQ177,
AND(L177="level-log",M177="sd (Y)"),O177/BF177*BH177,
AND(L177="elasticity",M177="level"),O177,
AND(L177="elasticity",M177="sd (X)"),O177/AQ177,
AND(L177="elasticity",M177="sd (Y)"),O177*BH177,
AND(L177="marginal_effect",M177="percent_of_mean"),O177*AN177/BF177/10)</f>
        <v>3.5671100362756952E-3</v>
      </c>
      <c r="AH177" s="49">
        <f t="shared" si="62"/>
        <v>1</v>
      </c>
      <c r="AI177" s="89">
        <f t="shared" si="67"/>
        <v>-8.5610640870616688E-3</v>
      </c>
      <c r="AJ177" s="35">
        <v>0</v>
      </c>
      <c r="AK177" s="49">
        <f t="shared" si="63"/>
        <v>1</v>
      </c>
      <c r="AL177" s="35" t="s">
        <v>162</v>
      </c>
      <c r="AM177" s="35" t="s">
        <v>590</v>
      </c>
      <c r="AN177" s="35">
        <v>0.29499999999999998</v>
      </c>
      <c r="AO177" s="35">
        <v>0</v>
      </c>
      <c r="AP177" s="35">
        <f>AN177</f>
        <v>0.29499999999999998</v>
      </c>
      <c r="AQ177" s="35">
        <v>0.13900000000000001</v>
      </c>
      <c r="AR177" s="35" t="s">
        <v>312</v>
      </c>
      <c r="AS177" s="35" t="s">
        <v>312</v>
      </c>
      <c r="AT177" s="35" t="s">
        <v>83</v>
      </c>
      <c r="AU177" s="35" t="s">
        <v>109</v>
      </c>
      <c r="AV177" s="35" t="s">
        <v>133</v>
      </c>
      <c r="AW177" s="35" t="s">
        <v>134</v>
      </c>
      <c r="AX177" s="35" t="s">
        <v>86</v>
      </c>
      <c r="AY177" s="35">
        <v>0</v>
      </c>
      <c r="AZ177" s="35">
        <v>0</v>
      </c>
      <c r="BA177" s="58" t="s">
        <v>111</v>
      </c>
      <c r="BB177" s="35" t="s">
        <v>88</v>
      </c>
      <c r="BC177" s="35" t="s">
        <v>587</v>
      </c>
      <c r="BD177" s="35" t="s">
        <v>114</v>
      </c>
      <c r="BE177" s="35" t="s">
        <v>595</v>
      </c>
      <c r="BF177" s="35">
        <v>0.82699999999999996</v>
      </c>
      <c r="BG177" s="35">
        <v>0</v>
      </c>
      <c r="BH177" s="35">
        <v>0.378</v>
      </c>
      <c r="BI177" s="35" t="s">
        <v>312</v>
      </c>
      <c r="BJ177" s="35" t="s">
        <v>312</v>
      </c>
      <c r="BK177" s="35" t="s">
        <v>91</v>
      </c>
      <c r="BL177" s="35" t="s">
        <v>84</v>
      </c>
      <c r="BM177" s="35">
        <v>1</v>
      </c>
      <c r="BN177" s="35" t="s">
        <v>539</v>
      </c>
      <c r="BO177" s="35" t="s">
        <v>589</v>
      </c>
      <c r="BP177" s="35" t="s">
        <v>588</v>
      </c>
      <c r="BQ177" s="35" t="s">
        <v>92</v>
      </c>
      <c r="BR177" s="35" t="s">
        <v>312</v>
      </c>
      <c r="BS177" s="35" t="s">
        <v>312</v>
      </c>
      <c r="BT177" s="35" t="s">
        <v>312</v>
      </c>
      <c r="BU177" s="35">
        <v>2008</v>
      </c>
      <c r="BV177" s="35">
        <v>2015</v>
      </c>
      <c r="BW177" s="35" t="s">
        <v>596</v>
      </c>
      <c r="BX177" s="35" t="s">
        <v>95</v>
      </c>
      <c r="BY177" s="35" t="s">
        <v>592</v>
      </c>
      <c r="BZ177" s="35">
        <v>0</v>
      </c>
      <c r="CA177" s="35">
        <v>0</v>
      </c>
      <c r="CB177" s="35" t="s">
        <v>97</v>
      </c>
      <c r="CC177" s="35" t="s">
        <v>625</v>
      </c>
      <c r="CD177" s="35">
        <v>1</v>
      </c>
      <c r="CE177" s="35" t="s">
        <v>594</v>
      </c>
      <c r="CF177" s="35">
        <v>1</v>
      </c>
      <c r="CG177" s="35" t="s">
        <v>598</v>
      </c>
      <c r="CH177" s="35">
        <v>1</v>
      </c>
      <c r="CI177" s="35" t="s">
        <v>541</v>
      </c>
      <c r="CJ177" s="35" t="s">
        <v>98</v>
      </c>
      <c r="CK177" s="35">
        <v>62</v>
      </c>
      <c r="CL177" s="35">
        <v>0</v>
      </c>
      <c r="CM177" s="35">
        <v>0</v>
      </c>
      <c r="CN177" s="35" t="s">
        <v>99</v>
      </c>
      <c r="CO177" s="35" t="s">
        <v>97</v>
      </c>
      <c r="CP177" s="35" t="s">
        <v>100</v>
      </c>
      <c r="CQ177" s="35" t="s">
        <v>600</v>
      </c>
      <c r="CR177" s="36">
        <v>46220</v>
      </c>
      <c r="CT177" s="35" t="s">
        <v>550</v>
      </c>
    </row>
    <row r="178" spans="1:98" s="35" customFormat="1" x14ac:dyDescent="0.35">
      <c r="A178" s="34" t="s">
        <v>583</v>
      </c>
      <c r="B178" s="34" t="s">
        <v>620</v>
      </c>
      <c r="C178" s="35" t="s">
        <v>584</v>
      </c>
      <c r="D178" s="35">
        <v>2018</v>
      </c>
      <c r="E178" s="34" t="s">
        <v>585</v>
      </c>
      <c r="F178" s="34" t="s">
        <v>586</v>
      </c>
      <c r="G178" s="35" t="s">
        <v>78</v>
      </c>
      <c r="H178" s="35">
        <v>1</v>
      </c>
      <c r="I178" s="35" t="s">
        <v>390</v>
      </c>
      <c r="J178" s="35" t="s">
        <v>79</v>
      </c>
      <c r="K178" s="35">
        <v>366</v>
      </c>
      <c r="L178" s="35" t="s">
        <v>129</v>
      </c>
      <c r="M178" s="35" t="s">
        <v>380</v>
      </c>
      <c r="N178" s="35">
        <v>0.13800000000000001</v>
      </c>
      <c r="O178" s="35">
        <v>5.5E-2</v>
      </c>
      <c r="P178" s="89">
        <f t="shared" si="55"/>
        <v>2.5090909090909093</v>
      </c>
      <c r="Q178" s="35" t="s">
        <v>312</v>
      </c>
      <c r="R178" s="89">
        <f t="shared" si="56"/>
        <v>3.0200000000000018E-2</v>
      </c>
      <c r="S178" s="89">
        <f t="shared" si="57"/>
        <v>0.24580000000000002</v>
      </c>
      <c r="T178" s="35">
        <v>1</v>
      </c>
      <c r="U178" s="35">
        <v>624354</v>
      </c>
      <c r="V178" s="35" t="s">
        <v>312</v>
      </c>
      <c r="W178" s="35" t="s">
        <v>312</v>
      </c>
      <c r="X178" s="35">
        <f t="shared" si="58"/>
        <v>624354</v>
      </c>
      <c r="Y178" s="89">
        <f t="shared" si="59"/>
        <v>3.1754023229246262E-3</v>
      </c>
      <c r="Z178" s="89">
        <f t="shared" si="60"/>
        <v>1.2655588968177858E-3</v>
      </c>
      <c r="AA178" s="89">
        <f t="shared" si="66"/>
        <v>3.1754023229246262E-3</v>
      </c>
      <c r="AB178" s="35" t="s">
        <v>81</v>
      </c>
      <c r="AC178" s="89">
        <f t="shared" si="68"/>
        <v>5.6735187424425647E-3</v>
      </c>
      <c r="AD178" s="89" cm="1">
        <f t="array" ref="AD178">_xlfn.IFS(
AND(L178="marginal_effect",M178="level"),N178*AN178/BF178,
AND(L178="marginal_effect",M178="sd (Y)"),N178*BH178*AN178/BF178,
AND(L178="marginal_effect",M178="sd (X)"),N178/AQ178*AN178/BF178,
AND(L178="semi_elasticity",M178="level"),N178*AN178,
AND(L178="semi_elasticity",M178="sd (Y)"),N178*AN178*BH178,
AND(L178="semi_elasticity",M178="sd (X)"),N178*AN178/AQ178,
AND(L178="level-log",M178="level"),N178/BF178,
AND(L178="level-log",M178="sd (X)"),N178/BF178/AQ178,
AND(L178="level-log",M178="sd (Y)"),N178/BF178*BH178,
AND(L178="elasticity",M178="level"),N178,
AND(L178="elasticity",M178="sd (X)"),N178/AQ178,
AND(L178="elasticity",M178="sd (Y)"),N178*BH178,
AND(L178="marginal_effect",M178="percent_of_mean"),N178*AN178/BF178/10)</f>
        <v>5.6735187424425647E-3</v>
      </c>
      <c r="AE178" s="49">
        <f t="shared" si="61"/>
        <v>1</v>
      </c>
      <c r="AF178" s="89">
        <f t="shared" si="69"/>
        <v>2.2611850060459495E-3</v>
      </c>
      <c r="AG178" s="89" cm="1">
        <f t="array" ref="AG178">_xlfn.IFS(
AND(L178="marginal_effect",M178="level"),O178*AN178/BF178,
AND(L178="marginal_effect",M178="sd (Y)"),O178*BH178*AN178/BF178,
AND(L178="marginal_effect",M178="sd (X)"),O178/AQ178*AN178/BF178,
AND(L178="semi_elasticity",M178="level"),O178*AN178,
AND(L178="semi_elasticity",M178="sd (Y)"),O178*AN178*BH178,
AND(L178="semi_elasticity",M178="sd (X)"),O178*AN178/AQ178,
AND(L178="level-log",M178="level"),O178/BF178,
AND(L178="level-log",M178="sd (X)"),O178/BF178/AQ178,
AND(L178="level-log",M178="sd (Y)"),O178/BF178*BH178,
AND(L178="elasticity",M178="level"),O178,
AND(L178="elasticity",M178="sd (X)"),O178/AQ178,
AND(L178="elasticity",M178="sd (Y)"),O178*BH178,
AND(L178="marginal_effect",M178="percent_of_mean"),O178*AN178/BF178/10)</f>
        <v>2.2611850060459495E-3</v>
      </c>
      <c r="AH178" s="49">
        <f t="shared" si="62"/>
        <v>1</v>
      </c>
      <c r="AI178" s="89">
        <f t="shared" si="67"/>
        <v>5.6735187424425647E-3</v>
      </c>
      <c r="AJ178" s="35">
        <v>0</v>
      </c>
      <c r="AK178" s="49">
        <f t="shared" si="63"/>
        <v>1</v>
      </c>
      <c r="AL178" s="35" t="s">
        <v>148</v>
      </c>
      <c r="AM178" s="35" t="s">
        <v>590</v>
      </c>
      <c r="AN178" s="35">
        <f>0.034</f>
        <v>3.4000000000000002E-2</v>
      </c>
      <c r="AO178" s="35">
        <v>0</v>
      </c>
      <c r="AP178" s="35">
        <f>AN178</f>
        <v>3.4000000000000002E-2</v>
      </c>
      <c r="AQ178" s="35">
        <v>1.4999999999999999E-2</v>
      </c>
      <c r="AR178" s="35" t="s">
        <v>312</v>
      </c>
      <c r="AS178" s="35" t="s">
        <v>312</v>
      </c>
      <c r="AT178" s="35" t="s">
        <v>83</v>
      </c>
      <c r="AU178" s="35" t="s">
        <v>109</v>
      </c>
      <c r="AV178" s="35" t="s">
        <v>133</v>
      </c>
      <c r="AW178" s="35" t="s">
        <v>134</v>
      </c>
      <c r="AX178" s="35" t="s">
        <v>86</v>
      </c>
      <c r="AY178" s="35">
        <v>0</v>
      </c>
      <c r="AZ178" s="35">
        <v>0</v>
      </c>
      <c r="BA178" s="58" t="s">
        <v>111</v>
      </c>
      <c r="BB178" s="35" t="s">
        <v>88</v>
      </c>
      <c r="BC178" s="35" t="s">
        <v>587</v>
      </c>
      <c r="BD178" s="35" t="s">
        <v>114</v>
      </c>
      <c r="BE178" s="35" t="s">
        <v>595</v>
      </c>
      <c r="BF178" s="35">
        <v>0.82699999999999996</v>
      </c>
      <c r="BG178" s="35">
        <v>0</v>
      </c>
      <c r="BH178" s="35">
        <v>0.378</v>
      </c>
      <c r="BI178" s="35" t="s">
        <v>312</v>
      </c>
      <c r="BJ178" s="35" t="s">
        <v>312</v>
      </c>
      <c r="BK178" s="35" t="s">
        <v>91</v>
      </c>
      <c r="BL178" s="35" t="s">
        <v>84</v>
      </c>
      <c r="BM178" s="35">
        <v>1</v>
      </c>
      <c r="BN178" s="35" t="s">
        <v>539</v>
      </c>
      <c r="BO178" s="35" t="s">
        <v>589</v>
      </c>
      <c r="BP178" s="35" t="s">
        <v>588</v>
      </c>
      <c r="BQ178" s="35" t="s">
        <v>92</v>
      </c>
      <c r="BR178" s="35" t="s">
        <v>312</v>
      </c>
      <c r="BS178" s="35" t="s">
        <v>312</v>
      </c>
      <c r="BT178" s="35" t="s">
        <v>312</v>
      </c>
      <c r="BU178" s="35">
        <v>2008</v>
      </c>
      <c r="BV178" s="35">
        <v>2015</v>
      </c>
      <c r="BW178" s="35" t="s">
        <v>596</v>
      </c>
      <c r="BX178" s="35" t="s">
        <v>95</v>
      </c>
      <c r="BY178" s="35" t="s">
        <v>592</v>
      </c>
      <c r="BZ178" s="35">
        <v>0</v>
      </c>
      <c r="CA178" s="35">
        <v>0</v>
      </c>
      <c r="CB178" s="35" t="s">
        <v>97</v>
      </c>
      <c r="CC178" s="35" t="s">
        <v>625</v>
      </c>
      <c r="CD178" s="35">
        <v>1</v>
      </c>
      <c r="CE178" s="35" t="s">
        <v>594</v>
      </c>
      <c r="CF178" s="35">
        <v>1</v>
      </c>
      <c r="CG178" s="35" t="s">
        <v>599</v>
      </c>
      <c r="CH178" s="35">
        <v>1</v>
      </c>
      <c r="CI178" s="35" t="s">
        <v>541</v>
      </c>
      <c r="CJ178" s="35" t="s">
        <v>98</v>
      </c>
      <c r="CK178" s="35">
        <v>62</v>
      </c>
      <c r="CL178" s="35">
        <v>0</v>
      </c>
      <c r="CM178" s="35">
        <v>0</v>
      </c>
      <c r="CN178" s="35" t="s">
        <v>99</v>
      </c>
      <c r="CO178" s="35" t="s">
        <v>97</v>
      </c>
      <c r="CP178" s="35" t="s">
        <v>100</v>
      </c>
      <c r="CQ178" s="35" t="s">
        <v>126</v>
      </c>
      <c r="CR178" s="36">
        <v>46220</v>
      </c>
      <c r="CT178" s="35" t="s">
        <v>550</v>
      </c>
    </row>
    <row r="179" spans="1:98" s="35" customFormat="1" x14ac:dyDescent="0.35">
      <c r="A179" s="34" t="s">
        <v>583</v>
      </c>
      <c r="B179" s="34" t="s">
        <v>621</v>
      </c>
      <c r="C179" s="35" t="s">
        <v>584</v>
      </c>
      <c r="D179" s="35">
        <v>2018</v>
      </c>
      <c r="E179" s="34" t="s">
        <v>585</v>
      </c>
      <c r="F179" s="34" t="s">
        <v>586</v>
      </c>
      <c r="G179" s="35" t="s">
        <v>78</v>
      </c>
      <c r="H179" s="35">
        <v>1</v>
      </c>
      <c r="I179" s="35" t="s">
        <v>390</v>
      </c>
      <c r="J179" s="35" t="s">
        <v>79</v>
      </c>
      <c r="K179" s="35">
        <v>366</v>
      </c>
      <c r="L179" s="35" t="s">
        <v>129</v>
      </c>
      <c r="M179" s="35" t="s">
        <v>380</v>
      </c>
      <c r="N179" s="35">
        <v>-0.01</v>
      </c>
      <c r="O179" s="35">
        <v>1E-3</v>
      </c>
      <c r="P179" s="89">
        <f t="shared" si="55"/>
        <v>-10</v>
      </c>
      <c r="Q179" s="35" t="s">
        <v>312</v>
      </c>
      <c r="R179" s="89">
        <f t="shared" si="56"/>
        <v>-1.196E-2</v>
      </c>
      <c r="S179" s="89">
        <f t="shared" si="57"/>
        <v>-8.0400000000000003E-3</v>
      </c>
      <c r="T179" s="35">
        <v>1</v>
      </c>
      <c r="U179" s="35">
        <v>624354</v>
      </c>
      <c r="V179" s="35" t="s">
        <v>312</v>
      </c>
      <c r="W179" s="35" t="s">
        <v>312</v>
      </c>
      <c r="X179" s="35">
        <f t="shared" si="58"/>
        <v>624354</v>
      </c>
      <c r="Y179" s="89">
        <f t="shared" si="59"/>
        <v>-1.2654639394904965E-2</v>
      </c>
      <c r="Z179" s="89">
        <f t="shared" si="60"/>
        <v>1.2654639394904966E-3</v>
      </c>
      <c r="AA179" s="89">
        <f t="shared" si="66"/>
        <v>-1.2654639394904965E-2</v>
      </c>
      <c r="AB179" s="35" t="s">
        <v>81</v>
      </c>
      <c r="AC179" s="89">
        <f t="shared" si="68"/>
        <v>-1.3180169286577996E-2</v>
      </c>
      <c r="AD179" s="89" cm="1">
        <f t="array" ref="AD179">_xlfn.IFS(
AND(L179="marginal_effect",M179="level"),N179*AN179/BF179,
AND(L179="marginal_effect",M179="sd (Y)"),N179*BH179*AN179/BF179,
AND(L179="marginal_effect",M179="sd (X)"),N179/AQ179*AN179/BF179,
AND(L179="semi_elasticity",M179="level"),N179*AN179,
AND(L179="semi_elasticity",M179="sd (Y)"),N179*AN179*BH179,
AND(L179="semi_elasticity",M179="sd (X)"),N179*AN179/AQ179,
AND(L179="level-log",M179="level"),N179/BF179,
AND(L179="level-log",M179="sd (X)"),N179/BF179/AQ179,
AND(L179="level-log",M179="sd (Y)"),N179/BF179*BH179,
AND(L179="elasticity",M179="level"),N179,
AND(L179="elasticity",M179="sd (X)"),N179/AQ179,
AND(L179="elasticity",M179="sd (Y)"),N179*BH179,
AND(L179="marginal_effect",M179="percent_of_mean"),N179*AN179/BF179/10)</f>
        <v>-1.3180169286577996E-2</v>
      </c>
      <c r="AE179" s="49">
        <f t="shared" si="61"/>
        <v>1</v>
      </c>
      <c r="AF179" s="89">
        <f t="shared" si="69"/>
        <v>1.3180169286577993E-3</v>
      </c>
      <c r="AG179" s="89" cm="1">
        <f t="array" ref="AG179">_xlfn.IFS(
AND(L179="marginal_effect",M179="level"),O179*AN179/BF179,
AND(L179="marginal_effect",M179="sd (Y)"),O179*BH179*AN179/BF179,
AND(L179="marginal_effect",M179="sd (X)"),O179/AQ179*AN179/BF179,
AND(L179="semi_elasticity",M179="level"),O179*AN179,
AND(L179="semi_elasticity",M179="sd (Y)"),O179*AN179*BH179,
AND(L179="semi_elasticity",M179="sd (X)"),O179*AN179/AQ179,
AND(L179="level-log",M179="level"),O179/BF179,
AND(L179="level-log",M179="sd (X)"),O179/BF179/AQ179,
AND(L179="level-log",M179="sd (Y)"),O179/BF179*BH179,
AND(L179="elasticity",M179="level"),O179,
AND(L179="elasticity",M179="sd (X)"),O179/AQ179,
AND(L179="elasticity",M179="sd (Y)"),O179*BH179,
AND(L179="marginal_effect",M179="percent_of_mean"),O179*AN179/BF179/10)</f>
        <v>1.3180169286577993E-3</v>
      </c>
      <c r="AH179" s="49">
        <f t="shared" si="62"/>
        <v>1</v>
      </c>
      <c r="AI179" s="89">
        <f t="shared" si="67"/>
        <v>-1.3180169286577996E-2</v>
      </c>
      <c r="AJ179" s="35">
        <v>0</v>
      </c>
      <c r="AK179" s="49">
        <f t="shared" si="63"/>
        <v>1</v>
      </c>
      <c r="AL179" s="35" t="s">
        <v>82</v>
      </c>
      <c r="AM179" s="35" t="s">
        <v>296</v>
      </c>
      <c r="AN179" s="35">
        <v>1.0900000000000001</v>
      </c>
      <c r="AO179" s="35">
        <v>0</v>
      </c>
      <c r="AP179" s="35">
        <f>AN179*10</f>
        <v>10.9</v>
      </c>
      <c r="AQ179" s="35">
        <v>0.57999999999999996</v>
      </c>
      <c r="AR179" s="35" t="s">
        <v>312</v>
      </c>
      <c r="AS179" s="35" t="s">
        <v>312</v>
      </c>
      <c r="AT179" s="35" t="s">
        <v>83</v>
      </c>
      <c r="AU179" s="35" t="s">
        <v>109</v>
      </c>
      <c r="AV179" s="35" t="s">
        <v>133</v>
      </c>
      <c r="AW179" s="35" t="s">
        <v>134</v>
      </c>
      <c r="AX179" s="35" t="s">
        <v>86</v>
      </c>
      <c r="AY179" s="35">
        <v>0</v>
      </c>
      <c r="AZ179" s="35">
        <v>0</v>
      </c>
      <c r="BA179" s="58" t="s">
        <v>111</v>
      </c>
      <c r="BB179" s="35" t="s">
        <v>88</v>
      </c>
      <c r="BC179" s="35" t="s">
        <v>587</v>
      </c>
      <c r="BD179" s="35" t="s">
        <v>114</v>
      </c>
      <c r="BE179" s="35" t="s">
        <v>595</v>
      </c>
      <c r="BF179" s="35">
        <v>0.82699999999999996</v>
      </c>
      <c r="BG179" s="35">
        <v>0</v>
      </c>
      <c r="BH179" s="35">
        <v>0.378</v>
      </c>
      <c r="BI179" s="35" t="s">
        <v>312</v>
      </c>
      <c r="BJ179" s="35" t="s">
        <v>312</v>
      </c>
      <c r="BK179" s="35" t="s">
        <v>91</v>
      </c>
      <c r="BL179" s="35" t="s">
        <v>84</v>
      </c>
      <c r="BM179" s="35">
        <v>1</v>
      </c>
      <c r="BN179" s="35" t="s">
        <v>539</v>
      </c>
      <c r="BO179" s="35" t="s">
        <v>589</v>
      </c>
      <c r="BP179" s="35" t="s">
        <v>588</v>
      </c>
      <c r="BQ179" s="35" t="s">
        <v>92</v>
      </c>
      <c r="BR179" s="35" t="s">
        <v>312</v>
      </c>
      <c r="BS179" s="35" t="s">
        <v>312</v>
      </c>
      <c r="BT179" s="35" t="s">
        <v>312</v>
      </c>
      <c r="BU179" s="35">
        <v>2008</v>
      </c>
      <c r="BV179" s="35">
        <v>2015</v>
      </c>
      <c r="BW179" s="35" t="s">
        <v>596</v>
      </c>
      <c r="BX179" s="35" t="s">
        <v>95</v>
      </c>
      <c r="BY179" s="35" t="s">
        <v>592</v>
      </c>
      <c r="BZ179" s="35">
        <v>0</v>
      </c>
      <c r="CA179" s="35">
        <v>0</v>
      </c>
      <c r="CB179" s="35" t="s">
        <v>97</v>
      </c>
      <c r="CC179" s="35" t="s">
        <v>624</v>
      </c>
      <c r="CD179" s="35">
        <v>1</v>
      </c>
      <c r="CE179" s="35" t="s">
        <v>594</v>
      </c>
      <c r="CF179" s="35">
        <v>1</v>
      </c>
      <c r="CG179" s="35" t="s">
        <v>597</v>
      </c>
      <c r="CH179" s="35">
        <v>1</v>
      </c>
      <c r="CI179" s="35" t="s">
        <v>541</v>
      </c>
      <c r="CJ179" s="35" t="s">
        <v>98</v>
      </c>
      <c r="CK179" s="35">
        <v>62</v>
      </c>
      <c r="CL179" s="35">
        <v>0</v>
      </c>
      <c r="CM179" s="35">
        <v>0</v>
      </c>
      <c r="CN179" s="35" t="s">
        <v>99</v>
      </c>
      <c r="CO179" s="35" t="s">
        <v>97</v>
      </c>
      <c r="CP179" s="35" t="s">
        <v>100</v>
      </c>
      <c r="CQ179" s="35" t="s">
        <v>126</v>
      </c>
      <c r="CR179" s="36">
        <v>46220</v>
      </c>
      <c r="CT179" s="35" t="s">
        <v>549</v>
      </c>
    </row>
    <row r="180" spans="1:98" s="35" customFormat="1" x14ac:dyDescent="0.35">
      <c r="A180" s="34" t="s">
        <v>583</v>
      </c>
      <c r="B180" s="34" t="s">
        <v>622</v>
      </c>
      <c r="C180" s="35" t="s">
        <v>584</v>
      </c>
      <c r="D180" s="35">
        <v>2018</v>
      </c>
      <c r="E180" s="34" t="s">
        <v>585</v>
      </c>
      <c r="F180" s="34" t="s">
        <v>586</v>
      </c>
      <c r="G180" s="35" t="s">
        <v>78</v>
      </c>
      <c r="H180" s="35">
        <v>1</v>
      </c>
      <c r="I180" s="35" t="s">
        <v>390</v>
      </c>
      <c r="J180" s="35" t="s">
        <v>79</v>
      </c>
      <c r="K180" s="35">
        <v>366</v>
      </c>
      <c r="L180" s="35" t="s">
        <v>129</v>
      </c>
      <c r="M180" s="35" t="s">
        <v>380</v>
      </c>
      <c r="N180" s="35">
        <v>-2.1000000000000001E-2</v>
      </c>
      <c r="O180" s="35">
        <v>8.0000000000000002E-3</v>
      </c>
      <c r="P180" s="89">
        <f t="shared" si="55"/>
        <v>-2.625</v>
      </c>
      <c r="Q180" s="35" t="s">
        <v>312</v>
      </c>
      <c r="R180" s="89">
        <f t="shared" si="56"/>
        <v>-3.6680000000000004E-2</v>
      </c>
      <c r="S180" s="89">
        <f t="shared" si="57"/>
        <v>-5.3200000000000018E-3</v>
      </c>
      <c r="T180" s="35">
        <v>1</v>
      </c>
      <c r="U180" s="35">
        <v>624354</v>
      </c>
      <c r="V180" s="35" t="s">
        <v>312</v>
      </c>
      <c r="W180" s="35" t="s">
        <v>312</v>
      </c>
      <c r="X180" s="35">
        <f t="shared" si="58"/>
        <v>624354</v>
      </c>
      <c r="Y180" s="89">
        <f t="shared" si="59"/>
        <v>-3.3220905209781909E-3</v>
      </c>
      <c r="Z180" s="89">
        <f t="shared" si="60"/>
        <v>1.2655582937059775E-3</v>
      </c>
      <c r="AA180" s="89">
        <f t="shared" si="66"/>
        <v>-3.3220905209781909E-3</v>
      </c>
      <c r="AB180" s="35" t="s">
        <v>81</v>
      </c>
      <c r="AC180" s="89">
        <f t="shared" si="68"/>
        <v>-7.4909310761789609E-3</v>
      </c>
      <c r="AD180" s="89" cm="1">
        <f t="array" ref="AD180">_xlfn.IFS(
AND(L180="marginal_effect",M180="level"),N180*AN180/BF180,
AND(L180="marginal_effect",M180="sd (Y)"),N180*BH180*AN180/BF180,
AND(L180="marginal_effect",M180="sd (X)"),N180/AQ180*AN180/BF180,
AND(L180="semi_elasticity",M180="level"),N180*AN180,
AND(L180="semi_elasticity",M180="sd (Y)"),N180*AN180*BH180,
AND(L180="semi_elasticity",M180="sd (X)"),N180*AN180/AQ180,
AND(L180="level-log",M180="level"),N180/BF180,
AND(L180="level-log",M180="sd (X)"),N180/BF180/AQ180,
AND(L180="level-log",M180="sd (Y)"),N180/BF180*BH180,
AND(L180="elasticity",M180="level"),N180,
AND(L180="elasticity",M180="sd (X)"),N180/AQ180,
AND(L180="elasticity",M180="sd (Y)"),N180*BH180,
AND(L180="marginal_effect",M180="percent_of_mean"),N180*AN180/BF180/10)</f>
        <v>-7.4909310761789609E-3</v>
      </c>
      <c r="AE180" s="49">
        <f t="shared" si="61"/>
        <v>1</v>
      </c>
      <c r="AF180" s="89">
        <f t="shared" si="69"/>
        <v>2.8536880290205564E-3</v>
      </c>
      <c r="AG180" s="89" cm="1">
        <f t="array" ref="AG180">_xlfn.IFS(
AND(L180="marginal_effect",M180="level"),O180*AN180/BF180,
AND(L180="marginal_effect",M180="sd (Y)"),O180*BH180*AN180/BF180,
AND(L180="marginal_effect",M180="sd (X)"),O180/AQ180*AN180/BF180,
AND(L180="semi_elasticity",M180="level"),O180*AN180,
AND(L180="semi_elasticity",M180="sd (Y)"),O180*AN180*BH180,
AND(L180="semi_elasticity",M180="sd (X)"),O180*AN180/AQ180,
AND(L180="level-log",M180="level"),O180/BF180,
AND(L180="level-log",M180="sd (X)"),O180/BF180/AQ180,
AND(L180="level-log",M180="sd (Y)"),O180/BF180*BH180,
AND(L180="elasticity",M180="level"),O180,
AND(L180="elasticity",M180="sd (X)"),O180/AQ180,
AND(L180="elasticity",M180="sd (Y)"),O180*BH180,
AND(L180="marginal_effect",M180="percent_of_mean"),O180*AN180/BF180/10)</f>
        <v>2.8536880290205564E-3</v>
      </c>
      <c r="AH180" s="49">
        <f t="shared" si="62"/>
        <v>1</v>
      </c>
      <c r="AI180" s="89">
        <f t="shared" si="67"/>
        <v>-7.4909310761789609E-3</v>
      </c>
      <c r="AJ180" s="35">
        <v>0</v>
      </c>
      <c r="AK180" s="49">
        <f t="shared" si="63"/>
        <v>1</v>
      </c>
      <c r="AL180" s="35" t="s">
        <v>162</v>
      </c>
      <c r="AM180" s="35" t="s">
        <v>590</v>
      </c>
      <c r="AN180" s="35">
        <v>0.29499999999999998</v>
      </c>
      <c r="AO180" s="35">
        <v>0</v>
      </c>
      <c r="AP180" s="35">
        <f>AN180</f>
        <v>0.29499999999999998</v>
      </c>
      <c r="AQ180" s="35">
        <v>0.13900000000000001</v>
      </c>
      <c r="AR180" s="35" t="s">
        <v>312</v>
      </c>
      <c r="AS180" s="35" t="s">
        <v>312</v>
      </c>
      <c r="AT180" s="35" t="s">
        <v>83</v>
      </c>
      <c r="AU180" s="35" t="s">
        <v>109</v>
      </c>
      <c r="AV180" s="35" t="s">
        <v>133</v>
      </c>
      <c r="AW180" s="35" t="s">
        <v>134</v>
      </c>
      <c r="AX180" s="35" t="s">
        <v>86</v>
      </c>
      <c r="AY180" s="35">
        <v>0</v>
      </c>
      <c r="AZ180" s="35">
        <v>0</v>
      </c>
      <c r="BA180" s="58" t="s">
        <v>111</v>
      </c>
      <c r="BB180" s="35" t="s">
        <v>88</v>
      </c>
      <c r="BC180" s="35" t="s">
        <v>587</v>
      </c>
      <c r="BD180" s="35" t="s">
        <v>114</v>
      </c>
      <c r="BE180" s="35" t="s">
        <v>595</v>
      </c>
      <c r="BF180" s="35">
        <v>0.82699999999999996</v>
      </c>
      <c r="BG180" s="35">
        <v>0</v>
      </c>
      <c r="BH180" s="35">
        <v>0.378</v>
      </c>
      <c r="BI180" s="35" t="s">
        <v>312</v>
      </c>
      <c r="BJ180" s="35" t="s">
        <v>312</v>
      </c>
      <c r="BK180" s="35" t="s">
        <v>91</v>
      </c>
      <c r="BL180" s="35" t="s">
        <v>84</v>
      </c>
      <c r="BM180" s="35">
        <v>1</v>
      </c>
      <c r="BN180" s="35" t="s">
        <v>539</v>
      </c>
      <c r="BO180" s="35" t="s">
        <v>589</v>
      </c>
      <c r="BP180" s="35" t="s">
        <v>588</v>
      </c>
      <c r="BQ180" s="35" t="s">
        <v>92</v>
      </c>
      <c r="BR180" s="35" t="s">
        <v>312</v>
      </c>
      <c r="BS180" s="35" t="s">
        <v>312</v>
      </c>
      <c r="BT180" s="35" t="s">
        <v>312</v>
      </c>
      <c r="BU180" s="35">
        <v>2008</v>
      </c>
      <c r="BV180" s="35">
        <v>2015</v>
      </c>
      <c r="BW180" s="35" t="s">
        <v>596</v>
      </c>
      <c r="BX180" s="35" t="s">
        <v>95</v>
      </c>
      <c r="BY180" s="35" t="s">
        <v>592</v>
      </c>
      <c r="BZ180" s="35">
        <v>0</v>
      </c>
      <c r="CA180" s="35">
        <v>0</v>
      </c>
      <c r="CB180" s="35" t="s">
        <v>97</v>
      </c>
      <c r="CC180" s="35" t="s">
        <v>624</v>
      </c>
      <c r="CD180" s="35">
        <v>1</v>
      </c>
      <c r="CE180" s="35" t="s">
        <v>594</v>
      </c>
      <c r="CF180" s="35">
        <v>1</v>
      </c>
      <c r="CG180" s="35" t="s">
        <v>598</v>
      </c>
      <c r="CH180" s="35">
        <v>1</v>
      </c>
      <c r="CI180" s="35" t="s">
        <v>541</v>
      </c>
      <c r="CJ180" s="35" t="s">
        <v>98</v>
      </c>
      <c r="CK180" s="35">
        <v>62</v>
      </c>
      <c r="CL180" s="35">
        <v>0</v>
      </c>
      <c r="CM180" s="35">
        <v>0</v>
      </c>
      <c r="CN180" s="35" t="s">
        <v>99</v>
      </c>
      <c r="CO180" s="35" t="s">
        <v>97</v>
      </c>
      <c r="CP180" s="35" t="s">
        <v>100</v>
      </c>
      <c r="CQ180" s="35" t="s">
        <v>600</v>
      </c>
      <c r="CR180" s="36">
        <v>46220</v>
      </c>
      <c r="CT180" s="35" t="s">
        <v>549</v>
      </c>
    </row>
    <row r="181" spans="1:98" s="35" customFormat="1" x14ac:dyDescent="0.35">
      <c r="A181" s="34" t="s">
        <v>583</v>
      </c>
      <c r="B181" s="34" t="s">
        <v>623</v>
      </c>
      <c r="C181" s="35" t="s">
        <v>584</v>
      </c>
      <c r="D181" s="35">
        <v>2018</v>
      </c>
      <c r="E181" s="34" t="s">
        <v>585</v>
      </c>
      <c r="F181" s="34" t="s">
        <v>586</v>
      </c>
      <c r="G181" s="35" t="s">
        <v>78</v>
      </c>
      <c r="H181" s="35">
        <v>1</v>
      </c>
      <c r="I181" s="35" t="s">
        <v>390</v>
      </c>
      <c r="J181" s="35" t="s">
        <v>79</v>
      </c>
      <c r="K181" s="35">
        <v>366</v>
      </c>
      <c r="L181" s="35" t="s">
        <v>129</v>
      </c>
      <c r="M181" s="35" t="s">
        <v>380</v>
      </c>
      <c r="N181" s="35">
        <v>7.3999999999999996E-2</v>
      </c>
      <c r="O181" s="35">
        <v>5.0999999999999997E-2</v>
      </c>
      <c r="P181" s="89">
        <f t="shared" si="55"/>
        <v>1.4509803921568627</v>
      </c>
      <c r="Q181" s="35" t="s">
        <v>312</v>
      </c>
      <c r="R181" s="89">
        <f t="shared" si="56"/>
        <v>-2.5959999999999997E-2</v>
      </c>
      <c r="S181" s="89">
        <f t="shared" si="57"/>
        <v>0.17396</v>
      </c>
      <c r="T181" s="35">
        <v>1</v>
      </c>
      <c r="U181" s="35">
        <v>624354</v>
      </c>
      <c r="V181" s="35" t="s">
        <v>312</v>
      </c>
      <c r="W181" s="35" t="s">
        <v>312</v>
      </c>
      <c r="X181" s="35">
        <f t="shared" si="58"/>
        <v>624354</v>
      </c>
      <c r="Y181" s="89">
        <f t="shared" si="59"/>
        <v>1.8363073063052313E-3</v>
      </c>
      <c r="Z181" s="89">
        <f t="shared" si="60"/>
        <v>1.2655631435346865E-3</v>
      </c>
      <c r="AA181" s="89">
        <f t="shared" ref="AA181:AA212" si="70">Y181</f>
        <v>1.8363073063052313E-3</v>
      </c>
      <c r="AB181" s="35" t="s">
        <v>81</v>
      </c>
      <c r="AC181" s="89">
        <f t="shared" si="68"/>
        <v>3.0423216444981863E-3</v>
      </c>
      <c r="AD181" s="89" cm="1">
        <f t="array" ref="AD181">_xlfn.IFS(
AND(L181="marginal_effect",M181="level"),N181*AN181/BF181,
AND(L181="marginal_effect",M181="sd (Y)"),N181*BH181*AN181/BF181,
AND(L181="marginal_effect",M181="sd (X)"),N181/AQ181*AN181/BF181,
AND(L181="semi_elasticity",M181="level"),N181*AN181,
AND(L181="semi_elasticity",M181="sd (Y)"),N181*AN181*BH181,
AND(L181="semi_elasticity",M181="sd (X)"),N181*AN181/AQ181,
AND(L181="level-log",M181="level"),N181/BF181,
AND(L181="level-log",M181="sd (X)"),N181/BF181/AQ181,
AND(L181="level-log",M181="sd (Y)"),N181/BF181*BH181,
AND(L181="elasticity",M181="level"),N181,
AND(L181="elasticity",M181="sd (X)"),N181/AQ181,
AND(L181="elasticity",M181="sd (Y)"),N181*BH181,
AND(L181="marginal_effect",M181="percent_of_mean"),N181*AN181/BF181/10)</f>
        <v>3.0423216444981863E-3</v>
      </c>
      <c r="AE181" s="49">
        <f t="shared" si="61"/>
        <v>1</v>
      </c>
      <c r="AF181" s="89">
        <f t="shared" si="69"/>
        <v>2.096735187424426E-3</v>
      </c>
      <c r="AG181" s="89" cm="1">
        <f t="array" ref="AG181">_xlfn.IFS(
AND(L181="marginal_effect",M181="level"),O181*AN181/BF181,
AND(L181="marginal_effect",M181="sd (Y)"),O181*BH181*AN181/BF181,
AND(L181="marginal_effect",M181="sd (X)"),O181/AQ181*AN181/BF181,
AND(L181="semi_elasticity",M181="level"),O181*AN181,
AND(L181="semi_elasticity",M181="sd (Y)"),O181*AN181*BH181,
AND(L181="semi_elasticity",M181="sd (X)"),O181*AN181/AQ181,
AND(L181="level-log",M181="level"),O181/BF181,
AND(L181="level-log",M181="sd (X)"),O181/BF181/AQ181,
AND(L181="level-log",M181="sd (Y)"),O181/BF181*BH181,
AND(L181="elasticity",M181="level"),O181,
AND(L181="elasticity",M181="sd (X)"),O181/AQ181,
AND(L181="elasticity",M181="sd (Y)"),O181*BH181,
AND(L181="marginal_effect",M181="percent_of_mean"),O181*AN181/BF181/10)</f>
        <v>2.096735187424426E-3</v>
      </c>
      <c r="AH181" s="49">
        <f t="shared" si="62"/>
        <v>1</v>
      </c>
      <c r="AI181" s="89">
        <f t="shared" ref="AI181:AI212" si="71">AC181</f>
        <v>3.0423216444981863E-3</v>
      </c>
      <c r="AJ181" s="35">
        <v>0</v>
      </c>
      <c r="AK181" s="49">
        <f t="shared" si="63"/>
        <v>1</v>
      </c>
      <c r="AL181" s="35" t="s">
        <v>148</v>
      </c>
      <c r="AM181" s="35" t="s">
        <v>590</v>
      </c>
      <c r="AN181" s="35">
        <f>0.034</f>
        <v>3.4000000000000002E-2</v>
      </c>
      <c r="AO181" s="35">
        <v>0</v>
      </c>
      <c r="AP181" s="35">
        <f>AN181</f>
        <v>3.4000000000000002E-2</v>
      </c>
      <c r="AQ181" s="35">
        <v>1.4999999999999999E-2</v>
      </c>
      <c r="AR181" s="35" t="s">
        <v>312</v>
      </c>
      <c r="AS181" s="35" t="s">
        <v>312</v>
      </c>
      <c r="AT181" s="35" t="s">
        <v>83</v>
      </c>
      <c r="AU181" s="35" t="s">
        <v>109</v>
      </c>
      <c r="AV181" s="35" t="s">
        <v>133</v>
      </c>
      <c r="AW181" s="35" t="s">
        <v>134</v>
      </c>
      <c r="AX181" s="35" t="s">
        <v>86</v>
      </c>
      <c r="AY181" s="35">
        <v>0</v>
      </c>
      <c r="AZ181" s="35">
        <v>0</v>
      </c>
      <c r="BA181" s="58" t="s">
        <v>111</v>
      </c>
      <c r="BB181" s="35" t="s">
        <v>88</v>
      </c>
      <c r="BC181" s="35" t="s">
        <v>587</v>
      </c>
      <c r="BD181" s="35" t="s">
        <v>114</v>
      </c>
      <c r="BE181" s="35" t="s">
        <v>595</v>
      </c>
      <c r="BF181" s="35">
        <v>0.82699999999999996</v>
      </c>
      <c r="BG181" s="35">
        <v>0</v>
      </c>
      <c r="BH181" s="35">
        <v>0.378</v>
      </c>
      <c r="BI181" s="35" t="s">
        <v>312</v>
      </c>
      <c r="BJ181" s="35" t="s">
        <v>312</v>
      </c>
      <c r="BK181" s="35" t="s">
        <v>91</v>
      </c>
      <c r="BL181" s="35" t="s">
        <v>84</v>
      </c>
      <c r="BM181" s="35">
        <v>1</v>
      </c>
      <c r="BN181" s="35" t="s">
        <v>539</v>
      </c>
      <c r="BO181" s="35" t="s">
        <v>589</v>
      </c>
      <c r="BP181" s="35" t="s">
        <v>588</v>
      </c>
      <c r="BQ181" s="35" t="s">
        <v>92</v>
      </c>
      <c r="BR181" s="35" t="s">
        <v>312</v>
      </c>
      <c r="BS181" s="35" t="s">
        <v>312</v>
      </c>
      <c r="BT181" s="35" t="s">
        <v>312</v>
      </c>
      <c r="BU181" s="35">
        <v>2008</v>
      </c>
      <c r="BV181" s="35">
        <v>2015</v>
      </c>
      <c r="BW181" s="35" t="s">
        <v>596</v>
      </c>
      <c r="BX181" s="35" t="s">
        <v>95</v>
      </c>
      <c r="BY181" s="35" t="s">
        <v>592</v>
      </c>
      <c r="BZ181" s="35">
        <v>0</v>
      </c>
      <c r="CA181" s="35">
        <v>0</v>
      </c>
      <c r="CB181" s="35" t="s">
        <v>97</v>
      </c>
      <c r="CC181" s="35" t="s">
        <v>624</v>
      </c>
      <c r="CD181" s="35">
        <v>1</v>
      </c>
      <c r="CE181" s="35" t="s">
        <v>594</v>
      </c>
      <c r="CF181" s="35">
        <v>1</v>
      </c>
      <c r="CG181" s="35" t="s">
        <v>599</v>
      </c>
      <c r="CH181" s="35">
        <v>1</v>
      </c>
      <c r="CI181" s="35" t="s">
        <v>541</v>
      </c>
      <c r="CJ181" s="35" t="s">
        <v>98</v>
      </c>
      <c r="CK181" s="35">
        <v>62</v>
      </c>
      <c r="CL181" s="35">
        <v>0</v>
      </c>
      <c r="CM181" s="35">
        <v>0</v>
      </c>
      <c r="CN181" s="35" t="s">
        <v>99</v>
      </c>
      <c r="CO181" s="35" t="s">
        <v>97</v>
      </c>
      <c r="CP181" s="35" t="s">
        <v>100</v>
      </c>
      <c r="CQ181" s="35" t="s">
        <v>126</v>
      </c>
      <c r="CR181" s="36">
        <v>46220</v>
      </c>
      <c r="CT181" s="35" t="s">
        <v>549</v>
      </c>
    </row>
    <row r="182" spans="1:98" s="35" customFormat="1" x14ac:dyDescent="0.35">
      <c r="A182" s="34" t="s">
        <v>583</v>
      </c>
      <c r="B182" s="34" t="s">
        <v>618</v>
      </c>
      <c r="C182" s="35" t="s">
        <v>584</v>
      </c>
      <c r="D182" s="35">
        <v>2018</v>
      </c>
      <c r="E182" s="34" t="s">
        <v>585</v>
      </c>
      <c r="F182" s="34" t="s">
        <v>586</v>
      </c>
      <c r="G182" s="35" t="s">
        <v>78</v>
      </c>
      <c r="H182" s="35">
        <v>1</v>
      </c>
      <c r="I182" s="35" t="s">
        <v>390</v>
      </c>
      <c r="J182" s="35" t="s">
        <v>79</v>
      </c>
      <c r="K182" s="35">
        <v>366</v>
      </c>
      <c r="L182" s="35" t="s">
        <v>129</v>
      </c>
      <c r="M182" s="35" t="s">
        <v>380</v>
      </c>
      <c r="N182" s="35">
        <v>-0.01</v>
      </c>
      <c r="O182" s="35">
        <v>1E-3</v>
      </c>
      <c r="P182" s="89">
        <f t="shared" si="55"/>
        <v>-10</v>
      </c>
      <c r="Q182" s="35" t="s">
        <v>312</v>
      </c>
      <c r="R182" s="89">
        <f t="shared" si="56"/>
        <v>-1.196E-2</v>
      </c>
      <c r="S182" s="89">
        <f t="shared" si="57"/>
        <v>-8.0400000000000003E-3</v>
      </c>
      <c r="T182" s="35">
        <v>1</v>
      </c>
      <c r="U182" s="35">
        <v>624358</v>
      </c>
      <c r="V182" s="35" t="s">
        <v>312</v>
      </c>
      <c r="W182" s="35" t="s">
        <v>312</v>
      </c>
      <c r="X182" s="35">
        <f t="shared" si="58"/>
        <v>624358</v>
      </c>
      <c r="Y182" s="89">
        <f t="shared" si="59"/>
        <v>-1.2654598864846385E-2</v>
      </c>
      <c r="Z182" s="89">
        <f t="shared" si="60"/>
        <v>1.2654598864846385E-3</v>
      </c>
      <c r="AA182" s="89">
        <f t="shared" si="70"/>
        <v>-1.2654598864846385E-2</v>
      </c>
      <c r="AB182" s="35" t="s">
        <v>81</v>
      </c>
      <c r="AC182" s="89">
        <f t="shared" si="68"/>
        <v>-1.3180169286577996E-2</v>
      </c>
      <c r="AD182" s="89" cm="1">
        <f t="array" ref="AD182">_xlfn.IFS(
AND(L182="marginal_effect",M182="level"),N182*AN182/BF182,
AND(L182="marginal_effect",M182="sd (Y)"),N182*BH182*AN182/BF182,
AND(L182="marginal_effect",M182="sd (X)"),N182/AQ182*AN182/BF182,
AND(L182="semi_elasticity",M182="level"),N182*AN182,
AND(L182="semi_elasticity",M182="sd (Y)"),N182*AN182*BH182,
AND(L182="semi_elasticity",M182="sd (X)"),N182*AN182/AQ182,
AND(L182="level-log",M182="level"),N182/BF182,
AND(L182="level-log",M182="sd (X)"),N182/BF182/AQ182,
AND(L182="level-log",M182="sd (Y)"),N182/BF182*BH182,
AND(L182="elasticity",M182="level"),N182,
AND(L182="elasticity",M182="sd (X)"),N182/AQ182,
AND(L182="elasticity",M182="sd (Y)"),N182*BH182,
AND(L182="marginal_effect",M182="percent_of_mean"),N182*AN182/BF182/10)</f>
        <v>-1.3180169286577996E-2</v>
      </c>
      <c r="AE182" s="49">
        <f t="shared" si="61"/>
        <v>1</v>
      </c>
      <c r="AF182" s="89">
        <f t="shared" si="69"/>
        <v>1.3180169286577993E-3</v>
      </c>
      <c r="AG182" s="89" cm="1">
        <f t="array" ref="AG182">_xlfn.IFS(
AND(L182="marginal_effect",M182="level"),O182*AN182/BF182,
AND(L182="marginal_effect",M182="sd (Y)"),O182*BH182*AN182/BF182,
AND(L182="marginal_effect",M182="sd (X)"),O182/AQ182*AN182/BF182,
AND(L182="semi_elasticity",M182="level"),O182*AN182,
AND(L182="semi_elasticity",M182="sd (Y)"),O182*AN182*BH182,
AND(L182="semi_elasticity",M182="sd (X)"),O182*AN182/AQ182,
AND(L182="level-log",M182="level"),O182/BF182,
AND(L182="level-log",M182="sd (X)"),O182/BF182/AQ182,
AND(L182="level-log",M182="sd (Y)"),O182/BF182*BH182,
AND(L182="elasticity",M182="level"),O182,
AND(L182="elasticity",M182="sd (X)"),O182/AQ182,
AND(L182="elasticity",M182="sd (Y)"),O182*BH182,
AND(L182="marginal_effect",M182="percent_of_mean"),O182*AN182/BF182/10)</f>
        <v>1.3180169286577993E-3</v>
      </c>
      <c r="AH182" s="49">
        <f t="shared" si="62"/>
        <v>1</v>
      </c>
      <c r="AI182" s="89">
        <f t="shared" si="71"/>
        <v>-1.3180169286577996E-2</v>
      </c>
      <c r="AJ182" s="35">
        <v>0</v>
      </c>
      <c r="AK182" s="49">
        <f t="shared" si="63"/>
        <v>1</v>
      </c>
      <c r="AL182" s="35" t="s">
        <v>82</v>
      </c>
      <c r="AM182" s="35" t="s">
        <v>296</v>
      </c>
      <c r="AN182" s="35">
        <v>1.0900000000000001</v>
      </c>
      <c r="AO182" s="35">
        <v>0</v>
      </c>
      <c r="AP182" s="35">
        <f>AN182*10</f>
        <v>10.9</v>
      </c>
      <c r="AQ182" s="35">
        <v>0.57999999999999996</v>
      </c>
      <c r="AR182" s="35" t="s">
        <v>312</v>
      </c>
      <c r="AS182" s="35" t="s">
        <v>312</v>
      </c>
      <c r="AT182" s="35" t="s">
        <v>83</v>
      </c>
      <c r="AU182" s="35" t="s">
        <v>109</v>
      </c>
      <c r="AV182" s="35" t="s">
        <v>133</v>
      </c>
      <c r="AW182" s="35" t="s">
        <v>134</v>
      </c>
      <c r="AX182" s="35" t="s">
        <v>86</v>
      </c>
      <c r="AY182" s="35">
        <v>0</v>
      </c>
      <c r="AZ182" s="35">
        <v>0</v>
      </c>
      <c r="BA182" s="58" t="s">
        <v>111</v>
      </c>
      <c r="BB182" s="35" t="s">
        <v>88</v>
      </c>
      <c r="BC182" s="35" t="s">
        <v>587</v>
      </c>
      <c r="BD182" s="35" t="s">
        <v>114</v>
      </c>
      <c r="BE182" s="35" t="s">
        <v>595</v>
      </c>
      <c r="BF182" s="35">
        <v>0.82699999999999996</v>
      </c>
      <c r="BG182" s="35">
        <v>0</v>
      </c>
      <c r="BH182" s="35">
        <v>0.378</v>
      </c>
      <c r="BI182" s="35" t="s">
        <v>312</v>
      </c>
      <c r="BJ182" s="35" t="s">
        <v>312</v>
      </c>
      <c r="BK182" s="35" t="s">
        <v>91</v>
      </c>
      <c r="BL182" s="35" t="s">
        <v>84</v>
      </c>
      <c r="BM182" s="35">
        <v>1</v>
      </c>
      <c r="BN182" s="35" t="s">
        <v>539</v>
      </c>
      <c r="BO182" s="35" t="s">
        <v>589</v>
      </c>
      <c r="BP182" s="35" t="s">
        <v>588</v>
      </c>
      <c r="BQ182" s="35" t="s">
        <v>92</v>
      </c>
      <c r="BR182" s="35" t="s">
        <v>312</v>
      </c>
      <c r="BS182" s="35" t="s">
        <v>312</v>
      </c>
      <c r="BT182" s="35" t="s">
        <v>312</v>
      </c>
      <c r="BU182" s="35">
        <v>2008</v>
      </c>
      <c r="BV182" s="35">
        <v>2015</v>
      </c>
      <c r="BW182" s="35" t="s">
        <v>596</v>
      </c>
      <c r="BX182" s="35" t="s">
        <v>95</v>
      </c>
      <c r="BY182" s="35" t="s">
        <v>592</v>
      </c>
      <c r="BZ182" s="35">
        <v>0</v>
      </c>
      <c r="CA182" s="35">
        <v>0</v>
      </c>
      <c r="CB182" s="35" t="s">
        <v>97</v>
      </c>
      <c r="CC182" s="35" t="s">
        <v>624</v>
      </c>
      <c r="CD182" s="35">
        <v>0</v>
      </c>
      <c r="CE182" s="35" t="s">
        <v>97</v>
      </c>
      <c r="CF182" s="35">
        <v>1</v>
      </c>
      <c r="CG182" s="35" t="s">
        <v>597</v>
      </c>
      <c r="CH182" s="35">
        <v>1</v>
      </c>
      <c r="CI182" s="35" t="s">
        <v>541</v>
      </c>
      <c r="CJ182" s="35" t="s">
        <v>98</v>
      </c>
      <c r="CK182" s="35">
        <v>62</v>
      </c>
      <c r="CL182" s="35">
        <v>0</v>
      </c>
      <c r="CM182" s="35">
        <v>0</v>
      </c>
      <c r="CN182" s="35" t="s">
        <v>99</v>
      </c>
      <c r="CO182" s="35" t="s">
        <v>97</v>
      </c>
      <c r="CP182" s="35" t="s">
        <v>100</v>
      </c>
      <c r="CQ182" s="35" t="s">
        <v>126</v>
      </c>
      <c r="CR182" s="36">
        <v>46220</v>
      </c>
      <c r="CT182" s="35" t="s">
        <v>543</v>
      </c>
    </row>
    <row r="183" spans="1:98" s="35" customFormat="1" x14ac:dyDescent="0.35">
      <c r="A183" s="34" t="s">
        <v>583</v>
      </c>
      <c r="B183" s="34" t="s">
        <v>619</v>
      </c>
      <c r="C183" s="35" t="s">
        <v>584</v>
      </c>
      <c r="D183" s="35">
        <v>2018</v>
      </c>
      <c r="E183" s="34" t="s">
        <v>585</v>
      </c>
      <c r="F183" s="34" t="s">
        <v>586</v>
      </c>
      <c r="G183" s="35" t="s">
        <v>78</v>
      </c>
      <c r="H183" s="35">
        <v>1</v>
      </c>
      <c r="I183" s="35" t="s">
        <v>390</v>
      </c>
      <c r="J183" s="35" t="s">
        <v>79</v>
      </c>
      <c r="K183" s="35">
        <v>366</v>
      </c>
      <c r="L183" s="35" t="s">
        <v>129</v>
      </c>
      <c r="M183" s="35" t="s">
        <v>380</v>
      </c>
      <c r="N183" s="35">
        <v>-2.1000000000000001E-2</v>
      </c>
      <c r="O183" s="35">
        <v>8.0000000000000002E-3</v>
      </c>
      <c r="P183" s="89">
        <f t="shared" si="55"/>
        <v>-2.625</v>
      </c>
      <c r="Q183" s="35" t="s">
        <v>312</v>
      </c>
      <c r="R183" s="89">
        <f t="shared" si="56"/>
        <v>-3.6680000000000004E-2</v>
      </c>
      <c r="S183" s="89">
        <f t="shared" si="57"/>
        <v>-5.3200000000000018E-3</v>
      </c>
      <c r="T183" s="35">
        <v>1</v>
      </c>
      <c r="U183" s="35">
        <v>624358</v>
      </c>
      <c r="V183" s="35" t="s">
        <v>312</v>
      </c>
      <c r="W183" s="35" t="s">
        <v>312</v>
      </c>
      <c r="X183" s="35">
        <f t="shared" si="58"/>
        <v>624358</v>
      </c>
      <c r="Y183" s="89">
        <f t="shared" si="59"/>
        <v>-3.3220798794578498E-3</v>
      </c>
      <c r="Z183" s="89">
        <f t="shared" si="60"/>
        <v>1.2655542397934667E-3</v>
      </c>
      <c r="AA183" s="89">
        <f t="shared" si="70"/>
        <v>-3.3220798794578498E-3</v>
      </c>
      <c r="AB183" s="35" t="s">
        <v>81</v>
      </c>
      <c r="AC183" s="89">
        <f t="shared" si="68"/>
        <v>-7.4909310761789609E-3</v>
      </c>
      <c r="AD183" s="89" cm="1">
        <f t="array" ref="AD183">_xlfn.IFS(
AND(L183="marginal_effect",M183="level"),N183*AN183/BF183,
AND(L183="marginal_effect",M183="sd (Y)"),N183*BH183*AN183/BF183,
AND(L183="marginal_effect",M183="sd (X)"),N183/AQ183*AN183/BF183,
AND(L183="semi_elasticity",M183="level"),N183*AN183,
AND(L183="semi_elasticity",M183="sd (Y)"),N183*AN183*BH183,
AND(L183="semi_elasticity",M183="sd (X)"),N183*AN183/AQ183,
AND(L183="level-log",M183="level"),N183/BF183,
AND(L183="level-log",M183="sd (X)"),N183/BF183/AQ183,
AND(L183="level-log",M183="sd (Y)"),N183/BF183*BH183,
AND(L183="elasticity",M183="level"),N183,
AND(L183="elasticity",M183="sd (X)"),N183/AQ183,
AND(L183="elasticity",M183="sd (Y)"),N183*BH183,
AND(L183="marginal_effect",M183="percent_of_mean"),N183*AN183/BF183/10)</f>
        <v>-7.4909310761789609E-3</v>
      </c>
      <c r="AE183" s="49">
        <f t="shared" si="61"/>
        <v>1</v>
      </c>
      <c r="AF183" s="89">
        <f t="shared" si="69"/>
        <v>2.8536880290205564E-3</v>
      </c>
      <c r="AG183" s="89" cm="1">
        <f t="array" ref="AG183">_xlfn.IFS(
AND(L183="marginal_effect",M183="level"),O183*AN183/BF183,
AND(L183="marginal_effect",M183="sd (Y)"),O183*BH183*AN183/BF183,
AND(L183="marginal_effect",M183="sd (X)"),O183/AQ183*AN183/BF183,
AND(L183="semi_elasticity",M183="level"),O183*AN183,
AND(L183="semi_elasticity",M183="sd (Y)"),O183*AN183*BH183,
AND(L183="semi_elasticity",M183="sd (X)"),O183*AN183/AQ183,
AND(L183="level-log",M183="level"),O183/BF183,
AND(L183="level-log",M183="sd (X)"),O183/BF183/AQ183,
AND(L183="level-log",M183="sd (Y)"),O183/BF183*BH183,
AND(L183="elasticity",M183="level"),O183,
AND(L183="elasticity",M183="sd (X)"),O183/AQ183,
AND(L183="elasticity",M183="sd (Y)"),O183*BH183,
AND(L183="marginal_effect",M183="percent_of_mean"),O183*AN183/BF183/10)</f>
        <v>2.8536880290205564E-3</v>
      </c>
      <c r="AH183" s="49">
        <f t="shared" si="62"/>
        <v>1</v>
      </c>
      <c r="AI183" s="89">
        <f t="shared" si="71"/>
        <v>-7.4909310761789609E-3</v>
      </c>
      <c r="AJ183" s="35">
        <v>0</v>
      </c>
      <c r="AK183" s="49">
        <f t="shared" si="63"/>
        <v>1</v>
      </c>
      <c r="AL183" s="35" t="s">
        <v>162</v>
      </c>
      <c r="AM183" s="35" t="s">
        <v>590</v>
      </c>
      <c r="AN183" s="35">
        <v>0.29499999999999998</v>
      </c>
      <c r="AO183" s="35">
        <v>0</v>
      </c>
      <c r="AP183" s="35">
        <f>AN183</f>
        <v>0.29499999999999998</v>
      </c>
      <c r="AQ183" s="35">
        <v>0.13900000000000001</v>
      </c>
      <c r="AR183" s="35" t="s">
        <v>312</v>
      </c>
      <c r="AS183" s="35" t="s">
        <v>312</v>
      </c>
      <c r="AT183" s="35" t="s">
        <v>83</v>
      </c>
      <c r="AU183" s="35" t="s">
        <v>109</v>
      </c>
      <c r="AV183" s="35" t="s">
        <v>133</v>
      </c>
      <c r="AW183" s="35" t="s">
        <v>134</v>
      </c>
      <c r="AX183" s="35" t="s">
        <v>86</v>
      </c>
      <c r="AY183" s="35">
        <v>0</v>
      </c>
      <c r="AZ183" s="35">
        <v>0</v>
      </c>
      <c r="BA183" s="58" t="s">
        <v>111</v>
      </c>
      <c r="BB183" s="35" t="s">
        <v>88</v>
      </c>
      <c r="BC183" s="35" t="s">
        <v>587</v>
      </c>
      <c r="BD183" s="35" t="s">
        <v>114</v>
      </c>
      <c r="BE183" s="35" t="s">
        <v>595</v>
      </c>
      <c r="BF183" s="35">
        <v>0.82699999999999996</v>
      </c>
      <c r="BG183" s="35">
        <v>0</v>
      </c>
      <c r="BH183" s="35">
        <v>0.378</v>
      </c>
      <c r="BI183" s="35" t="s">
        <v>312</v>
      </c>
      <c r="BJ183" s="35" t="s">
        <v>312</v>
      </c>
      <c r="BK183" s="35" t="s">
        <v>91</v>
      </c>
      <c r="BL183" s="35" t="s">
        <v>84</v>
      </c>
      <c r="BM183" s="35">
        <v>1</v>
      </c>
      <c r="BN183" s="35" t="s">
        <v>539</v>
      </c>
      <c r="BO183" s="35" t="s">
        <v>589</v>
      </c>
      <c r="BP183" s="35" t="s">
        <v>588</v>
      </c>
      <c r="BQ183" s="35" t="s">
        <v>92</v>
      </c>
      <c r="BR183" s="35" t="s">
        <v>312</v>
      </c>
      <c r="BS183" s="35" t="s">
        <v>312</v>
      </c>
      <c r="BT183" s="35" t="s">
        <v>312</v>
      </c>
      <c r="BU183" s="35">
        <v>2008</v>
      </c>
      <c r="BV183" s="35">
        <v>2015</v>
      </c>
      <c r="BW183" s="35" t="s">
        <v>596</v>
      </c>
      <c r="BX183" s="35" t="s">
        <v>95</v>
      </c>
      <c r="BY183" s="35" t="s">
        <v>592</v>
      </c>
      <c r="BZ183" s="35">
        <v>0</v>
      </c>
      <c r="CA183" s="35">
        <v>0</v>
      </c>
      <c r="CB183" s="35" t="s">
        <v>97</v>
      </c>
      <c r="CC183" s="35" t="s">
        <v>624</v>
      </c>
      <c r="CD183" s="35">
        <v>0</v>
      </c>
      <c r="CE183" s="35" t="s">
        <v>97</v>
      </c>
      <c r="CF183" s="35">
        <v>1</v>
      </c>
      <c r="CG183" s="35" t="s">
        <v>598</v>
      </c>
      <c r="CH183" s="35">
        <v>1</v>
      </c>
      <c r="CI183" s="35" t="s">
        <v>541</v>
      </c>
      <c r="CJ183" s="35" t="s">
        <v>98</v>
      </c>
      <c r="CK183" s="35">
        <v>62</v>
      </c>
      <c r="CL183" s="35">
        <v>0</v>
      </c>
      <c r="CM183" s="35">
        <v>0</v>
      </c>
      <c r="CN183" s="35" t="s">
        <v>99</v>
      </c>
      <c r="CO183" s="35" t="s">
        <v>97</v>
      </c>
      <c r="CP183" s="35" t="s">
        <v>100</v>
      </c>
      <c r="CQ183" s="35" t="s">
        <v>600</v>
      </c>
      <c r="CR183" s="36">
        <v>46220</v>
      </c>
      <c r="CT183" s="35" t="s">
        <v>543</v>
      </c>
    </row>
    <row r="184" spans="1:98" s="35" customFormat="1" x14ac:dyDescent="0.35">
      <c r="A184" s="34" t="s">
        <v>583</v>
      </c>
      <c r="B184" s="34" t="s">
        <v>620</v>
      </c>
      <c r="C184" s="35" t="s">
        <v>584</v>
      </c>
      <c r="D184" s="35">
        <v>2018</v>
      </c>
      <c r="E184" s="34" t="s">
        <v>585</v>
      </c>
      <c r="F184" s="34" t="s">
        <v>586</v>
      </c>
      <c r="G184" s="35" t="s">
        <v>78</v>
      </c>
      <c r="H184" s="35">
        <v>1</v>
      </c>
      <c r="I184" s="35" t="s">
        <v>390</v>
      </c>
      <c r="J184" s="35" t="s">
        <v>79</v>
      </c>
      <c r="K184" s="35">
        <v>366</v>
      </c>
      <c r="L184" s="35" t="s">
        <v>129</v>
      </c>
      <c r="M184" s="35" t="s">
        <v>380</v>
      </c>
      <c r="N184" s="35">
        <v>7.3999999999999996E-2</v>
      </c>
      <c r="O184" s="35">
        <v>5.0999999999999997E-2</v>
      </c>
      <c r="P184" s="89">
        <f t="shared" si="55"/>
        <v>1.4509803921568627</v>
      </c>
      <c r="Q184" s="35" t="s">
        <v>312</v>
      </c>
      <c r="R184" s="89">
        <f t="shared" si="56"/>
        <v>-2.5959999999999997E-2</v>
      </c>
      <c r="S184" s="89">
        <f t="shared" si="57"/>
        <v>0.17396</v>
      </c>
      <c r="T184" s="35">
        <v>1</v>
      </c>
      <c r="U184" s="35">
        <v>624358</v>
      </c>
      <c r="V184" s="35" t="s">
        <v>312</v>
      </c>
      <c r="W184" s="35" t="s">
        <v>312</v>
      </c>
      <c r="X184" s="35">
        <f t="shared" si="58"/>
        <v>624358</v>
      </c>
      <c r="Y184" s="89">
        <f t="shared" si="59"/>
        <v>1.8363014240900428E-3</v>
      </c>
      <c r="Z184" s="89">
        <f t="shared" si="60"/>
        <v>1.2655590895755699E-3</v>
      </c>
      <c r="AA184" s="89">
        <f t="shared" si="70"/>
        <v>1.8363014240900428E-3</v>
      </c>
      <c r="AB184" s="35" t="s">
        <v>81</v>
      </c>
      <c r="AC184" s="89">
        <f t="shared" si="68"/>
        <v>3.0423216444981863E-3</v>
      </c>
      <c r="AD184" s="89" cm="1">
        <f t="array" ref="AD184">_xlfn.IFS(
AND(L184="marginal_effect",M184="level"),N184*AN184/BF184,
AND(L184="marginal_effect",M184="sd (Y)"),N184*BH184*AN184/BF184,
AND(L184="marginal_effect",M184="sd (X)"),N184/AQ184*AN184/BF184,
AND(L184="semi_elasticity",M184="level"),N184*AN184,
AND(L184="semi_elasticity",M184="sd (Y)"),N184*AN184*BH184,
AND(L184="semi_elasticity",M184="sd (X)"),N184*AN184/AQ184,
AND(L184="level-log",M184="level"),N184/BF184,
AND(L184="level-log",M184="sd (X)"),N184/BF184/AQ184,
AND(L184="level-log",M184="sd (Y)"),N184/BF184*BH184,
AND(L184="elasticity",M184="level"),N184,
AND(L184="elasticity",M184="sd (X)"),N184/AQ184,
AND(L184="elasticity",M184="sd (Y)"),N184*BH184,
AND(L184="marginal_effect",M184="percent_of_mean"),N184*AN184/BF184/10)</f>
        <v>3.0423216444981863E-3</v>
      </c>
      <c r="AE184" s="49">
        <f t="shared" si="61"/>
        <v>1</v>
      </c>
      <c r="AF184" s="89">
        <f t="shared" si="69"/>
        <v>2.096735187424426E-3</v>
      </c>
      <c r="AG184" s="89" cm="1">
        <f t="array" ref="AG184">_xlfn.IFS(
AND(L184="marginal_effect",M184="level"),O184*AN184/BF184,
AND(L184="marginal_effect",M184="sd (Y)"),O184*BH184*AN184/BF184,
AND(L184="marginal_effect",M184="sd (X)"),O184/AQ184*AN184/BF184,
AND(L184="semi_elasticity",M184="level"),O184*AN184,
AND(L184="semi_elasticity",M184="sd (Y)"),O184*AN184*BH184,
AND(L184="semi_elasticity",M184="sd (X)"),O184*AN184/AQ184,
AND(L184="level-log",M184="level"),O184/BF184,
AND(L184="level-log",M184="sd (X)"),O184/BF184/AQ184,
AND(L184="level-log",M184="sd (Y)"),O184/BF184*BH184,
AND(L184="elasticity",M184="level"),O184,
AND(L184="elasticity",M184="sd (X)"),O184/AQ184,
AND(L184="elasticity",M184="sd (Y)"),O184*BH184,
AND(L184="marginal_effect",M184="percent_of_mean"),O184*AN184/BF184/10)</f>
        <v>2.096735187424426E-3</v>
      </c>
      <c r="AH184" s="49">
        <f t="shared" si="62"/>
        <v>1</v>
      </c>
      <c r="AI184" s="89">
        <f t="shared" si="71"/>
        <v>3.0423216444981863E-3</v>
      </c>
      <c r="AJ184" s="35">
        <v>0</v>
      </c>
      <c r="AK184" s="49">
        <f t="shared" si="63"/>
        <v>1</v>
      </c>
      <c r="AL184" s="35" t="s">
        <v>148</v>
      </c>
      <c r="AM184" s="35" t="s">
        <v>590</v>
      </c>
      <c r="AN184" s="35">
        <f>0.034</f>
        <v>3.4000000000000002E-2</v>
      </c>
      <c r="AO184" s="35">
        <v>0</v>
      </c>
      <c r="AP184" s="35">
        <f>AN184</f>
        <v>3.4000000000000002E-2</v>
      </c>
      <c r="AQ184" s="35">
        <v>1.4999999999999999E-2</v>
      </c>
      <c r="AR184" s="35" t="s">
        <v>312</v>
      </c>
      <c r="AS184" s="35" t="s">
        <v>312</v>
      </c>
      <c r="AT184" s="35" t="s">
        <v>83</v>
      </c>
      <c r="AU184" s="35" t="s">
        <v>109</v>
      </c>
      <c r="AV184" s="35" t="s">
        <v>133</v>
      </c>
      <c r="AW184" s="35" t="s">
        <v>134</v>
      </c>
      <c r="AX184" s="35" t="s">
        <v>86</v>
      </c>
      <c r="AY184" s="35">
        <v>0</v>
      </c>
      <c r="AZ184" s="35">
        <v>0</v>
      </c>
      <c r="BA184" s="58" t="s">
        <v>111</v>
      </c>
      <c r="BB184" s="35" t="s">
        <v>88</v>
      </c>
      <c r="BC184" s="35" t="s">
        <v>587</v>
      </c>
      <c r="BD184" s="35" t="s">
        <v>114</v>
      </c>
      <c r="BE184" s="35" t="s">
        <v>595</v>
      </c>
      <c r="BF184" s="35">
        <v>0.82699999999999996</v>
      </c>
      <c r="BG184" s="35">
        <v>0</v>
      </c>
      <c r="BH184" s="35">
        <v>0.378</v>
      </c>
      <c r="BI184" s="35" t="s">
        <v>312</v>
      </c>
      <c r="BJ184" s="35" t="s">
        <v>312</v>
      </c>
      <c r="BK184" s="35" t="s">
        <v>91</v>
      </c>
      <c r="BL184" s="35" t="s">
        <v>84</v>
      </c>
      <c r="BM184" s="35">
        <v>1</v>
      </c>
      <c r="BN184" s="35" t="s">
        <v>539</v>
      </c>
      <c r="BO184" s="35" t="s">
        <v>589</v>
      </c>
      <c r="BP184" s="35" t="s">
        <v>588</v>
      </c>
      <c r="BQ184" s="35" t="s">
        <v>92</v>
      </c>
      <c r="BR184" s="35" t="s">
        <v>312</v>
      </c>
      <c r="BS184" s="35" t="s">
        <v>312</v>
      </c>
      <c r="BT184" s="35" t="s">
        <v>312</v>
      </c>
      <c r="BU184" s="35">
        <v>2008</v>
      </c>
      <c r="BV184" s="35">
        <v>2015</v>
      </c>
      <c r="BW184" s="35" t="s">
        <v>596</v>
      </c>
      <c r="BX184" s="35" t="s">
        <v>95</v>
      </c>
      <c r="BY184" s="35" t="s">
        <v>592</v>
      </c>
      <c r="BZ184" s="35">
        <v>0</v>
      </c>
      <c r="CA184" s="35">
        <v>0</v>
      </c>
      <c r="CB184" s="35" t="s">
        <v>97</v>
      </c>
      <c r="CC184" s="35" t="s">
        <v>624</v>
      </c>
      <c r="CD184" s="35">
        <v>0</v>
      </c>
      <c r="CE184" s="35" t="s">
        <v>97</v>
      </c>
      <c r="CF184" s="35">
        <v>1</v>
      </c>
      <c r="CG184" s="35" t="s">
        <v>599</v>
      </c>
      <c r="CH184" s="35">
        <v>1</v>
      </c>
      <c r="CI184" s="35" t="s">
        <v>541</v>
      </c>
      <c r="CJ184" s="35" t="s">
        <v>98</v>
      </c>
      <c r="CK184" s="35">
        <v>62</v>
      </c>
      <c r="CL184" s="35">
        <v>0</v>
      </c>
      <c r="CM184" s="35">
        <v>0</v>
      </c>
      <c r="CN184" s="35" t="s">
        <v>99</v>
      </c>
      <c r="CO184" s="35" t="s">
        <v>97</v>
      </c>
      <c r="CP184" s="35" t="s">
        <v>100</v>
      </c>
      <c r="CQ184" s="35" t="s">
        <v>126</v>
      </c>
      <c r="CR184" s="36">
        <v>46220</v>
      </c>
      <c r="CT184" s="35" t="s">
        <v>543</v>
      </c>
    </row>
    <row r="185" spans="1:98" s="35" customFormat="1" x14ac:dyDescent="0.35">
      <c r="A185" s="34" t="s">
        <v>583</v>
      </c>
      <c r="B185" s="34" t="s">
        <v>626</v>
      </c>
      <c r="C185" s="35" t="s">
        <v>584</v>
      </c>
      <c r="D185" s="35">
        <v>2018</v>
      </c>
      <c r="E185" s="34" t="s">
        <v>585</v>
      </c>
      <c r="F185" s="34" t="s">
        <v>586</v>
      </c>
      <c r="G185" s="35" t="s">
        <v>78</v>
      </c>
      <c r="H185" s="35">
        <v>1</v>
      </c>
      <c r="I185" s="35" t="s">
        <v>390</v>
      </c>
      <c r="J185" s="35" t="s">
        <v>79</v>
      </c>
      <c r="K185" s="35">
        <v>366</v>
      </c>
      <c r="L185" s="35" t="s">
        <v>129</v>
      </c>
      <c r="M185" s="35" t="s">
        <v>380</v>
      </c>
      <c r="N185" s="35">
        <v>-3.0000000000000001E-3</v>
      </c>
      <c r="O185" s="35">
        <v>1E-3</v>
      </c>
      <c r="P185" s="89">
        <f t="shared" si="55"/>
        <v>-3</v>
      </c>
      <c r="Q185" s="35" t="s">
        <v>312</v>
      </c>
      <c r="R185" s="89">
        <f t="shared" si="56"/>
        <v>-4.96E-3</v>
      </c>
      <c r="S185" s="89">
        <f t="shared" si="57"/>
        <v>-1.0400000000000001E-3</v>
      </c>
      <c r="T185" s="35">
        <v>1</v>
      </c>
      <c r="U185" s="35">
        <v>623573</v>
      </c>
      <c r="V185" s="35" t="s">
        <v>312</v>
      </c>
      <c r="W185" s="35" t="s">
        <v>312</v>
      </c>
      <c r="X185" s="35">
        <f t="shared" si="58"/>
        <v>623573</v>
      </c>
      <c r="Y185" s="89">
        <f t="shared" si="59"/>
        <v>-3.7990452763665456E-3</v>
      </c>
      <c r="Z185" s="89">
        <f t="shared" si="60"/>
        <v>1.266348425455515E-3</v>
      </c>
      <c r="AA185" s="89">
        <f t="shared" si="70"/>
        <v>-3.7990452763665456E-3</v>
      </c>
      <c r="AB185" s="35" t="s">
        <v>81</v>
      </c>
      <c r="AC185" s="89">
        <f t="shared" ref="AC185:AC216" si="72">N185*AN185/BF185</f>
        <v>-3.9540507859733981E-3</v>
      </c>
      <c r="AD185" s="89" cm="1">
        <f t="array" ref="AD185">_xlfn.IFS(
AND(L185="marginal_effect",M185="level"),N185*AN185/BF185,
AND(L185="marginal_effect",M185="sd (Y)"),N185*BH185*AN185/BF185,
AND(L185="marginal_effect",M185="sd (X)"),N185/AQ185*AN185/BF185,
AND(L185="semi_elasticity",M185="level"),N185*AN185,
AND(L185="semi_elasticity",M185="sd (Y)"),N185*AN185*BH185,
AND(L185="semi_elasticity",M185="sd (X)"),N185*AN185/AQ185,
AND(L185="level-log",M185="level"),N185/BF185,
AND(L185="level-log",M185="sd (X)"),N185/BF185/AQ185,
AND(L185="level-log",M185="sd (Y)"),N185/BF185*BH185,
AND(L185="elasticity",M185="level"),N185,
AND(L185="elasticity",M185="sd (X)"),N185/AQ185,
AND(L185="elasticity",M185="sd (Y)"),N185*BH185,
AND(L185="marginal_effect",M185="percent_of_mean"),N185*AN185/BF185/10)</f>
        <v>-3.9540507859733981E-3</v>
      </c>
      <c r="AE185" s="49">
        <f t="shared" si="61"/>
        <v>1</v>
      </c>
      <c r="AF185" s="89">
        <f t="shared" ref="AF185:AF216" si="73">O185*AN185/BF185</f>
        <v>1.3180169286577993E-3</v>
      </c>
      <c r="AG185" s="89" cm="1">
        <f t="array" ref="AG185">_xlfn.IFS(
AND(L185="marginal_effect",M185="level"),O185*AN185/BF185,
AND(L185="marginal_effect",M185="sd (Y)"),O185*BH185*AN185/BF185,
AND(L185="marginal_effect",M185="sd (X)"),O185/AQ185*AN185/BF185,
AND(L185="semi_elasticity",M185="level"),O185*AN185,
AND(L185="semi_elasticity",M185="sd (Y)"),O185*AN185*BH185,
AND(L185="semi_elasticity",M185="sd (X)"),O185*AN185/AQ185,
AND(L185="level-log",M185="level"),O185/BF185,
AND(L185="level-log",M185="sd (X)"),O185/BF185/AQ185,
AND(L185="level-log",M185="sd (Y)"),O185/BF185*BH185,
AND(L185="elasticity",M185="level"),O185,
AND(L185="elasticity",M185="sd (X)"),O185/AQ185,
AND(L185="elasticity",M185="sd (Y)"),O185*BH185,
AND(L185="marginal_effect",M185="percent_of_mean"),O185*AN185/BF185/10)</f>
        <v>1.3180169286577993E-3</v>
      </c>
      <c r="AH185" s="49">
        <f t="shared" si="62"/>
        <v>1</v>
      </c>
      <c r="AI185" s="89">
        <f t="shared" si="71"/>
        <v>-3.9540507859733981E-3</v>
      </c>
      <c r="AJ185" s="35">
        <v>0</v>
      </c>
      <c r="AK185" s="49">
        <f t="shared" si="63"/>
        <v>1</v>
      </c>
      <c r="AL185" s="35" t="s">
        <v>82</v>
      </c>
      <c r="AM185" s="35" t="s">
        <v>296</v>
      </c>
      <c r="AN185" s="35">
        <v>1.0900000000000001</v>
      </c>
      <c r="AO185" s="35">
        <v>0</v>
      </c>
      <c r="AP185" s="35">
        <f>AN185*10</f>
        <v>10.9</v>
      </c>
      <c r="AQ185" s="35">
        <v>0.57999999999999996</v>
      </c>
      <c r="AR185" s="35" t="s">
        <v>312</v>
      </c>
      <c r="AS185" s="35" t="s">
        <v>312</v>
      </c>
      <c r="AT185" s="35" t="s">
        <v>83</v>
      </c>
      <c r="AU185" s="35" t="s">
        <v>109</v>
      </c>
      <c r="AV185" s="35" t="s">
        <v>133</v>
      </c>
      <c r="AW185" s="35" t="s">
        <v>134</v>
      </c>
      <c r="AX185" s="35" t="s">
        <v>86</v>
      </c>
      <c r="AY185" s="35">
        <v>0</v>
      </c>
      <c r="AZ185" s="35">
        <v>0</v>
      </c>
      <c r="BA185" s="58" t="s">
        <v>111</v>
      </c>
      <c r="BB185" s="35" t="s">
        <v>88</v>
      </c>
      <c r="BC185" s="35" t="s">
        <v>587</v>
      </c>
      <c r="BD185" s="35" t="s">
        <v>114</v>
      </c>
      <c r="BE185" s="35" t="s">
        <v>595</v>
      </c>
      <c r="BF185" s="35">
        <v>0.82699999999999996</v>
      </c>
      <c r="BG185" s="35">
        <v>0</v>
      </c>
      <c r="BH185" s="35">
        <v>0.378</v>
      </c>
      <c r="BI185" s="35" t="s">
        <v>312</v>
      </c>
      <c r="BJ185" s="35" t="s">
        <v>312</v>
      </c>
      <c r="BK185" s="35" t="s">
        <v>91</v>
      </c>
      <c r="BL185" s="35" t="s">
        <v>84</v>
      </c>
      <c r="BM185" s="35">
        <v>1</v>
      </c>
      <c r="BN185" s="35" t="s">
        <v>539</v>
      </c>
      <c r="BO185" s="35" t="s">
        <v>589</v>
      </c>
      <c r="BP185" s="35" t="s">
        <v>588</v>
      </c>
      <c r="BQ185" s="35" t="s">
        <v>92</v>
      </c>
      <c r="BR185" s="35" t="s">
        <v>312</v>
      </c>
      <c r="BS185" s="35" t="s">
        <v>312</v>
      </c>
      <c r="BT185" s="35" t="s">
        <v>312</v>
      </c>
      <c r="BU185" s="35">
        <v>2008</v>
      </c>
      <c r="BV185" s="35">
        <v>2015</v>
      </c>
      <c r="BW185" s="35" t="s">
        <v>596</v>
      </c>
      <c r="BX185" s="35" t="s">
        <v>95</v>
      </c>
      <c r="BY185" s="35" t="s">
        <v>592</v>
      </c>
      <c r="BZ185" s="35">
        <v>0</v>
      </c>
      <c r="CA185" s="35">
        <v>0</v>
      </c>
      <c r="CB185" s="35" t="s">
        <v>97</v>
      </c>
      <c r="CC185" s="35" t="s">
        <v>625</v>
      </c>
      <c r="CD185" s="35">
        <v>0</v>
      </c>
      <c r="CE185" s="35" t="s">
        <v>97</v>
      </c>
      <c r="CF185" s="35">
        <v>1</v>
      </c>
      <c r="CG185" s="35" t="s">
        <v>597</v>
      </c>
      <c r="CH185" s="35">
        <v>1</v>
      </c>
      <c r="CI185" s="35" t="s">
        <v>541</v>
      </c>
      <c r="CJ185" s="35" t="s">
        <v>98</v>
      </c>
      <c r="CK185" s="35">
        <v>62</v>
      </c>
      <c r="CL185" s="35">
        <v>0</v>
      </c>
      <c r="CM185" s="35">
        <v>0</v>
      </c>
      <c r="CN185" s="35" t="s">
        <v>124</v>
      </c>
      <c r="CO185" s="35" t="s">
        <v>97</v>
      </c>
      <c r="CP185" s="35" t="s">
        <v>100</v>
      </c>
      <c r="CQ185" s="35" t="s">
        <v>126</v>
      </c>
      <c r="CR185" s="36">
        <v>46220</v>
      </c>
      <c r="CT185" s="35" t="s">
        <v>450</v>
      </c>
    </row>
    <row r="186" spans="1:98" s="35" customFormat="1" x14ac:dyDescent="0.35">
      <c r="A186" s="34" t="s">
        <v>583</v>
      </c>
      <c r="B186" s="34" t="s">
        <v>627</v>
      </c>
      <c r="C186" s="35" t="s">
        <v>584</v>
      </c>
      <c r="D186" s="35">
        <v>2018</v>
      </c>
      <c r="E186" s="34" t="s">
        <v>585</v>
      </c>
      <c r="F186" s="34" t="s">
        <v>586</v>
      </c>
      <c r="G186" s="35" t="s">
        <v>78</v>
      </c>
      <c r="H186" s="35">
        <v>1</v>
      </c>
      <c r="I186" s="35" t="s">
        <v>390</v>
      </c>
      <c r="J186" s="35" t="s">
        <v>79</v>
      </c>
      <c r="K186" s="35">
        <v>366</v>
      </c>
      <c r="L186" s="35" t="s">
        <v>129</v>
      </c>
      <c r="M186" s="35" t="s">
        <v>380</v>
      </c>
      <c r="N186" s="35">
        <v>-0.02</v>
      </c>
      <c r="O186" s="35">
        <v>8.0000000000000002E-3</v>
      </c>
      <c r="P186" s="89">
        <f t="shared" si="55"/>
        <v>-2.5</v>
      </c>
      <c r="Q186" s="35" t="s">
        <v>312</v>
      </c>
      <c r="R186" s="89">
        <f t="shared" si="56"/>
        <v>-3.5680000000000003E-2</v>
      </c>
      <c r="S186" s="89">
        <f t="shared" si="57"/>
        <v>-4.3200000000000009E-3</v>
      </c>
      <c r="T186" s="35">
        <v>1</v>
      </c>
      <c r="U186" s="35">
        <v>623573</v>
      </c>
      <c r="V186" s="35" t="s">
        <v>312</v>
      </c>
      <c r="W186" s="35" t="s">
        <v>312</v>
      </c>
      <c r="X186" s="35">
        <f t="shared" si="58"/>
        <v>623573</v>
      </c>
      <c r="Y186" s="89">
        <f t="shared" si="59"/>
        <v>-3.1658780444161518E-3</v>
      </c>
      <c r="Z186" s="89">
        <f t="shared" si="60"/>
        <v>1.2663512177664607E-3</v>
      </c>
      <c r="AA186" s="89">
        <f t="shared" si="70"/>
        <v>-3.1658780444161518E-3</v>
      </c>
      <c r="AB186" s="35" t="s">
        <v>81</v>
      </c>
      <c r="AC186" s="89">
        <f t="shared" si="72"/>
        <v>-7.1342200725513904E-3</v>
      </c>
      <c r="AD186" s="89" cm="1">
        <f t="array" ref="AD186">_xlfn.IFS(
AND(L186="marginal_effect",M186="level"),N186*AN186/BF186,
AND(L186="marginal_effect",M186="sd (Y)"),N186*BH186*AN186/BF186,
AND(L186="marginal_effect",M186="sd (X)"),N186/AQ186*AN186/BF186,
AND(L186="semi_elasticity",M186="level"),N186*AN186,
AND(L186="semi_elasticity",M186="sd (Y)"),N186*AN186*BH186,
AND(L186="semi_elasticity",M186="sd (X)"),N186*AN186/AQ186,
AND(L186="level-log",M186="level"),N186/BF186,
AND(L186="level-log",M186="sd (X)"),N186/BF186/AQ186,
AND(L186="level-log",M186="sd (Y)"),N186/BF186*BH186,
AND(L186="elasticity",M186="level"),N186,
AND(L186="elasticity",M186="sd (X)"),N186/AQ186,
AND(L186="elasticity",M186="sd (Y)"),N186*BH186,
AND(L186="marginal_effect",M186="percent_of_mean"),N186*AN186/BF186/10)</f>
        <v>-7.1342200725513904E-3</v>
      </c>
      <c r="AE186" s="49">
        <f t="shared" si="61"/>
        <v>1</v>
      </c>
      <c r="AF186" s="89">
        <f t="shared" si="73"/>
        <v>2.8536880290205564E-3</v>
      </c>
      <c r="AG186" s="89" cm="1">
        <f t="array" ref="AG186">_xlfn.IFS(
AND(L186="marginal_effect",M186="level"),O186*AN186/BF186,
AND(L186="marginal_effect",M186="sd (Y)"),O186*BH186*AN186/BF186,
AND(L186="marginal_effect",M186="sd (X)"),O186/AQ186*AN186/BF186,
AND(L186="semi_elasticity",M186="level"),O186*AN186,
AND(L186="semi_elasticity",M186="sd (Y)"),O186*AN186*BH186,
AND(L186="semi_elasticity",M186="sd (X)"),O186*AN186/AQ186,
AND(L186="level-log",M186="level"),O186/BF186,
AND(L186="level-log",M186="sd (X)"),O186/BF186/AQ186,
AND(L186="level-log",M186="sd (Y)"),O186/BF186*BH186,
AND(L186="elasticity",M186="level"),O186,
AND(L186="elasticity",M186="sd (X)"),O186/AQ186,
AND(L186="elasticity",M186="sd (Y)"),O186*BH186,
AND(L186="marginal_effect",M186="percent_of_mean"),O186*AN186/BF186/10)</f>
        <v>2.8536880290205564E-3</v>
      </c>
      <c r="AH186" s="49">
        <f t="shared" si="62"/>
        <v>1</v>
      </c>
      <c r="AI186" s="89">
        <f t="shared" si="71"/>
        <v>-7.1342200725513904E-3</v>
      </c>
      <c r="AJ186" s="35">
        <v>0</v>
      </c>
      <c r="AK186" s="49">
        <f t="shared" si="63"/>
        <v>1</v>
      </c>
      <c r="AL186" s="35" t="s">
        <v>162</v>
      </c>
      <c r="AM186" s="35" t="s">
        <v>590</v>
      </c>
      <c r="AN186" s="35">
        <v>0.29499999999999998</v>
      </c>
      <c r="AO186" s="35">
        <v>0</v>
      </c>
      <c r="AP186" s="35">
        <f>AN186</f>
        <v>0.29499999999999998</v>
      </c>
      <c r="AQ186" s="35">
        <v>0.13900000000000001</v>
      </c>
      <c r="AR186" s="35" t="s">
        <v>312</v>
      </c>
      <c r="AS186" s="35" t="s">
        <v>312</v>
      </c>
      <c r="AT186" s="35" t="s">
        <v>83</v>
      </c>
      <c r="AU186" s="35" t="s">
        <v>109</v>
      </c>
      <c r="AV186" s="35" t="s">
        <v>133</v>
      </c>
      <c r="AW186" s="35" t="s">
        <v>134</v>
      </c>
      <c r="AX186" s="35" t="s">
        <v>86</v>
      </c>
      <c r="AY186" s="35">
        <v>0</v>
      </c>
      <c r="AZ186" s="35">
        <v>0</v>
      </c>
      <c r="BA186" s="58" t="s">
        <v>111</v>
      </c>
      <c r="BB186" s="35" t="s">
        <v>88</v>
      </c>
      <c r="BC186" s="35" t="s">
        <v>587</v>
      </c>
      <c r="BD186" s="35" t="s">
        <v>114</v>
      </c>
      <c r="BE186" s="35" t="s">
        <v>595</v>
      </c>
      <c r="BF186" s="35">
        <v>0.82699999999999996</v>
      </c>
      <c r="BG186" s="35">
        <v>0</v>
      </c>
      <c r="BH186" s="35">
        <v>0.378</v>
      </c>
      <c r="BI186" s="35" t="s">
        <v>312</v>
      </c>
      <c r="BJ186" s="35" t="s">
        <v>312</v>
      </c>
      <c r="BK186" s="35" t="s">
        <v>91</v>
      </c>
      <c r="BL186" s="35" t="s">
        <v>84</v>
      </c>
      <c r="BM186" s="35">
        <v>1</v>
      </c>
      <c r="BN186" s="35" t="s">
        <v>539</v>
      </c>
      <c r="BO186" s="35" t="s">
        <v>589</v>
      </c>
      <c r="BP186" s="35" t="s">
        <v>588</v>
      </c>
      <c r="BQ186" s="35" t="s">
        <v>92</v>
      </c>
      <c r="BR186" s="35" t="s">
        <v>312</v>
      </c>
      <c r="BS186" s="35" t="s">
        <v>312</v>
      </c>
      <c r="BT186" s="35" t="s">
        <v>312</v>
      </c>
      <c r="BU186" s="35">
        <v>2008</v>
      </c>
      <c r="BV186" s="35">
        <v>2015</v>
      </c>
      <c r="BW186" s="35" t="s">
        <v>596</v>
      </c>
      <c r="BX186" s="35" t="s">
        <v>95</v>
      </c>
      <c r="BY186" s="35" t="s">
        <v>592</v>
      </c>
      <c r="BZ186" s="35">
        <v>0</v>
      </c>
      <c r="CA186" s="35">
        <v>0</v>
      </c>
      <c r="CB186" s="35" t="s">
        <v>97</v>
      </c>
      <c r="CC186" s="35" t="s">
        <v>625</v>
      </c>
      <c r="CD186" s="35">
        <v>0</v>
      </c>
      <c r="CE186" s="35" t="s">
        <v>97</v>
      </c>
      <c r="CF186" s="35">
        <v>1</v>
      </c>
      <c r="CG186" s="35" t="s">
        <v>598</v>
      </c>
      <c r="CH186" s="35">
        <v>1</v>
      </c>
      <c r="CI186" s="35" t="s">
        <v>541</v>
      </c>
      <c r="CJ186" s="35" t="s">
        <v>98</v>
      </c>
      <c r="CK186" s="35">
        <v>62</v>
      </c>
      <c r="CL186" s="35">
        <v>0</v>
      </c>
      <c r="CM186" s="35">
        <v>0</v>
      </c>
      <c r="CN186" s="35" t="s">
        <v>124</v>
      </c>
      <c r="CO186" s="35" t="s">
        <v>97</v>
      </c>
      <c r="CP186" s="35" t="s">
        <v>100</v>
      </c>
      <c r="CQ186" s="35" t="s">
        <v>600</v>
      </c>
      <c r="CR186" s="36">
        <v>46220</v>
      </c>
      <c r="CT186" s="35" t="s">
        <v>450</v>
      </c>
    </row>
    <row r="187" spans="1:98" s="35" customFormat="1" x14ac:dyDescent="0.35">
      <c r="A187" s="34" t="s">
        <v>583</v>
      </c>
      <c r="B187" s="34" t="s">
        <v>628</v>
      </c>
      <c r="C187" s="35" t="s">
        <v>584</v>
      </c>
      <c r="D187" s="35">
        <v>2018</v>
      </c>
      <c r="E187" s="34" t="s">
        <v>585</v>
      </c>
      <c r="F187" s="34" t="s">
        <v>586</v>
      </c>
      <c r="G187" s="35" t="s">
        <v>78</v>
      </c>
      <c r="H187" s="35">
        <v>1</v>
      </c>
      <c r="I187" s="35" t="s">
        <v>390</v>
      </c>
      <c r="J187" s="35" t="s">
        <v>79</v>
      </c>
      <c r="K187" s="35">
        <v>366</v>
      </c>
      <c r="L187" s="35" t="s">
        <v>129</v>
      </c>
      <c r="M187" s="35" t="s">
        <v>380</v>
      </c>
      <c r="N187" s="35">
        <v>0.01</v>
      </c>
      <c r="O187" s="35">
        <v>4.2000000000000003E-2</v>
      </c>
      <c r="P187" s="89">
        <f t="shared" si="55"/>
        <v>0.23809523809523808</v>
      </c>
      <c r="Q187" s="35" t="s">
        <v>312</v>
      </c>
      <c r="R187" s="89">
        <f t="shared" si="56"/>
        <v>-7.2320000000000009E-2</v>
      </c>
      <c r="S187" s="89">
        <f t="shared" si="57"/>
        <v>9.2319999999999999E-2</v>
      </c>
      <c r="T187" s="35">
        <v>1</v>
      </c>
      <c r="U187" s="35">
        <v>623573</v>
      </c>
      <c r="V187" s="35" t="s">
        <v>312</v>
      </c>
      <c r="W187" s="35" t="s">
        <v>312</v>
      </c>
      <c r="X187" s="35">
        <f t="shared" si="58"/>
        <v>623573</v>
      </c>
      <c r="Y187" s="89">
        <f t="shared" si="59"/>
        <v>3.0151369200804554E-4</v>
      </c>
      <c r="Z187" s="89">
        <f t="shared" si="60"/>
        <v>1.2663575064337912E-3</v>
      </c>
      <c r="AA187" s="89">
        <f t="shared" si="70"/>
        <v>3.0151369200804554E-4</v>
      </c>
      <c r="AB187" s="35" t="s">
        <v>81</v>
      </c>
      <c r="AC187" s="89">
        <f t="shared" si="72"/>
        <v>4.1112454655380901E-4</v>
      </c>
      <c r="AD187" s="89" cm="1">
        <f t="array" ref="AD187">_xlfn.IFS(
AND(L187="marginal_effect",M187="level"),N187*AN187/BF187,
AND(L187="marginal_effect",M187="sd (Y)"),N187*BH187*AN187/BF187,
AND(L187="marginal_effect",M187="sd (X)"),N187/AQ187*AN187/BF187,
AND(L187="semi_elasticity",M187="level"),N187*AN187,
AND(L187="semi_elasticity",M187="sd (Y)"),N187*AN187*BH187,
AND(L187="semi_elasticity",M187="sd (X)"),N187*AN187/AQ187,
AND(L187="level-log",M187="level"),N187/BF187,
AND(L187="level-log",M187="sd (X)"),N187/BF187/AQ187,
AND(L187="level-log",M187="sd (Y)"),N187/BF187*BH187,
AND(L187="elasticity",M187="level"),N187,
AND(L187="elasticity",M187="sd (X)"),N187/AQ187,
AND(L187="elasticity",M187="sd (Y)"),N187*BH187,
AND(L187="marginal_effect",M187="percent_of_mean"),N187*AN187/BF187/10)</f>
        <v>4.1112454655380901E-4</v>
      </c>
      <c r="AE187" s="49">
        <f t="shared" si="61"/>
        <v>1</v>
      </c>
      <c r="AF187" s="89">
        <f t="shared" si="73"/>
        <v>1.726723095525998E-3</v>
      </c>
      <c r="AG187" s="89" cm="1">
        <f t="array" ref="AG187">_xlfn.IFS(
AND(L187="marginal_effect",M187="level"),O187*AN187/BF187,
AND(L187="marginal_effect",M187="sd (Y)"),O187*BH187*AN187/BF187,
AND(L187="marginal_effect",M187="sd (X)"),O187/AQ187*AN187/BF187,
AND(L187="semi_elasticity",M187="level"),O187*AN187,
AND(L187="semi_elasticity",M187="sd (Y)"),O187*AN187*BH187,
AND(L187="semi_elasticity",M187="sd (X)"),O187*AN187/AQ187,
AND(L187="level-log",M187="level"),O187/BF187,
AND(L187="level-log",M187="sd (X)"),O187/BF187/AQ187,
AND(L187="level-log",M187="sd (Y)"),O187/BF187*BH187,
AND(L187="elasticity",M187="level"),O187,
AND(L187="elasticity",M187="sd (X)"),O187/AQ187,
AND(L187="elasticity",M187="sd (Y)"),O187*BH187,
AND(L187="marginal_effect",M187="percent_of_mean"),O187*AN187/BF187/10)</f>
        <v>1.726723095525998E-3</v>
      </c>
      <c r="AH187" s="49">
        <f t="shared" si="62"/>
        <v>1</v>
      </c>
      <c r="AI187" s="89">
        <f t="shared" si="71"/>
        <v>4.1112454655380901E-4</v>
      </c>
      <c r="AJ187" s="35">
        <v>0</v>
      </c>
      <c r="AK187" s="49">
        <f t="shared" si="63"/>
        <v>1</v>
      </c>
      <c r="AL187" s="35" t="s">
        <v>148</v>
      </c>
      <c r="AM187" s="35" t="s">
        <v>590</v>
      </c>
      <c r="AN187" s="35">
        <f>0.034</f>
        <v>3.4000000000000002E-2</v>
      </c>
      <c r="AO187" s="35">
        <v>0</v>
      </c>
      <c r="AP187" s="35">
        <f>AN187</f>
        <v>3.4000000000000002E-2</v>
      </c>
      <c r="AQ187" s="35">
        <v>1.4999999999999999E-2</v>
      </c>
      <c r="AR187" s="35" t="s">
        <v>312</v>
      </c>
      <c r="AS187" s="35" t="s">
        <v>312</v>
      </c>
      <c r="AT187" s="35" t="s">
        <v>83</v>
      </c>
      <c r="AU187" s="35" t="s">
        <v>109</v>
      </c>
      <c r="AV187" s="35" t="s">
        <v>133</v>
      </c>
      <c r="AW187" s="35" t="s">
        <v>134</v>
      </c>
      <c r="AX187" s="35" t="s">
        <v>86</v>
      </c>
      <c r="AY187" s="35">
        <v>0</v>
      </c>
      <c r="AZ187" s="35">
        <v>0</v>
      </c>
      <c r="BA187" s="58" t="s">
        <v>111</v>
      </c>
      <c r="BB187" s="35" t="s">
        <v>88</v>
      </c>
      <c r="BC187" s="35" t="s">
        <v>587</v>
      </c>
      <c r="BD187" s="35" t="s">
        <v>114</v>
      </c>
      <c r="BE187" s="35" t="s">
        <v>595</v>
      </c>
      <c r="BF187" s="35">
        <v>0.82699999999999996</v>
      </c>
      <c r="BG187" s="35">
        <v>0</v>
      </c>
      <c r="BH187" s="35">
        <v>0.378</v>
      </c>
      <c r="BI187" s="35" t="s">
        <v>312</v>
      </c>
      <c r="BJ187" s="35" t="s">
        <v>312</v>
      </c>
      <c r="BK187" s="35" t="s">
        <v>91</v>
      </c>
      <c r="BL187" s="35" t="s">
        <v>84</v>
      </c>
      <c r="BM187" s="35">
        <v>1</v>
      </c>
      <c r="BN187" s="35" t="s">
        <v>539</v>
      </c>
      <c r="BO187" s="35" t="s">
        <v>589</v>
      </c>
      <c r="BP187" s="35" t="s">
        <v>588</v>
      </c>
      <c r="BQ187" s="35" t="s">
        <v>92</v>
      </c>
      <c r="BR187" s="35" t="s">
        <v>312</v>
      </c>
      <c r="BS187" s="35" t="s">
        <v>312</v>
      </c>
      <c r="BT187" s="35" t="s">
        <v>312</v>
      </c>
      <c r="BU187" s="35">
        <v>2008</v>
      </c>
      <c r="BV187" s="35">
        <v>2015</v>
      </c>
      <c r="BW187" s="35" t="s">
        <v>596</v>
      </c>
      <c r="BX187" s="35" t="s">
        <v>95</v>
      </c>
      <c r="BY187" s="35" t="s">
        <v>592</v>
      </c>
      <c r="BZ187" s="35">
        <v>0</v>
      </c>
      <c r="CA187" s="35">
        <v>0</v>
      </c>
      <c r="CB187" s="35" t="s">
        <v>97</v>
      </c>
      <c r="CC187" s="35" t="s">
        <v>625</v>
      </c>
      <c r="CD187" s="35">
        <v>0</v>
      </c>
      <c r="CE187" s="35" t="s">
        <v>97</v>
      </c>
      <c r="CF187" s="35">
        <v>1</v>
      </c>
      <c r="CG187" s="35" t="s">
        <v>599</v>
      </c>
      <c r="CH187" s="35">
        <v>1</v>
      </c>
      <c r="CI187" s="35" t="s">
        <v>541</v>
      </c>
      <c r="CJ187" s="35" t="s">
        <v>98</v>
      </c>
      <c r="CK187" s="35">
        <v>62</v>
      </c>
      <c r="CL187" s="35">
        <v>0</v>
      </c>
      <c r="CM187" s="35">
        <v>0</v>
      </c>
      <c r="CN187" s="35" t="s">
        <v>124</v>
      </c>
      <c r="CO187" s="35" t="s">
        <v>97</v>
      </c>
      <c r="CP187" s="35" t="s">
        <v>100</v>
      </c>
      <c r="CQ187" s="35" t="s">
        <v>126</v>
      </c>
      <c r="CR187" s="36">
        <v>46220</v>
      </c>
      <c r="CT187" s="35" t="s">
        <v>450</v>
      </c>
    </row>
    <row r="188" spans="1:98" s="35" customFormat="1" x14ac:dyDescent="0.35">
      <c r="A188" s="34" t="s">
        <v>583</v>
      </c>
      <c r="B188" s="34" t="s">
        <v>629</v>
      </c>
      <c r="C188" s="35" t="s">
        <v>584</v>
      </c>
      <c r="D188" s="35">
        <v>2018</v>
      </c>
      <c r="E188" s="34" t="s">
        <v>585</v>
      </c>
      <c r="F188" s="34" t="s">
        <v>586</v>
      </c>
      <c r="G188" s="35" t="s">
        <v>78</v>
      </c>
      <c r="H188" s="35">
        <v>1</v>
      </c>
      <c r="I188" s="35" t="s">
        <v>390</v>
      </c>
      <c r="J188" s="35" t="s">
        <v>79</v>
      </c>
      <c r="K188" s="35">
        <v>366</v>
      </c>
      <c r="L188" s="35" t="s">
        <v>129</v>
      </c>
      <c r="M188" s="35" t="s">
        <v>380</v>
      </c>
      <c r="N188" s="35">
        <v>-4.0000000000000001E-3</v>
      </c>
      <c r="O188" s="35">
        <v>1E-3</v>
      </c>
      <c r="P188" s="89">
        <f t="shared" si="55"/>
        <v>-4</v>
      </c>
      <c r="Q188" s="35" t="s">
        <v>312</v>
      </c>
      <c r="R188" s="89">
        <f t="shared" si="56"/>
        <v>-5.96E-3</v>
      </c>
      <c r="S188" s="89">
        <f t="shared" si="57"/>
        <v>-2.0400000000000001E-3</v>
      </c>
      <c r="T188" s="35">
        <v>1</v>
      </c>
      <c r="U188" s="35">
        <v>510262</v>
      </c>
      <c r="V188" s="35" t="s">
        <v>312</v>
      </c>
      <c r="W188" s="35" t="s">
        <v>312</v>
      </c>
      <c r="X188" s="35">
        <f t="shared" si="58"/>
        <v>510262</v>
      </c>
      <c r="Y188" s="89">
        <f t="shared" si="59"/>
        <v>-5.5995943800741287E-3</v>
      </c>
      <c r="Z188" s="89">
        <f t="shared" si="60"/>
        <v>1.3998985950185324E-3</v>
      </c>
      <c r="AA188" s="89">
        <f t="shared" si="70"/>
        <v>-5.5995943800741287E-3</v>
      </c>
      <c r="AB188" s="35" t="s">
        <v>81</v>
      </c>
      <c r="AC188" s="89">
        <f t="shared" si="72"/>
        <v>-5.2720677146311972E-3</v>
      </c>
      <c r="AD188" s="89" cm="1">
        <f t="array" ref="AD188">_xlfn.IFS(
AND(L188="marginal_effect",M188="level"),N188*AN188/BF188,
AND(L188="marginal_effect",M188="sd (Y)"),N188*BH188*AN188/BF188,
AND(L188="marginal_effect",M188="sd (X)"),N188/AQ188*AN188/BF188,
AND(L188="semi_elasticity",M188="level"),N188*AN188,
AND(L188="semi_elasticity",M188="sd (Y)"),N188*AN188*BH188,
AND(L188="semi_elasticity",M188="sd (X)"),N188*AN188/AQ188,
AND(L188="level-log",M188="level"),N188/BF188,
AND(L188="level-log",M188="sd (X)"),N188/BF188/AQ188,
AND(L188="level-log",M188="sd (Y)"),N188/BF188*BH188,
AND(L188="elasticity",M188="level"),N188,
AND(L188="elasticity",M188="sd (X)"),N188/AQ188,
AND(L188="elasticity",M188="sd (Y)"),N188*BH188,
AND(L188="marginal_effect",M188="percent_of_mean"),N188*AN188/BF188/10)</f>
        <v>-5.2720677146311972E-3</v>
      </c>
      <c r="AE188" s="49">
        <f t="shared" si="61"/>
        <v>1</v>
      </c>
      <c r="AF188" s="89">
        <f t="shared" si="73"/>
        <v>1.3180169286577993E-3</v>
      </c>
      <c r="AG188" s="89" cm="1">
        <f t="array" ref="AG188">_xlfn.IFS(
AND(L188="marginal_effect",M188="level"),O188*AN188/BF188,
AND(L188="marginal_effect",M188="sd (Y)"),O188*BH188*AN188/BF188,
AND(L188="marginal_effect",M188="sd (X)"),O188/AQ188*AN188/BF188,
AND(L188="semi_elasticity",M188="level"),O188*AN188,
AND(L188="semi_elasticity",M188="sd (Y)"),O188*AN188*BH188,
AND(L188="semi_elasticity",M188="sd (X)"),O188*AN188/AQ188,
AND(L188="level-log",M188="level"),O188/BF188,
AND(L188="level-log",M188="sd (X)"),O188/BF188/AQ188,
AND(L188="level-log",M188="sd (Y)"),O188/BF188*BH188,
AND(L188="elasticity",M188="level"),O188,
AND(L188="elasticity",M188="sd (X)"),O188/AQ188,
AND(L188="elasticity",M188="sd (Y)"),O188*BH188,
AND(L188="marginal_effect",M188="percent_of_mean"),O188*AN188/BF188/10)</f>
        <v>1.3180169286577993E-3</v>
      </c>
      <c r="AH188" s="49">
        <f t="shared" si="62"/>
        <v>1</v>
      </c>
      <c r="AI188" s="89">
        <f t="shared" si="71"/>
        <v>-5.2720677146311972E-3</v>
      </c>
      <c r="AJ188" s="35">
        <v>0</v>
      </c>
      <c r="AK188" s="49">
        <f t="shared" si="63"/>
        <v>1</v>
      </c>
      <c r="AL188" s="35" t="s">
        <v>82</v>
      </c>
      <c r="AM188" s="35" t="s">
        <v>296</v>
      </c>
      <c r="AN188" s="35">
        <v>1.0900000000000001</v>
      </c>
      <c r="AO188" s="35">
        <v>0</v>
      </c>
      <c r="AP188" s="35">
        <f>AN188*10</f>
        <v>10.9</v>
      </c>
      <c r="AQ188" s="35">
        <v>0.57999999999999996</v>
      </c>
      <c r="AR188" s="35" t="s">
        <v>312</v>
      </c>
      <c r="AS188" s="35" t="s">
        <v>312</v>
      </c>
      <c r="AT188" s="35" t="s">
        <v>83</v>
      </c>
      <c r="AU188" s="35" t="s">
        <v>109</v>
      </c>
      <c r="AV188" s="35" t="s">
        <v>133</v>
      </c>
      <c r="AW188" s="35" t="s">
        <v>134</v>
      </c>
      <c r="AX188" s="35" t="s">
        <v>86</v>
      </c>
      <c r="AY188" s="35">
        <v>0</v>
      </c>
      <c r="AZ188" s="35">
        <v>0</v>
      </c>
      <c r="BA188" s="58" t="s">
        <v>111</v>
      </c>
      <c r="BB188" s="35" t="s">
        <v>88</v>
      </c>
      <c r="BC188" s="35" t="s">
        <v>587</v>
      </c>
      <c r="BD188" s="35" t="s">
        <v>114</v>
      </c>
      <c r="BE188" s="35" t="s">
        <v>595</v>
      </c>
      <c r="BF188" s="35">
        <v>0.82699999999999996</v>
      </c>
      <c r="BG188" s="35">
        <v>0</v>
      </c>
      <c r="BH188" s="35">
        <v>0.378</v>
      </c>
      <c r="BI188" s="35" t="s">
        <v>312</v>
      </c>
      <c r="BJ188" s="35" t="s">
        <v>312</v>
      </c>
      <c r="BK188" s="35" t="s">
        <v>91</v>
      </c>
      <c r="BL188" s="35" t="s">
        <v>84</v>
      </c>
      <c r="BM188" s="35">
        <v>1</v>
      </c>
      <c r="BN188" s="35" t="s">
        <v>539</v>
      </c>
      <c r="BO188" s="35" t="s">
        <v>589</v>
      </c>
      <c r="BP188" s="35" t="s">
        <v>588</v>
      </c>
      <c r="BQ188" s="35" t="s">
        <v>92</v>
      </c>
      <c r="BR188" s="35" t="s">
        <v>312</v>
      </c>
      <c r="BS188" s="35" t="s">
        <v>312</v>
      </c>
      <c r="BT188" s="35" t="s">
        <v>312</v>
      </c>
      <c r="BU188" s="35">
        <v>2008</v>
      </c>
      <c r="BV188" s="35">
        <v>2015</v>
      </c>
      <c r="BW188" s="35" t="s">
        <v>596</v>
      </c>
      <c r="BX188" s="35" t="s">
        <v>95</v>
      </c>
      <c r="BY188" s="35" t="s">
        <v>592</v>
      </c>
      <c r="BZ188" s="35">
        <v>0</v>
      </c>
      <c r="CA188" s="35">
        <v>0</v>
      </c>
      <c r="CB188" s="35" t="s">
        <v>97</v>
      </c>
      <c r="CC188" s="35" t="s">
        <v>625</v>
      </c>
      <c r="CD188" s="35">
        <v>1</v>
      </c>
      <c r="CE188" s="35" t="s">
        <v>594</v>
      </c>
      <c r="CF188" s="35">
        <v>1</v>
      </c>
      <c r="CG188" s="35" t="s">
        <v>597</v>
      </c>
      <c r="CH188" s="35">
        <v>1</v>
      </c>
      <c r="CI188" s="35" t="s">
        <v>541</v>
      </c>
      <c r="CJ188" s="35" t="s">
        <v>98</v>
      </c>
      <c r="CK188" s="35">
        <v>62</v>
      </c>
      <c r="CL188" s="35">
        <v>0</v>
      </c>
      <c r="CM188" s="35">
        <v>0</v>
      </c>
      <c r="CN188" s="35" t="s">
        <v>124</v>
      </c>
      <c r="CO188" s="35" t="s">
        <v>944</v>
      </c>
      <c r="CP188" s="35" t="s">
        <v>100</v>
      </c>
      <c r="CQ188" s="35" t="s">
        <v>126</v>
      </c>
      <c r="CR188" s="36">
        <v>46220</v>
      </c>
      <c r="CT188" s="35" t="s">
        <v>451</v>
      </c>
    </row>
    <row r="189" spans="1:98" s="35" customFormat="1" x14ac:dyDescent="0.35">
      <c r="A189" s="34" t="s">
        <v>583</v>
      </c>
      <c r="B189" s="34" t="s">
        <v>630</v>
      </c>
      <c r="C189" s="35" t="s">
        <v>584</v>
      </c>
      <c r="D189" s="35">
        <v>2018</v>
      </c>
      <c r="E189" s="34" t="s">
        <v>585</v>
      </c>
      <c r="F189" s="34" t="s">
        <v>586</v>
      </c>
      <c r="G189" s="35" t="s">
        <v>78</v>
      </c>
      <c r="H189" s="35">
        <v>1</v>
      </c>
      <c r="I189" s="35" t="s">
        <v>390</v>
      </c>
      <c r="J189" s="35" t="s">
        <v>79</v>
      </c>
      <c r="K189" s="35">
        <v>366</v>
      </c>
      <c r="L189" s="35" t="s">
        <v>129</v>
      </c>
      <c r="M189" s="35" t="s">
        <v>380</v>
      </c>
      <c r="N189" s="35">
        <v>-1.4E-2</v>
      </c>
      <c r="O189" s="35">
        <v>8.0000000000000002E-3</v>
      </c>
      <c r="P189" s="89">
        <f t="shared" si="55"/>
        <v>-1.75</v>
      </c>
      <c r="Q189" s="35" t="s">
        <v>312</v>
      </c>
      <c r="R189" s="89">
        <f t="shared" si="56"/>
        <v>-2.9679999999999998E-2</v>
      </c>
      <c r="S189" s="89">
        <f t="shared" si="57"/>
        <v>1.6799999999999992E-3</v>
      </c>
      <c r="T189" s="35">
        <v>1</v>
      </c>
      <c r="U189" s="35">
        <v>510262</v>
      </c>
      <c r="V189" s="35" t="s">
        <v>312</v>
      </c>
      <c r="W189" s="35" t="s">
        <v>312</v>
      </c>
      <c r="X189" s="35">
        <f t="shared" si="58"/>
        <v>510262</v>
      </c>
      <c r="Y189" s="89">
        <f t="shared" si="59"/>
        <v>-2.4498535980611138E-3</v>
      </c>
      <c r="Z189" s="89">
        <f t="shared" si="60"/>
        <v>1.3999163417492077E-3</v>
      </c>
      <c r="AA189" s="89">
        <f t="shared" si="70"/>
        <v>-2.4498535980611138E-3</v>
      </c>
      <c r="AB189" s="35" t="s">
        <v>81</v>
      </c>
      <c r="AC189" s="89">
        <f t="shared" si="72"/>
        <v>-4.9939540507859736E-3</v>
      </c>
      <c r="AD189" s="89" cm="1">
        <f t="array" ref="AD189">_xlfn.IFS(
AND(L189="marginal_effect",M189="level"),N189*AN189/BF189,
AND(L189="marginal_effect",M189="sd (Y)"),N189*BH189*AN189/BF189,
AND(L189="marginal_effect",M189="sd (X)"),N189/AQ189*AN189/BF189,
AND(L189="semi_elasticity",M189="level"),N189*AN189,
AND(L189="semi_elasticity",M189="sd (Y)"),N189*AN189*BH189,
AND(L189="semi_elasticity",M189="sd (X)"),N189*AN189/AQ189,
AND(L189="level-log",M189="level"),N189/BF189,
AND(L189="level-log",M189="sd (X)"),N189/BF189/AQ189,
AND(L189="level-log",M189="sd (Y)"),N189/BF189*BH189,
AND(L189="elasticity",M189="level"),N189,
AND(L189="elasticity",M189="sd (X)"),N189/AQ189,
AND(L189="elasticity",M189="sd (Y)"),N189*BH189,
AND(L189="marginal_effect",M189="percent_of_mean"),N189*AN189/BF189/10)</f>
        <v>-4.9939540507859736E-3</v>
      </c>
      <c r="AE189" s="49">
        <f t="shared" si="61"/>
        <v>1</v>
      </c>
      <c r="AF189" s="89">
        <f t="shared" si="73"/>
        <v>2.8536880290205564E-3</v>
      </c>
      <c r="AG189" s="89" cm="1">
        <f t="array" ref="AG189">_xlfn.IFS(
AND(L189="marginal_effect",M189="level"),O189*AN189/BF189,
AND(L189="marginal_effect",M189="sd (Y)"),O189*BH189*AN189/BF189,
AND(L189="marginal_effect",M189="sd (X)"),O189/AQ189*AN189/BF189,
AND(L189="semi_elasticity",M189="level"),O189*AN189,
AND(L189="semi_elasticity",M189="sd (Y)"),O189*AN189*BH189,
AND(L189="semi_elasticity",M189="sd (X)"),O189*AN189/AQ189,
AND(L189="level-log",M189="level"),O189/BF189,
AND(L189="level-log",M189="sd (X)"),O189/BF189/AQ189,
AND(L189="level-log",M189="sd (Y)"),O189/BF189*BH189,
AND(L189="elasticity",M189="level"),O189,
AND(L189="elasticity",M189="sd (X)"),O189/AQ189,
AND(L189="elasticity",M189="sd (Y)"),O189*BH189,
AND(L189="marginal_effect",M189="percent_of_mean"),O189*AN189/BF189/10)</f>
        <v>2.8536880290205564E-3</v>
      </c>
      <c r="AH189" s="49">
        <f t="shared" si="62"/>
        <v>1</v>
      </c>
      <c r="AI189" s="89">
        <f t="shared" si="71"/>
        <v>-4.9939540507859736E-3</v>
      </c>
      <c r="AJ189" s="35">
        <v>0</v>
      </c>
      <c r="AK189" s="49">
        <f t="shared" si="63"/>
        <v>1</v>
      </c>
      <c r="AL189" s="35" t="s">
        <v>162</v>
      </c>
      <c r="AM189" s="35" t="s">
        <v>590</v>
      </c>
      <c r="AN189" s="35">
        <v>0.29499999999999998</v>
      </c>
      <c r="AO189" s="35">
        <v>0</v>
      </c>
      <c r="AP189" s="35">
        <f>AN189</f>
        <v>0.29499999999999998</v>
      </c>
      <c r="AQ189" s="35">
        <v>0.13900000000000001</v>
      </c>
      <c r="AR189" s="35" t="s">
        <v>312</v>
      </c>
      <c r="AS189" s="35" t="s">
        <v>312</v>
      </c>
      <c r="AT189" s="35" t="s">
        <v>83</v>
      </c>
      <c r="AU189" s="35" t="s">
        <v>109</v>
      </c>
      <c r="AV189" s="35" t="s">
        <v>133</v>
      </c>
      <c r="AW189" s="35" t="s">
        <v>134</v>
      </c>
      <c r="AX189" s="35" t="s">
        <v>86</v>
      </c>
      <c r="AY189" s="35">
        <v>0</v>
      </c>
      <c r="AZ189" s="35">
        <v>0</v>
      </c>
      <c r="BA189" s="58" t="s">
        <v>111</v>
      </c>
      <c r="BB189" s="35" t="s">
        <v>88</v>
      </c>
      <c r="BC189" s="35" t="s">
        <v>587</v>
      </c>
      <c r="BD189" s="35" t="s">
        <v>114</v>
      </c>
      <c r="BE189" s="35" t="s">
        <v>595</v>
      </c>
      <c r="BF189" s="35">
        <v>0.82699999999999996</v>
      </c>
      <c r="BG189" s="35">
        <v>0</v>
      </c>
      <c r="BH189" s="35">
        <v>0.378</v>
      </c>
      <c r="BI189" s="35" t="s">
        <v>312</v>
      </c>
      <c r="BJ189" s="35" t="s">
        <v>312</v>
      </c>
      <c r="BK189" s="35" t="s">
        <v>91</v>
      </c>
      <c r="BL189" s="35" t="s">
        <v>84</v>
      </c>
      <c r="BM189" s="35">
        <v>1</v>
      </c>
      <c r="BN189" s="35" t="s">
        <v>539</v>
      </c>
      <c r="BO189" s="35" t="s">
        <v>589</v>
      </c>
      <c r="BP189" s="35" t="s">
        <v>588</v>
      </c>
      <c r="BQ189" s="35" t="s">
        <v>92</v>
      </c>
      <c r="BR189" s="35" t="s">
        <v>312</v>
      </c>
      <c r="BS189" s="35" t="s">
        <v>312</v>
      </c>
      <c r="BT189" s="35" t="s">
        <v>312</v>
      </c>
      <c r="BU189" s="35">
        <v>2008</v>
      </c>
      <c r="BV189" s="35">
        <v>2015</v>
      </c>
      <c r="BW189" s="35" t="s">
        <v>596</v>
      </c>
      <c r="BX189" s="35" t="s">
        <v>95</v>
      </c>
      <c r="BY189" s="35" t="s">
        <v>592</v>
      </c>
      <c r="BZ189" s="35">
        <v>0</v>
      </c>
      <c r="CA189" s="35">
        <v>0</v>
      </c>
      <c r="CB189" s="35" t="s">
        <v>97</v>
      </c>
      <c r="CC189" s="35" t="s">
        <v>625</v>
      </c>
      <c r="CD189" s="35">
        <v>1</v>
      </c>
      <c r="CE189" s="35" t="s">
        <v>594</v>
      </c>
      <c r="CF189" s="35">
        <v>1</v>
      </c>
      <c r="CG189" s="35" t="s">
        <v>598</v>
      </c>
      <c r="CH189" s="35">
        <v>1</v>
      </c>
      <c r="CI189" s="35" t="s">
        <v>541</v>
      </c>
      <c r="CJ189" s="35" t="s">
        <v>98</v>
      </c>
      <c r="CK189" s="35">
        <v>62</v>
      </c>
      <c r="CL189" s="35">
        <v>0</v>
      </c>
      <c r="CM189" s="35">
        <v>0</v>
      </c>
      <c r="CN189" s="35" t="s">
        <v>124</v>
      </c>
      <c r="CO189" s="35" t="s">
        <v>944</v>
      </c>
      <c r="CP189" s="35" t="s">
        <v>100</v>
      </c>
      <c r="CQ189" s="35" t="s">
        <v>600</v>
      </c>
      <c r="CR189" s="36">
        <v>46220</v>
      </c>
      <c r="CT189" s="35" t="s">
        <v>451</v>
      </c>
    </row>
    <row r="190" spans="1:98" s="35" customFormat="1" x14ac:dyDescent="0.35">
      <c r="A190" s="34" t="s">
        <v>583</v>
      </c>
      <c r="B190" s="34" t="s">
        <v>631</v>
      </c>
      <c r="C190" s="35" t="s">
        <v>584</v>
      </c>
      <c r="D190" s="35">
        <v>2018</v>
      </c>
      <c r="E190" s="34" t="s">
        <v>585</v>
      </c>
      <c r="F190" s="34" t="s">
        <v>586</v>
      </c>
      <c r="G190" s="35" t="s">
        <v>78</v>
      </c>
      <c r="H190" s="35">
        <v>1</v>
      </c>
      <c r="I190" s="35" t="s">
        <v>390</v>
      </c>
      <c r="J190" s="35" t="s">
        <v>79</v>
      </c>
      <c r="K190" s="35">
        <v>366</v>
      </c>
      <c r="L190" s="35" t="s">
        <v>129</v>
      </c>
      <c r="M190" s="35" t="s">
        <v>380</v>
      </c>
      <c r="N190" s="35">
        <v>5.8000000000000003E-2</v>
      </c>
      <c r="O190" s="35">
        <v>5.2999999999999999E-2</v>
      </c>
      <c r="P190" s="89">
        <f t="shared" si="55"/>
        <v>1.0943396226415094</v>
      </c>
      <c r="Q190" s="35" t="s">
        <v>312</v>
      </c>
      <c r="R190" s="89">
        <f t="shared" si="56"/>
        <v>-4.5879999999999997E-2</v>
      </c>
      <c r="S190" s="89">
        <f t="shared" si="57"/>
        <v>0.16188</v>
      </c>
      <c r="T190" s="35">
        <v>1</v>
      </c>
      <c r="U190" s="35">
        <v>510262</v>
      </c>
      <c r="V190" s="35" t="s">
        <v>312</v>
      </c>
      <c r="W190" s="35" t="s">
        <v>312</v>
      </c>
      <c r="X190" s="35">
        <f t="shared" si="58"/>
        <v>510262</v>
      </c>
      <c r="Y190" s="89">
        <f t="shared" si="59"/>
        <v>1.5319867207206665E-3</v>
      </c>
      <c r="Z190" s="89">
        <f t="shared" si="60"/>
        <v>1.3999188999688848E-3</v>
      </c>
      <c r="AA190" s="89">
        <f t="shared" si="70"/>
        <v>1.5319867207206665E-3</v>
      </c>
      <c r="AB190" s="35" t="s">
        <v>81</v>
      </c>
      <c r="AC190" s="89">
        <f t="shared" si="72"/>
        <v>2.3845223700120922E-3</v>
      </c>
      <c r="AD190" s="89" cm="1">
        <f t="array" ref="AD190">_xlfn.IFS(
AND(L190="marginal_effect",M190="level"),N190*AN190/BF190,
AND(L190="marginal_effect",M190="sd (Y)"),N190*BH190*AN190/BF190,
AND(L190="marginal_effect",M190="sd (X)"),N190/AQ190*AN190/BF190,
AND(L190="semi_elasticity",M190="level"),N190*AN190,
AND(L190="semi_elasticity",M190="sd (Y)"),N190*AN190*BH190,
AND(L190="semi_elasticity",M190="sd (X)"),N190*AN190/AQ190,
AND(L190="level-log",M190="level"),N190/BF190,
AND(L190="level-log",M190="sd (X)"),N190/BF190/AQ190,
AND(L190="level-log",M190="sd (Y)"),N190/BF190*BH190,
AND(L190="elasticity",M190="level"),N190,
AND(L190="elasticity",M190="sd (X)"),N190/AQ190,
AND(L190="elasticity",M190="sd (Y)"),N190*BH190,
AND(L190="marginal_effect",M190="percent_of_mean"),N190*AN190/BF190/10)</f>
        <v>2.3845223700120922E-3</v>
      </c>
      <c r="AE190" s="49">
        <f t="shared" si="61"/>
        <v>1</v>
      </c>
      <c r="AF190" s="89">
        <f t="shared" si="73"/>
        <v>2.1789600967351873E-3</v>
      </c>
      <c r="AG190" s="89" cm="1">
        <f t="array" ref="AG190">_xlfn.IFS(
AND(L190="marginal_effect",M190="level"),O190*AN190/BF190,
AND(L190="marginal_effect",M190="sd (Y)"),O190*BH190*AN190/BF190,
AND(L190="marginal_effect",M190="sd (X)"),O190/AQ190*AN190/BF190,
AND(L190="semi_elasticity",M190="level"),O190*AN190,
AND(L190="semi_elasticity",M190="sd (Y)"),O190*AN190*BH190,
AND(L190="semi_elasticity",M190="sd (X)"),O190*AN190/AQ190,
AND(L190="level-log",M190="level"),O190/BF190,
AND(L190="level-log",M190="sd (X)"),O190/BF190/AQ190,
AND(L190="level-log",M190="sd (Y)"),O190/BF190*BH190,
AND(L190="elasticity",M190="level"),O190,
AND(L190="elasticity",M190="sd (X)"),O190/AQ190,
AND(L190="elasticity",M190="sd (Y)"),O190*BH190,
AND(L190="marginal_effect",M190="percent_of_mean"),O190*AN190/BF190/10)</f>
        <v>2.1789600967351873E-3</v>
      </c>
      <c r="AH190" s="49">
        <f t="shared" si="62"/>
        <v>1</v>
      </c>
      <c r="AI190" s="89">
        <f t="shared" si="71"/>
        <v>2.3845223700120922E-3</v>
      </c>
      <c r="AJ190" s="35">
        <v>0</v>
      </c>
      <c r="AK190" s="49">
        <f t="shared" si="63"/>
        <v>1</v>
      </c>
      <c r="AL190" s="35" t="s">
        <v>148</v>
      </c>
      <c r="AM190" s="35" t="s">
        <v>590</v>
      </c>
      <c r="AN190" s="35">
        <f>0.034</f>
        <v>3.4000000000000002E-2</v>
      </c>
      <c r="AO190" s="35">
        <v>0</v>
      </c>
      <c r="AP190" s="35">
        <f>AN190</f>
        <v>3.4000000000000002E-2</v>
      </c>
      <c r="AQ190" s="35">
        <v>1.4999999999999999E-2</v>
      </c>
      <c r="AR190" s="35" t="s">
        <v>312</v>
      </c>
      <c r="AS190" s="35" t="s">
        <v>312</v>
      </c>
      <c r="AT190" s="35" t="s">
        <v>83</v>
      </c>
      <c r="AU190" s="35" t="s">
        <v>109</v>
      </c>
      <c r="AV190" s="35" t="s">
        <v>133</v>
      </c>
      <c r="AW190" s="35" t="s">
        <v>134</v>
      </c>
      <c r="AX190" s="35" t="s">
        <v>86</v>
      </c>
      <c r="AY190" s="35">
        <v>0</v>
      </c>
      <c r="AZ190" s="35">
        <v>0</v>
      </c>
      <c r="BA190" s="58" t="s">
        <v>111</v>
      </c>
      <c r="BB190" s="35" t="s">
        <v>88</v>
      </c>
      <c r="BC190" s="35" t="s">
        <v>587</v>
      </c>
      <c r="BD190" s="35" t="s">
        <v>114</v>
      </c>
      <c r="BE190" s="35" t="s">
        <v>595</v>
      </c>
      <c r="BF190" s="35">
        <v>0.82699999999999996</v>
      </c>
      <c r="BG190" s="35">
        <v>0</v>
      </c>
      <c r="BH190" s="35">
        <v>0.378</v>
      </c>
      <c r="BI190" s="35" t="s">
        <v>312</v>
      </c>
      <c r="BJ190" s="35" t="s">
        <v>312</v>
      </c>
      <c r="BK190" s="35" t="s">
        <v>91</v>
      </c>
      <c r="BL190" s="35" t="s">
        <v>84</v>
      </c>
      <c r="BM190" s="35">
        <v>1</v>
      </c>
      <c r="BN190" s="35" t="s">
        <v>539</v>
      </c>
      <c r="BO190" s="35" t="s">
        <v>589</v>
      </c>
      <c r="BP190" s="35" t="s">
        <v>588</v>
      </c>
      <c r="BQ190" s="35" t="s">
        <v>92</v>
      </c>
      <c r="BR190" s="35" t="s">
        <v>312</v>
      </c>
      <c r="BS190" s="35" t="s">
        <v>312</v>
      </c>
      <c r="BT190" s="35" t="s">
        <v>312</v>
      </c>
      <c r="BU190" s="35">
        <v>2008</v>
      </c>
      <c r="BV190" s="35">
        <v>2015</v>
      </c>
      <c r="BW190" s="35" t="s">
        <v>596</v>
      </c>
      <c r="BX190" s="35" t="s">
        <v>95</v>
      </c>
      <c r="BY190" s="35" t="s">
        <v>592</v>
      </c>
      <c r="BZ190" s="35">
        <v>0</v>
      </c>
      <c r="CA190" s="35">
        <v>0</v>
      </c>
      <c r="CB190" s="35" t="s">
        <v>97</v>
      </c>
      <c r="CC190" s="35" t="s">
        <v>625</v>
      </c>
      <c r="CD190" s="35">
        <v>1</v>
      </c>
      <c r="CE190" s="35" t="s">
        <v>594</v>
      </c>
      <c r="CF190" s="35">
        <v>1</v>
      </c>
      <c r="CG190" s="35" t="s">
        <v>599</v>
      </c>
      <c r="CH190" s="35">
        <v>1</v>
      </c>
      <c r="CI190" s="35" t="s">
        <v>541</v>
      </c>
      <c r="CJ190" s="35" t="s">
        <v>98</v>
      </c>
      <c r="CK190" s="35">
        <v>62</v>
      </c>
      <c r="CL190" s="35">
        <v>0</v>
      </c>
      <c r="CM190" s="35">
        <v>0</v>
      </c>
      <c r="CN190" s="35" t="s">
        <v>124</v>
      </c>
      <c r="CO190" s="35" t="s">
        <v>944</v>
      </c>
      <c r="CP190" s="35" t="s">
        <v>100</v>
      </c>
      <c r="CQ190" s="35" t="s">
        <v>126</v>
      </c>
      <c r="CR190" s="36">
        <v>46220</v>
      </c>
      <c r="CT190" s="35" t="s">
        <v>451</v>
      </c>
    </row>
    <row r="191" spans="1:98" s="35" customFormat="1" x14ac:dyDescent="0.35">
      <c r="A191" s="34" t="s">
        <v>583</v>
      </c>
      <c r="B191" s="34" t="s">
        <v>632</v>
      </c>
      <c r="C191" s="35" t="s">
        <v>584</v>
      </c>
      <c r="D191" s="35">
        <v>2018</v>
      </c>
      <c r="E191" s="34" t="s">
        <v>585</v>
      </c>
      <c r="F191" s="34" t="s">
        <v>586</v>
      </c>
      <c r="G191" s="35" t="s">
        <v>78</v>
      </c>
      <c r="H191" s="35">
        <v>1</v>
      </c>
      <c r="I191" s="35" t="s">
        <v>390</v>
      </c>
      <c r="J191" s="35" t="s">
        <v>79</v>
      </c>
      <c r="K191" s="35">
        <v>366</v>
      </c>
      <c r="L191" s="35" t="s">
        <v>129</v>
      </c>
      <c r="M191" s="35" t="s">
        <v>380</v>
      </c>
      <c r="N191" s="35">
        <v>-5.0000000000000001E-3</v>
      </c>
      <c r="O191" s="35">
        <v>1E-3</v>
      </c>
      <c r="P191" s="89">
        <f t="shared" si="55"/>
        <v>-5</v>
      </c>
      <c r="Q191" s="35" t="s">
        <v>312</v>
      </c>
      <c r="R191" s="89">
        <f t="shared" si="56"/>
        <v>-6.96E-3</v>
      </c>
      <c r="S191" s="89">
        <f t="shared" si="57"/>
        <v>-3.0400000000000002E-3</v>
      </c>
      <c r="T191" s="35">
        <v>1</v>
      </c>
      <c r="U191" s="35">
        <v>521499</v>
      </c>
      <c r="V191" s="35" t="s">
        <v>312</v>
      </c>
      <c r="W191" s="35" t="s">
        <v>312</v>
      </c>
      <c r="X191" s="35">
        <f t="shared" si="58"/>
        <v>521499</v>
      </c>
      <c r="Y191" s="89">
        <f t="shared" si="59"/>
        <v>-6.9236141180491284E-3</v>
      </c>
      <c r="Z191" s="89">
        <f t="shared" si="60"/>
        <v>1.3847228236098259E-3</v>
      </c>
      <c r="AA191" s="89">
        <f t="shared" si="70"/>
        <v>-6.9236141180491284E-3</v>
      </c>
      <c r="AB191" s="35" t="s">
        <v>81</v>
      </c>
      <c r="AC191" s="89">
        <f t="shared" si="72"/>
        <v>-6.590084643288998E-3</v>
      </c>
      <c r="AD191" s="89" cm="1">
        <f t="array" ref="AD191">_xlfn.IFS(
AND(L191="marginal_effect",M191="level"),N191*AN191/BF191,
AND(L191="marginal_effect",M191="sd (Y)"),N191*BH191*AN191/BF191,
AND(L191="marginal_effect",M191="sd (X)"),N191/AQ191*AN191/BF191,
AND(L191="semi_elasticity",M191="level"),N191*AN191,
AND(L191="semi_elasticity",M191="sd (Y)"),N191*AN191*BH191,
AND(L191="semi_elasticity",M191="sd (X)"),N191*AN191/AQ191,
AND(L191="level-log",M191="level"),N191/BF191,
AND(L191="level-log",M191="sd (X)"),N191/BF191/AQ191,
AND(L191="level-log",M191="sd (Y)"),N191/BF191*BH191,
AND(L191="elasticity",M191="level"),N191,
AND(L191="elasticity",M191="sd (X)"),N191/AQ191,
AND(L191="elasticity",M191="sd (Y)"),N191*BH191,
AND(L191="marginal_effect",M191="percent_of_mean"),N191*AN191/BF191/10)</f>
        <v>-6.590084643288998E-3</v>
      </c>
      <c r="AE191" s="49">
        <f t="shared" si="61"/>
        <v>1</v>
      </c>
      <c r="AF191" s="89">
        <f t="shared" si="73"/>
        <v>1.3180169286577993E-3</v>
      </c>
      <c r="AG191" s="89" cm="1">
        <f t="array" ref="AG191">_xlfn.IFS(
AND(L191="marginal_effect",M191="level"),O191*AN191/BF191,
AND(L191="marginal_effect",M191="sd (Y)"),O191*BH191*AN191/BF191,
AND(L191="marginal_effect",M191="sd (X)"),O191/AQ191*AN191/BF191,
AND(L191="semi_elasticity",M191="level"),O191*AN191,
AND(L191="semi_elasticity",M191="sd (Y)"),O191*AN191*BH191,
AND(L191="semi_elasticity",M191="sd (X)"),O191*AN191/AQ191,
AND(L191="level-log",M191="level"),O191/BF191,
AND(L191="level-log",M191="sd (X)"),O191/BF191/AQ191,
AND(L191="level-log",M191="sd (Y)"),O191/BF191*BH191,
AND(L191="elasticity",M191="level"),O191,
AND(L191="elasticity",M191="sd (X)"),O191/AQ191,
AND(L191="elasticity",M191="sd (Y)"),O191*BH191,
AND(L191="marginal_effect",M191="percent_of_mean"),O191*AN191/BF191/10)</f>
        <v>1.3180169286577993E-3</v>
      </c>
      <c r="AH191" s="49">
        <f t="shared" si="62"/>
        <v>1</v>
      </c>
      <c r="AI191" s="89">
        <f t="shared" si="71"/>
        <v>-6.590084643288998E-3</v>
      </c>
      <c r="AJ191" s="35">
        <v>0</v>
      </c>
      <c r="AK191" s="49">
        <f t="shared" si="63"/>
        <v>1</v>
      </c>
      <c r="AL191" s="35" t="s">
        <v>82</v>
      </c>
      <c r="AM191" s="35" t="s">
        <v>296</v>
      </c>
      <c r="AN191" s="35">
        <v>1.0900000000000001</v>
      </c>
      <c r="AO191" s="35">
        <v>1</v>
      </c>
      <c r="AP191" s="35">
        <f>AN191*10</f>
        <v>10.9</v>
      </c>
      <c r="AQ191" s="35">
        <v>0.57999999999999996</v>
      </c>
      <c r="AR191" s="35" t="s">
        <v>312</v>
      </c>
      <c r="AS191" s="35" t="s">
        <v>312</v>
      </c>
      <c r="AT191" s="35" t="s">
        <v>83</v>
      </c>
      <c r="AU191" s="35" t="s">
        <v>109</v>
      </c>
      <c r="AV191" s="35" t="s">
        <v>133</v>
      </c>
      <c r="AW191" s="35" t="s">
        <v>134</v>
      </c>
      <c r="AX191" s="35" t="s">
        <v>86</v>
      </c>
      <c r="AY191" s="35">
        <v>0</v>
      </c>
      <c r="AZ191" s="35">
        <v>0</v>
      </c>
      <c r="BA191" s="58" t="s">
        <v>111</v>
      </c>
      <c r="BB191" s="35" t="s">
        <v>88</v>
      </c>
      <c r="BC191" s="35" t="s">
        <v>587</v>
      </c>
      <c r="BD191" s="35" t="s">
        <v>114</v>
      </c>
      <c r="BE191" s="35" t="s">
        <v>595</v>
      </c>
      <c r="BF191" s="35">
        <v>0.82699999999999996</v>
      </c>
      <c r="BG191" s="35">
        <v>0</v>
      </c>
      <c r="BH191" s="35">
        <v>0.378</v>
      </c>
      <c r="BI191" s="35" t="s">
        <v>312</v>
      </c>
      <c r="BJ191" s="35" t="s">
        <v>312</v>
      </c>
      <c r="BK191" s="35" t="s">
        <v>91</v>
      </c>
      <c r="BL191" s="35" t="s">
        <v>84</v>
      </c>
      <c r="BM191" s="35">
        <v>1</v>
      </c>
      <c r="BN191" s="35" t="s">
        <v>539</v>
      </c>
      <c r="BO191" s="35" t="s">
        <v>589</v>
      </c>
      <c r="BP191" s="35" t="s">
        <v>588</v>
      </c>
      <c r="BQ191" s="35" t="s">
        <v>92</v>
      </c>
      <c r="BR191" s="35" t="s">
        <v>312</v>
      </c>
      <c r="BS191" s="35" t="s">
        <v>312</v>
      </c>
      <c r="BT191" s="35" t="s">
        <v>312</v>
      </c>
      <c r="BU191" s="35">
        <v>2008</v>
      </c>
      <c r="BV191" s="35">
        <v>2015</v>
      </c>
      <c r="BW191" s="35" t="s">
        <v>596</v>
      </c>
      <c r="BX191" s="35" t="s">
        <v>95</v>
      </c>
      <c r="BY191" s="35" t="s">
        <v>592</v>
      </c>
      <c r="BZ191" s="35">
        <v>0</v>
      </c>
      <c r="CA191" s="35">
        <v>0</v>
      </c>
      <c r="CB191" s="35" t="s">
        <v>97</v>
      </c>
      <c r="CC191" s="35" t="s">
        <v>625</v>
      </c>
      <c r="CD191" s="35">
        <v>1</v>
      </c>
      <c r="CE191" s="35" t="s">
        <v>594</v>
      </c>
      <c r="CF191" s="35">
        <v>1</v>
      </c>
      <c r="CG191" s="35" t="s">
        <v>597</v>
      </c>
      <c r="CH191" s="35">
        <v>1</v>
      </c>
      <c r="CI191" s="35" t="s">
        <v>541</v>
      </c>
      <c r="CJ191" s="35" t="s">
        <v>98</v>
      </c>
      <c r="CK191" s="35">
        <v>62</v>
      </c>
      <c r="CL191" s="35">
        <v>0</v>
      </c>
      <c r="CM191" s="35">
        <v>0</v>
      </c>
      <c r="CN191" s="35" t="s">
        <v>124</v>
      </c>
      <c r="CO191" s="35" t="s">
        <v>97</v>
      </c>
      <c r="CP191" s="35" t="s">
        <v>100</v>
      </c>
      <c r="CQ191" s="35" t="s">
        <v>126</v>
      </c>
      <c r="CR191" s="36">
        <v>46220</v>
      </c>
      <c r="CT191" s="35" t="s">
        <v>452</v>
      </c>
    </row>
    <row r="192" spans="1:98" s="35" customFormat="1" x14ac:dyDescent="0.35">
      <c r="A192" s="34" t="s">
        <v>583</v>
      </c>
      <c r="B192" s="34" t="s">
        <v>633</v>
      </c>
      <c r="C192" s="35" t="s">
        <v>584</v>
      </c>
      <c r="D192" s="35">
        <v>2018</v>
      </c>
      <c r="E192" s="34" t="s">
        <v>585</v>
      </c>
      <c r="F192" s="34" t="s">
        <v>586</v>
      </c>
      <c r="G192" s="35" t="s">
        <v>78</v>
      </c>
      <c r="H192" s="35">
        <v>1</v>
      </c>
      <c r="I192" s="35" t="s">
        <v>390</v>
      </c>
      <c r="J192" s="35" t="s">
        <v>79</v>
      </c>
      <c r="K192" s="35">
        <v>366</v>
      </c>
      <c r="L192" s="35" t="s">
        <v>129</v>
      </c>
      <c r="M192" s="35" t="s">
        <v>380</v>
      </c>
      <c r="N192" s="35">
        <v>-1.7999999999999999E-2</v>
      </c>
      <c r="O192" s="35">
        <v>8.0000000000000002E-3</v>
      </c>
      <c r="P192" s="89">
        <f t="shared" si="55"/>
        <v>-2.25</v>
      </c>
      <c r="Q192" s="35" t="s">
        <v>312</v>
      </c>
      <c r="R192" s="89">
        <f t="shared" si="56"/>
        <v>-3.3680000000000002E-2</v>
      </c>
      <c r="S192" s="89">
        <f t="shared" si="57"/>
        <v>-2.3199999999999991E-3</v>
      </c>
      <c r="T192" s="35">
        <v>1</v>
      </c>
      <c r="U192" s="35">
        <v>521499</v>
      </c>
      <c r="V192" s="35" t="s">
        <v>312</v>
      </c>
      <c r="W192" s="35" t="s">
        <v>312</v>
      </c>
      <c r="X192" s="35">
        <f t="shared" si="58"/>
        <v>521499</v>
      </c>
      <c r="Y192" s="89">
        <f t="shared" si="59"/>
        <v>-3.1156859089445745E-3</v>
      </c>
      <c r="Z192" s="89">
        <f t="shared" si="60"/>
        <v>1.3847492928642554E-3</v>
      </c>
      <c r="AA192" s="89">
        <f t="shared" si="70"/>
        <v>-3.1156859089445745E-3</v>
      </c>
      <c r="AB192" s="35" t="s">
        <v>81</v>
      </c>
      <c r="AC192" s="89">
        <f t="shared" si="72"/>
        <v>-6.4207980652962512E-3</v>
      </c>
      <c r="AD192" s="89" cm="1">
        <f t="array" ref="AD192">_xlfn.IFS(
AND(L192="marginal_effect",M192="level"),N192*AN192/BF192,
AND(L192="marginal_effect",M192="sd (Y)"),N192*BH192*AN192/BF192,
AND(L192="marginal_effect",M192="sd (X)"),N192/AQ192*AN192/BF192,
AND(L192="semi_elasticity",M192="level"),N192*AN192,
AND(L192="semi_elasticity",M192="sd (Y)"),N192*AN192*BH192,
AND(L192="semi_elasticity",M192="sd (X)"),N192*AN192/AQ192,
AND(L192="level-log",M192="level"),N192/BF192,
AND(L192="level-log",M192="sd (X)"),N192/BF192/AQ192,
AND(L192="level-log",M192="sd (Y)"),N192/BF192*BH192,
AND(L192="elasticity",M192="level"),N192,
AND(L192="elasticity",M192="sd (X)"),N192/AQ192,
AND(L192="elasticity",M192="sd (Y)"),N192*BH192,
AND(L192="marginal_effect",M192="percent_of_mean"),N192*AN192/BF192/10)</f>
        <v>-6.4207980652962512E-3</v>
      </c>
      <c r="AE192" s="49">
        <f t="shared" si="61"/>
        <v>1</v>
      </c>
      <c r="AF192" s="89">
        <f t="shared" si="73"/>
        <v>2.8536880290205564E-3</v>
      </c>
      <c r="AG192" s="89" cm="1">
        <f t="array" ref="AG192">_xlfn.IFS(
AND(L192="marginal_effect",M192="level"),O192*AN192/BF192,
AND(L192="marginal_effect",M192="sd (Y)"),O192*BH192*AN192/BF192,
AND(L192="marginal_effect",M192="sd (X)"),O192/AQ192*AN192/BF192,
AND(L192="semi_elasticity",M192="level"),O192*AN192,
AND(L192="semi_elasticity",M192="sd (Y)"),O192*AN192*BH192,
AND(L192="semi_elasticity",M192="sd (X)"),O192*AN192/AQ192,
AND(L192="level-log",M192="level"),O192/BF192,
AND(L192="level-log",M192="sd (X)"),O192/BF192/AQ192,
AND(L192="level-log",M192="sd (Y)"),O192/BF192*BH192,
AND(L192="elasticity",M192="level"),O192,
AND(L192="elasticity",M192="sd (X)"),O192/AQ192,
AND(L192="elasticity",M192="sd (Y)"),O192*BH192,
AND(L192="marginal_effect",M192="percent_of_mean"),O192*AN192/BF192/10)</f>
        <v>2.8536880290205564E-3</v>
      </c>
      <c r="AH192" s="49">
        <f t="shared" si="62"/>
        <v>1</v>
      </c>
      <c r="AI192" s="89">
        <f t="shared" si="71"/>
        <v>-6.4207980652962512E-3</v>
      </c>
      <c r="AJ192" s="35">
        <v>0</v>
      </c>
      <c r="AK192" s="49">
        <f t="shared" si="63"/>
        <v>1</v>
      </c>
      <c r="AL192" s="35" t="s">
        <v>162</v>
      </c>
      <c r="AM192" s="35" t="s">
        <v>590</v>
      </c>
      <c r="AN192" s="35">
        <v>0.29499999999999998</v>
      </c>
      <c r="AO192" s="35">
        <v>1</v>
      </c>
      <c r="AP192" s="35">
        <f>AN192</f>
        <v>0.29499999999999998</v>
      </c>
      <c r="AQ192" s="35">
        <v>0.13900000000000001</v>
      </c>
      <c r="AR192" s="35" t="s">
        <v>312</v>
      </c>
      <c r="AS192" s="35" t="s">
        <v>312</v>
      </c>
      <c r="AT192" s="35" t="s">
        <v>83</v>
      </c>
      <c r="AU192" s="35" t="s">
        <v>109</v>
      </c>
      <c r="AV192" s="35" t="s">
        <v>133</v>
      </c>
      <c r="AW192" s="35" t="s">
        <v>134</v>
      </c>
      <c r="AX192" s="35" t="s">
        <v>86</v>
      </c>
      <c r="AY192" s="35">
        <v>0</v>
      </c>
      <c r="AZ192" s="35">
        <v>0</v>
      </c>
      <c r="BA192" s="58" t="s">
        <v>111</v>
      </c>
      <c r="BB192" s="35" t="s">
        <v>88</v>
      </c>
      <c r="BC192" s="35" t="s">
        <v>587</v>
      </c>
      <c r="BD192" s="35" t="s">
        <v>114</v>
      </c>
      <c r="BE192" s="35" t="s">
        <v>595</v>
      </c>
      <c r="BF192" s="35">
        <v>0.82699999999999996</v>
      </c>
      <c r="BG192" s="35">
        <v>0</v>
      </c>
      <c r="BH192" s="35">
        <v>0.378</v>
      </c>
      <c r="BI192" s="35" t="s">
        <v>312</v>
      </c>
      <c r="BJ192" s="35" t="s">
        <v>312</v>
      </c>
      <c r="BK192" s="35" t="s">
        <v>91</v>
      </c>
      <c r="BL192" s="35" t="s">
        <v>84</v>
      </c>
      <c r="BM192" s="35">
        <v>1</v>
      </c>
      <c r="BN192" s="35" t="s">
        <v>539</v>
      </c>
      <c r="BO192" s="35" t="s">
        <v>589</v>
      </c>
      <c r="BP192" s="35" t="s">
        <v>588</v>
      </c>
      <c r="BQ192" s="35" t="s">
        <v>92</v>
      </c>
      <c r="BR192" s="35" t="s">
        <v>312</v>
      </c>
      <c r="BS192" s="35" t="s">
        <v>312</v>
      </c>
      <c r="BT192" s="35" t="s">
        <v>312</v>
      </c>
      <c r="BU192" s="35">
        <v>2008</v>
      </c>
      <c r="BV192" s="35">
        <v>2015</v>
      </c>
      <c r="BW192" s="35" t="s">
        <v>596</v>
      </c>
      <c r="BX192" s="35" t="s">
        <v>95</v>
      </c>
      <c r="BY192" s="35" t="s">
        <v>592</v>
      </c>
      <c r="BZ192" s="35">
        <v>0</v>
      </c>
      <c r="CA192" s="35">
        <v>0</v>
      </c>
      <c r="CB192" s="35" t="s">
        <v>97</v>
      </c>
      <c r="CC192" s="35" t="s">
        <v>625</v>
      </c>
      <c r="CD192" s="35">
        <v>1</v>
      </c>
      <c r="CE192" s="35" t="s">
        <v>594</v>
      </c>
      <c r="CF192" s="35">
        <v>1</v>
      </c>
      <c r="CG192" s="35" t="s">
        <v>598</v>
      </c>
      <c r="CH192" s="35">
        <v>1</v>
      </c>
      <c r="CI192" s="35" t="s">
        <v>541</v>
      </c>
      <c r="CJ192" s="35" t="s">
        <v>98</v>
      </c>
      <c r="CK192" s="35">
        <v>62</v>
      </c>
      <c r="CL192" s="35">
        <v>0</v>
      </c>
      <c r="CM192" s="35">
        <v>0</v>
      </c>
      <c r="CN192" s="35" t="s">
        <v>124</v>
      </c>
      <c r="CO192" s="35" t="s">
        <v>97</v>
      </c>
      <c r="CP192" s="35" t="s">
        <v>100</v>
      </c>
      <c r="CQ192" s="35" t="s">
        <v>600</v>
      </c>
      <c r="CR192" s="36">
        <v>46220</v>
      </c>
      <c r="CT192" s="35" t="s">
        <v>452</v>
      </c>
    </row>
    <row r="193" spans="1:98" s="35" customFormat="1" x14ac:dyDescent="0.35">
      <c r="A193" s="34" t="s">
        <v>583</v>
      </c>
      <c r="B193" s="34" t="s">
        <v>634</v>
      </c>
      <c r="C193" s="35" t="s">
        <v>584</v>
      </c>
      <c r="D193" s="35">
        <v>2018</v>
      </c>
      <c r="E193" s="34" t="s">
        <v>585</v>
      </c>
      <c r="F193" s="34" t="s">
        <v>586</v>
      </c>
      <c r="G193" s="35" t="s">
        <v>78</v>
      </c>
      <c r="H193" s="35">
        <v>1</v>
      </c>
      <c r="I193" s="35" t="s">
        <v>390</v>
      </c>
      <c r="J193" s="35" t="s">
        <v>79</v>
      </c>
      <c r="K193" s="35">
        <v>366</v>
      </c>
      <c r="L193" s="35" t="s">
        <v>129</v>
      </c>
      <c r="M193" s="35" t="s">
        <v>380</v>
      </c>
      <c r="N193" s="35">
        <v>0.05</v>
      </c>
      <c r="O193" s="35">
        <v>5.1999999999999998E-2</v>
      </c>
      <c r="P193" s="89">
        <f t="shared" si="55"/>
        <v>0.96153846153846168</v>
      </c>
      <c r="Q193" s="35" t="s">
        <v>312</v>
      </c>
      <c r="R193" s="89">
        <f t="shared" si="56"/>
        <v>-5.1919999999999994E-2</v>
      </c>
      <c r="S193" s="89">
        <f t="shared" si="57"/>
        <v>0.15192</v>
      </c>
      <c r="T193" s="35">
        <v>1</v>
      </c>
      <c r="U193" s="35">
        <v>521499</v>
      </c>
      <c r="V193" s="35" t="s">
        <v>312</v>
      </c>
      <c r="W193" s="35" t="s">
        <v>312</v>
      </c>
      <c r="X193" s="35">
        <f t="shared" si="58"/>
        <v>521499</v>
      </c>
      <c r="Y193" s="89">
        <f t="shared" si="59"/>
        <v>1.3314949871502454E-3</v>
      </c>
      <c r="Z193" s="89">
        <f t="shared" si="60"/>
        <v>1.3847547866362548E-3</v>
      </c>
      <c r="AA193" s="89">
        <f t="shared" si="70"/>
        <v>1.3314949871502454E-3</v>
      </c>
      <c r="AB193" s="35" t="s">
        <v>81</v>
      </c>
      <c r="AC193" s="89">
        <f t="shared" si="72"/>
        <v>2.0556227327690451E-3</v>
      </c>
      <c r="AD193" s="89" cm="1">
        <f t="array" ref="AD193">_xlfn.IFS(
AND(L193="marginal_effect",M193="level"),N193*AN193/BF193,
AND(L193="marginal_effect",M193="sd (Y)"),N193*BH193*AN193/BF193,
AND(L193="marginal_effect",M193="sd (X)"),N193/AQ193*AN193/BF193,
AND(L193="semi_elasticity",M193="level"),N193*AN193,
AND(L193="semi_elasticity",M193="sd (Y)"),N193*AN193*BH193,
AND(L193="semi_elasticity",M193="sd (X)"),N193*AN193/AQ193,
AND(L193="level-log",M193="level"),N193/BF193,
AND(L193="level-log",M193="sd (X)"),N193/BF193/AQ193,
AND(L193="level-log",M193="sd (Y)"),N193/BF193*BH193,
AND(L193="elasticity",M193="level"),N193,
AND(L193="elasticity",M193="sd (X)"),N193/AQ193,
AND(L193="elasticity",M193="sd (Y)"),N193*BH193,
AND(L193="marginal_effect",M193="percent_of_mean"),N193*AN193/BF193/10)</f>
        <v>2.0556227327690451E-3</v>
      </c>
      <c r="AE193" s="49">
        <f t="shared" si="61"/>
        <v>1</v>
      </c>
      <c r="AF193" s="89">
        <f t="shared" si="73"/>
        <v>2.1378476420798069E-3</v>
      </c>
      <c r="AG193" s="89" cm="1">
        <f t="array" ref="AG193">_xlfn.IFS(
AND(L193="marginal_effect",M193="level"),O193*AN193/BF193,
AND(L193="marginal_effect",M193="sd (Y)"),O193*BH193*AN193/BF193,
AND(L193="marginal_effect",M193="sd (X)"),O193/AQ193*AN193/BF193,
AND(L193="semi_elasticity",M193="level"),O193*AN193,
AND(L193="semi_elasticity",M193="sd (Y)"),O193*AN193*BH193,
AND(L193="semi_elasticity",M193="sd (X)"),O193*AN193/AQ193,
AND(L193="level-log",M193="level"),O193/BF193,
AND(L193="level-log",M193="sd (X)"),O193/BF193/AQ193,
AND(L193="level-log",M193="sd (Y)"),O193/BF193*BH193,
AND(L193="elasticity",M193="level"),O193,
AND(L193="elasticity",M193="sd (X)"),O193/AQ193,
AND(L193="elasticity",M193="sd (Y)"),O193*BH193,
AND(L193="marginal_effect",M193="percent_of_mean"),O193*AN193/BF193/10)</f>
        <v>2.1378476420798069E-3</v>
      </c>
      <c r="AH193" s="49">
        <f t="shared" si="62"/>
        <v>1</v>
      </c>
      <c r="AI193" s="89">
        <f t="shared" si="71"/>
        <v>2.0556227327690451E-3</v>
      </c>
      <c r="AJ193" s="35">
        <v>0</v>
      </c>
      <c r="AK193" s="49">
        <f t="shared" si="63"/>
        <v>1</v>
      </c>
      <c r="AL193" s="35" t="s">
        <v>148</v>
      </c>
      <c r="AM193" s="35" t="s">
        <v>590</v>
      </c>
      <c r="AN193" s="35">
        <f>0.034</f>
        <v>3.4000000000000002E-2</v>
      </c>
      <c r="AO193" s="35">
        <v>1</v>
      </c>
      <c r="AP193" s="35">
        <f>AN193</f>
        <v>3.4000000000000002E-2</v>
      </c>
      <c r="AQ193" s="35">
        <v>1.4999999999999999E-2</v>
      </c>
      <c r="AR193" s="35" t="s">
        <v>312</v>
      </c>
      <c r="AS193" s="35" t="s">
        <v>312</v>
      </c>
      <c r="AT193" s="35" t="s">
        <v>83</v>
      </c>
      <c r="AU193" s="35" t="s">
        <v>109</v>
      </c>
      <c r="AV193" s="35" t="s">
        <v>133</v>
      </c>
      <c r="AW193" s="35" t="s">
        <v>134</v>
      </c>
      <c r="AX193" s="35" t="s">
        <v>86</v>
      </c>
      <c r="AY193" s="35">
        <v>0</v>
      </c>
      <c r="AZ193" s="35">
        <v>0</v>
      </c>
      <c r="BA193" s="58" t="s">
        <v>111</v>
      </c>
      <c r="BB193" s="35" t="s">
        <v>88</v>
      </c>
      <c r="BC193" s="35" t="s">
        <v>587</v>
      </c>
      <c r="BD193" s="35" t="s">
        <v>114</v>
      </c>
      <c r="BE193" s="35" t="s">
        <v>595</v>
      </c>
      <c r="BF193" s="35">
        <v>0.82699999999999996</v>
      </c>
      <c r="BG193" s="35">
        <v>0</v>
      </c>
      <c r="BH193" s="35">
        <v>0.378</v>
      </c>
      <c r="BI193" s="35" t="s">
        <v>312</v>
      </c>
      <c r="BJ193" s="35" t="s">
        <v>312</v>
      </c>
      <c r="BK193" s="35" t="s">
        <v>91</v>
      </c>
      <c r="BL193" s="35" t="s">
        <v>84</v>
      </c>
      <c r="BM193" s="35">
        <v>1</v>
      </c>
      <c r="BN193" s="35" t="s">
        <v>539</v>
      </c>
      <c r="BO193" s="35" t="s">
        <v>589</v>
      </c>
      <c r="BP193" s="35" t="s">
        <v>588</v>
      </c>
      <c r="BQ193" s="35" t="s">
        <v>92</v>
      </c>
      <c r="BR193" s="35" t="s">
        <v>312</v>
      </c>
      <c r="BS193" s="35" t="s">
        <v>312</v>
      </c>
      <c r="BT193" s="35" t="s">
        <v>312</v>
      </c>
      <c r="BU193" s="35">
        <v>2008</v>
      </c>
      <c r="BV193" s="35">
        <v>2015</v>
      </c>
      <c r="BW193" s="35" t="s">
        <v>596</v>
      </c>
      <c r="BX193" s="35" t="s">
        <v>95</v>
      </c>
      <c r="BY193" s="35" t="s">
        <v>592</v>
      </c>
      <c r="BZ193" s="35">
        <v>0</v>
      </c>
      <c r="CA193" s="35">
        <v>0</v>
      </c>
      <c r="CB193" s="35" t="s">
        <v>97</v>
      </c>
      <c r="CC193" s="35" t="s">
        <v>625</v>
      </c>
      <c r="CD193" s="35">
        <v>1</v>
      </c>
      <c r="CE193" s="35" t="s">
        <v>594</v>
      </c>
      <c r="CF193" s="35">
        <v>1</v>
      </c>
      <c r="CG193" s="35" t="s">
        <v>599</v>
      </c>
      <c r="CH193" s="35">
        <v>1</v>
      </c>
      <c r="CI193" s="35" t="s">
        <v>541</v>
      </c>
      <c r="CJ193" s="35" t="s">
        <v>98</v>
      </c>
      <c r="CK193" s="35">
        <v>62</v>
      </c>
      <c r="CL193" s="35">
        <v>0</v>
      </c>
      <c r="CM193" s="35">
        <v>0</v>
      </c>
      <c r="CN193" s="35" t="s">
        <v>124</v>
      </c>
      <c r="CO193" s="35" t="s">
        <v>97</v>
      </c>
      <c r="CP193" s="35" t="s">
        <v>100</v>
      </c>
      <c r="CQ193" s="35" t="s">
        <v>126</v>
      </c>
      <c r="CR193" s="36">
        <v>46220</v>
      </c>
      <c r="CT193" s="35" t="s">
        <v>452</v>
      </c>
    </row>
    <row r="194" spans="1:98" s="35" customFormat="1" x14ac:dyDescent="0.35">
      <c r="A194" s="34" t="s">
        <v>583</v>
      </c>
      <c r="B194" s="34" t="s">
        <v>635</v>
      </c>
      <c r="C194" s="35" t="s">
        <v>584</v>
      </c>
      <c r="D194" s="35">
        <v>2018</v>
      </c>
      <c r="E194" s="34" t="s">
        <v>585</v>
      </c>
      <c r="F194" s="34" t="s">
        <v>586</v>
      </c>
      <c r="G194" s="35" t="s">
        <v>78</v>
      </c>
      <c r="H194" s="35">
        <v>1</v>
      </c>
      <c r="I194" s="35" t="s">
        <v>390</v>
      </c>
      <c r="J194" s="35" t="s">
        <v>79</v>
      </c>
      <c r="K194" s="35">
        <v>366</v>
      </c>
      <c r="L194" s="35" t="s">
        <v>129</v>
      </c>
      <c r="M194" s="35" t="s">
        <v>380</v>
      </c>
      <c r="N194" s="35">
        <v>-3.0000000000000001E-3</v>
      </c>
      <c r="O194" s="35">
        <v>1E-3</v>
      </c>
      <c r="P194" s="89">
        <f t="shared" si="55"/>
        <v>-3</v>
      </c>
      <c r="Q194" s="35" t="s">
        <v>312</v>
      </c>
      <c r="R194" s="89">
        <f t="shared" si="56"/>
        <v>-4.96E-3</v>
      </c>
      <c r="S194" s="89">
        <f t="shared" si="57"/>
        <v>-1.0400000000000001E-3</v>
      </c>
      <c r="T194" s="35">
        <v>1</v>
      </c>
      <c r="U194" s="35">
        <v>637087</v>
      </c>
      <c r="V194" s="35" t="s">
        <v>312</v>
      </c>
      <c r="W194" s="35" t="s">
        <v>312</v>
      </c>
      <c r="X194" s="35">
        <f t="shared" si="58"/>
        <v>637087</v>
      </c>
      <c r="Y194" s="89">
        <f t="shared" si="59"/>
        <v>-3.7585368755649589E-3</v>
      </c>
      <c r="Z194" s="89">
        <f t="shared" si="60"/>
        <v>1.2528456251883196E-3</v>
      </c>
      <c r="AA194" s="89">
        <f t="shared" si="70"/>
        <v>-3.7585368755649589E-3</v>
      </c>
      <c r="AB194" s="35" t="s">
        <v>81</v>
      </c>
      <c r="AC194" s="89">
        <f t="shared" si="72"/>
        <v>-3.9540507859733981E-3</v>
      </c>
      <c r="AD194" s="89" cm="1">
        <f t="array" ref="AD194">_xlfn.IFS(
AND(L194="marginal_effect",M194="level"),N194*AN194/BF194,
AND(L194="marginal_effect",M194="sd (Y)"),N194*BH194*AN194/BF194,
AND(L194="marginal_effect",M194="sd (X)"),N194/AQ194*AN194/BF194,
AND(L194="semi_elasticity",M194="level"),N194*AN194,
AND(L194="semi_elasticity",M194="sd (Y)"),N194*AN194*BH194,
AND(L194="semi_elasticity",M194="sd (X)"),N194*AN194/AQ194,
AND(L194="level-log",M194="level"),N194/BF194,
AND(L194="level-log",M194="sd (X)"),N194/BF194/AQ194,
AND(L194="level-log",M194="sd (Y)"),N194/BF194*BH194,
AND(L194="elasticity",M194="level"),N194,
AND(L194="elasticity",M194="sd (X)"),N194/AQ194,
AND(L194="elasticity",M194="sd (Y)"),N194*BH194,
AND(L194="marginal_effect",M194="percent_of_mean"),N194*AN194/BF194/10)</f>
        <v>-3.9540507859733981E-3</v>
      </c>
      <c r="AE194" s="49">
        <f t="shared" si="61"/>
        <v>1</v>
      </c>
      <c r="AF194" s="89">
        <f t="shared" si="73"/>
        <v>1.3180169286577993E-3</v>
      </c>
      <c r="AG194" s="89" cm="1">
        <f t="array" ref="AG194">_xlfn.IFS(
AND(L194="marginal_effect",M194="level"),O194*AN194/BF194,
AND(L194="marginal_effect",M194="sd (Y)"),O194*BH194*AN194/BF194,
AND(L194="marginal_effect",M194="sd (X)"),O194/AQ194*AN194/BF194,
AND(L194="semi_elasticity",M194="level"),O194*AN194,
AND(L194="semi_elasticity",M194="sd (Y)"),O194*AN194*BH194,
AND(L194="semi_elasticity",M194="sd (X)"),O194*AN194/AQ194,
AND(L194="level-log",M194="level"),O194/BF194,
AND(L194="level-log",M194="sd (X)"),O194/BF194/AQ194,
AND(L194="level-log",M194="sd (Y)"),O194/BF194*BH194,
AND(L194="elasticity",M194="level"),O194,
AND(L194="elasticity",M194="sd (X)"),O194/AQ194,
AND(L194="elasticity",M194="sd (Y)"),O194*BH194,
AND(L194="marginal_effect",M194="percent_of_mean"),O194*AN194/BF194/10)</f>
        <v>1.3180169286577993E-3</v>
      </c>
      <c r="AH194" s="49">
        <f t="shared" si="62"/>
        <v>1</v>
      </c>
      <c r="AI194" s="89">
        <f t="shared" si="71"/>
        <v>-3.9540507859733981E-3</v>
      </c>
      <c r="AJ194" s="35">
        <v>0</v>
      </c>
      <c r="AK194" s="49">
        <f t="shared" si="63"/>
        <v>1</v>
      </c>
      <c r="AL194" s="35" t="s">
        <v>82</v>
      </c>
      <c r="AM194" s="35" t="s">
        <v>296</v>
      </c>
      <c r="AN194" s="35">
        <v>1.0900000000000001</v>
      </c>
      <c r="AO194" s="35">
        <v>1</v>
      </c>
      <c r="AP194" s="35">
        <f>AN194*10</f>
        <v>10.9</v>
      </c>
      <c r="AQ194" s="35">
        <v>0.57999999999999996</v>
      </c>
      <c r="AR194" s="35" t="s">
        <v>312</v>
      </c>
      <c r="AS194" s="35" t="s">
        <v>312</v>
      </c>
      <c r="AT194" s="35" t="s">
        <v>83</v>
      </c>
      <c r="AU194" s="35" t="s">
        <v>109</v>
      </c>
      <c r="AV194" s="35" t="s">
        <v>133</v>
      </c>
      <c r="AW194" s="35" t="s">
        <v>134</v>
      </c>
      <c r="AX194" s="35" t="s">
        <v>86</v>
      </c>
      <c r="AY194" s="35">
        <v>0</v>
      </c>
      <c r="AZ194" s="35">
        <v>0</v>
      </c>
      <c r="BA194" s="58" t="s">
        <v>111</v>
      </c>
      <c r="BB194" s="35" t="s">
        <v>88</v>
      </c>
      <c r="BC194" s="35" t="s">
        <v>587</v>
      </c>
      <c r="BD194" s="35" t="s">
        <v>114</v>
      </c>
      <c r="BE194" s="35" t="s">
        <v>595</v>
      </c>
      <c r="BF194" s="35">
        <v>0.82699999999999996</v>
      </c>
      <c r="BG194" s="35">
        <v>0</v>
      </c>
      <c r="BH194" s="35">
        <v>0.378</v>
      </c>
      <c r="BI194" s="35" t="s">
        <v>312</v>
      </c>
      <c r="BJ194" s="35" t="s">
        <v>312</v>
      </c>
      <c r="BK194" s="35" t="s">
        <v>91</v>
      </c>
      <c r="BL194" s="35" t="s">
        <v>84</v>
      </c>
      <c r="BM194" s="35">
        <v>1</v>
      </c>
      <c r="BN194" s="35" t="s">
        <v>539</v>
      </c>
      <c r="BO194" s="35" t="s">
        <v>589</v>
      </c>
      <c r="BP194" s="35" t="s">
        <v>588</v>
      </c>
      <c r="BQ194" s="35" t="s">
        <v>92</v>
      </c>
      <c r="BR194" s="35" t="s">
        <v>312</v>
      </c>
      <c r="BS194" s="35" t="s">
        <v>312</v>
      </c>
      <c r="BT194" s="35" t="s">
        <v>312</v>
      </c>
      <c r="BU194" s="35">
        <v>2008</v>
      </c>
      <c r="BV194" s="35">
        <v>2015</v>
      </c>
      <c r="BW194" s="35" t="s">
        <v>596</v>
      </c>
      <c r="BX194" s="35" t="s">
        <v>95</v>
      </c>
      <c r="BY194" s="35" t="s">
        <v>592</v>
      </c>
      <c r="BZ194" s="35">
        <v>0</v>
      </c>
      <c r="CA194" s="35">
        <v>0</v>
      </c>
      <c r="CB194" s="35" t="s">
        <v>97</v>
      </c>
      <c r="CC194" s="35" t="s">
        <v>625</v>
      </c>
      <c r="CD194" s="35">
        <v>1</v>
      </c>
      <c r="CE194" s="35" t="s">
        <v>594</v>
      </c>
      <c r="CF194" s="35">
        <v>1</v>
      </c>
      <c r="CG194" s="35" t="s">
        <v>597</v>
      </c>
      <c r="CH194" s="35">
        <v>1</v>
      </c>
      <c r="CI194" s="35" t="s">
        <v>541</v>
      </c>
      <c r="CJ194" s="35" t="s">
        <v>98</v>
      </c>
      <c r="CK194" s="35">
        <v>62</v>
      </c>
      <c r="CL194" s="35">
        <v>0</v>
      </c>
      <c r="CM194" s="35">
        <v>0</v>
      </c>
      <c r="CN194" s="35" t="s">
        <v>124</v>
      </c>
      <c r="CO194" s="35" t="s">
        <v>97</v>
      </c>
      <c r="CP194" s="35" t="s">
        <v>100</v>
      </c>
      <c r="CQ194" s="35" t="s">
        <v>126</v>
      </c>
      <c r="CR194" s="36">
        <v>46220</v>
      </c>
      <c r="CT194" s="35" t="s">
        <v>521</v>
      </c>
    </row>
    <row r="195" spans="1:98" s="35" customFormat="1" x14ac:dyDescent="0.35">
      <c r="A195" s="34" t="s">
        <v>583</v>
      </c>
      <c r="B195" s="34" t="s">
        <v>636</v>
      </c>
      <c r="C195" s="35" t="s">
        <v>584</v>
      </c>
      <c r="D195" s="35">
        <v>2018</v>
      </c>
      <c r="E195" s="34" t="s">
        <v>585</v>
      </c>
      <c r="F195" s="34" t="s">
        <v>586</v>
      </c>
      <c r="G195" s="35" t="s">
        <v>78</v>
      </c>
      <c r="H195" s="35">
        <v>1</v>
      </c>
      <c r="I195" s="35" t="s">
        <v>390</v>
      </c>
      <c r="J195" s="35" t="s">
        <v>79</v>
      </c>
      <c r="K195" s="35">
        <v>366</v>
      </c>
      <c r="L195" s="35" t="s">
        <v>129</v>
      </c>
      <c r="M195" s="35" t="s">
        <v>380</v>
      </c>
      <c r="N195" s="35">
        <v>-5.0000000000000001E-3</v>
      </c>
      <c r="O195" s="35">
        <v>6.0000000000000001E-3</v>
      </c>
      <c r="P195" s="89">
        <f t="shared" si="55"/>
        <v>-0.83333333333333337</v>
      </c>
      <c r="Q195" s="35" t="s">
        <v>312</v>
      </c>
      <c r="R195" s="89">
        <f t="shared" si="56"/>
        <v>-1.6760000000000001E-2</v>
      </c>
      <c r="S195" s="89">
        <f t="shared" si="57"/>
        <v>6.7599999999999995E-3</v>
      </c>
      <c r="T195" s="35">
        <v>1</v>
      </c>
      <c r="U195" s="35">
        <v>637087</v>
      </c>
      <c r="V195" s="35" t="s">
        <v>312</v>
      </c>
      <c r="W195" s="35" t="s">
        <v>312</v>
      </c>
      <c r="X195" s="35">
        <f t="shared" si="58"/>
        <v>637087</v>
      </c>
      <c r="Y195" s="89">
        <f t="shared" si="59"/>
        <v>-1.044044826401515E-3</v>
      </c>
      <c r="Z195" s="89">
        <f t="shared" si="60"/>
        <v>1.2528537916818179E-3</v>
      </c>
      <c r="AA195" s="89">
        <f t="shared" si="70"/>
        <v>-1.044044826401515E-3</v>
      </c>
      <c r="AB195" s="35" t="s">
        <v>81</v>
      </c>
      <c r="AC195" s="89">
        <f t="shared" si="72"/>
        <v>-1.7835550181378476E-3</v>
      </c>
      <c r="AD195" s="89" cm="1">
        <f t="array" ref="AD195">_xlfn.IFS(
AND(L195="marginal_effect",M195="level"),N195*AN195/BF195,
AND(L195="marginal_effect",M195="sd (Y)"),N195*BH195*AN195/BF195,
AND(L195="marginal_effect",M195="sd (X)"),N195/AQ195*AN195/BF195,
AND(L195="semi_elasticity",M195="level"),N195*AN195,
AND(L195="semi_elasticity",M195="sd (Y)"),N195*AN195*BH195,
AND(L195="semi_elasticity",M195="sd (X)"),N195*AN195/AQ195,
AND(L195="level-log",M195="level"),N195/BF195,
AND(L195="level-log",M195="sd (X)"),N195/BF195/AQ195,
AND(L195="level-log",M195="sd (Y)"),N195/BF195*BH195,
AND(L195="elasticity",M195="level"),N195,
AND(L195="elasticity",M195="sd (X)"),N195/AQ195,
AND(L195="elasticity",M195="sd (Y)"),N195*BH195,
AND(L195="marginal_effect",M195="percent_of_mean"),N195*AN195/BF195/10)</f>
        <v>-1.7835550181378476E-3</v>
      </c>
      <c r="AE195" s="49">
        <f t="shared" si="61"/>
        <v>1</v>
      </c>
      <c r="AF195" s="89">
        <f t="shared" si="73"/>
        <v>2.1402660217654172E-3</v>
      </c>
      <c r="AG195" s="89" cm="1">
        <f t="array" ref="AG195">_xlfn.IFS(
AND(L195="marginal_effect",M195="level"),O195*AN195/BF195,
AND(L195="marginal_effect",M195="sd (Y)"),O195*BH195*AN195/BF195,
AND(L195="marginal_effect",M195="sd (X)"),O195/AQ195*AN195/BF195,
AND(L195="semi_elasticity",M195="level"),O195*AN195,
AND(L195="semi_elasticity",M195="sd (Y)"),O195*AN195*BH195,
AND(L195="semi_elasticity",M195="sd (X)"),O195*AN195/AQ195,
AND(L195="level-log",M195="level"),O195/BF195,
AND(L195="level-log",M195="sd (X)"),O195/BF195/AQ195,
AND(L195="level-log",M195="sd (Y)"),O195/BF195*BH195,
AND(L195="elasticity",M195="level"),O195,
AND(L195="elasticity",M195="sd (X)"),O195/AQ195,
AND(L195="elasticity",M195="sd (Y)"),O195*BH195,
AND(L195="marginal_effect",M195="percent_of_mean"),O195*AN195/BF195/10)</f>
        <v>2.1402660217654172E-3</v>
      </c>
      <c r="AH195" s="49">
        <f t="shared" si="62"/>
        <v>1</v>
      </c>
      <c r="AI195" s="89">
        <f t="shared" si="71"/>
        <v>-1.7835550181378476E-3</v>
      </c>
      <c r="AJ195" s="35">
        <v>0</v>
      </c>
      <c r="AK195" s="49">
        <f t="shared" si="63"/>
        <v>1</v>
      </c>
      <c r="AL195" s="35" t="s">
        <v>162</v>
      </c>
      <c r="AM195" s="35" t="s">
        <v>590</v>
      </c>
      <c r="AN195" s="35">
        <v>0.29499999999999998</v>
      </c>
      <c r="AO195" s="35">
        <v>1</v>
      </c>
      <c r="AP195" s="35">
        <f>AN195</f>
        <v>0.29499999999999998</v>
      </c>
      <c r="AQ195" s="35">
        <v>0.13900000000000001</v>
      </c>
      <c r="AR195" s="35" t="s">
        <v>312</v>
      </c>
      <c r="AS195" s="35" t="s">
        <v>312</v>
      </c>
      <c r="AT195" s="35" t="s">
        <v>83</v>
      </c>
      <c r="AU195" s="35" t="s">
        <v>109</v>
      </c>
      <c r="AV195" s="35" t="s">
        <v>133</v>
      </c>
      <c r="AW195" s="35" t="s">
        <v>134</v>
      </c>
      <c r="AX195" s="35" t="s">
        <v>86</v>
      </c>
      <c r="AY195" s="35">
        <v>0</v>
      </c>
      <c r="AZ195" s="35">
        <v>0</v>
      </c>
      <c r="BA195" s="58" t="s">
        <v>111</v>
      </c>
      <c r="BB195" s="35" t="s">
        <v>88</v>
      </c>
      <c r="BC195" s="35" t="s">
        <v>587</v>
      </c>
      <c r="BD195" s="35" t="s">
        <v>114</v>
      </c>
      <c r="BE195" s="35" t="s">
        <v>595</v>
      </c>
      <c r="BF195" s="35">
        <v>0.82699999999999996</v>
      </c>
      <c r="BG195" s="35">
        <v>0</v>
      </c>
      <c r="BH195" s="35">
        <v>0.378</v>
      </c>
      <c r="BI195" s="35" t="s">
        <v>312</v>
      </c>
      <c r="BJ195" s="35" t="s">
        <v>312</v>
      </c>
      <c r="BK195" s="35" t="s">
        <v>91</v>
      </c>
      <c r="BL195" s="35" t="s">
        <v>84</v>
      </c>
      <c r="BM195" s="35">
        <v>1</v>
      </c>
      <c r="BN195" s="35" t="s">
        <v>539</v>
      </c>
      <c r="BO195" s="35" t="s">
        <v>589</v>
      </c>
      <c r="BP195" s="35" t="s">
        <v>588</v>
      </c>
      <c r="BQ195" s="35" t="s">
        <v>92</v>
      </c>
      <c r="BR195" s="35" t="s">
        <v>312</v>
      </c>
      <c r="BS195" s="35" t="s">
        <v>312</v>
      </c>
      <c r="BT195" s="35" t="s">
        <v>312</v>
      </c>
      <c r="BU195" s="35">
        <v>2008</v>
      </c>
      <c r="BV195" s="35">
        <v>2015</v>
      </c>
      <c r="BW195" s="35" t="s">
        <v>596</v>
      </c>
      <c r="BX195" s="35" t="s">
        <v>95</v>
      </c>
      <c r="BY195" s="35" t="s">
        <v>592</v>
      </c>
      <c r="BZ195" s="35">
        <v>0</v>
      </c>
      <c r="CA195" s="35">
        <v>0</v>
      </c>
      <c r="CB195" s="35" t="s">
        <v>97</v>
      </c>
      <c r="CC195" s="35" t="s">
        <v>625</v>
      </c>
      <c r="CD195" s="35">
        <v>1</v>
      </c>
      <c r="CE195" s="35" t="s">
        <v>594</v>
      </c>
      <c r="CF195" s="35">
        <v>1</v>
      </c>
      <c r="CG195" s="35" t="s">
        <v>598</v>
      </c>
      <c r="CH195" s="35">
        <v>1</v>
      </c>
      <c r="CI195" s="35" t="s">
        <v>541</v>
      </c>
      <c r="CJ195" s="35" t="s">
        <v>98</v>
      </c>
      <c r="CK195" s="35">
        <v>62</v>
      </c>
      <c r="CL195" s="35">
        <v>0</v>
      </c>
      <c r="CM195" s="35">
        <v>0</v>
      </c>
      <c r="CN195" s="35" t="s">
        <v>124</v>
      </c>
      <c r="CO195" s="35" t="s">
        <v>97</v>
      </c>
      <c r="CP195" s="35" t="s">
        <v>100</v>
      </c>
      <c r="CQ195" s="35" t="s">
        <v>600</v>
      </c>
      <c r="CR195" s="36">
        <v>46220</v>
      </c>
      <c r="CT195" s="35" t="s">
        <v>521</v>
      </c>
    </row>
    <row r="196" spans="1:98" s="35" customFormat="1" x14ac:dyDescent="0.35">
      <c r="A196" s="34" t="s">
        <v>583</v>
      </c>
      <c r="B196" s="34" t="s">
        <v>637</v>
      </c>
      <c r="C196" s="35" t="s">
        <v>584</v>
      </c>
      <c r="D196" s="35">
        <v>2018</v>
      </c>
      <c r="E196" s="34" t="s">
        <v>585</v>
      </c>
      <c r="F196" s="34" t="s">
        <v>586</v>
      </c>
      <c r="G196" s="35" t="s">
        <v>78</v>
      </c>
      <c r="H196" s="35">
        <v>1</v>
      </c>
      <c r="I196" s="35" t="s">
        <v>390</v>
      </c>
      <c r="J196" s="35" t="s">
        <v>79</v>
      </c>
      <c r="K196" s="35">
        <v>366</v>
      </c>
      <c r="L196" s="35" t="s">
        <v>129</v>
      </c>
      <c r="M196" s="35" t="s">
        <v>380</v>
      </c>
      <c r="N196" s="35">
        <v>5.8999999999999997E-2</v>
      </c>
      <c r="O196" s="35">
        <v>7.3999999999999996E-2</v>
      </c>
      <c r="P196" s="89">
        <f t="shared" si="55"/>
        <v>0.79729729729729726</v>
      </c>
      <c r="Q196" s="35" t="s">
        <v>312</v>
      </c>
      <c r="R196" s="89">
        <f t="shared" si="56"/>
        <v>-8.6040000000000005E-2</v>
      </c>
      <c r="S196" s="89">
        <f t="shared" si="57"/>
        <v>0.20404</v>
      </c>
      <c r="T196" s="35">
        <v>1</v>
      </c>
      <c r="U196" s="35">
        <v>637087</v>
      </c>
      <c r="V196" s="35" t="s">
        <v>312</v>
      </c>
      <c r="W196" s="35" t="s">
        <v>312</v>
      </c>
      <c r="X196" s="35">
        <f t="shared" si="58"/>
        <v>637087</v>
      </c>
      <c r="Y196" s="89">
        <f t="shared" si="59"/>
        <v>9.9889698808296699E-4</v>
      </c>
      <c r="Z196" s="89">
        <f t="shared" si="60"/>
        <v>1.2528538494599928E-3</v>
      </c>
      <c r="AA196" s="89">
        <f t="shared" si="70"/>
        <v>9.9889698808296699E-4</v>
      </c>
      <c r="AB196" s="35" t="s">
        <v>81</v>
      </c>
      <c r="AC196" s="89">
        <f t="shared" si="72"/>
        <v>2.4256348246674731E-3</v>
      </c>
      <c r="AD196" s="89" cm="1">
        <f t="array" ref="AD196">_xlfn.IFS(
AND(L196="marginal_effect",M196="level"),N196*AN196/BF196,
AND(L196="marginal_effect",M196="sd (Y)"),N196*BH196*AN196/BF196,
AND(L196="marginal_effect",M196="sd (X)"),N196/AQ196*AN196/BF196,
AND(L196="semi_elasticity",M196="level"),N196*AN196,
AND(L196="semi_elasticity",M196="sd (Y)"),N196*AN196*BH196,
AND(L196="semi_elasticity",M196="sd (X)"),N196*AN196/AQ196,
AND(L196="level-log",M196="level"),N196/BF196,
AND(L196="level-log",M196="sd (X)"),N196/BF196/AQ196,
AND(L196="level-log",M196="sd (Y)"),N196/BF196*BH196,
AND(L196="elasticity",M196="level"),N196,
AND(L196="elasticity",M196="sd (X)"),N196/AQ196,
AND(L196="elasticity",M196="sd (Y)"),N196*BH196,
AND(L196="marginal_effect",M196="percent_of_mean"),N196*AN196/BF196/10)</f>
        <v>2.4256348246674731E-3</v>
      </c>
      <c r="AE196" s="49">
        <f t="shared" si="61"/>
        <v>1</v>
      </c>
      <c r="AF196" s="89">
        <f t="shared" si="73"/>
        <v>3.0423216444981863E-3</v>
      </c>
      <c r="AG196" s="89" cm="1">
        <f t="array" ref="AG196">_xlfn.IFS(
AND(L196="marginal_effect",M196="level"),O196*AN196/BF196,
AND(L196="marginal_effect",M196="sd (Y)"),O196*BH196*AN196/BF196,
AND(L196="marginal_effect",M196="sd (X)"),O196/AQ196*AN196/BF196,
AND(L196="semi_elasticity",M196="level"),O196*AN196,
AND(L196="semi_elasticity",M196="sd (Y)"),O196*AN196*BH196,
AND(L196="semi_elasticity",M196="sd (X)"),O196*AN196/AQ196,
AND(L196="level-log",M196="level"),O196/BF196,
AND(L196="level-log",M196="sd (X)"),O196/BF196/AQ196,
AND(L196="level-log",M196="sd (Y)"),O196/BF196*BH196,
AND(L196="elasticity",M196="level"),O196,
AND(L196="elasticity",M196="sd (X)"),O196/AQ196,
AND(L196="elasticity",M196="sd (Y)"),O196*BH196,
AND(L196="marginal_effect",M196="percent_of_mean"),O196*AN196/BF196/10)</f>
        <v>3.0423216444981863E-3</v>
      </c>
      <c r="AH196" s="49">
        <f t="shared" si="62"/>
        <v>1</v>
      </c>
      <c r="AI196" s="89">
        <f t="shared" si="71"/>
        <v>2.4256348246674731E-3</v>
      </c>
      <c r="AJ196" s="35">
        <v>0</v>
      </c>
      <c r="AK196" s="49">
        <f t="shared" si="63"/>
        <v>1</v>
      </c>
      <c r="AL196" s="35" t="s">
        <v>148</v>
      </c>
      <c r="AM196" s="35" t="s">
        <v>590</v>
      </c>
      <c r="AN196" s="35">
        <f>0.034</f>
        <v>3.4000000000000002E-2</v>
      </c>
      <c r="AO196" s="35">
        <v>1</v>
      </c>
      <c r="AP196" s="35">
        <f>AN196</f>
        <v>3.4000000000000002E-2</v>
      </c>
      <c r="AQ196" s="35">
        <v>1.4999999999999999E-2</v>
      </c>
      <c r="AR196" s="35" t="s">
        <v>312</v>
      </c>
      <c r="AS196" s="35" t="s">
        <v>312</v>
      </c>
      <c r="AT196" s="35" t="s">
        <v>83</v>
      </c>
      <c r="AU196" s="35" t="s">
        <v>109</v>
      </c>
      <c r="AV196" s="35" t="s">
        <v>133</v>
      </c>
      <c r="AW196" s="35" t="s">
        <v>134</v>
      </c>
      <c r="AX196" s="35" t="s">
        <v>86</v>
      </c>
      <c r="AY196" s="35">
        <v>0</v>
      </c>
      <c r="AZ196" s="35">
        <v>0</v>
      </c>
      <c r="BA196" s="58" t="s">
        <v>111</v>
      </c>
      <c r="BB196" s="35" t="s">
        <v>88</v>
      </c>
      <c r="BC196" s="35" t="s">
        <v>587</v>
      </c>
      <c r="BD196" s="35" t="s">
        <v>114</v>
      </c>
      <c r="BE196" s="35" t="s">
        <v>595</v>
      </c>
      <c r="BF196" s="35">
        <v>0.82699999999999996</v>
      </c>
      <c r="BG196" s="35">
        <v>0</v>
      </c>
      <c r="BH196" s="35">
        <v>0.378</v>
      </c>
      <c r="BI196" s="35" t="s">
        <v>312</v>
      </c>
      <c r="BJ196" s="35" t="s">
        <v>312</v>
      </c>
      <c r="BK196" s="35" t="s">
        <v>91</v>
      </c>
      <c r="BL196" s="35" t="s">
        <v>84</v>
      </c>
      <c r="BM196" s="35">
        <v>1</v>
      </c>
      <c r="BN196" s="35" t="s">
        <v>539</v>
      </c>
      <c r="BO196" s="35" t="s">
        <v>589</v>
      </c>
      <c r="BP196" s="35" t="s">
        <v>588</v>
      </c>
      <c r="BQ196" s="35" t="s">
        <v>92</v>
      </c>
      <c r="BR196" s="35" t="s">
        <v>312</v>
      </c>
      <c r="BS196" s="35" t="s">
        <v>312</v>
      </c>
      <c r="BT196" s="35" t="s">
        <v>312</v>
      </c>
      <c r="BU196" s="35">
        <v>2008</v>
      </c>
      <c r="BV196" s="35">
        <v>2015</v>
      </c>
      <c r="BW196" s="35" t="s">
        <v>596</v>
      </c>
      <c r="BX196" s="35" t="s">
        <v>95</v>
      </c>
      <c r="BY196" s="35" t="s">
        <v>592</v>
      </c>
      <c r="BZ196" s="35">
        <v>0</v>
      </c>
      <c r="CA196" s="35">
        <v>0</v>
      </c>
      <c r="CB196" s="35" t="s">
        <v>97</v>
      </c>
      <c r="CC196" s="35" t="s">
        <v>625</v>
      </c>
      <c r="CD196" s="35">
        <v>1</v>
      </c>
      <c r="CE196" s="35" t="s">
        <v>594</v>
      </c>
      <c r="CF196" s="35">
        <v>1</v>
      </c>
      <c r="CG196" s="35" t="s">
        <v>599</v>
      </c>
      <c r="CH196" s="35">
        <v>1</v>
      </c>
      <c r="CI196" s="35" t="s">
        <v>541</v>
      </c>
      <c r="CJ196" s="35" t="s">
        <v>98</v>
      </c>
      <c r="CK196" s="35">
        <v>62</v>
      </c>
      <c r="CL196" s="35">
        <v>0</v>
      </c>
      <c r="CM196" s="35">
        <v>0</v>
      </c>
      <c r="CN196" s="35" t="s">
        <v>124</v>
      </c>
      <c r="CO196" s="35" t="s">
        <v>97</v>
      </c>
      <c r="CP196" s="35" t="s">
        <v>100</v>
      </c>
      <c r="CQ196" s="35" t="s">
        <v>126</v>
      </c>
      <c r="CR196" s="36">
        <v>46220</v>
      </c>
      <c r="CT196" s="35" t="s">
        <v>521</v>
      </c>
    </row>
    <row r="197" spans="1:98" s="35" customFormat="1" x14ac:dyDescent="0.35">
      <c r="A197" s="34" t="s">
        <v>583</v>
      </c>
      <c r="B197" s="34" t="s">
        <v>638</v>
      </c>
      <c r="C197" s="35" t="s">
        <v>584</v>
      </c>
      <c r="D197" s="35">
        <v>2018</v>
      </c>
      <c r="E197" s="34" t="s">
        <v>585</v>
      </c>
      <c r="F197" s="34" t="s">
        <v>586</v>
      </c>
      <c r="G197" s="35" t="s">
        <v>78</v>
      </c>
      <c r="H197" s="35">
        <v>1</v>
      </c>
      <c r="I197" s="35" t="s">
        <v>390</v>
      </c>
      <c r="J197" s="35" t="s">
        <v>79</v>
      </c>
      <c r="K197" s="35">
        <v>366</v>
      </c>
      <c r="L197" s="35" t="s">
        <v>129</v>
      </c>
      <c r="M197" s="35" t="s">
        <v>380</v>
      </c>
      <c r="N197" s="35">
        <v>-4.0000000000000001E-3</v>
      </c>
      <c r="O197" s="35">
        <v>1E-3</v>
      </c>
      <c r="P197" s="89">
        <f t="shared" si="55"/>
        <v>-4</v>
      </c>
      <c r="Q197" s="35" t="s">
        <v>312</v>
      </c>
      <c r="R197" s="89">
        <f t="shared" si="56"/>
        <v>-5.96E-3</v>
      </c>
      <c r="S197" s="89">
        <f t="shared" si="57"/>
        <v>-2.0400000000000001E-3</v>
      </c>
      <c r="T197" s="35">
        <v>1</v>
      </c>
      <c r="U197" s="35">
        <v>623186</v>
      </c>
      <c r="V197" s="35" t="s">
        <v>312</v>
      </c>
      <c r="W197" s="35" t="s">
        <v>312</v>
      </c>
      <c r="X197" s="35">
        <f t="shared" si="58"/>
        <v>623186</v>
      </c>
      <c r="Y197" s="89">
        <f t="shared" si="59"/>
        <v>-5.0669377888715728E-3</v>
      </c>
      <c r="Z197" s="89">
        <f t="shared" si="60"/>
        <v>1.2667344472178932E-3</v>
      </c>
      <c r="AA197" s="89">
        <f t="shared" si="70"/>
        <v>-5.0669377888715728E-3</v>
      </c>
      <c r="AB197" s="35" t="s">
        <v>81</v>
      </c>
      <c r="AC197" s="89">
        <f t="shared" si="72"/>
        <v>-5.2720677146311972E-3</v>
      </c>
      <c r="AD197" s="89" cm="1">
        <f t="array" ref="AD197">_xlfn.IFS(
AND(L197="marginal_effect",M197="level"),N197*AN197/BF197,
AND(L197="marginal_effect",M197="sd (Y)"),N197*BH197*AN197/BF197,
AND(L197="marginal_effect",M197="sd (X)"),N197/AQ197*AN197/BF197,
AND(L197="semi_elasticity",M197="level"),N197*AN197,
AND(L197="semi_elasticity",M197="sd (Y)"),N197*AN197*BH197,
AND(L197="semi_elasticity",M197="sd (X)"),N197*AN197/AQ197,
AND(L197="level-log",M197="level"),N197/BF197,
AND(L197="level-log",M197="sd (X)"),N197/BF197/AQ197,
AND(L197="level-log",M197="sd (Y)"),N197/BF197*BH197,
AND(L197="elasticity",M197="level"),N197,
AND(L197="elasticity",M197="sd (X)"),N197/AQ197,
AND(L197="elasticity",M197="sd (Y)"),N197*BH197,
AND(L197="marginal_effect",M197="percent_of_mean"),N197*AN197/BF197/10)</f>
        <v>-5.2720677146311972E-3</v>
      </c>
      <c r="AE197" s="49">
        <f t="shared" si="61"/>
        <v>1</v>
      </c>
      <c r="AF197" s="89">
        <f t="shared" si="73"/>
        <v>1.3180169286577993E-3</v>
      </c>
      <c r="AG197" s="89" cm="1">
        <f t="array" ref="AG197">_xlfn.IFS(
AND(L197="marginal_effect",M197="level"),O197*AN197/BF197,
AND(L197="marginal_effect",M197="sd (Y)"),O197*BH197*AN197/BF197,
AND(L197="marginal_effect",M197="sd (X)"),O197/AQ197*AN197/BF197,
AND(L197="semi_elasticity",M197="level"),O197*AN197,
AND(L197="semi_elasticity",M197="sd (Y)"),O197*AN197*BH197,
AND(L197="semi_elasticity",M197="sd (X)"),O197*AN197/AQ197,
AND(L197="level-log",M197="level"),O197/BF197,
AND(L197="level-log",M197="sd (X)"),O197/BF197/AQ197,
AND(L197="level-log",M197="sd (Y)"),O197/BF197*BH197,
AND(L197="elasticity",M197="level"),O197,
AND(L197="elasticity",M197="sd (X)"),O197/AQ197,
AND(L197="elasticity",M197="sd (Y)"),O197*BH197,
AND(L197="marginal_effect",M197="percent_of_mean"),O197*AN197/BF197/10)</f>
        <v>1.3180169286577993E-3</v>
      </c>
      <c r="AH197" s="49">
        <f t="shared" si="62"/>
        <v>1</v>
      </c>
      <c r="AI197" s="89">
        <f t="shared" si="71"/>
        <v>-5.2720677146311972E-3</v>
      </c>
      <c r="AJ197" s="35">
        <v>0</v>
      </c>
      <c r="AK197" s="49">
        <f t="shared" si="63"/>
        <v>1</v>
      </c>
      <c r="AL197" s="35" t="s">
        <v>82</v>
      </c>
      <c r="AM197" s="35" t="s">
        <v>296</v>
      </c>
      <c r="AN197" s="35">
        <v>1.0900000000000001</v>
      </c>
      <c r="AO197" s="35">
        <v>0</v>
      </c>
      <c r="AP197" s="35">
        <f>AN197*10</f>
        <v>10.9</v>
      </c>
      <c r="AQ197" s="35">
        <v>0.57999999999999996</v>
      </c>
      <c r="AR197" s="35" t="s">
        <v>312</v>
      </c>
      <c r="AS197" s="35" t="s">
        <v>312</v>
      </c>
      <c r="AT197" s="35" t="s">
        <v>83</v>
      </c>
      <c r="AU197" s="35" t="s">
        <v>109</v>
      </c>
      <c r="AV197" s="35" t="s">
        <v>133</v>
      </c>
      <c r="AW197" s="35" t="s">
        <v>134</v>
      </c>
      <c r="AX197" s="35" t="s">
        <v>86</v>
      </c>
      <c r="AY197" s="35">
        <v>0</v>
      </c>
      <c r="AZ197" s="35">
        <v>0</v>
      </c>
      <c r="BA197" s="58" t="s">
        <v>111</v>
      </c>
      <c r="BB197" s="35" t="s">
        <v>88</v>
      </c>
      <c r="BC197" s="35" t="s">
        <v>587</v>
      </c>
      <c r="BD197" s="35" t="s">
        <v>114</v>
      </c>
      <c r="BE197" s="35" t="s">
        <v>595</v>
      </c>
      <c r="BF197" s="35">
        <v>0.82699999999999996</v>
      </c>
      <c r="BG197" s="35">
        <v>0</v>
      </c>
      <c r="BH197" s="35">
        <v>0.378</v>
      </c>
      <c r="BI197" s="35" t="s">
        <v>312</v>
      </c>
      <c r="BJ197" s="35" t="s">
        <v>312</v>
      </c>
      <c r="BK197" s="35" t="s">
        <v>91</v>
      </c>
      <c r="BL197" s="35" t="s">
        <v>84</v>
      </c>
      <c r="BM197" s="35">
        <v>1</v>
      </c>
      <c r="BN197" s="35" t="s">
        <v>539</v>
      </c>
      <c r="BO197" s="35" t="s">
        <v>589</v>
      </c>
      <c r="BP197" s="35" t="s">
        <v>588</v>
      </c>
      <c r="BQ197" s="35" t="s">
        <v>92</v>
      </c>
      <c r="BR197" s="35" t="s">
        <v>312</v>
      </c>
      <c r="BS197" s="35" t="s">
        <v>312</v>
      </c>
      <c r="BT197" s="35" t="s">
        <v>312</v>
      </c>
      <c r="BU197" s="35">
        <v>2008</v>
      </c>
      <c r="BV197" s="35">
        <v>2015</v>
      </c>
      <c r="BW197" s="35" t="s">
        <v>596</v>
      </c>
      <c r="BX197" s="35" t="s">
        <v>95</v>
      </c>
      <c r="BY197" s="35" t="s">
        <v>592</v>
      </c>
      <c r="BZ197" s="35">
        <v>0</v>
      </c>
      <c r="CA197" s="35">
        <v>0</v>
      </c>
      <c r="CB197" s="35" t="s">
        <v>97</v>
      </c>
      <c r="CC197" s="35" t="s">
        <v>641</v>
      </c>
      <c r="CD197" s="35">
        <v>1</v>
      </c>
      <c r="CE197" s="35" t="s">
        <v>594</v>
      </c>
      <c r="CF197" s="35">
        <v>1</v>
      </c>
      <c r="CG197" s="35" t="s">
        <v>597</v>
      </c>
      <c r="CH197" s="35">
        <v>1</v>
      </c>
      <c r="CI197" s="35" t="s">
        <v>541</v>
      </c>
      <c r="CJ197" s="35" t="s">
        <v>98</v>
      </c>
      <c r="CK197" s="35">
        <v>62</v>
      </c>
      <c r="CL197" s="35">
        <v>0</v>
      </c>
      <c r="CM197" s="35">
        <v>0</v>
      </c>
      <c r="CN197" s="35" t="s">
        <v>124</v>
      </c>
      <c r="CO197" s="35" t="s">
        <v>97</v>
      </c>
      <c r="CP197" s="35" t="s">
        <v>100</v>
      </c>
      <c r="CQ197" s="35" t="s">
        <v>126</v>
      </c>
      <c r="CR197" s="36">
        <v>46220</v>
      </c>
      <c r="CT197" s="35" t="s">
        <v>510</v>
      </c>
    </row>
    <row r="198" spans="1:98" s="35" customFormat="1" x14ac:dyDescent="0.35">
      <c r="A198" s="34" t="s">
        <v>583</v>
      </c>
      <c r="B198" s="34" t="s">
        <v>639</v>
      </c>
      <c r="C198" s="35" t="s">
        <v>584</v>
      </c>
      <c r="D198" s="35">
        <v>2018</v>
      </c>
      <c r="E198" s="34" t="s">
        <v>585</v>
      </c>
      <c r="F198" s="34" t="s">
        <v>586</v>
      </c>
      <c r="G198" s="35" t="s">
        <v>78</v>
      </c>
      <c r="H198" s="35">
        <v>1</v>
      </c>
      <c r="I198" s="35" t="s">
        <v>390</v>
      </c>
      <c r="J198" s="35" t="s">
        <v>79</v>
      </c>
      <c r="K198" s="35">
        <v>366</v>
      </c>
      <c r="L198" s="35" t="s">
        <v>129</v>
      </c>
      <c r="M198" s="35" t="s">
        <v>380</v>
      </c>
      <c r="N198" s="35">
        <v>-2.1999999999999999E-2</v>
      </c>
      <c r="O198" s="35">
        <v>8.0000000000000002E-3</v>
      </c>
      <c r="P198" s="89">
        <f t="shared" si="55"/>
        <v>-2.75</v>
      </c>
      <c r="Q198" s="35" t="s">
        <v>312</v>
      </c>
      <c r="R198" s="89">
        <f t="shared" si="56"/>
        <v>-3.7679999999999998E-2</v>
      </c>
      <c r="S198" s="89">
        <f t="shared" si="57"/>
        <v>-6.3199999999999992E-3</v>
      </c>
      <c r="T198" s="35">
        <v>1</v>
      </c>
      <c r="U198" s="35">
        <v>623186</v>
      </c>
      <c r="V198" s="35" t="s">
        <v>312</v>
      </c>
      <c r="W198" s="35" t="s">
        <v>312</v>
      </c>
      <c r="X198" s="35">
        <f t="shared" si="58"/>
        <v>623186</v>
      </c>
      <c r="Y198" s="89">
        <f t="shared" si="59"/>
        <v>-3.4835433116863789E-3</v>
      </c>
      <c r="Z198" s="89">
        <f t="shared" si="60"/>
        <v>1.2667430224314105E-3</v>
      </c>
      <c r="AA198" s="89">
        <f t="shared" si="70"/>
        <v>-3.4835433116863789E-3</v>
      </c>
      <c r="AB198" s="35" t="s">
        <v>81</v>
      </c>
      <c r="AC198" s="89">
        <f t="shared" si="72"/>
        <v>-7.8476420798065296E-3</v>
      </c>
      <c r="AD198" s="89" cm="1">
        <f t="array" ref="AD198">_xlfn.IFS(
AND(L198="marginal_effect",M198="level"),N198*AN198/BF198,
AND(L198="marginal_effect",M198="sd (Y)"),N198*BH198*AN198/BF198,
AND(L198="marginal_effect",M198="sd (X)"),N198/AQ198*AN198/BF198,
AND(L198="semi_elasticity",M198="level"),N198*AN198,
AND(L198="semi_elasticity",M198="sd (Y)"),N198*AN198*BH198,
AND(L198="semi_elasticity",M198="sd (X)"),N198*AN198/AQ198,
AND(L198="level-log",M198="level"),N198/BF198,
AND(L198="level-log",M198="sd (X)"),N198/BF198/AQ198,
AND(L198="level-log",M198="sd (Y)"),N198/BF198*BH198,
AND(L198="elasticity",M198="level"),N198,
AND(L198="elasticity",M198="sd (X)"),N198/AQ198,
AND(L198="elasticity",M198="sd (Y)"),N198*BH198,
AND(L198="marginal_effect",M198="percent_of_mean"),N198*AN198/BF198/10)</f>
        <v>-7.8476420798065296E-3</v>
      </c>
      <c r="AE198" s="49">
        <f t="shared" si="61"/>
        <v>1</v>
      </c>
      <c r="AF198" s="89">
        <f t="shared" si="73"/>
        <v>2.8536880290205564E-3</v>
      </c>
      <c r="AG198" s="89" cm="1">
        <f t="array" ref="AG198">_xlfn.IFS(
AND(L198="marginal_effect",M198="level"),O198*AN198/BF198,
AND(L198="marginal_effect",M198="sd (Y)"),O198*BH198*AN198/BF198,
AND(L198="marginal_effect",M198="sd (X)"),O198/AQ198*AN198/BF198,
AND(L198="semi_elasticity",M198="level"),O198*AN198,
AND(L198="semi_elasticity",M198="sd (Y)"),O198*AN198*BH198,
AND(L198="semi_elasticity",M198="sd (X)"),O198*AN198/AQ198,
AND(L198="level-log",M198="level"),O198/BF198,
AND(L198="level-log",M198="sd (X)"),O198/BF198/AQ198,
AND(L198="level-log",M198="sd (Y)"),O198/BF198*BH198,
AND(L198="elasticity",M198="level"),O198,
AND(L198="elasticity",M198="sd (X)"),O198/AQ198,
AND(L198="elasticity",M198="sd (Y)"),O198*BH198,
AND(L198="marginal_effect",M198="percent_of_mean"),O198*AN198/BF198/10)</f>
        <v>2.8536880290205564E-3</v>
      </c>
      <c r="AH198" s="49">
        <f t="shared" si="62"/>
        <v>1</v>
      </c>
      <c r="AI198" s="89">
        <f t="shared" si="71"/>
        <v>-7.8476420798065296E-3</v>
      </c>
      <c r="AJ198" s="35">
        <v>0</v>
      </c>
      <c r="AK198" s="49">
        <f t="shared" si="63"/>
        <v>1</v>
      </c>
      <c r="AL198" s="35" t="s">
        <v>162</v>
      </c>
      <c r="AM198" s="35" t="s">
        <v>590</v>
      </c>
      <c r="AN198" s="35">
        <v>0.29499999999999998</v>
      </c>
      <c r="AO198" s="35">
        <v>0</v>
      </c>
      <c r="AP198" s="35">
        <f>AN198</f>
        <v>0.29499999999999998</v>
      </c>
      <c r="AQ198" s="35">
        <v>0.13900000000000001</v>
      </c>
      <c r="AR198" s="35" t="s">
        <v>312</v>
      </c>
      <c r="AS198" s="35" t="s">
        <v>312</v>
      </c>
      <c r="AT198" s="35" t="s">
        <v>83</v>
      </c>
      <c r="AU198" s="35" t="s">
        <v>109</v>
      </c>
      <c r="AV198" s="35" t="s">
        <v>133</v>
      </c>
      <c r="AW198" s="35" t="s">
        <v>134</v>
      </c>
      <c r="AX198" s="35" t="s">
        <v>86</v>
      </c>
      <c r="AY198" s="35">
        <v>0</v>
      </c>
      <c r="AZ198" s="35">
        <v>0</v>
      </c>
      <c r="BA198" s="58" t="s">
        <v>111</v>
      </c>
      <c r="BB198" s="35" t="s">
        <v>88</v>
      </c>
      <c r="BC198" s="35" t="s">
        <v>587</v>
      </c>
      <c r="BD198" s="35" t="s">
        <v>114</v>
      </c>
      <c r="BE198" s="35" t="s">
        <v>595</v>
      </c>
      <c r="BF198" s="35">
        <v>0.82699999999999996</v>
      </c>
      <c r="BG198" s="35">
        <v>0</v>
      </c>
      <c r="BH198" s="35">
        <v>0.378</v>
      </c>
      <c r="BI198" s="35" t="s">
        <v>312</v>
      </c>
      <c r="BJ198" s="35" t="s">
        <v>312</v>
      </c>
      <c r="BK198" s="35" t="s">
        <v>91</v>
      </c>
      <c r="BL198" s="35" t="s">
        <v>84</v>
      </c>
      <c r="BM198" s="35">
        <v>1</v>
      </c>
      <c r="BN198" s="35" t="s">
        <v>539</v>
      </c>
      <c r="BO198" s="35" t="s">
        <v>589</v>
      </c>
      <c r="BP198" s="35" t="s">
        <v>588</v>
      </c>
      <c r="BQ198" s="35" t="s">
        <v>92</v>
      </c>
      <c r="BR198" s="35" t="s">
        <v>312</v>
      </c>
      <c r="BS198" s="35" t="s">
        <v>312</v>
      </c>
      <c r="BT198" s="35" t="s">
        <v>312</v>
      </c>
      <c r="BU198" s="35">
        <v>2008</v>
      </c>
      <c r="BV198" s="35">
        <v>2015</v>
      </c>
      <c r="BW198" s="35" t="s">
        <v>596</v>
      </c>
      <c r="BX198" s="35" t="s">
        <v>95</v>
      </c>
      <c r="BY198" s="35" t="s">
        <v>592</v>
      </c>
      <c r="BZ198" s="35">
        <v>0</v>
      </c>
      <c r="CA198" s="35">
        <v>0</v>
      </c>
      <c r="CB198" s="35" t="s">
        <v>97</v>
      </c>
      <c r="CC198" s="35" t="s">
        <v>641</v>
      </c>
      <c r="CD198" s="35">
        <v>1</v>
      </c>
      <c r="CE198" s="35" t="s">
        <v>594</v>
      </c>
      <c r="CF198" s="35">
        <v>1</v>
      </c>
      <c r="CG198" s="35" t="s">
        <v>598</v>
      </c>
      <c r="CH198" s="35">
        <v>1</v>
      </c>
      <c r="CI198" s="35" t="s">
        <v>541</v>
      </c>
      <c r="CJ198" s="35" t="s">
        <v>98</v>
      </c>
      <c r="CK198" s="35">
        <v>62</v>
      </c>
      <c r="CL198" s="35">
        <v>0</v>
      </c>
      <c r="CM198" s="35">
        <v>0</v>
      </c>
      <c r="CN198" s="35" t="s">
        <v>124</v>
      </c>
      <c r="CO198" s="35" t="s">
        <v>97</v>
      </c>
      <c r="CP198" s="35" t="s">
        <v>100</v>
      </c>
      <c r="CQ198" s="35" t="s">
        <v>600</v>
      </c>
      <c r="CR198" s="36">
        <v>46220</v>
      </c>
      <c r="CT198" s="35" t="s">
        <v>510</v>
      </c>
    </row>
    <row r="199" spans="1:98" s="35" customFormat="1" x14ac:dyDescent="0.35">
      <c r="A199" s="34" t="s">
        <v>583</v>
      </c>
      <c r="B199" s="34" t="s">
        <v>640</v>
      </c>
      <c r="C199" s="35" t="s">
        <v>584</v>
      </c>
      <c r="D199" s="35">
        <v>2018</v>
      </c>
      <c r="E199" s="34" t="s">
        <v>585</v>
      </c>
      <c r="F199" s="34" t="s">
        <v>586</v>
      </c>
      <c r="G199" s="35" t="s">
        <v>78</v>
      </c>
      <c r="H199" s="35">
        <v>1</v>
      </c>
      <c r="I199" s="35" t="s">
        <v>390</v>
      </c>
      <c r="J199" s="35" t="s">
        <v>79</v>
      </c>
      <c r="K199" s="35">
        <v>366</v>
      </c>
      <c r="L199" s="35" t="s">
        <v>129</v>
      </c>
      <c r="M199" s="35" t="s">
        <v>380</v>
      </c>
      <c r="N199" s="35">
        <v>4.4999999999999998E-2</v>
      </c>
      <c r="O199" s="35">
        <v>4.7E-2</v>
      </c>
      <c r="P199" s="89">
        <f t="shared" si="55"/>
        <v>0.95744680851063824</v>
      </c>
      <c r="Q199" s="35" t="s">
        <v>312</v>
      </c>
      <c r="R199" s="89">
        <f t="shared" si="56"/>
        <v>-4.7119999999999995E-2</v>
      </c>
      <c r="S199" s="89">
        <f t="shared" si="57"/>
        <v>0.13711999999999999</v>
      </c>
      <c r="T199" s="35">
        <v>1</v>
      </c>
      <c r="U199" s="35">
        <v>623186</v>
      </c>
      <c r="V199" s="35" t="s">
        <v>312</v>
      </c>
      <c r="W199" s="35" t="s">
        <v>312</v>
      </c>
      <c r="X199" s="35">
        <f t="shared" si="58"/>
        <v>623186</v>
      </c>
      <c r="Y199" s="89">
        <f t="shared" si="59"/>
        <v>1.2128455309975445E-3</v>
      </c>
      <c r="Z199" s="89">
        <f t="shared" si="60"/>
        <v>1.2667497768196576E-3</v>
      </c>
      <c r="AA199" s="89">
        <f t="shared" si="70"/>
        <v>1.2128455309975445E-3</v>
      </c>
      <c r="AB199" s="35" t="s">
        <v>81</v>
      </c>
      <c r="AC199" s="89">
        <f t="shared" si="72"/>
        <v>1.8500604594921405E-3</v>
      </c>
      <c r="AD199" s="89" cm="1">
        <f t="array" ref="AD199">_xlfn.IFS(
AND(L199="marginal_effect",M199="level"),N199*AN199/BF199,
AND(L199="marginal_effect",M199="sd (Y)"),N199*BH199*AN199/BF199,
AND(L199="marginal_effect",M199="sd (X)"),N199/AQ199*AN199/BF199,
AND(L199="semi_elasticity",M199="level"),N199*AN199,
AND(L199="semi_elasticity",M199="sd (Y)"),N199*AN199*BH199,
AND(L199="semi_elasticity",M199="sd (X)"),N199*AN199/AQ199,
AND(L199="level-log",M199="level"),N199/BF199,
AND(L199="level-log",M199="sd (X)"),N199/BF199/AQ199,
AND(L199="level-log",M199="sd (Y)"),N199/BF199*BH199,
AND(L199="elasticity",M199="level"),N199,
AND(L199="elasticity",M199="sd (X)"),N199/AQ199,
AND(L199="elasticity",M199="sd (Y)"),N199*BH199,
AND(L199="marginal_effect",M199="percent_of_mean"),N199*AN199/BF199/10)</f>
        <v>1.8500604594921405E-3</v>
      </c>
      <c r="AE199" s="49">
        <f t="shared" si="61"/>
        <v>1</v>
      </c>
      <c r="AF199" s="89">
        <f t="shared" si="73"/>
        <v>1.9322853688029022E-3</v>
      </c>
      <c r="AG199" s="89" cm="1">
        <f t="array" ref="AG199">_xlfn.IFS(
AND(L199="marginal_effect",M199="level"),O199*AN199/BF199,
AND(L199="marginal_effect",M199="sd (Y)"),O199*BH199*AN199/BF199,
AND(L199="marginal_effect",M199="sd (X)"),O199/AQ199*AN199/BF199,
AND(L199="semi_elasticity",M199="level"),O199*AN199,
AND(L199="semi_elasticity",M199="sd (Y)"),O199*AN199*BH199,
AND(L199="semi_elasticity",M199="sd (X)"),O199*AN199/AQ199,
AND(L199="level-log",M199="level"),O199/BF199,
AND(L199="level-log",M199="sd (X)"),O199/BF199/AQ199,
AND(L199="level-log",M199="sd (Y)"),O199/BF199*BH199,
AND(L199="elasticity",M199="level"),O199,
AND(L199="elasticity",M199="sd (X)"),O199/AQ199,
AND(L199="elasticity",M199="sd (Y)"),O199*BH199,
AND(L199="marginal_effect",M199="percent_of_mean"),O199*AN199/BF199/10)</f>
        <v>1.9322853688029022E-3</v>
      </c>
      <c r="AH199" s="49">
        <f t="shared" si="62"/>
        <v>1</v>
      </c>
      <c r="AI199" s="89">
        <f t="shared" si="71"/>
        <v>1.8500604594921405E-3</v>
      </c>
      <c r="AJ199" s="35">
        <v>0</v>
      </c>
      <c r="AK199" s="49">
        <f t="shared" si="63"/>
        <v>1</v>
      </c>
      <c r="AL199" s="35" t="s">
        <v>148</v>
      </c>
      <c r="AM199" s="35" t="s">
        <v>590</v>
      </c>
      <c r="AN199" s="35">
        <f>0.034</f>
        <v>3.4000000000000002E-2</v>
      </c>
      <c r="AO199" s="35">
        <v>0</v>
      </c>
      <c r="AP199" s="35">
        <f>AN199</f>
        <v>3.4000000000000002E-2</v>
      </c>
      <c r="AQ199" s="35">
        <v>1.4999999999999999E-2</v>
      </c>
      <c r="AR199" s="35" t="s">
        <v>312</v>
      </c>
      <c r="AS199" s="35" t="s">
        <v>312</v>
      </c>
      <c r="AT199" s="35" t="s">
        <v>83</v>
      </c>
      <c r="AU199" s="35" t="s">
        <v>109</v>
      </c>
      <c r="AV199" s="35" t="s">
        <v>133</v>
      </c>
      <c r="AW199" s="35" t="s">
        <v>134</v>
      </c>
      <c r="AX199" s="35" t="s">
        <v>86</v>
      </c>
      <c r="AY199" s="35">
        <v>0</v>
      </c>
      <c r="AZ199" s="35">
        <v>0</v>
      </c>
      <c r="BA199" s="58" t="s">
        <v>111</v>
      </c>
      <c r="BB199" s="35" t="s">
        <v>88</v>
      </c>
      <c r="BC199" s="35" t="s">
        <v>587</v>
      </c>
      <c r="BD199" s="35" t="s">
        <v>114</v>
      </c>
      <c r="BE199" s="35" t="s">
        <v>595</v>
      </c>
      <c r="BF199" s="35">
        <v>0.82699999999999996</v>
      </c>
      <c r="BG199" s="35">
        <v>0</v>
      </c>
      <c r="BH199" s="35">
        <v>0.378</v>
      </c>
      <c r="BI199" s="35" t="s">
        <v>312</v>
      </c>
      <c r="BJ199" s="35" t="s">
        <v>312</v>
      </c>
      <c r="BK199" s="35" t="s">
        <v>91</v>
      </c>
      <c r="BL199" s="35" t="s">
        <v>84</v>
      </c>
      <c r="BM199" s="35">
        <v>1</v>
      </c>
      <c r="BN199" s="35" t="s">
        <v>539</v>
      </c>
      <c r="BO199" s="35" t="s">
        <v>589</v>
      </c>
      <c r="BP199" s="35" t="s">
        <v>588</v>
      </c>
      <c r="BQ199" s="35" t="s">
        <v>92</v>
      </c>
      <c r="BR199" s="35" t="s">
        <v>312</v>
      </c>
      <c r="BS199" s="35" t="s">
        <v>312</v>
      </c>
      <c r="BT199" s="35" t="s">
        <v>312</v>
      </c>
      <c r="BU199" s="35">
        <v>2008</v>
      </c>
      <c r="BV199" s="35">
        <v>2015</v>
      </c>
      <c r="BW199" s="35" t="s">
        <v>596</v>
      </c>
      <c r="BX199" s="35" t="s">
        <v>95</v>
      </c>
      <c r="BY199" s="35" t="s">
        <v>592</v>
      </c>
      <c r="BZ199" s="35">
        <v>0</v>
      </c>
      <c r="CA199" s="35">
        <v>0</v>
      </c>
      <c r="CB199" s="35" t="s">
        <v>97</v>
      </c>
      <c r="CC199" s="35" t="s">
        <v>641</v>
      </c>
      <c r="CD199" s="35">
        <v>1</v>
      </c>
      <c r="CE199" s="35" t="s">
        <v>594</v>
      </c>
      <c r="CF199" s="35">
        <v>1</v>
      </c>
      <c r="CG199" s="35" t="s">
        <v>599</v>
      </c>
      <c r="CH199" s="35">
        <v>1</v>
      </c>
      <c r="CI199" s="35" t="s">
        <v>541</v>
      </c>
      <c r="CJ199" s="35" t="s">
        <v>98</v>
      </c>
      <c r="CK199" s="35">
        <v>62</v>
      </c>
      <c r="CL199" s="35">
        <v>0</v>
      </c>
      <c r="CM199" s="35">
        <v>0</v>
      </c>
      <c r="CN199" s="35" t="s">
        <v>124</v>
      </c>
      <c r="CO199" s="35" t="s">
        <v>97</v>
      </c>
      <c r="CP199" s="35" t="s">
        <v>100</v>
      </c>
      <c r="CQ199" s="35" t="s">
        <v>126</v>
      </c>
      <c r="CR199" s="36">
        <v>46220</v>
      </c>
      <c r="CT199" s="35" t="s">
        <v>510</v>
      </c>
    </row>
    <row r="200" spans="1:98" s="35" customFormat="1" x14ac:dyDescent="0.35">
      <c r="A200" s="34" t="s">
        <v>583</v>
      </c>
      <c r="B200" s="34" t="s">
        <v>642</v>
      </c>
      <c r="C200" s="35" t="s">
        <v>584</v>
      </c>
      <c r="D200" s="35">
        <v>2018</v>
      </c>
      <c r="E200" s="34" t="s">
        <v>585</v>
      </c>
      <c r="F200" s="34" t="s">
        <v>586</v>
      </c>
      <c r="G200" s="35" t="s">
        <v>78</v>
      </c>
      <c r="H200" s="35">
        <v>1</v>
      </c>
      <c r="I200" s="35" t="s">
        <v>390</v>
      </c>
      <c r="J200" s="35" t="s">
        <v>79</v>
      </c>
      <c r="K200" s="35">
        <v>366</v>
      </c>
      <c r="L200" s="35" t="s">
        <v>129</v>
      </c>
      <c r="M200" s="35" t="s">
        <v>380</v>
      </c>
      <c r="N200" s="35">
        <v>-3.0000000000000001E-3</v>
      </c>
      <c r="O200" s="35">
        <v>1E-3</v>
      </c>
      <c r="P200" s="89">
        <f t="shared" si="55"/>
        <v>-3</v>
      </c>
      <c r="Q200" s="35" t="s">
        <v>312</v>
      </c>
      <c r="R200" s="89">
        <f t="shared" si="56"/>
        <v>-4.96E-3</v>
      </c>
      <c r="S200" s="89">
        <f t="shared" si="57"/>
        <v>-1.0400000000000001E-3</v>
      </c>
      <c r="T200" s="35">
        <v>0</v>
      </c>
      <c r="U200" s="35">
        <v>688687</v>
      </c>
      <c r="V200" s="35" t="s">
        <v>312</v>
      </c>
      <c r="W200" s="35" t="s">
        <v>312</v>
      </c>
      <c r="X200" s="35">
        <f t="shared" si="58"/>
        <v>688687</v>
      </c>
      <c r="Y200" s="89">
        <f t="shared" si="59"/>
        <v>-3.6149931145291721E-3</v>
      </c>
      <c r="Z200" s="89">
        <f t="shared" si="60"/>
        <v>1.2049977048430574E-3</v>
      </c>
      <c r="AA200" s="89">
        <f t="shared" si="70"/>
        <v>-3.6149931145291721E-3</v>
      </c>
      <c r="AB200" s="35" t="s">
        <v>81</v>
      </c>
      <c r="AC200" s="89">
        <f t="shared" si="72"/>
        <v>-3.9540507859733981E-3</v>
      </c>
      <c r="AD200" s="89" cm="1">
        <f t="array" ref="AD200">_xlfn.IFS(
AND(L200="marginal_effect",M200="level"),N200*AN200/BF200,
AND(L200="marginal_effect",M200="sd (Y)"),N200*BH200*AN200/BF200,
AND(L200="marginal_effect",M200="sd (X)"),N200/AQ200*AN200/BF200,
AND(L200="semi_elasticity",M200="level"),N200*AN200,
AND(L200="semi_elasticity",M200="sd (Y)"),N200*AN200*BH200,
AND(L200="semi_elasticity",M200="sd (X)"),N200*AN200/AQ200,
AND(L200="level-log",M200="level"),N200/BF200,
AND(L200="level-log",M200="sd (X)"),N200/BF200/AQ200,
AND(L200="level-log",M200="sd (Y)"),N200/BF200*BH200,
AND(L200="elasticity",M200="level"),N200,
AND(L200="elasticity",M200="sd (X)"),N200/AQ200,
AND(L200="elasticity",M200="sd (Y)"),N200*BH200,
AND(L200="marginal_effect",M200="percent_of_mean"),N200*AN200/BF200/10)</f>
        <v>-3.9540507859733981E-3</v>
      </c>
      <c r="AE200" s="49">
        <f t="shared" si="61"/>
        <v>1</v>
      </c>
      <c r="AF200" s="89">
        <f t="shared" si="73"/>
        <v>1.3180169286577993E-3</v>
      </c>
      <c r="AG200" s="89" cm="1">
        <f t="array" ref="AG200">_xlfn.IFS(
AND(L200="marginal_effect",M200="level"),O200*AN200/BF200,
AND(L200="marginal_effect",M200="sd (Y)"),O200*BH200*AN200/BF200,
AND(L200="marginal_effect",M200="sd (X)"),O200/AQ200*AN200/BF200,
AND(L200="semi_elasticity",M200="level"),O200*AN200,
AND(L200="semi_elasticity",M200="sd (Y)"),O200*AN200*BH200,
AND(L200="semi_elasticity",M200="sd (X)"),O200*AN200/AQ200,
AND(L200="level-log",M200="level"),O200/BF200,
AND(L200="level-log",M200="sd (X)"),O200/BF200/AQ200,
AND(L200="level-log",M200="sd (Y)"),O200/BF200*BH200,
AND(L200="elasticity",M200="level"),O200,
AND(L200="elasticity",M200="sd (X)"),O200/AQ200,
AND(L200="elasticity",M200="sd (Y)"),O200*BH200,
AND(L200="marginal_effect",M200="percent_of_mean"),O200*AN200/BF200/10)</f>
        <v>1.3180169286577993E-3</v>
      </c>
      <c r="AH200" s="49">
        <f t="shared" si="62"/>
        <v>1</v>
      </c>
      <c r="AI200" s="89">
        <f t="shared" si="71"/>
        <v>-3.9540507859733981E-3</v>
      </c>
      <c r="AJ200" s="35">
        <v>0</v>
      </c>
      <c r="AK200" s="49">
        <f t="shared" si="63"/>
        <v>1</v>
      </c>
      <c r="AL200" s="35" t="s">
        <v>82</v>
      </c>
      <c r="AM200" s="35" t="s">
        <v>296</v>
      </c>
      <c r="AN200" s="35">
        <v>1.0900000000000001</v>
      </c>
      <c r="AO200" s="35">
        <v>1</v>
      </c>
      <c r="AP200" s="35">
        <f>AN200*10</f>
        <v>10.9</v>
      </c>
      <c r="AQ200" s="35">
        <v>0.57999999999999996</v>
      </c>
      <c r="AR200" s="35" t="s">
        <v>312</v>
      </c>
      <c r="AS200" s="35" t="s">
        <v>312</v>
      </c>
      <c r="AT200" s="35" t="s">
        <v>83</v>
      </c>
      <c r="AU200" s="35" t="s">
        <v>109</v>
      </c>
      <c r="AV200" s="35" t="s">
        <v>133</v>
      </c>
      <c r="AW200" s="35" t="s">
        <v>134</v>
      </c>
      <c r="AX200" s="35" t="s">
        <v>86</v>
      </c>
      <c r="AY200" s="35">
        <v>0</v>
      </c>
      <c r="AZ200" s="35">
        <v>0</v>
      </c>
      <c r="BA200" s="58" t="s">
        <v>111</v>
      </c>
      <c r="BB200" s="35" t="s">
        <v>88</v>
      </c>
      <c r="BC200" s="35" t="s">
        <v>587</v>
      </c>
      <c r="BD200" s="35" t="s">
        <v>114</v>
      </c>
      <c r="BE200" s="35" t="s">
        <v>595</v>
      </c>
      <c r="BF200" s="35">
        <v>0.82699999999999996</v>
      </c>
      <c r="BG200" s="35">
        <v>1</v>
      </c>
      <c r="BH200" s="35">
        <v>0.378</v>
      </c>
      <c r="BI200" s="35" t="s">
        <v>312</v>
      </c>
      <c r="BJ200" s="35" t="s">
        <v>312</v>
      </c>
      <c r="BK200" s="35" t="s">
        <v>91</v>
      </c>
      <c r="BL200" s="35" t="s">
        <v>84</v>
      </c>
      <c r="BM200" s="35">
        <v>1</v>
      </c>
      <c r="BN200" s="35" t="s">
        <v>539</v>
      </c>
      <c r="BO200" s="35" t="s">
        <v>589</v>
      </c>
      <c r="BP200" s="35" t="s">
        <v>588</v>
      </c>
      <c r="BQ200" s="35" t="s">
        <v>92</v>
      </c>
      <c r="BR200" s="35" t="s">
        <v>312</v>
      </c>
      <c r="BS200" s="35" t="s">
        <v>312</v>
      </c>
      <c r="BT200" s="35" t="s">
        <v>312</v>
      </c>
      <c r="BU200" s="35">
        <v>2008</v>
      </c>
      <c r="BV200" s="35">
        <v>2015</v>
      </c>
      <c r="BW200" s="35" t="s">
        <v>596</v>
      </c>
      <c r="BX200" s="35" t="s">
        <v>95</v>
      </c>
      <c r="BY200" s="35" t="s">
        <v>592</v>
      </c>
      <c r="BZ200" s="35">
        <v>0</v>
      </c>
      <c r="CA200" s="35">
        <v>0</v>
      </c>
      <c r="CB200" s="35" t="s">
        <v>97</v>
      </c>
      <c r="CC200" s="35" t="s">
        <v>625</v>
      </c>
      <c r="CD200" s="35">
        <v>1</v>
      </c>
      <c r="CE200" s="35" t="s">
        <v>594</v>
      </c>
      <c r="CF200" s="35">
        <v>1</v>
      </c>
      <c r="CG200" s="35" t="s">
        <v>597</v>
      </c>
      <c r="CH200" s="35">
        <v>1</v>
      </c>
      <c r="CI200" s="35" t="s">
        <v>541</v>
      </c>
      <c r="CJ200" s="35" t="s">
        <v>98</v>
      </c>
      <c r="CK200" s="35">
        <v>62</v>
      </c>
      <c r="CL200" s="35">
        <v>0</v>
      </c>
      <c r="CM200" s="35">
        <v>0</v>
      </c>
      <c r="CN200" s="35" t="s">
        <v>124</v>
      </c>
      <c r="CO200" s="35" t="s">
        <v>97</v>
      </c>
      <c r="CP200" s="35" t="s">
        <v>100</v>
      </c>
      <c r="CQ200" s="35" t="s">
        <v>126</v>
      </c>
      <c r="CR200" s="36">
        <v>46220</v>
      </c>
      <c r="CT200" s="35" t="s">
        <v>511</v>
      </c>
    </row>
    <row r="201" spans="1:98" s="35" customFormat="1" x14ac:dyDescent="0.35">
      <c r="A201" s="34" t="s">
        <v>583</v>
      </c>
      <c r="B201" s="34" t="s">
        <v>643</v>
      </c>
      <c r="C201" s="35" t="s">
        <v>584</v>
      </c>
      <c r="D201" s="35">
        <v>2018</v>
      </c>
      <c r="E201" s="34" t="s">
        <v>585</v>
      </c>
      <c r="F201" s="34" t="s">
        <v>586</v>
      </c>
      <c r="G201" s="35" t="s">
        <v>78</v>
      </c>
      <c r="H201" s="35">
        <v>1</v>
      </c>
      <c r="I201" s="35" t="s">
        <v>390</v>
      </c>
      <c r="J201" s="35" t="s">
        <v>79</v>
      </c>
      <c r="K201" s="35">
        <v>366</v>
      </c>
      <c r="L201" s="35" t="s">
        <v>129</v>
      </c>
      <c r="M201" s="35" t="s">
        <v>380</v>
      </c>
      <c r="N201" s="35">
        <v>-1.9E-2</v>
      </c>
      <c r="O201" s="35">
        <v>8.0000000000000002E-3</v>
      </c>
      <c r="P201" s="89">
        <f t="shared" si="55"/>
        <v>-2.375</v>
      </c>
      <c r="Q201" s="35" t="s">
        <v>312</v>
      </c>
      <c r="R201" s="89">
        <f t="shared" si="56"/>
        <v>-3.4680000000000002E-2</v>
      </c>
      <c r="S201" s="89">
        <f t="shared" si="57"/>
        <v>-3.32E-3</v>
      </c>
      <c r="T201" s="35">
        <v>0</v>
      </c>
      <c r="U201" s="35">
        <v>688687</v>
      </c>
      <c r="V201" s="35" t="s">
        <v>312</v>
      </c>
      <c r="W201" s="35" t="s">
        <v>312</v>
      </c>
      <c r="X201" s="35">
        <f t="shared" si="58"/>
        <v>688687</v>
      </c>
      <c r="Y201" s="89">
        <f t="shared" si="59"/>
        <v>-2.8618765289529133E-3</v>
      </c>
      <c r="Z201" s="89">
        <f t="shared" si="60"/>
        <v>1.2050006437696477E-3</v>
      </c>
      <c r="AA201" s="89">
        <f t="shared" si="70"/>
        <v>-2.8618765289529133E-3</v>
      </c>
      <c r="AB201" s="35" t="s">
        <v>81</v>
      </c>
      <c r="AC201" s="89">
        <f t="shared" si="72"/>
        <v>-6.7775090689238208E-3</v>
      </c>
      <c r="AD201" s="89" cm="1">
        <f t="array" ref="AD201">_xlfn.IFS(
AND(L201="marginal_effect",M201="level"),N201*AN201/BF201,
AND(L201="marginal_effect",M201="sd (Y)"),N201*BH201*AN201/BF201,
AND(L201="marginal_effect",M201="sd (X)"),N201/AQ201*AN201/BF201,
AND(L201="semi_elasticity",M201="level"),N201*AN201,
AND(L201="semi_elasticity",M201="sd (Y)"),N201*AN201*BH201,
AND(L201="semi_elasticity",M201="sd (X)"),N201*AN201/AQ201,
AND(L201="level-log",M201="level"),N201/BF201,
AND(L201="level-log",M201="sd (X)"),N201/BF201/AQ201,
AND(L201="level-log",M201="sd (Y)"),N201/BF201*BH201,
AND(L201="elasticity",M201="level"),N201,
AND(L201="elasticity",M201="sd (X)"),N201/AQ201,
AND(L201="elasticity",M201="sd (Y)"),N201*BH201,
AND(L201="marginal_effect",M201="percent_of_mean"),N201*AN201/BF201/10)</f>
        <v>-6.7775090689238208E-3</v>
      </c>
      <c r="AE201" s="49">
        <f t="shared" si="61"/>
        <v>1</v>
      </c>
      <c r="AF201" s="89">
        <f t="shared" si="73"/>
        <v>2.8536880290205564E-3</v>
      </c>
      <c r="AG201" s="89" cm="1">
        <f t="array" ref="AG201">_xlfn.IFS(
AND(L201="marginal_effect",M201="level"),O201*AN201/BF201,
AND(L201="marginal_effect",M201="sd (Y)"),O201*BH201*AN201/BF201,
AND(L201="marginal_effect",M201="sd (X)"),O201/AQ201*AN201/BF201,
AND(L201="semi_elasticity",M201="level"),O201*AN201,
AND(L201="semi_elasticity",M201="sd (Y)"),O201*AN201*BH201,
AND(L201="semi_elasticity",M201="sd (X)"),O201*AN201/AQ201,
AND(L201="level-log",M201="level"),O201/BF201,
AND(L201="level-log",M201="sd (X)"),O201/BF201/AQ201,
AND(L201="level-log",M201="sd (Y)"),O201/BF201*BH201,
AND(L201="elasticity",M201="level"),O201,
AND(L201="elasticity",M201="sd (X)"),O201/AQ201,
AND(L201="elasticity",M201="sd (Y)"),O201*BH201,
AND(L201="marginal_effect",M201="percent_of_mean"),O201*AN201/BF201/10)</f>
        <v>2.8536880290205564E-3</v>
      </c>
      <c r="AH201" s="49">
        <f t="shared" si="62"/>
        <v>1</v>
      </c>
      <c r="AI201" s="89">
        <f t="shared" si="71"/>
        <v>-6.7775090689238208E-3</v>
      </c>
      <c r="AJ201" s="35">
        <v>0</v>
      </c>
      <c r="AK201" s="49">
        <f t="shared" si="63"/>
        <v>1</v>
      </c>
      <c r="AL201" s="35" t="s">
        <v>162</v>
      </c>
      <c r="AM201" s="35" t="s">
        <v>590</v>
      </c>
      <c r="AN201" s="35">
        <v>0.29499999999999998</v>
      </c>
      <c r="AO201" s="35">
        <v>1</v>
      </c>
      <c r="AP201" s="35">
        <f>AN201</f>
        <v>0.29499999999999998</v>
      </c>
      <c r="AQ201" s="35">
        <v>0.13900000000000001</v>
      </c>
      <c r="AR201" s="35" t="s">
        <v>312</v>
      </c>
      <c r="AS201" s="35" t="s">
        <v>312</v>
      </c>
      <c r="AT201" s="35" t="s">
        <v>83</v>
      </c>
      <c r="AU201" s="35" t="s">
        <v>109</v>
      </c>
      <c r="AV201" s="35" t="s">
        <v>133</v>
      </c>
      <c r="AW201" s="35" t="s">
        <v>134</v>
      </c>
      <c r="AX201" s="35" t="s">
        <v>86</v>
      </c>
      <c r="AY201" s="35">
        <v>0</v>
      </c>
      <c r="AZ201" s="35">
        <v>0</v>
      </c>
      <c r="BA201" s="58" t="s">
        <v>111</v>
      </c>
      <c r="BB201" s="35" t="s">
        <v>88</v>
      </c>
      <c r="BC201" s="35" t="s">
        <v>587</v>
      </c>
      <c r="BD201" s="35" t="s">
        <v>114</v>
      </c>
      <c r="BE201" s="35" t="s">
        <v>595</v>
      </c>
      <c r="BF201" s="35">
        <v>0.82699999999999996</v>
      </c>
      <c r="BG201" s="35">
        <v>1</v>
      </c>
      <c r="BH201" s="35">
        <v>0.378</v>
      </c>
      <c r="BI201" s="35" t="s">
        <v>312</v>
      </c>
      <c r="BJ201" s="35" t="s">
        <v>312</v>
      </c>
      <c r="BK201" s="35" t="s">
        <v>91</v>
      </c>
      <c r="BL201" s="35" t="s">
        <v>84</v>
      </c>
      <c r="BM201" s="35">
        <v>1</v>
      </c>
      <c r="BN201" s="35" t="s">
        <v>539</v>
      </c>
      <c r="BO201" s="35" t="s">
        <v>589</v>
      </c>
      <c r="BP201" s="35" t="s">
        <v>588</v>
      </c>
      <c r="BQ201" s="35" t="s">
        <v>92</v>
      </c>
      <c r="BR201" s="35" t="s">
        <v>312</v>
      </c>
      <c r="BS201" s="35" t="s">
        <v>312</v>
      </c>
      <c r="BT201" s="35" t="s">
        <v>312</v>
      </c>
      <c r="BU201" s="35">
        <v>2008</v>
      </c>
      <c r="BV201" s="35">
        <v>2015</v>
      </c>
      <c r="BW201" s="35" t="s">
        <v>596</v>
      </c>
      <c r="BX201" s="35" t="s">
        <v>95</v>
      </c>
      <c r="BY201" s="35" t="s">
        <v>592</v>
      </c>
      <c r="BZ201" s="35">
        <v>0</v>
      </c>
      <c r="CA201" s="35">
        <v>0</v>
      </c>
      <c r="CB201" s="35" t="s">
        <v>97</v>
      </c>
      <c r="CC201" s="35" t="s">
        <v>625</v>
      </c>
      <c r="CD201" s="35">
        <v>1</v>
      </c>
      <c r="CE201" s="35" t="s">
        <v>594</v>
      </c>
      <c r="CF201" s="35">
        <v>1</v>
      </c>
      <c r="CG201" s="35" t="s">
        <v>598</v>
      </c>
      <c r="CH201" s="35">
        <v>1</v>
      </c>
      <c r="CI201" s="35" t="s">
        <v>541</v>
      </c>
      <c r="CJ201" s="35" t="s">
        <v>98</v>
      </c>
      <c r="CK201" s="35">
        <v>62</v>
      </c>
      <c r="CL201" s="35">
        <v>0</v>
      </c>
      <c r="CM201" s="35">
        <v>0</v>
      </c>
      <c r="CN201" s="35" t="s">
        <v>124</v>
      </c>
      <c r="CO201" s="35" t="s">
        <v>97</v>
      </c>
      <c r="CP201" s="35" t="s">
        <v>100</v>
      </c>
      <c r="CQ201" s="35" t="s">
        <v>600</v>
      </c>
      <c r="CR201" s="36">
        <v>46220</v>
      </c>
      <c r="CT201" s="35" t="s">
        <v>511</v>
      </c>
    </row>
    <row r="202" spans="1:98" s="35" customFormat="1" x14ac:dyDescent="0.35">
      <c r="A202" s="34" t="s">
        <v>583</v>
      </c>
      <c r="B202" s="34" t="s">
        <v>644</v>
      </c>
      <c r="C202" s="35" t="s">
        <v>584</v>
      </c>
      <c r="D202" s="35">
        <v>2018</v>
      </c>
      <c r="E202" s="34" t="s">
        <v>585</v>
      </c>
      <c r="F202" s="34" t="s">
        <v>586</v>
      </c>
      <c r="G202" s="35" t="s">
        <v>78</v>
      </c>
      <c r="H202" s="35">
        <v>1</v>
      </c>
      <c r="I202" s="35" t="s">
        <v>390</v>
      </c>
      <c r="J202" s="35" t="s">
        <v>79</v>
      </c>
      <c r="K202" s="35">
        <v>366</v>
      </c>
      <c r="L202" s="35" t="s">
        <v>129</v>
      </c>
      <c r="M202" s="35" t="s">
        <v>380</v>
      </c>
      <c r="N202" s="35">
        <v>3.2000000000000001E-2</v>
      </c>
      <c r="O202" s="35">
        <v>4.4999999999999998E-2</v>
      </c>
      <c r="P202" s="89">
        <f t="shared" si="55"/>
        <v>0.71111111111111114</v>
      </c>
      <c r="Q202" s="35" t="s">
        <v>312</v>
      </c>
      <c r="R202" s="89">
        <f t="shared" si="56"/>
        <v>-5.62E-2</v>
      </c>
      <c r="S202" s="89">
        <f t="shared" si="57"/>
        <v>0.1202</v>
      </c>
      <c r="T202" s="35">
        <v>0</v>
      </c>
      <c r="U202" s="35">
        <v>688687</v>
      </c>
      <c r="V202" s="35" t="s">
        <v>312</v>
      </c>
      <c r="W202" s="35" t="s">
        <v>312</v>
      </c>
      <c r="X202" s="35">
        <f t="shared" si="58"/>
        <v>688687</v>
      </c>
      <c r="Y202" s="89">
        <f t="shared" si="59"/>
        <v>8.5689254121536901E-4</v>
      </c>
      <c r="Z202" s="89">
        <f t="shared" si="60"/>
        <v>1.2050051360841126E-3</v>
      </c>
      <c r="AA202" s="89">
        <f t="shared" si="70"/>
        <v>8.5689254121536901E-4</v>
      </c>
      <c r="AB202" s="35" t="s">
        <v>81</v>
      </c>
      <c r="AC202" s="89">
        <f t="shared" si="72"/>
        <v>1.315598548972189E-3</v>
      </c>
      <c r="AD202" s="89" cm="1">
        <f t="array" ref="AD202">_xlfn.IFS(
AND(L202="marginal_effect",M202="level"),N202*AN202/BF202,
AND(L202="marginal_effect",M202="sd (Y)"),N202*BH202*AN202/BF202,
AND(L202="marginal_effect",M202="sd (X)"),N202/AQ202*AN202/BF202,
AND(L202="semi_elasticity",M202="level"),N202*AN202,
AND(L202="semi_elasticity",M202="sd (Y)"),N202*AN202*BH202,
AND(L202="semi_elasticity",M202="sd (X)"),N202*AN202/AQ202,
AND(L202="level-log",M202="level"),N202/BF202,
AND(L202="level-log",M202="sd (X)"),N202/BF202/AQ202,
AND(L202="level-log",M202="sd (Y)"),N202/BF202*BH202,
AND(L202="elasticity",M202="level"),N202,
AND(L202="elasticity",M202="sd (X)"),N202/AQ202,
AND(L202="elasticity",M202="sd (Y)"),N202*BH202,
AND(L202="marginal_effect",M202="percent_of_mean"),N202*AN202/BF202/10)</f>
        <v>1.315598548972189E-3</v>
      </c>
      <c r="AE202" s="49">
        <f t="shared" si="61"/>
        <v>1</v>
      </c>
      <c r="AF202" s="89">
        <f t="shared" si="73"/>
        <v>1.8500604594921405E-3</v>
      </c>
      <c r="AG202" s="89" cm="1">
        <f t="array" ref="AG202">_xlfn.IFS(
AND(L202="marginal_effect",M202="level"),O202*AN202/BF202,
AND(L202="marginal_effect",M202="sd (Y)"),O202*BH202*AN202/BF202,
AND(L202="marginal_effect",M202="sd (X)"),O202/AQ202*AN202/BF202,
AND(L202="semi_elasticity",M202="level"),O202*AN202,
AND(L202="semi_elasticity",M202="sd (Y)"),O202*AN202*BH202,
AND(L202="semi_elasticity",M202="sd (X)"),O202*AN202/AQ202,
AND(L202="level-log",M202="level"),O202/BF202,
AND(L202="level-log",M202="sd (X)"),O202/BF202/AQ202,
AND(L202="level-log",M202="sd (Y)"),O202/BF202*BH202,
AND(L202="elasticity",M202="level"),O202,
AND(L202="elasticity",M202="sd (X)"),O202/AQ202,
AND(L202="elasticity",M202="sd (Y)"),O202*BH202,
AND(L202="marginal_effect",M202="percent_of_mean"),O202*AN202/BF202/10)</f>
        <v>1.8500604594921405E-3</v>
      </c>
      <c r="AH202" s="49">
        <f t="shared" si="62"/>
        <v>1</v>
      </c>
      <c r="AI202" s="89">
        <f t="shared" si="71"/>
        <v>1.315598548972189E-3</v>
      </c>
      <c r="AJ202" s="35">
        <v>0</v>
      </c>
      <c r="AK202" s="49">
        <f t="shared" si="63"/>
        <v>1</v>
      </c>
      <c r="AL202" s="35" t="s">
        <v>148</v>
      </c>
      <c r="AM202" s="35" t="s">
        <v>590</v>
      </c>
      <c r="AN202" s="35">
        <f>0.034</f>
        <v>3.4000000000000002E-2</v>
      </c>
      <c r="AO202" s="35">
        <v>1</v>
      </c>
      <c r="AP202" s="35">
        <f>AN202</f>
        <v>3.4000000000000002E-2</v>
      </c>
      <c r="AQ202" s="35">
        <v>1.4999999999999999E-2</v>
      </c>
      <c r="AR202" s="35" t="s">
        <v>312</v>
      </c>
      <c r="AS202" s="35" t="s">
        <v>312</v>
      </c>
      <c r="AT202" s="35" t="s">
        <v>83</v>
      </c>
      <c r="AU202" s="35" t="s">
        <v>109</v>
      </c>
      <c r="AV202" s="35" t="s">
        <v>133</v>
      </c>
      <c r="AW202" s="35" t="s">
        <v>134</v>
      </c>
      <c r="AX202" s="35" t="s">
        <v>86</v>
      </c>
      <c r="AY202" s="35">
        <v>0</v>
      </c>
      <c r="AZ202" s="35">
        <v>0</v>
      </c>
      <c r="BA202" s="58" t="s">
        <v>111</v>
      </c>
      <c r="BB202" s="35" t="s">
        <v>88</v>
      </c>
      <c r="BC202" s="35" t="s">
        <v>587</v>
      </c>
      <c r="BD202" s="35" t="s">
        <v>114</v>
      </c>
      <c r="BE202" s="35" t="s">
        <v>595</v>
      </c>
      <c r="BF202" s="35">
        <v>0.82699999999999996</v>
      </c>
      <c r="BG202" s="35">
        <v>1</v>
      </c>
      <c r="BH202" s="35">
        <v>0.378</v>
      </c>
      <c r="BI202" s="35" t="s">
        <v>312</v>
      </c>
      <c r="BJ202" s="35" t="s">
        <v>312</v>
      </c>
      <c r="BK202" s="35" t="s">
        <v>91</v>
      </c>
      <c r="BL202" s="35" t="s">
        <v>84</v>
      </c>
      <c r="BM202" s="35">
        <v>1</v>
      </c>
      <c r="BN202" s="35" t="s">
        <v>539</v>
      </c>
      <c r="BO202" s="35" t="s">
        <v>589</v>
      </c>
      <c r="BP202" s="35" t="s">
        <v>588</v>
      </c>
      <c r="BQ202" s="35" t="s">
        <v>92</v>
      </c>
      <c r="BR202" s="35" t="s">
        <v>312</v>
      </c>
      <c r="BS202" s="35" t="s">
        <v>312</v>
      </c>
      <c r="BT202" s="35" t="s">
        <v>312</v>
      </c>
      <c r="BU202" s="35">
        <v>2008</v>
      </c>
      <c r="BV202" s="35">
        <v>2015</v>
      </c>
      <c r="BW202" s="35" t="s">
        <v>596</v>
      </c>
      <c r="BX202" s="35" t="s">
        <v>95</v>
      </c>
      <c r="BY202" s="35" t="s">
        <v>592</v>
      </c>
      <c r="BZ202" s="35">
        <v>0</v>
      </c>
      <c r="CA202" s="35">
        <v>0</v>
      </c>
      <c r="CB202" s="35" t="s">
        <v>97</v>
      </c>
      <c r="CC202" s="35" t="s">
        <v>625</v>
      </c>
      <c r="CD202" s="35">
        <v>1</v>
      </c>
      <c r="CE202" s="35" t="s">
        <v>594</v>
      </c>
      <c r="CF202" s="35">
        <v>1</v>
      </c>
      <c r="CG202" s="35" t="s">
        <v>599</v>
      </c>
      <c r="CH202" s="35">
        <v>1</v>
      </c>
      <c r="CI202" s="35" t="s">
        <v>541</v>
      </c>
      <c r="CJ202" s="35" t="s">
        <v>98</v>
      </c>
      <c r="CK202" s="35">
        <v>62</v>
      </c>
      <c r="CL202" s="35">
        <v>0</v>
      </c>
      <c r="CM202" s="35">
        <v>0</v>
      </c>
      <c r="CN202" s="35" t="s">
        <v>124</v>
      </c>
      <c r="CO202" s="35" t="s">
        <v>97</v>
      </c>
      <c r="CP202" s="35" t="s">
        <v>100</v>
      </c>
      <c r="CQ202" s="35" t="s">
        <v>126</v>
      </c>
      <c r="CR202" s="36">
        <v>46220</v>
      </c>
      <c r="CT202" s="35" t="s">
        <v>511</v>
      </c>
    </row>
    <row r="203" spans="1:98" s="35" customFormat="1" x14ac:dyDescent="0.35">
      <c r="A203" s="34" t="s">
        <v>583</v>
      </c>
      <c r="B203" s="34" t="s">
        <v>645</v>
      </c>
      <c r="C203" s="35" t="s">
        <v>584</v>
      </c>
      <c r="D203" s="35">
        <v>2018</v>
      </c>
      <c r="E203" s="34" t="s">
        <v>585</v>
      </c>
      <c r="F203" s="34" t="s">
        <v>586</v>
      </c>
      <c r="G203" s="35" t="s">
        <v>78</v>
      </c>
      <c r="H203" s="35">
        <v>1</v>
      </c>
      <c r="I203" s="35" t="s">
        <v>390</v>
      </c>
      <c r="J203" s="35" t="s">
        <v>79</v>
      </c>
      <c r="K203" s="35">
        <v>366</v>
      </c>
      <c r="L203" s="35" t="s">
        <v>129</v>
      </c>
      <c r="M203" s="35" t="s">
        <v>380</v>
      </c>
      <c r="N203" s="35">
        <v>-2E-3</v>
      </c>
      <c r="O203" s="35">
        <v>1E-3</v>
      </c>
      <c r="P203" s="89">
        <f t="shared" si="55"/>
        <v>-2</v>
      </c>
      <c r="Q203" s="35" t="s">
        <v>312</v>
      </c>
      <c r="R203" s="89">
        <f t="shared" si="56"/>
        <v>-3.96E-3</v>
      </c>
      <c r="S203" s="89">
        <f t="shared" si="57"/>
        <v>-4.0000000000000105E-5</v>
      </c>
      <c r="T203" s="35">
        <v>0</v>
      </c>
      <c r="U203" s="35">
        <v>1510332</v>
      </c>
      <c r="V203" s="35" t="s">
        <v>312</v>
      </c>
      <c r="W203" s="35" t="s">
        <v>312</v>
      </c>
      <c r="X203" s="35">
        <f t="shared" si="58"/>
        <v>1510332</v>
      </c>
      <c r="Y203" s="89">
        <f t="shared" si="59"/>
        <v>-1.6273958663515289E-3</v>
      </c>
      <c r="Z203" s="89">
        <f t="shared" si="60"/>
        <v>8.1369793317576447E-4</v>
      </c>
      <c r="AA203" s="89">
        <f t="shared" si="70"/>
        <v>-1.6273958663515289E-3</v>
      </c>
      <c r="AB203" s="35" t="s">
        <v>81</v>
      </c>
      <c r="AC203" s="89">
        <f t="shared" si="72"/>
        <v>-2.6360338573155986E-3</v>
      </c>
      <c r="AD203" s="89" cm="1">
        <f t="array" ref="AD203">_xlfn.IFS(
AND(L203="marginal_effect",M203="level"),N203*AN203/BF203,
AND(L203="marginal_effect",M203="sd (Y)"),N203*BH203*AN203/BF203,
AND(L203="marginal_effect",M203="sd (X)"),N203/AQ203*AN203/BF203,
AND(L203="semi_elasticity",M203="level"),N203*AN203,
AND(L203="semi_elasticity",M203="sd (Y)"),N203*AN203*BH203,
AND(L203="semi_elasticity",M203="sd (X)"),N203*AN203/AQ203,
AND(L203="level-log",M203="level"),N203/BF203,
AND(L203="level-log",M203="sd (X)"),N203/BF203/AQ203,
AND(L203="level-log",M203="sd (Y)"),N203/BF203*BH203,
AND(L203="elasticity",M203="level"),N203,
AND(L203="elasticity",M203="sd (X)"),N203/AQ203,
AND(L203="elasticity",M203="sd (Y)"),N203*BH203,
AND(L203="marginal_effect",M203="percent_of_mean"),N203*AN203/BF203/10)</f>
        <v>-2.6360338573155986E-3</v>
      </c>
      <c r="AE203" s="49">
        <f t="shared" si="61"/>
        <v>1</v>
      </c>
      <c r="AF203" s="89">
        <f t="shared" si="73"/>
        <v>1.3180169286577993E-3</v>
      </c>
      <c r="AG203" s="89" cm="1">
        <f t="array" ref="AG203">_xlfn.IFS(
AND(L203="marginal_effect",M203="level"),O203*AN203/BF203,
AND(L203="marginal_effect",M203="sd (Y)"),O203*BH203*AN203/BF203,
AND(L203="marginal_effect",M203="sd (X)"),O203/AQ203*AN203/BF203,
AND(L203="semi_elasticity",M203="level"),O203*AN203,
AND(L203="semi_elasticity",M203="sd (Y)"),O203*AN203*BH203,
AND(L203="semi_elasticity",M203="sd (X)"),O203*AN203/AQ203,
AND(L203="level-log",M203="level"),O203/BF203,
AND(L203="level-log",M203="sd (X)"),O203/BF203/AQ203,
AND(L203="level-log",M203="sd (Y)"),O203/BF203*BH203,
AND(L203="elasticity",M203="level"),O203,
AND(L203="elasticity",M203="sd (X)"),O203/AQ203,
AND(L203="elasticity",M203="sd (Y)"),O203*BH203,
AND(L203="marginal_effect",M203="percent_of_mean"),O203*AN203/BF203/10)</f>
        <v>1.3180169286577993E-3</v>
      </c>
      <c r="AH203" s="49">
        <f t="shared" si="62"/>
        <v>1</v>
      </c>
      <c r="AI203" s="89">
        <f t="shared" si="71"/>
        <v>-2.6360338573155986E-3</v>
      </c>
      <c r="AJ203" s="35">
        <v>0</v>
      </c>
      <c r="AK203" s="49">
        <f t="shared" si="63"/>
        <v>1</v>
      </c>
      <c r="AL203" s="35" t="s">
        <v>82</v>
      </c>
      <c r="AM203" s="35" t="s">
        <v>296</v>
      </c>
      <c r="AN203" s="35">
        <v>1.0900000000000001</v>
      </c>
      <c r="AO203" s="35">
        <v>1</v>
      </c>
      <c r="AP203" s="35">
        <f>AN203*10</f>
        <v>10.9</v>
      </c>
      <c r="AQ203" s="35">
        <v>0.57999999999999996</v>
      </c>
      <c r="AR203" s="35" t="s">
        <v>312</v>
      </c>
      <c r="AS203" s="35" t="s">
        <v>312</v>
      </c>
      <c r="AT203" s="35" t="s">
        <v>83</v>
      </c>
      <c r="AU203" s="35" t="s">
        <v>109</v>
      </c>
      <c r="AV203" s="35" t="s">
        <v>133</v>
      </c>
      <c r="AW203" s="35" t="s">
        <v>134</v>
      </c>
      <c r="AX203" s="35" t="s">
        <v>86</v>
      </c>
      <c r="AY203" s="35">
        <v>0</v>
      </c>
      <c r="AZ203" s="35">
        <v>0</v>
      </c>
      <c r="BA203" s="58" t="s">
        <v>111</v>
      </c>
      <c r="BB203" s="35" t="s">
        <v>88</v>
      </c>
      <c r="BC203" s="35" t="s">
        <v>587</v>
      </c>
      <c r="BD203" s="35" t="s">
        <v>114</v>
      </c>
      <c r="BE203" s="35" t="s">
        <v>595</v>
      </c>
      <c r="BF203" s="35">
        <v>0.82699999999999996</v>
      </c>
      <c r="BG203" s="35">
        <v>1</v>
      </c>
      <c r="BH203" s="35">
        <v>0.378</v>
      </c>
      <c r="BI203" s="35" t="s">
        <v>312</v>
      </c>
      <c r="BJ203" s="35" t="s">
        <v>312</v>
      </c>
      <c r="BK203" s="35" t="s">
        <v>91</v>
      </c>
      <c r="BL203" s="35" t="s">
        <v>84</v>
      </c>
      <c r="BM203" s="35">
        <v>1</v>
      </c>
      <c r="BN203" s="35" t="s">
        <v>539</v>
      </c>
      <c r="BO203" s="35" t="s">
        <v>589</v>
      </c>
      <c r="BP203" s="35" t="s">
        <v>588</v>
      </c>
      <c r="BQ203" s="35" t="s">
        <v>92</v>
      </c>
      <c r="BR203" s="35" t="s">
        <v>312</v>
      </c>
      <c r="BS203" s="35" t="s">
        <v>312</v>
      </c>
      <c r="BT203" s="35" t="s">
        <v>312</v>
      </c>
      <c r="BU203" s="35">
        <v>2008</v>
      </c>
      <c r="BV203" s="35">
        <v>2015</v>
      </c>
      <c r="BW203" s="35" t="s">
        <v>596</v>
      </c>
      <c r="BX203" s="35" t="s">
        <v>95</v>
      </c>
      <c r="BY203" s="35" t="s">
        <v>592</v>
      </c>
      <c r="BZ203" s="35">
        <v>0</v>
      </c>
      <c r="CA203" s="35">
        <v>0</v>
      </c>
      <c r="CB203" s="35" t="s">
        <v>97</v>
      </c>
      <c r="CC203" s="35" t="s">
        <v>625</v>
      </c>
      <c r="CD203" s="35">
        <v>1</v>
      </c>
      <c r="CE203" s="35" t="s">
        <v>594</v>
      </c>
      <c r="CF203" s="35">
        <v>1</v>
      </c>
      <c r="CG203" s="35" t="s">
        <v>597</v>
      </c>
      <c r="CH203" s="35">
        <v>1</v>
      </c>
      <c r="CI203" s="35" t="s">
        <v>541</v>
      </c>
      <c r="CJ203" s="35" t="s">
        <v>98</v>
      </c>
      <c r="CK203" s="35">
        <v>62</v>
      </c>
      <c r="CL203" s="35">
        <v>0</v>
      </c>
      <c r="CM203" s="35">
        <v>0</v>
      </c>
      <c r="CN203" s="35" t="s">
        <v>124</v>
      </c>
      <c r="CO203" s="35" t="s">
        <v>97</v>
      </c>
      <c r="CP203" s="35" t="s">
        <v>100</v>
      </c>
      <c r="CQ203" s="35" t="s">
        <v>126</v>
      </c>
      <c r="CR203" s="36">
        <v>46220</v>
      </c>
      <c r="CT203" s="35" t="s">
        <v>523</v>
      </c>
    </row>
    <row r="204" spans="1:98" s="35" customFormat="1" x14ac:dyDescent="0.35">
      <c r="A204" s="34" t="s">
        <v>583</v>
      </c>
      <c r="B204" s="34" t="s">
        <v>646</v>
      </c>
      <c r="C204" s="35" t="s">
        <v>584</v>
      </c>
      <c r="D204" s="35">
        <v>2018</v>
      </c>
      <c r="E204" s="34" t="s">
        <v>585</v>
      </c>
      <c r="F204" s="34" t="s">
        <v>586</v>
      </c>
      <c r="G204" s="35" t="s">
        <v>78</v>
      </c>
      <c r="H204" s="35">
        <v>1</v>
      </c>
      <c r="I204" s="35" t="s">
        <v>390</v>
      </c>
      <c r="J204" s="35" t="s">
        <v>79</v>
      </c>
      <c r="K204" s="35">
        <v>366</v>
      </c>
      <c r="L204" s="35" t="s">
        <v>129</v>
      </c>
      <c r="M204" s="35" t="s">
        <v>380</v>
      </c>
      <c r="N204" s="35">
        <v>-8.9999999999999993E-3</v>
      </c>
      <c r="O204" s="35">
        <v>5.0000000000000001E-3</v>
      </c>
      <c r="P204" s="89">
        <f t="shared" si="55"/>
        <v>-1.7999999999999998</v>
      </c>
      <c r="Q204" s="35" t="s">
        <v>312</v>
      </c>
      <c r="R204" s="89">
        <f t="shared" si="56"/>
        <v>-1.8799999999999997E-2</v>
      </c>
      <c r="S204" s="89">
        <f t="shared" si="57"/>
        <v>8.0000000000000036E-4</v>
      </c>
      <c r="T204" s="35">
        <v>0</v>
      </c>
      <c r="U204" s="35">
        <v>1510332</v>
      </c>
      <c r="V204" s="35" t="s">
        <v>312</v>
      </c>
      <c r="W204" s="35" t="s">
        <v>312</v>
      </c>
      <c r="X204" s="35">
        <f t="shared" si="58"/>
        <v>1510332</v>
      </c>
      <c r="Y204" s="89">
        <f t="shared" si="59"/>
        <v>-1.4646566482235134E-3</v>
      </c>
      <c r="Z204" s="89">
        <f t="shared" si="60"/>
        <v>8.1369813790195208E-4</v>
      </c>
      <c r="AA204" s="89">
        <f t="shared" si="70"/>
        <v>-1.4646566482235134E-3</v>
      </c>
      <c r="AB204" s="35" t="s">
        <v>81</v>
      </c>
      <c r="AC204" s="89">
        <f t="shared" si="72"/>
        <v>-3.2103990326481256E-3</v>
      </c>
      <c r="AD204" s="89" cm="1">
        <f t="array" ref="AD204">_xlfn.IFS(
AND(L204="marginal_effect",M204="level"),N204*AN204/BF204,
AND(L204="marginal_effect",M204="sd (Y)"),N204*BH204*AN204/BF204,
AND(L204="marginal_effect",M204="sd (X)"),N204/AQ204*AN204/BF204,
AND(L204="semi_elasticity",M204="level"),N204*AN204,
AND(L204="semi_elasticity",M204="sd (Y)"),N204*AN204*BH204,
AND(L204="semi_elasticity",M204="sd (X)"),N204*AN204/AQ204,
AND(L204="level-log",M204="level"),N204/BF204,
AND(L204="level-log",M204="sd (X)"),N204/BF204/AQ204,
AND(L204="level-log",M204="sd (Y)"),N204/BF204*BH204,
AND(L204="elasticity",M204="level"),N204,
AND(L204="elasticity",M204="sd (X)"),N204/AQ204,
AND(L204="elasticity",M204="sd (Y)"),N204*BH204,
AND(L204="marginal_effect",M204="percent_of_mean"),N204*AN204/BF204/10)</f>
        <v>-3.2103990326481256E-3</v>
      </c>
      <c r="AE204" s="49">
        <f t="shared" si="61"/>
        <v>1</v>
      </c>
      <c r="AF204" s="89">
        <f t="shared" si="73"/>
        <v>1.7835550181378476E-3</v>
      </c>
      <c r="AG204" s="89" cm="1">
        <f t="array" ref="AG204">_xlfn.IFS(
AND(L204="marginal_effect",M204="level"),O204*AN204/BF204,
AND(L204="marginal_effect",M204="sd (Y)"),O204*BH204*AN204/BF204,
AND(L204="marginal_effect",M204="sd (X)"),O204/AQ204*AN204/BF204,
AND(L204="semi_elasticity",M204="level"),O204*AN204,
AND(L204="semi_elasticity",M204="sd (Y)"),O204*AN204*BH204,
AND(L204="semi_elasticity",M204="sd (X)"),O204*AN204/AQ204,
AND(L204="level-log",M204="level"),O204/BF204,
AND(L204="level-log",M204="sd (X)"),O204/BF204/AQ204,
AND(L204="level-log",M204="sd (Y)"),O204/BF204*BH204,
AND(L204="elasticity",M204="level"),O204,
AND(L204="elasticity",M204="sd (X)"),O204/AQ204,
AND(L204="elasticity",M204="sd (Y)"),O204*BH204,
AND(L204="marginal_effect",M204="percent_of_mean"),O204*AN204/BF204/10)</f>
        <v>1.7835550181378476E-3</v>
      </c>
      <c r="AH204" s="49">
        <f t="shared" si="62"/>
        <v>1</v>
      </c>
      <c r="AI204" s="89">
        <f t="shared" si="71"/>
        <v>-3.2103990326481256E-3</v>
      </c>
      <c r="AJ204" s="35">
        <v>0</v>
      </c>
      <c r="AK204" s="49">
        <f t="shared" si="63"/>
        <v>1</v>
      </c>
      <c r="AL204" s="35" t="s">
        <v>162</v>
      </c>
      <c r="AM204" s="35" t="s">
        <v>590</v>
      </c>
      <c r="AN204" s="35">
        <v>0.29499999999999998</v>
      </c>
      <c r="AO204" s="35">
        <v>1</v>
      </c>
      <c r="AP204" s="35">
        <f>AN204</f>
        <v>0.29499999999999998</v>
      </c>
      <c r="AQ204" s="35">
        <v>0.13900000000000001</v>
      </c>
      <c r="AR204" s="35" t="s">
        <v>312</v>
      </c>
      <c r="AS204" s="35" t="s">
        <v>312</v>
      </c>
      <c r="AT204" s="35" t="s">
        <v>83</v>
      </c>
      <c r="AU204" s="35" t="s">
        <v>109</v>
      </c>
      <c r="AV204" s="35" t="s">
        <v>133</v>
      </c>
      <c r="AW204" s="35" t="s">
        <v>134</v>
      </c>
      <c r="AX204" s="35" t="s">
        <v>86</v>
      </c>
      <c r="AY204" s="35">
        <v>0</v>
      </c>
      <c r="AZ204" s="35">
        <v>0</v>
      </c>
      <c r="BA204" s="58" t="s">
        <v>111</v>
      </c>
      <c r="BB204" s="35" t="s">
        <v>88</v>
      </c>
      <c r="BC204" s="35" t="s">
        <v>587</v>
      </c>
      <c r="BD204" s="35" t="s">
        <v>114</v>
      </c>
      <c r="BE204" s="35" t="s">
        <v>595</v>
      </c>
      <c r="BF204" s="35">
        <v>0.82699999999999996</v>
      </c>
      <c r="BG204" s="35">
        <v>1</v>
      </c>
      <c r="BH204" s="35">
        <v>0.378</v>
      </c>
      <c r="BI204" s="35" t="s">
        <v>312</v>
      </c>
      <c r="BJ204" s="35" t="s">
        <v>312</v>
      </c>
      <c r="BK204" s="35" t="s">
        <v>91</v>
      </c>
      <c r="BL204" s="35" t="s">
        <v>84</v>
      </c>
      <c r="BM204" s="35">
        <v>1</v>
      </c>
      <c r="BN204" s="35" t="s">
        <v>539</v>
      </c>
      <c r="BO204" s="35" t="s">
        <v>589</v>
      </c>
      <c r="BP204" s="35" t="s">
        <v>588</v>
      </c>
      <c r="BQ204" s="35" t="s">
        <v>92</v>
      </c>
      <c r="BR204" s="35" t="s">
        <v>312</v>
      </c>
      <c r="BS204" s="35" t="s">
        <v>312</v>
      </c>
      <c r="BT204" s="35" t="s">
        <v>312</v>
      </c>
      <c r="BU204" s="35">
        <v>2008</v>
      </c>
      <c r="BV204" s="35">
        <v>2015</v>
      </c>
      <c r="BW204" s="35" t="s">
        <v>596</v>
      </c>
      <c r="BX204" s="35" t="s">
        <v>95</v>
      </c>
      <c r="BY204" s="35" t="s">
        <v>592</v>
      </c>
      <c r="BZ204" s="35">
        <v>0</v>
      </c>
      <c r="CA204" s="35">
        <v>0</v>
      </c>
      <c r="CB204" s="35" t="s">
        <v>97</v>
      </c>
      <c r="CC204" s="35" t="s">
        <v>625</v>
      </c>
      <c r="CD204" s="35">
        <v>1</v>
      </c>
      <c r="CE204" s="35" t="s">
        <v>594</v>
      </c>
      <c r="CF204" s="35">
        <v>1</v>
      </c>
      <c r="CG204" s="35" t="s">
        <v>598</v>
      </c>
      <c r="CH204" s="35">
        <v>1</v>
      </c>
      <c r="CI204" s="35" t="s">
        <v>541</v>
      </c>
      <c r="CJ204" s="35" t="s">
        <v>98</v>
      </c>
      <c r="CK204" s="35">
        <v>62</v>
      </c>
      <c r="CL204" s="35">
        <v>0</v>
      </c>
      <c r="CM204" s="35">
        <v>0</v>
      </c>
      <c r="CN204" s="35" t="s">
        <v>124</v>
      </c>
      <c r="CO204" s="35" t="s">
        <v>97</v>
      </c>
      <c r="CP204" s="35" t="s">
        <v>100</v>
      </c>
      <c r="CQ204" s="35" t="s">
        <v>600</v>
      </c>
      <c r="CR204" s="36">
        <v>46220</v>
      </c>
      <c r="CT204" s="35" t="s">
        <v>523</v>
      </c>
    </row>
    <row r="205" spans="1:98" s="35" customFormat="1" x14ac:dyDescent="0.35">
      <c r="A205" s="34" t="s">
        <v>583</v>
      </c>
      <c r="B205" s="34" t="s">
        <v>647</v>
      </c>
      <c r="C205" s="35" t="s">
        <v>584</v>
      </c>
      <c r="D205" s="35">
        <v>2018</v>
      </c>
      <c r="E205" s="34" t="s">
        <v>585</v>
      </c>
      <c r="F205" s="34" t="s">
        <v>586</v>
      </c>
      <c r="G205" s="35" t="s">
        <v>78</v>
      </c>
      <c r="H205" s="35">
        <v>1</v>
      </c>
      <c r="I205" s="35" t="s">
        <v>390</v>
      </c>
      <c r="J205" s="35" t="s">
        <v>79</v>
      </c>
      <c r="K205" s="35">
        <v>366</v>
      </c>
      <c r="L205" s="35" t="s">
        <v>129</v>
      </c>
      <c r="M205" s="35" t="s">
        <v>380</v>
      </c>
      <c r="N205" s="35">
        <v>-1.4999999999999999E-2</v>
      </c>
      <c r="O205" s="35">
        <v>3.1E-2</v>
      </c>
      <c r="P205" s="89">
        <f t="shared" si="55"/>
        <v>-0.48387096774193544</v>
      </c>
      <c r="Q205" s="35" t="s">
        <v>312</v>
      </c>
      <c r="R205" s="89">
        <f t="shared" si="56"/>
        <v>-7.5759999999999994E-2</v>
      </c>
      <c r="S205" s="89">
        <f t="shared" si="57"/>
        <v>4.5760000000000002E-2</v>
      </c>
      <c r="T205" s="35">
        <v>0</v>
      </c>
      <c r="U205" s="35">
        <v>1510332</v>
      </c>
      <c r="V205" s="35" t="s">
        <v>312</v>
      </c>
      <c r="W205" s="35" t="s">
        <v>312</v>
      </c>
      <c r="X205" s="35">
        <f t="shared" si="58"/>
        <v>1510332</v>
      </c>
      <c r="Y205" s="89">
        <f t="shared" si="59"/>
        <v>-3.9372529723262641E-4</v>
      </c>
      <c r="Z205" s="89">
        <f t="shared" si="60"/>
        <v>8.1369894761409468E-4</v>
      </c>
      <c r="AA205" s="89">
        <f t="shared" si="70"/>
        <v>-3.9372529723262641E-4</v>
      </c>
      <c r="AB205" s="35" t="s">
        <v>81</v>
      </c>
      <c r="AC205" s="89">
        <f t="shared" si="72"/>
        <v>-6.1668681983071349E-4</v>
      </c>
      <c r="AD205" s="89" cm="1">
        <f t="array" ref="AD205">_xlfn.IFS(
AND(L205="marginal_effect",M205="level"),N205*AN205/BF205,
AND(L205="marginal_effect",M205="sd (Y)"),N205*BH205*AN205/BF205,
AND(L205="marginal_effect",M205="sd (X)"),N205/AQ205*AN205/BF205,
AND(L205="semi_elasticity",M205="level"),N205*AN205,
AND(L205="semi_elasticity",M205="sd (Y)"),N205*AN205*BH205,
AND(L205="semi_elasticity",M205="sd (X)"),N205*AN205/AQ205,
AND(L205="level-log",M205="level"),N205/BF205,
AND(L205="level-log",M205="sd (X)"),N205/BF205/AQ205,
AND(L205="level-log",M205="sd (Y)"),N205/BF205*BH205,
AND(L205="elasticity",M205="level"),N205,
AND(L205="elasticity",M205="sd (X)"),N205/AQ205,
AND(L205="elasticity",M205="sd (Y)"),N205*BH205,
AND(L205="marginal_effect",M205="percent_of_mean"),N205*AN205/BF205/10)</f>
        <v>-6.1668681983071349E-4</v>
      </c>
      <c r="AE205" s="49">
        <f t="shared" si="61"/>
        <v>1</v>
      </c>
      <c r="AF205" s="89">
        <f t="shared" si="73"/>
        <v>1.2744860943168079E-3</v>
      </c>
      <c r="AG205" s="89" cm="1">
        <f t="array" ref="AG205">_xlfn.IFS(
AND(L205="marginal_effect",M205="level"),O205*AN205/BF205,
AND(L205="marginal_effect",M205="sd (Y)"),O205*BH205*AN205/BF205,
AND(L205="marginal_effect",M205="sd (X)"),O205/AQ205*AN205/BF205,
AND(L205="semi_elasticity",M205="level"),O205*AN205,
AND(L205="semi_elasticity",M205="sd (Y)"),O205*AN205*BH205,
AND(L205="semi_elasticity",M205="sd (X)"),O205*AN205/AQ205,
AND(L205="level-log",M205="level"),O205/BF205,
AND(L205="level-log",M205="sd (X)"),O205/BF205/AQ205,
AND(L205="level-log",M205="sd (Y)"),O205/BF205*BH205,
AND(L205="elasticity",M205="level"),O205,
AND(L205="elasticity",M205="sd (X)"),O205/AQ205,
AND(L205="elasticity",M205="sd (Y)"),O205*BH205,
AND(L205="marginal_effect",M205="percent_of_mean"),O205*AN205/BF205/10)</f>
        <v>1.2744860943168079E-3</v>
      </c>
      <c r="AH205" s="49">
        <f t="shared" si="62"/>
        <v>1</v>
      </c>
      <c r="AI205" s="89">
        <f t="shared" si="71"/>
        <v>-6.1668681983071349E-4</v>
      </c>
      <c r="AJ205" s="35">
        <v>0</v>
      </c>
      <c r="AK205" s="49">
        <f t="shared" si="63"/>
        <v>1</v>
      </c>
      <c r="AL205" s="35" t="s">
        <v>148</v>
      </c>
      <c r="AM205" s="35" t="s">
        <v>590</v>
      </c>
      <c r="AN205" s="35">
        <f>0.034</f>
        <v>3.4000000000000002E-2</v>
      </c>
      <c r="AO205" s="35">
        <v>1</v>
      </c>
      <c r="AP205" s="35">
        <f>AN205</f>
        <v>3.4000000000000002E-2</v>
      </c>
      <c r="AQ205" s="35">
        <v>1.4999999999999999E-2</v>
      </c>
      <c r="AR205" s="35" t="s">
        <v>312</v>
      </c>
      <c r="AS205" s="35" t="s">
        <v>312</v>
      </c>
      <c r="AT205" s="35" t="s">
        <v>83</v>
      </c>
      <c r="AU205" s="35" t="s">
        <v>109</v>
      </c>
      <c r="AV205" s="35" t="s">
        <v>133</v>
      </c>
      <c r="AW205" s="35" t="s">
        <v>134</v>
      </c>
      <c r="AX205" s="35" t="s">
        <v>86</v>
      </c>
      <c r="AY205" s="35">
        <v>0</v>
      </c>
      <c r="AZ205" s="35">
        <v>0</v>
      </c>
      <c r="BA205" s="58" t="s">
        <v>111</v>
      </c>
      <c r="BB205" s="35" t="s">
        <v>88</v>
      </c>
      <c r="BC205" s="35" t="s">
        <v>587</v>
      </c>
      <c r="BD205" s="35" t="s">
        <v>114</v>
      </c>
      <c r="BE205" s="35" t="s">
        <v>595</v>
      </c>
      <c r="BF205" s="35">
        <v>0.82699999999999996</v>
      </c>
      <c r="BG205" s="35">
        <v>1</v>
      </c>
      <c r="BH205" s="35">
        <v>0.378</v>
      </c>
      <c r="BI205" s="35" t="s">
        <v>312</v>
      </c>
      <c r="BJ205" s="35" t="s">
        <v>312</v>
      </c>
      <c r="BK205" s="35" t="s">
        <v>91</v>
      </c>
      <c r="BL205" s="35" t="s">
        <v>84</v>
      </c>
      <c r="BM205" s="35">
        <v>1</v>
      </c>
      <c r="BN205" s="35" t="s">
        <v>539</v>
      </c>
      <c r="BO205" s="35" t="s">
        <v>589</v>
      </c>
      <c r="BP205" s="35" t="s">
        <v>588</v>
      </c>
      <c r="BQ205" s="35" t="s">
        <v>92</v>
      </c>
      <c r="BR205" s="35" t="s">
        <v>312</v>
      </c>
      <c r="BS205" s="35" t="s">
        <v>312</v>
      </c>
      <c r="BT205" s="35" t="s">
        <v>312</v>
      </c>
      <c r="BU205" s="35">
        <v>2008</v>
      </c>
      <c r="BV205" s="35">
        <v>2015</v>
      </c>
      <c r="BW205" s="35" t="s">
        <v>596</v>
      </c>
      <c r="BX205" s="35" t="s">
        <v>95</v>
      </c>
      <c r="BY205" s="35" t="s">
        <v>592</v>
      </c>
      <c r="BZ205" s="35">
        <v>0</v>
      </c>
      <c r="CA205" s="35">
        <v>0</v>
      </c>
      <c r="CB205" s="35" t="s">
        <v>97</v>
      </c>
      <c r="CC205" s="35" t="s">
        <v>625</v>
      </c>
      <c r="CD205" s="35">
        <v>1</v>
      </c>
      <c r="CE205" s="35" t="s">
        <v>594</v>
      </c>
      <c r="CF205" s="35">
        <v>1</v>
      </c>
      <c r="CG205" s="35" t="s">
        <v>599</v>
      </c>
      <c r="CH205" s="35">
        <v>1</v>
      </c>
      <c r="CI205" s="35" t="s">
        <v>541</v>
      </c>
      <c r="CJ205" s="35" t="s">
        <v>98</v>
      </c>
      <c r="CK205" s="35">
        <v>62</v>
      </c>
      <c r="CL205" s="35">
        <v>0</v>
      </c>
      <c r="CM205" s="35">
        <v>0</v>
      </c>
      <c r="CN205" s="35" t="s">
        <v>124</v>
      </c>
      <c r="CO205" s="35" t="s">
        <v>97</v>
      </c>
      <c r="CP205" s="35" t="s">
        <v>100</v>
      </c>
      <c r="CQ205" s="35" t="s">
        <v>126</v>
      </c>
      <c r="CR205" s="36">
        <v>46220</v>
      </c>
      <c r="CT205" s="35" t="s">
        <v>523</v>
      </c>
    </row>
    <row r="206" spans="1:98" s="35" customFormat="1" x14ac:dyDescent="0.35">
      <c r="A206" s="34" t="s">
        <v>583</v>
      </c>
      <c r="B206" s="34" t="s">
        <v>648</v>
      </c>
      <c r="C206" s="35" t="s">
        <v>584</v>
      </c>
      <c r="D206" s="35">
        <v>2018</v>
      </c>
      <c r="E206" s="34" t="s">
        <v>585</v>
      </c>
      <c r="F206" s="34" t="s">
        <v>586</v>
      </c>
      <c r="G206" s="35" t="s">
        <v>78</v>
      </c>
      <c r="H206" s="35">
        <v>1</v>
      </c>
      <c r="I206" s="35" t="s">
        <v>390</v>
      </c>
      <c r="J206" s="35" t="s">
        <v>79</v>
      </c>
      <c r="K206" s="35">
        <v>366</v>
      </c>
      <c r="L206" s="35" t="s">
        <v>129</v>
      </c>
      <c r="M206" s="35" t="s">
        <v>380</v>
      </c>
      <c r="N206" s="35">
        <v>-4.0000000000000001E-3</v>
      </c>
      <c r="O206" s="35">
        <v>1E-3</v>
      </c>
      <c r="P206" s="89">
        <f t="shared" ref="P206:P270" si="74">N206/O206</f>
        <v>-4</v>
      </c>
      <c r="Q206" s="35" t="s">
        <v>312</v>
      </c>
      <c r="R206" s="89">
        <f t="shared" ref="R206:R270" si="75">N206-1.96*O206</f>
        <v>-5.96E-3</v>
      </c>
      <c r="S206" s="89">
        <f t="shared" ref="S206:S270" si="76">N206+1.96*O206</f>
        <v>-2.0400000000000001E-3</v>
      </c>
      <c r="T206" s="35">
        <v>0</v>
      </c>
      <c r="U206" s="35">
        <v>623573</v>
      </c>
      <c r="V206" s="35" t="s">
        <v>312</v>
      </c>
      <c r="W206" s="35" t="s">
        <v>312</v>
      </c>
      <c r="X206" s="35">
        <f t="shared" ref="X206:X237" si="77">IF(V206="NA",U206,U206-V206)</f>
        <v>623573</v>
      </c>
      <c r="Y206" s="89">
        <f t="shared" ref="Y206:Y270" si="78">P206/(P206^2 + X206)^(1/2)</f>
        <v>-5.0653652713530976E-3</v>
      </c>
      <c r="Z206" s="89">
        <f t="shared" ref="Z206:Z270" si="79">((1-Y206^2)/X206)^(1/2)</f>
        <v>1.2663413178382744E-3</v>
      </c>
      <c r="AA206" s="89">
        <f t="shared" si="70"/>
        <v>-5.0653652713530976E-3</v>
      </c>
      <c r="AB206" s="35" t="s">
        <v>81</v>
      </c>
      <c r="AC206" s="89">
        <f t="shared" si="72"/>
        <v>-5.2720677146311972E-3</v>
      </c>
      <c r="AD206" s="89" cm="1">
        <f t="array" ref="AD206">_xlfn.IFS(
AND(L206="marginal_effect",M206="level"),N206*AN206/BF206,
AND(L206="marginal_effect",M206="sd (Y)"),N206*BH206*AN206/BF206,
AND(L206="marginal_effect",M206="sd (X)"),N206/AQ206*AN206/BF206,
AND(L206="semi_elasticity",M206="level"),N206*AN206,
AND(L206="semi_elasticity",M206="sd (Y)"),N206*AN206*BH206,
AND(L206="semi_elasticity",M206="sd (X)"),N206*AN206/AQ206,
AND(L206="level-log",M206="level"),N206/BF206,
AND(L206="level-log",M206="sd (X)"),N206/BF206/AQ206,
AND(L206="level-log",M206="sd (Y)"),N206/BF206*BH206,
AND(L206="elasticity",M206="level"),N206,
AND(L206="elasticity",M206="sd (X)"),N206/AQ206,
AND(L206="elasticity",M206="sd (Y)"),N206*BH206,
AND(L206="marginal_effect",M206="percent_of_mean"),N206*AN206/BF206/10)</f>
        <v>-5.2720677146311972E-3</v>
      </c>
      <c r="AE206" s="49">
        <f t="shared" ref="AE206:AE270" si="80">IF(AC206=AD206,1,0)</f>
        <v>1</v>
      </c>
      <c r="AF206" s="89">
        <f t="shared" si="73"/>
        <v>1.3180169286577993E-3</v>
      </c>
      <c r="AG206" s="89" cm="1">
        <f t="array" ref="AG206">_xlfn.IFS(
AND(L206="marginal_effect",M206="level"),O206*AN206/BF206,
AND(L206="marginal_effect",M206="sd (Y)"),O206*BH206*AN206/BF206,
AND(L206="marginal_effect",M206="sd (X)"),O206/AQ206*AN206/BF206,
AND(L206="semi_elasticity",M206="level"),O206*AN206,
AND(L206="semi_elasticity",M206="sd (Y)"),O206*AN206*BH206,
AND(L206="semi_elasticity",M206="sd (X)"),O206*AN206/AQ206,
AND(L206="level-log",M206="level"),O206/BF206,
AND(L206="level-log",M206="sd (X)"),O206/BF206/AQ206,
AND(L206="level-log",M206="sd (Y)"),O206/BF206*BH206,
AND(L206="elasticity",M206="level"),O206,
AND(L206="elasticity",M206="sd (X)"),O206/AQ206,
AND(L206="elasticity",M206="sd (Y)"),O206*BH206,
AND(L206="marginal_effect",M206="percent_of_mean"),O206*AN206/BF206/10)</f>
        <v>1.3180169286577993E-3</v>
      </c>
      <c r="AH206" s="49">
        <f t="shared" ref="AH206:AH270" si="81">IF(AF206=AG206,1,0)</f>
        <v>1</v>
      </c>
      <c r="AI206" s="89">
        <f t="shared" si="71"/>
        <v>-5.2720677146311972E-3</v>
      </c>
      <c r="AJ206" s="35">
        <v>0</v>
      </c>
      <c r="AK206" s="49">
        <f t="shared" ref="AK206:AK270" si="82">IF(P206=(AC206/AF206),1,0)</f>
        <v>1</v>
      </c>
      <c r="AL206" s="35" t="s">
        <v>82</v>
      </c>
      <c r="AM206" s="35" t="s">
        <v>296</v>
      </c>
      <c r="AN206" s="35">
        <v>1.0900000000000001</v>
      </c>
      <c r="AO206" s="35">
        <v>1</v>
      </c>
      <c r="AP206" s="35">
        <f>AN206*10</f>
        <v>10.9</v>
      </c>
      <c r="AQ206" s="35">
        <v>0.57999999999999996</v>
      </c>
      <c r="AR206" s="35" t="s">
        <v>312</v>
      </c>
      <c r="AS206" s="35" t="s">
        <v>312</v>
      </c>
      <c r="AT206" s="35" t="s">
        <v>83</v>
      </c>
      <c r="AU206" s="35" t="s">
        <v>109</v>
      </c>
      <c r="AV206" s="35" t="s">
        <v>133</v>
      </c>
      <c r="AW206" s="35" t="s">
        <v>134</v>
      </c>
      <c r="AX206" s="35" t="s">
        <v>86</v>
      </c>
      <c r="AY206" s="35">
        <v>0</v>
      </c>
      <c r="AZ206" s="35">
        <v>0</v>
      </c>
      <c r="BA206" s="58" t="s">
        <v>111</v>
      </c>
      <c r="BB206" s="35" t="s">
        <v>88</v>
      </c>
      <c r="BC206" s="35" t="s">
        <v>587</v>
      </c>
      <c r="BD206" s="35" t="s">
        <v>114</v>
      </c>
      <c r="BE206" s="35" t="s">
        <v>595</v>
      </c>
      <c r="BF206" s="35">
        <v>0.82699999999999996</v>
      </c>
      <c r="BG206" s="35">
        <v>0</v>
      </c>
      <c r="BH206" s="35">
        <v>0.378</v>
      </c>
      <c r="BI206" s="35" t="s">
        <v>312</v>
      </c>
      <c r="BJ206" s="35" t="s">
        <v>312</v>
      </c>
      <c r="BK206" s="35" t="s">
        <v>91</v>
      </c>
      <c r="BL206" s="35" t="s">
        <v>84</v>
      </c>
      <c r="BM206" s="35">
        <v>1</v>
      </c>
      <c r="BN206" s="35" t="s">
        <v>539</v>
      </c>
      <c r="BO206" s="35" t="s">
        <v>589</v>
      </c>
      <c r="BP206" s="35" t="s">
        <v>588</v>
      </c>
      <c r="BQ206" s="35" t="s">
        <v>92</v>
      </c>
      <c r="BR206" s="35" t="s">
        <v>312</v>
      </c>
      <c r="BS206" s="35" t="s">
        <v>312</v>
      </c>
      <c r="BT206" s="35" t="s">
        <v>312</v>
      </c>
      <c r="BU206" s="35">
        <v>2008</v>
      </c>
      <c r="BV206" s="35">
        <v>2015</v>
      </c>
      <c r="BW206" s="35" t="s">
        <v>596</v>
      </c>
      <c r="BX206" s="35" t="s">
        <v>95</v>
      </c>
      <c r="BY206" s="35" t="s">
        <v>592</v>
      </c>
      <c r="BZ206" s="35">
        <v>0</v>
      </c>
      <c r="CA206" s="35">
        <v>0</v>
      </c>
      <c r="CB206" s="35" t="s">
        <v>97</v>
      </c>
      <c r="CC206" s="35" t="s">
        <v>625</v>
      </c>
      <c r="CD206" s="35">
        <v>1</v>
      </c>
      <c r="CE206" s="35" t="s">
        <v>594</v>
      </c>
      <c r="CF206" s="35">
        <v>1</v>
      </c>
      <c r="CG206" s="35" t="s">
        <v>597</v>
      </c>
      <c r="CH206" s="35">
        <v>1</v>
      </c>
      <c r="CI206" s="35" t="s">
        <v>541</v>
      </c>
      <c r="CJ206" s="35" t="s">
        <v>98</v>
      </c>
      <c r="CK206" s="35">
        <v>62</v>
      </c>
      <c r="CL206" s="35">
        <v>0</v>
      </c>
      <c r="CM206" s="35">
        <v>0</v>
      </c>
      <c r="CN206" s="35" t="s">
        <v>124</v>
      </c>
      <c r="CO206" s="35" t="s">
        <v>97</v>
      </c>
      <c r="CP206" s="35" t="s">
        <v>100</v>
      </c>
      <c r="CQ206" s="35" t="s">
        <v>126</v>
      </c>
      <c r="CR206" s="36">
        <v>46220</v>
      </c>
      <c r="CT206" s="35" t="s">
        <v>651</v>
      </c>
    </row>
    <row r="207" spans="1:98" s="35" customFormat="1" x14ac:dyDescent="0.35">
      <c r="A207" s="34" t="s">
        <v>583</v>
      </c>
      <c r="B207" s="34" t="s">
        <v>649</v>
      </c>
      <c r="C207" s="35" t="s">
        <v>584</v>
      </c>
      <c r="D207" s="35">
        <v>2018</v>
      </c>
      <c r="E207" s="34" t="s">
        <v>585</v>
      </c>
      <c r="F207" s="34" t="s">
        <v>586</v>
      </c>
      <c r="G207" s="35" t="s">
        <v>78</v>
      </c>
      <c r="H207" s="35">
        <v>1</v>
      </c>
      <c r="I207" s="35" t="s">
        <v>390</v>
      </c>
      <c r="J207" s="35" t="s">
        <v>79</v>
      </c>
      <c r="K207" s="35">
        <v>366</v>
      </c>
      <c r="L207" s="35" t="s">
        <v>129</v>
      </c>
      <c r="M207" s="35" t="s">
        <v>380</v>
      </c>
      <c r="N207" s="35">
        <v>-2.3E-2</v>
      </c>
      <c r="O207" s="35">
        <v>0.01</v>
      </c>
      <c r="P207" s="89">
        <f t="shared" si="74"/>
        <v>-2.2999999999999998</v>
      </c>
      <c r="Q207" s="35" t="s">
        <v>312</v>
      </c>
      <c r="R207" s="89">
        <f t="shared" si="75"/>
        <v>-4.2599999999999999E-2</v>
      </c>
      <c r="S207" s="89">
        <f t="shared" si="76"/>
        <v>-3.4000000000000002E-3</v>
      </c>
      <c r="T207" s="35">
        <v>0</v>
      </c>
      <c r="U207" s="35">
        <v>623573</v>
      </c>
      <c r="V207" s="35" t="s">
        <v>312</v>
      </c>
      <c r="W207" s="35" t="s">
        <v>312</v>
      </c>
      <c r="X207" s="35">
        <f t="shared" si="77"/>
        <v>623573</v>
      </c>
      <c r="Y207" s="89">
        <f t="shared" si="78"/>
        <v>-2.9126100428447065E-3</v>
      </c>
      <c r="Z207" s="89">
        <f t="shared" si="79"/>
        <v>1.2663521925411769E-3</v>
      </c>
      <c r="AA207" s="89">
        <f t="shared" si="70"/>
        <v>-2.9126100428447065E-3</v>
      </c>
      <c r="AB207" s="35" t="s">
        <v>81</v>
      </c>
      <c r="AC207" s="89">
        <f t="shared" si="72"/>
        <v>-8.2043530834340992E-3</v>
      </c>
      <c r="AD207" s="89" cm="1">
        <f t="array" ref="AD207">_xlfn.IFS(
AND(L207="marginal_effect",M207="level"),N207*AN207/BF207,
AND(L207="marginal_effect",M207="sd (Y)"),N207*BH207*AN207/BF207,
AND(L207="marginal_effect",M207="sd (X)"),N207/AQ207*AN207/BF207,
AND(L207="semi_elasticity",M207="level"),N207*AN207,
AND(L207="semi_elasticity",M207="sd (Y)"),N207*AN207*BH207,
AND(L207="semi_elasticity",M207="sd (X)"),N207*AN207/AQ207,
AND(L207="level-log",M207="level"),N207/BF207,
AND(L207="level-log",M207="sd (X)"),N207/BF207/AQ207,
AND(L207="level-log",M207="sd (Y)"),N207/BF207*BH207,
AND(L207="elasticity",M207="level"),N207,
AND(L207="elasticity",M207="sd (X)"),N207/AQ207,
AND(L207="elasticity",M207="sd (Y)"),N207*BH207,
AND(L207="marginal_effect",M207="percent_of_mean"),N207*AN207/BF207/10)</f>
        <v>-8.2043530834340992E-3</v>
      </c>
      <c r="AE207" s="49">
        <f t="shared" si="80"/>
        <v>1</v>
      </c>
      <c r="AF207" s="89">
        <f t="shared" si="73"/>
        <v>3.5671100362756952E-3</v>
      </c>
      <c r="AG207" s="89" cm="1">
        <f t="array" ref="AG207">_xlfn.IFS(
AND(L207="marginal_effect",M207="level"),O207*AN207/BF207,
AND(L207="marginal_effect",M207="sd (Y)"),O207*BH207*AN207/BF207,
AND(L207="marginal_effect",M207="sd (X)"),O207/AQ207*AN207/BF207,
AND(L207="semi_elasticity",M207="level"),O207*AN207,
AND(L207="semi_elasticity",M207="sd (Y)"),O207*AN207*BH207,
AND(L207="semi_elasticity",M207="sd (X)"),O207*AN207/AQ207,
AND(L207="level-log",M207="level"),O207/BF207,
AND(L207="level-log",M207="sd (X)"),O207/BF207/AQ207,
AND(L207="level-log",M207="sd (Y)"),O207/BF207*BH207,
AND(L207="elasticity",M207="level"),O207,
AND(L207="elasticity",M207="sd (X)"),O207/AQ207,
AND(L207="elasticity",M207="sd (Y)"),O207*BH207,
AND(L207="marginal_effect",M207="percent_of_mean"),O207*AN207/BF207/10)</f>
        <v>3.5671100362756952E-3</v>
      </c>
      <c r="AH207" s="49">
        <f t="shared" si="81"/>
        <v>1</v>
      </c>
      <c r="AI207" s="89">
        <f t="shared" si="71"/>
        <v>-8.2043530834340992E-3</v>
      </c>
      <c r="AJ207" s="35">
        <v>0</v>
      </c>
      <c r="AK207" s="49">
        <f t="shared" si="82"/>
        <v>1</v>
      </c>
      <c r="AL207" s="35" t="s">
        <v>162</v>
      </c>
      <c r="AM207" s="35" t="s">
        <v>590</v>
      </c>
      <c r="AN207" s="35">
        <v>0.29499999999999998</v>
      </c>
      <c r="AO207" s="35">
        <v>1</v>
      </c>
      <c r="AP207" s="35">
        <f>AN207</f>
        <v>0.29499999999999998</v>
      </c>
      <c r="AQ207" s="35">
        <v>0.13900000000000001</v>
      </c>
      <c r="AR207" s="35" t="s">
        <v>312</v>
      </c>
      <c r="AS207" s="35" t="s">
        <v>312</v>
      </c>
      <c r="AT207" s="35" t="s">
        <v>83</v>
      </c>
      <c r="AU207" s="35" t="s">
        <v>109</v>
      </c>
      <c r="AV207" s="35" t="s">
        <v>133</v>
      </c>
      <c r="AW207" s="35" t="s">
        <v>134</v>
      </c>
      <c r="AX207" s="35" t="s">
        <v>86</v>
      </c>
      <c r="AY207" s="35">
        <v>0</v>
      </c>
      <c r="AZ207" s="35">
        <v>0</v>
      </c>
      <c r="BA207" s="58" t="s">
        <v>111</v>
      </c>
      <c r="BB207" s="35" t="s">
        <v>88</v>
      </c>
      <c r="BC207" s="35" t="s">
        <v>587</v>
      </c>
      <c r="BD207" s="35" t="s">
        <v>114</v>
      </c>
      <c r="BE207" s="35" t="s">
        <v>595</v>
      </c>
      <c r="BF207" s="35">
        <v>0.82699999999999996</v>
      </c>
      <c r="BG207" s="35">
        <v>0</v>
      </c>
      <c r="BH207" s="35">
        <v>0.378</v>
      </c>
      <c r="BI207" s="35" t="s">
        <v>312</v>
      </c>
      <c r="BJ207" s="35" t="s">
        <v>312</v>
      </c>
      <c r="BK207" s="35" t="s">
        <v>91</v>
      </c>
      <c r="BL207" s="35" t="s">
        <v>84</v>
      </c>
      <c r="BM207" s="35">
        <v>1</v>
      </c>
      <c r="BN207" s="35" t="s">
        <v>539</v>
      </c>
      <c r="BO207" s="35" t="s">
        <v>589</v>
      </c>
      <c r="BP207" s="35" t="s">
        <v>588</v>
      </c>
      <c r="BQ207" s="35" t="s">
        <v>92</v>
      </c>
      <c r="BR207" s="35" t="s">
        <v>312</v>
      </c>
      <c r="BS207" s="35" t="s">
        <v>312</v>
      </c>
      <c r="BT207" s="35" t="s">
        <v>312</v>
      </c>
      <c r="BU207" s="35">
        <v>2008</v>
      </c>
      <c r="BV207" s="35">
        <v>2015</v>
      </c>
      <c r="BW207" s="35" t="s">
        <v>596</v>
      </c>
      <c r="BX207" s="35" t="s">
        <v>95</v>
      </c>
      <c r="BY207" s="35" t="s">
        <v>592</v>
      </c>
      <c r="BZ207" s="35">
        <v>0</v>
      </c>
      <c r="CA207" s="35">
        <v>0</v>
      </c>
      <c r="CB207" s="35" t="s">
        <v>97</v>
      </c>
      <c r="CC207" s="35" t="s">
        <v>625</v>
      </c>
      <c r="CD207" s="35">
        <v>1</v>
      </c>
      <c r="CE207" s="35" t="s">
        <v>594</v>
      </c>
      <c r="CF207" s="35">
        <v>1</v>
      </c>
      <c r="CG207" s="35" t="s">
        <v>598</v>
      </c>
      <c r="CH207" s="35">
        <v>1</v>
      </c>
      <c r="CI207" s="35" t="s">
        <v>541</v>
      </c>
      <c r="CJ207" s="35" t="s">
        <v>98</v>
      </c>
      <c r="CK207" s="35">
        <v>62</v>
      </c>
      <c r="CL207" s="35">
        <v>0</v>
      </c>
      <c r="CM207" s="35">
        <v>0</v>
      </c>
      <c r="CN207" s="35" t="s">
        <v>124</v>
      </c>
      <c r="CO207" s="35" t="s">
        <v>97</v>
      </c>
      <c r="CP207" s="35" t="s">
        <v>100</v>
      </c>
      <c r="CQ207" s="35" t="s">
        <v>600</v>
      </c>
      <c r="CR207" s="36">
        <v>46220</v>
      </c>
      <c r="CT207" s="35" t="s">
        <v>651</v>
      </c>
    </row>
    <row r="208" spans="1:98" s="35" customFormat="1" x14ac:dyDescent="0.35">
      <c r="A208" s="34" t="s">
        <v>583</v>
      </c>
      <c r="B208" s="34" t="s">
        <v>650</v>
      </c>
      <c r="C208" s="35" t="s">
        <v>584</v>
      </c>
      <c r="D208" s="35">
        <v>2018</v>
      </c>
      <c r="E208" s="34" t="s">
        <v>585</v>
      </c>
      <c r="F208" s="34" t="s">
        <v>586</v>
      </c>
      <c r="G208" s="35" t="s">
        <v>78</v>
      </c>
      <c r="H208" s="35">
        <v>1</v>
      </c>
      <c r="I208" s="35" t="s">
        <v>390</v>
      </c>
      <c r="J208" s="35" t="s">
        <v>79</v>
      </c>
      <c r="K208" s="35">
        <v>366</v>
      </c>
      <c r="L208" s="35" t="s">
        <v>129</v>
      </c>
      <c r="M208" s="35" t="s">
        <v>380</v>
      </c>
      <c r="N208" s="35">
        <v>4.7E-2</v>
      </c>
      <c r="O208" s="35">
        <v>5.3999999999999999E-2</v>
      </c>
      <c r="P208" s="89">
        <f t="shared" si="74"/>
        <v>0.87037037037037035</v>
      </c>
      <c r="Q208" s="35" t="s">
        <v>312</v>
      </c>
      <c r="R208" s="89">
        <f t="shared" si="75"/>
        <v>-5.8840000000000003E-2</v>
      </c>
      <c r="S208" s="89">
        <f t="shared" si="76"/>
        <v>0.15284</v>
      </c>
      <c r="T208" s="35">
        <v>0</v>
      </c>
      <c r="U208" s="35">
        <v>623573</v>
      </c>
      <c r="V208" s="35" t="s">
        <v>312</v>
      </c>
      <c r="W208" s="35" t="s">
        <v>312</v>
      </c>
      <c r="X208" s="35">
        <f t="shared" si="77"/>
        <v>623573</v>
      </c>
      <c r="Y208" s="89">
        <f t="shared" si="78"/>
        <v>1.1021994324962963E-3</v>
      </c>
      <c r="Z208" s="89">
        <f t="shared" si="79"/>
        <v>1.2663567947829787E-3</v>
      </c>
      <c r="AA208" s="89">
        <f t="shared" si="70"/>
        <v>1.1021994324962963E-3</v>
      </c>
      <c r="AB208" s="35" t="s">
        <v>81</v>
      </c>
      <c r="AC208" s="89">
        <f t="shared" si="72"/>
        <v>1.9322853688029022E-3</v>
      </c>
      <c r="AD208" s="89" cm="1">
        <f t="array" ref="AD208">_xlfn.IFS(
AND(L208="marginal_effect",M208="level"),N208*AN208/BF208,
AND(L208="marginal_effect",M208="sd (Y)"),N208*BH208*AN208/BF208,
AND(L208="marginal_effect",M208="sd (X)"),N208/AQ208*AN208/BF208,
AND(L208="semi_elasticity",M208="level"),N208*AN208,
AND(L208="semi_elasticity",M208="sd (Y)"),N208*AN208*BH208,
AND(L208="semi_elasticity",M208="sd (X)"),N208*AN208/AQ208,
AND(L208="level-log",M208="level"),N208/BF208,
AND(L208="level-log",M208="sd (X)"),N208/BF208/AQ208,
AND(L208="level-log",M208="sd (Y)"),N208/BF208*BH208,
AND(L208="elasticity",M208="level"),N208,
AND(L208="elasticity",M208="sd (X)"),N208/AQ208,
AND(L208="elasticity",M208="sd (Y)"),N208*BH208,
AND(L208="marginal_effect",M208="percent_of_mean"),N208*AN208/BF208/10)</f>
        <v>1.9322853688029022E-3</v>
      </c>
      <c r="AE208" s="49">
        <f t="shared" si="80"/>
        <v>1</v>
      </c>
      <c r="AF208" s="89">
        <f t="shared" si="73"/>
        <v>2.2200725513905686E-3</v>
      </c>
      <c r="AG208" s="89" cm="1">
        <f t="array" ref="AG208">_xlfn.IFS(
AND(L208="marginal_effect",M208="level"),O208*AN208/BF208,
AND(L208="marginal_effect",M208="sd (Y)"),O208*BH208*AN208/BF208,
AND(L208="marginal_effect",M208="sd (X)"),O208/AQ208*AN208/BF208,
AND(L208="semi_elasticity",M208="level"),O208*AN208,
AND(L208="semi_elasticity",M208="sd (Y)"),O208*AN208*BH208,
AND(L208="semi_elasticity",M208="sd (X)"),O208*AN208/AQ208,
AND(L208="level-log",M208="level"),O208/BF208,
AND(L208="level-log",M208="sd (X)"),O208/BF208/AQ208,
AND(L208="level-log",M208="sd (Y)"),O208/BF208*BH208,
AND(L208="elasticity",M208="level"),O208,
AND(L208="elasticity",M208="sd (X)"),O208/AQ208,
AND(L208="elasticity",M208="sd (Y)"),O208*BH208,
AND(L208="marginal_effect",M208="percent_of_mean"),O208*AN208/BF208/10)</f>
        <v>2.2200725513905686E-3</v>
      </c>
      <c r="AH208" s="49">
        <f t="shared" si="81"/>
        <v>1</v>
      </c>
      <c r="AI208" s="89">
        <f t="shared" si="71"/>
        <v>1.9322853688029022E-3</v>
      </c>
      <c r="AJ208" s="35">
        <v>0</v>
      </c>
      <c r="AK208" s="49">
        <f t="shared" si="82"/>
        <v>1</v>
      </c>
      <c r="AL208" s="35" t="s">
        <v>148</v>
      </c>
      <c r="AM208" s="35" t="s">
        <v>590</v>
      </c>
      <c r="AN208" s="35">
        <f>0.034</f>
        <v>3.4000000000000002E-2</v>
      </c>
      <c r="AO208" s="35">
        <v>1</v>
      </c>
      <c r="AP208" s="35">
        <f>AN208</f>
        <v>3.4000000000000002E-2</v>
      </c>
      <c r="AQ208" s="35">
        <v>1.4999999999999999E-2</v>
      </c>
      <c r="AR208" s="35" t="s">
        <v>312</v>
      </c>
      <c r="AS208" s="35" t="s">
        <v>312</v>
      </c>
      <c r="AT208" s="35" t="s">
        <v>83</v>
      </c>
      <c r="AU208" s="35" t="s">
        <v>109</v>
      </c>
      <c r="AV208" s="35" t="s">
        <v>133</v>
      </c>
      <c r="AW208" s="35" t="s">
        <v>134</v>
      </c>
      <c r="AX208" s="35" t="s">
        <v>86</v>
      </c>
      <c r="AY208" s="35">
        <v>0</v>
      </c>
      <c r="AZ208" s="35">
        <v>0</v>
      </c>
      <c r="BA208" s="58" t="s">
        <v>111</v>
      </c>
      <c r="BB208" s="35" t="s">
        <v>88</v>
      </c>
      <c r="BC208" s="35" t="s">
        <v>587</v>
      </c>
      <c r="BD208" s="35" t="s">
        <v>114</v>
      </c>
      <c r="BE208" s="35" t="s">
        <v>595</v>
      </c>
      <c r="BF208" s="35">
        <v>0.82699999999999996</v>
      </c>
      <c r="BG208" s="35">
        <v>0</v>
      </c>
      <c r="BH208" s="35">
        <v>0.378</v>
      </c>
      <c r="BI208" s="35" t="s">
        <v>312</v>
      </c>
      <c r="BJ208" s="35" t="s">
        <v>312</v>
      </c>
      <c r="BK208" s="35" t="s">
        <v>91</v>
      </c>
      <c r="BL208" s="35" t="s">
        <v>84</v>
      </c>
      <c r="BM208" s="35">
        <v>1</v>
      </c>
      <c r="BN208" s="35" t="s">
        <v>539</v>
      </c>
      <c r="BO208" s="35" t="s">
        <v>589</v>
      </c>
      <c r="BP208" s="35" t="s">
        <v>588</v>
      </c>
      <c r="BQ208" s="35" t="s">
        <v>92</v>
      </c>
      <c r="BR208" s="35" t="s">
        <v>312</v>
      </c>
      <c r="BS208" s="35" t="s">
        <v>312</v>
      </c>
      <c r="BT208" s="35" t="s">
        <v>312</v>
      </c>
      <c r="BU208" s="35">
        <v>2008</v>
      </c>
      <c r="BV208" s="35">
        <v>2015</v>
      </c>
      <c r="BW208" s="35" t="s">
        <v>596</v>
      </c>
      <c r="BX208" s="35" t="s">
        <v>95</v>
      </c>
      <c r="BY208" s="35" t="s">
        <v>592</v>
      </c>
      <c r="BZ208" s="35">
        <v>0</v>
      </c>
      <c r="CA208" s="35">
        <v>0</v>
      </c>
      <c r="CB208" s="35" t="s">
        <v>97</v>
      </c>
      <c r="CC208" s="35" t="s">
        <v>625</v>
      </c>
      <c r="CD208" s="35">
        <v>1</v>
      </c>
      <c r="CE208" s="35" t="s">
        <v>594</v>
      </c>
      <c r="CF208" s="35">
        <v>1</v>
      </c>
      <c r="CG208" s="35" t="s">
        <v>599</v>
      </c>
      <c r="CH208" s="35">
        <v>1</v>
      </c>
      <c r="CI208" s="35" t="s">
        <v>541</v>
      </c>
      <c r="CJ208" s="35" t="s">
        <v>98</v>
      </c>
      <c r="CK208" s="35">
        <v>62</v>
      </c>
      <c r="CL208" s="35">
        <v>0</v>
      </c>
      <c r="CM208" s="35">
        <v>0</v>
      </c>
      <c r="CN208" s="35" t="s">
        <v>124</v>
      </c>
      <c r="CO208" s="35" t="s">
        <v>97</v>
      </c>
      <c r="CP208" s="35" t="s">
        <v>100</v>
      </c>
      <c r="CQ208" s="35" t="s">
        <v>126</v>
      </c>
      <c r="CR208" s="36">
        <v>46220</v>
      </c>
      <c r="CT208" s="35" t="s">
        <v>651</v>
      </c>
    </row>
    <row r="209" spans="1:98" s="35" customFormat="1" x14ac:dyDescent="0.35">
      <c r="A209" s="34" t="s">
        <v>583</v>
      </c>
      <c r="B209" s="34" t="s">
        <v>657</v>
      </c>
      <c r="C209" s="35" t="s">
        <v>584</v>
      </c>
      <c r="D209" s="35">
        <v>2018</v>
      </c>
      <c r="E209" s="34" t="s">
        <v>585</v>
      </c>
      <c r="F209" s="34" t="s">
        <v>586</v>
      </c>
      <c r="G209" s="35" t="s">
        <v>78</v>
      </c>
      <c r="H209" s="35">
        <v>1</v>
      </c>
      <c r="I209" s="35" t="s">
        <v>390</v>
      </c>
      <c r="J209" s="35" t="s">
        <v>79</v>
      </c>
      <c r="K209" s="35">
        <v>366</v>
      </c>
      <c r="L209" s="35" t="s">
        <v>129</v>
      </c>
      <c r="M209" s="35" t="s">
        <v>380</v>
      </c>
      <c r="N209" s="35">
        <v>-4.0000000000000001E-3</v>
      </c>
      <c r="O209" s="35">
        <v>1E-3</v>
      </c>
      <c r="P209" s="89">
        <f t="shared" si="74"/>
        <v>-4</v>
      </c>
      <c r="Q209" s="35" t="s">
        <v>312</v>
      </c>
      <c r="R209" s="89">
        <f t="shared" si="75"/>
        <v>-5.96E-3</v>
      </c>
      <c r="S209" s="89">
        <f t="shared" si="76"/>
        <v>-2.0400000000000001E-3</v>
      </c>
      <c r="T209" s="35">
        <v>1</v>
      </c>
      <c r="U209" s="35">
        <v>624622</v>
      </c>
      <c r="V209" s="35" t="s">
        <v>312</v>
      </c>
      <c r="W209" s="35" t="s">
        <v>312</v>
      </c>
      <c r="X209" s="35">
        <f t="shared" si="77"/>
        <v>624622</v>
      </c>
      <c r="Y209" s="89">
        <f t="shared" si="78"/>
        <v>-5.0611101660679838E-3</v>
      </c>
      <c r="Z209" s="89">
        <f t="shared" si="79"/>
        <v>1.2652775415169959E-3</v>
      </c>
      <c r="AA209" s="89">
        <f t="shared" si="70"/>
        <v>-5.0611101660679838E-3</v>
      </c>
      <c r="AB209" s="35" t="s">
        <v>81</v>
      </c>
      <c r="AC209" s="89">
        <f t="shared" si="72"/>
        <v>-5.2720677146311972E-3</v>
      </c>
      <c r="AD209" s="89" cm="1">
        <f t="array" ref="AD209">_xlfn.IFS(
AND(L209="marginal_effect",M209="level"),N209*AN209/BF209,
AND(L209="marginal_effect",M209="sd (Y)"),N209*BH209*AN209/BF209,
AND(L209="marginal_effect",M209="sd (X)"),N209/AQ209*AN209/BF209,
AND(L209="semi_elasticity",M209="level"),N209*AN209,
AND(L209="semi_elasticity",M209="sd (Y)"),N209*AN209*BH209,
AND(L209="semi_elasticity",M209="sd (X)"),N209*AN209/AQ209,
AND(L209="level-log",M209="level"),N209/BF209,
AND(L209="level-log",M209="sd (X)"),N209/BF209/AQ209,
AND(L209="level-log",M209="sd (Y)"),N209/BF209*BH209,
AND(L209="elasticity",M209="level"),N209,
AND(L209="elasticity",M209="sd (X)"),N209/AQ209,
AND(L209="elasticity",M209="sd (Y)"),N209*BH209,
AND(L209="marginal_effect",M209="percent_of_mean"),N209*AN209/BF209/10)</f>
        <v>-5.2720677146311972E-3</v>
      </c>
      <c r="AE209" s="49">
        <f t="shared" si="80"/>
        <v>1</v>
      </c>
      <c r="AF209" s="89">
        <f t="shared" si="73"/>
        <v>1.3180169286577993E-3</v>
      </c>
      <c r="AG209" s="89" cm="1">
        <f t="array" ref="AG209">_xlfn.IFS(
AND(L209="marginal_effect",M209="level"),O209*AN209/BF209,
AND(L209="marginal_effect",M209="sd (Y)"),O209*BH209*AN209/BF209,
AND(L209="marginal_effect",M209="sd (X)"),O209/AQ209*AN209/BF209,
AND(L209="semi_elasticity",M209="level"),O209*AN209,
AND(L209="semi_elasticity",M209="sd (Y)"),O209*AN209*BH209,
AND(L209="semi_elasticity",M209="sd (X)"),O209*AN209/AQ209,
AND(L209="level-log",M209="level"),O209/BF209,
AND(L209="level-log",M209="sd (X)"),O209/BF209/AQ209,
AND(L209="level-log",M209="sd (Y)"),O209/BF209*BH209,
AND(L209="elasticity",M209="level"),O209,
AND(L209="elasticity",M209="sd (X)"),O209/AQ209,
AND(L209="elasticity",M209="sd (Y)"),O209*BH209,
AND(L209="marginal_effect",M209="percent_of_mean"),O209*AN209/BF209/10)</f>
        <v>1.3180169286577993E-3</v>
      </c>
      <c r="AH209" s="49">
        <f t="shared" si="81"/>
        <v>1</v>
      </c>
      <c r="AI209" s="89">
        <f t="shared" si="71"/>
        <v>-5.2720677146311972E-3</v>
      </c>
      <c r="AJ209" s="35">
        <v>0</v>
      </c>
      <c r="AK209" s="49">
        <f t="shared" si="82"/>
        <v>1</v>
      </c>
      <c r="AL209" s="35" t="s">
        <v>82</v>
      </c>
      <c r="AM209" s="35" t="s">
        <v>296</v>
      </c>
      <c r="AN209" s="35">
        <v>1.0900000000000001</v>
      </c>
      <c r="AO209" s="35">
        <v>0</v>
      </c>
      <c r="AP209" s="35">
        <f>AN209*10</f>
        <v>10.9</v>
      </c>
      <c r="AQ209" s="35">
        <v>0.57999999999999996</v>
      </c>
      <c r="AR209" s="35" t="s">
        <v>312</v>
      </c>
      <c r="AS209" s="35" t="s">
        <v>312</v>
      </c>
      <c r="AT209" s="35" t="s">
        <v>83</v>
      </c>
      <c r="AU209" s="35" t="s">
        <v>109</v>
      </c>
      <c r="AV209" s="35" t="s">
        <v>133</v>
      </c>
      <c r="AW209" s="35" t="s">
        <v>134</v>
      </c>
      <c r="AX209" s="35" t="s">
        <v>86</v>
      </c>
      <c r="AY209" s="35">
        <v>0</v>
      </c>
      <c r="AZ209" s="35">
        <v>0</v>
      </c>
      <c r="BA209" s="58" t="s">
        <v>111</v>
      </c>
      <c r="BB209" s="35" t="s">
        <v>88</v>
      </c>
      <c r="BC209" s="35" t="s">
        <v>587</v>
      </c>
      <c r="BD209" s="35" t="s">
        <v>114</v>
      </c>
      <c r="BE209" s="35" t="s">
        <v>595</v>
      </c>
      <c r="BF209" s="35">
        <v>0.82699999999999996</v>
      </c>
      <c r="BG209" s="35">
        <v>0</v>
      </c>
      <c r="BH209" s="35">
        <v>0.378</v>
      </c>
      <c r="BI209" s="35" t="s">
        <v>312</v>
      </c>
      <c r="BJ209" s="35" t="s">
        <v>312</v>
      </c>
      <c r="BK209" s="35" t="s">
        <v>91</v>
      </c>
      <c r="BL209" s="35" t="s">
        <v>84</v>
      </c>
      <c r="BM209" s="35">
        <v>1</v>
      </c>
      <c r="BN209" s="35" t="s">
        <v>539</v>
      </c>
      <c r="BO209" s="35" t="s">
        <v>589</v>
      </c>
      <c r="BP209" s="35" t="s">
        <v>588</v>
      </c>
      <c r="BQ209" s="35" t="s">
        <v>92</v>
      </c>
      <c r="BR209" s="35" t="s">
        <v>312</v>
      </c>
      <c r="BS209" s="35" t="s">
        <v>312</v>
      </c>
      <c r="BT209" s="35" t="s">
        <v>312</v>
      </c>
      <c r="BU209" s="35">
        <v>2008</v>
      </c>
      <c r="BV209" s="35">
        <v>2015</v>
      </c>
      <c r="BW209" s="35" t="s">
        <v>596</v>
      </c>
      <c r="BX209" s="35" t="s">
        <v>95</v>
      </c>
      <c r="BY209" s="35" t="s">
        <v>653</v>
      </c>
      <c r="BZ209" s="35">
        <v>0</v>
      </c>
      <c r="CA209" s="35">
        <v>0</v>
      </c>
      <c r="CB209" s="35" t="s">
        <v>97</v>
      </c>
      <c r="CC209" s="35" t="s">
        <v>625</v>
      </c>
      <c r="CD209" s="35">
        <v>1</v>
      </c>
      <c r="CE209" s="35" t="s">
        <v>594</v>
      </c>
      <c r="CF209" s="35">
        <v>1</v>
      </c>
      <c r="CG209" s="35" t="s">
        <v>597</v>
      </c>
      <c r="CH209" s="35">
        <v>1</v>
      </c>
      <c r="CI209" s="35" t="s">
        <v>541</v>
      </c>
      <c r="CJ209" s="35" t="s">
        <v>98</v>
      </c>
      <c r="CK209" s="35">
        <v>62</v>
      </c>
      <c r="CL209" s="35">
        <v>0</v>
      </c>
      <c r="CM209" s="35">
        <v>0</v>
      </c>
      <c r="CN209" s="35" t="s">
        <v>124</v>
      </c>
      <c r="CO209" s="35" t="s">
        <v>97</v>
      </c>
      <c r="CP209" s="35" t="s">
        <v>100</v>
      </c>
      <c r="CQ209" s="35" t="s">
        <v>126</v>
      </c>
      <c r="CR209" s="36">
        <v>46220</v>
      </c>
      <c r="CT209" s="35" t="s">
        <v>660</v>
      </c>
    </row>
    <row r="210" spans="1:98" s="35" customFormat="1" x14ac:dyDescent="0.35">
      <c r="A210" s="34" t="s">
        <v>583</v>
      </c>
      <c r="B210" s="34" t="s">
        <v>658</v>
      </c>
      <c r="C210" s="35" t="s">
        <v>584</v>
      </c>
      <c r="D210" s="35">
        <v>2018</v>
      </c>
      <c r="E210" s="34" t="s">
        <v>585</v>
      </c>
      <c r="F210" s="34" t="s">
        <v>586</v>
      </c>
      <c r="G210" s="35" t="s">
        <v>78</v>
      </c>
      <c r="H210" s="35">
        <v>1</v>
      </c>
      <c r="I210" s="35" t="s">
        <v>390</v>
      </c>
      <c r="J210" s="35" t="s">
        <v>79</v>
      </c>
      <c r="K210" s="35">
        <v>366</v>
      </c>
      <c r="L210" s="35" t="s">
        <v>129</v>
      </c>
      <c r="M210" s="35" t="s">
        <v>380</v>
      </c>
      <c r="N210" s="35">
        <v>-0.02</v>
      </c>
      <c r="O210" s="35">
        <v>8.0000000000000002E-3</v>
      </c>
      <c r="P210" s="89">
        <f t="shared" si="74"/>
        <v>-2.5</v>
      </c>
      <c r="Q210" s="35" t="s">
        <v>312</v>
      </c>
      <c r="R210" s="89">
        <f t="shared" si="75"/>
        <v>-3.5680000000000003E-2</v>
      </c>
      <c r="S210" s="89">
        <f t="shared" si="76"/>
        <v>-4.3200000000000009E-3</v>
      </c>
      <c r="T210" s="35">
        <v>1</v>
      </c>
      <c r="U210" s="35">
        <v>624622</v>
      </c>
      <c r="V210" s="35" t="s">
        <v>312</v>
      </c>
      <c r="W210" s="35" t="s">
        <v>312</v>
      </c>
      <c r="X210" s="35">
        <f t="shared" si="77"/>
        <v>624622</v>
      </c>
      <c r="Y210" s="89">
        <f t="shared" si="78"/>
        <v>-3.1632185412923935E-3</v>
      </c>
      <c r="Z210" s="89">
        <f t="shared" si="79"/>
        <v>1.2652874165169573E-3</v>
      </c>
      <c r="AA210" s="89">
        <f t="shared" si="70"/>
        <v>-3.1632185412923935E-3</v>
      </c>
      <c r="AB210" s="35" t="s">
        <v>81</v>
      </c>
      <c r="AC210" s="89">
        <f t="shared" si="72"/>
        <v>-7.1342200725513904E-3</v>
      </c>
      <c r="AD210" s="89" cm="1">
        <f t="array" ref="AD210">_xlfn.IFS(
AND(L210="marginal_effect",M210="level"),N210*AN210/BF210,
AND(L210="marginal_effect",M210="sd (Y)"),N210*BH210*AN210/BF210,
AND(L210="marginal_effect",M210="sd (X)"),N210/AQ210*AN210/BF210,
AND(L210="semi_elasticity",M210="level"),N210*AN210,
AND(L210="semi_elasticity",M210="sd (Y)"),N210*AN210*BH210,
AND(L210="semi_elasticity",M210="sd (X)"),N210*AN210/AQ210,
AND(L210="level-log",M210="level"),N210/BF210,
AND(L210="level-log",M210="sd (X)"),N210/BF210/AQ210,
AND(L210="level-log",M210="sd (Y)"),N210/BF210*BH210,
AND(L210="elasticity",M210="level"),N210,
AND(L210="elasticity",M210="sd (X)"),N210/AQ210,
AND(L210="elasticity",M210="sd (Y)"),N210*BH210,
AND(L210="marginal_effect",M210="percent_of_mean"),N210*AN210/BF210/10)</f>
        <v>-7.1342200725513904E-3</v>
      </c>
      <c r="AE210" s="49">
        <f t="shared" si="80"/>
        <v>1</v>
      </c>
      <c r="AF210" s="89">
        <f t="shared" si="73"/>
        <v>2.8536880290205564E-3</v>
      </c>
      <c r="AG210" s="89" cm="1">
        <f t="array" ref="AG210">_xlfn.IFS(
AND(L210="marginal_effect",M210="level"),O210*AN210/BF210,
AND(L210="marginal_effect",M210="sd (Y)"),O210*BH210*AN210/BF210,
AND(L210="marginal_effect",M210="sd (X)"),O210/AQ210*AN210/BF210,
AND(L210="semi_elasticity",M210="level"),O210*AN210,
AND(L210="semi_elasticity",M210="sd (Y)"),O210*AN210*BH210,
AND(L210="semi_elasticity",M210="sd (X)"),O210*AN210/AQ210,
AND(L210="level-log",M210="level"),O210/BF210,
AND(L210="level-log",M210="sd (X)"),O210/BF210/AQ210,
AND(L210="level-log",M210="sd (Y)"),O210/BF210*BH210,
AND(L210="elasticity",M210="level"),O210,
AND(L210="elasticity",M210="sd (X)"),O210/AQ210,
AND(L210="elasticity",M210="sd (Y)"),O210*BH210,
AND(L210="marginal_effect",M210="percent_of_mean"),O210*AN210/BF210/10)</f>
        <v>2.8536880290205564E-3</v>
      </c>
      <c r="AH210" s="49">
        <f t="shared" si="81"/>
        <v>1</v>
      </c>
      <c r="AI210" s="89">
        <f t="shared" si="71"/>
        <v>-7.1342200725513904E-3</v>
      </c>
      <c r="AJ210" s="35">
        <v>0</v>
      </c>
      <c r="AK210" s="49">
        <f t="shared" si="82"/>
        <v>1</v>
      </c>
      <c r="AL210" s="35" t="s">
        <v>162</v>
      </c>
      <c r="AM210" s="35" t="s">
        <v>590</v>
      </c>
      <c r="AN210" s="35">
        <v>0.29499999999999998</v>
      </c>
      <c r="AO210" s="35">
        <v>0</v>
      </c>
      <c r="AP210" s="35">
        <f>AN210</f>
        <v>0.29499999999999998</v>
      </c>
      <c r="AQ210" s="35">
        <v>0.13900000000000001</v>
      </c>
      <c r="AR210" s="35" t="s">
        <v>312</v>
      </c>
      <c r="AS210" s="35" t="s">
        <v>312</v>
      </c>
      <c r="AT210" s="35" t="s">
        <v>83</v>
      </c>
      <c r="AU210" s="35" t="s">
        <v>109</v>
      </c>
      <c r="AV210" s="35" t="s">
        <v>133</v>
      </c>
      <c r="AW210" s="35" t="s">
        <v>134</v>
      </c>
      <c r="AX210" s="35" t="s">
        <v>86</v>
      </c>
      <c r="AY210" s="35">
        <v>0</v>
      </c>
      <c r="AZ210" s="35">
        <v>0</v>
      </c>
      <c r="BA210" s="58" t="s">
        <v>111</v>
      </c>
      <c r="BB210" s="35" t="s">
        <v>88</v>
      </c>
      <c r="BC210" s="35" t="s">
        <v>587</v>
      </c>
      <c r="BD210" s="35" t="s">
        <v>114</v>
      </c>
      <c r="BE210" s="35" t="s">
        <v>595</v>
      </c>
      <c r="BF210" s="35">
        <v>0.82699999999999996</v>
      </c>
      <c r="BG210" s="35">
        <v>0</v>
      </c>
      <c r="BH210" s="35">
        <v>0.378</v>
      </c>
      <c r="BI210" s="35" t="s">
        <v>312</v>
      </c>
      <c r="BJ210" s="35" t="s">
        <v>312</v>
      </c>
      <c r="BK210" s="35" t="s">
        <v>91</v>
      </c>
      <c r="BL210" s="35" t="s">
        <v>84</v>
      </c>
      <c r="BM210" s="35">
        <v>1</v>
      </c>
      <c r="BN210" s="35" t="s">
        <v>539</v>
      </c>
      <c r="BO210" s="35" t="s">
        <v>589</v>
      </c>
      <c r="BP210" s="35" t="s">
        <v>588</v>
      </c>
      <c r="BQ210" s="35" t="s">
        <v>92</v>
      </c>
      <c r="BR210" s="35" t="s">
        <v>312</v>
      </c>
      <c r="BS210" s="35" t="s">
        <v>312</v>
      </c>
      <c r="BT210" s="35" t="s">
        <v>312</v>
      </c>
      <c r="BU210" s="35">
        <v>2008</v>
      </c>
      <c r="BV210" s="35">
        <v>2015</v>
      </c>
      <c r="BW210" s="35" t="s">
        <v>596</v>
      </c>
      <c r="BX210" s="35" t="s">
        <v>95</v>
      </c>
      <c r="BY210" s="35" t="s">
        <v>653</v>
      </c>
      <c r="BZ210" s="35">
        <v>0</v>
      </c>
      <c r="CA210" s="35">
        <v>0</v>
      </c>
      <c r="CB210" s="35" t="s">
        <v>97</v>
      </c>
      <c r="CC210" s="35" t="s">
        <v>625</v>
      </c>
      <c r="CD210" s="35">
        <v>1</v>
      </c>
      <c r="CE210" s="35" t="s">
        <v>594</v>
      </c>
      <c r="CF210" s="35">
        <v>1</v>
      </c>
      <c r="CG210" s="35" t="s">
        <v>598</v>
      </c>
      <c r="CH210" s="35">
        <v>1</v>
      </c>
      <c r="CI210" s="35" t="s">
        <v>541</v>
      </c>
      <c r="CJ210" s="35" t="s">
        <v>98</v>
      </c>
      <c r="CK210" s="35">
        <v>62</v>
      </c>
      <c r="CL210" s="35">
        <v>0</v>
      </c>
      <c r="CM210" s="35">
        <v>0</v>
      </c>
      <c r="CN210" s="35" t="s">
        <v>124</v>
      </c>
      <c r="CO210" s="35" t="s">
        <v>97</v>
      </c>
      <c r="CP210" s="35" t="s">
        <v>100</v>
      </c>
      <c r="CQ210" s="35" t="s">
        <v>600</v>
      </c>
      <c r="CR210" s="36">
        <v>46220</v>
      </c>
      <c r="CT210" s="35" t="s">
        <v>660</v>
      </c>
    </row>
    <row r="211" spans="1:98" s="35" customFormat="1" x14ac:dyDescent="0.35">
      <c r="A211" s="34" t="s">
        <v>583</v>
      </c>
      <c r="B211" s="34" t="s">
        <v>659</v>
      </c>
      <c r="C211" s="35" t="s">
        <v>584</v>
      </c>
      <c r="D211" s="35">
        <v>2018</v>
      </c>
      <c r="E211" s="34" t="s">
        <v>585</v>
      </c>
      <c r="F211" s="34" t="s">
        <v>586</v>
      </c>
      <c r="G211" s="35" t="s">
        <v>78</v>
      </c>
      <c r="H211" s="35">
        <v>1</v>
      </c>
      <c r="I211" s="35" t="s">
        <v>390</v>
      </c>
      <c r="J211" s="35" t="s">
        <v>79</v>
      </c>
      <c r="K211" s="35">
        <v>366</v>
      </c>
      <c r="L211" s="35" t="s">
        <v>129</v>
      </c>
      <c r="M211" s="35" t="s">
        <v>380</v>
      </c>
      <c r="N211" s="35">
        <v>2.8000000000000001E-2</v>
      </c>
      <c r="O211" s="35">
        <v>4.7E-2</v>
      </c>
      <c r="P211" s="89">
        <f t="shared" si="74"/>
        <v>0.5957446808510638</v>
      </c>
      <c r="Q211" s="35" t="s">
        <v>312</v>
      </c>
      <c r="R211" s="89">
        <f t="shared" si="75"/>
        <v>-6.4119999999999996E-2</v>
      </c>
      <c r="S211" s="89">
        <f t="shared" si="76"/>
        <v>0.12011999999999999</v>
      </c>
      <c r="T211" s="35">
        <v>1</v>
      </c>
      <c r="U211" s="35">
        <v>624622</v>
      </c>
      <c r="V211" s="35" t="s">
        <v>312</v>
      </c>
      <c r="W211" s="35" t="s">
        <v>312</v>
      </c>
      <c r="X211" s="35">
        <f t="shared" si="77"/>
        <v>624622</v>
      </c>
      <c r="Y211" s="89">
        <f t="shared" si="78"/>
        <v>7.5379180519727471E-4</v>
      </c>
      <c r="Z211" s="89">
        <f t="shared" si="79"/>
        <v>1.2652933872954256E-3</v>
      </c>
      <c r="AA211" s="89">
        <f t="shared" si="70"/>
        <v>7.5379180519727471E-4</v>
      </c>
      <c r="AB211" s="35" t="s">
        <v>81</v>
      </c>
      <c r="AC211" s="89">
        <f t="shared" si="72"/>
        <v>1.1511487303506652E-3</v>
      </c>
      <c r="AD211" s="89" cm="1">
        <f t="array" ref="AD211">_xlfn.IFS(
AND(L211="marginal_effect",M211="level"),N211*AN211/BF211,
AND(L211="marginal_effect",M211="sd (Y)"),N211*BH211*AN211/BF211,
AND(L211="marginal_effect",M211="sd (X)"),N211/AQ211*AN211/BF211,
AND(L211="semi_elasticity",M211="level"),N211*AN211,
AND(L211="semi_elasticity",M211="sd (Y)"),N211*AN211*BH211,
AND(L211="semi_elasticity",M211="sd (X)"),N211*AN211/AQ211,
AND(L211="level-log",M211="level"),N211/BF211,
AND(L211="level-log",M211="sd (X)"),N211/BF211/AQ211,
AND(L211="level-log",M211="sd (Y)"),N211/BF211*BH211,
AND(L211="elasticity",M211="level"),N211,
AND(L211="elasticity",M211="sd (X)"),N211/AQ211,
AND(L211="elasticity",M211="sd (Y)"),N211*BH211,
AND(L211="marginal_effect",M211="percent_of_mean"),N211*AN211/BF211/10)</f>
        <v>1.1511487303506652E-3</v>
      </c>
      <c r="AE211" s="49">
        <f t="shared" si="80"/>
        <v>1</v>
      </c>
      <c r="AF211" s="89">
        <f t="shared" si="73"/>
        <v>1.9322853688029022E-3</v>
      </c>
      <c r="AG211" s="89" cm="1">
        <f t="array" ref="AG211">_xlfn.IFS(
AND(L211="marginal_effect",M211="level"),O211*AN211/BF211,
AND(L211="marginal_effect",M211="sd (Y)"),O211*BH211*AN211/BF211,
AND(L211="marginal_effect",M211="sd (X)"),O211/AQ211*AN211/BF211,
AND(L211="semi_elasticity",M211="level"),O211*AN211,
AND(L211="semi_elasticity",M211="sd (Y)"),O211*AN211*BH211,
AND(L211="semi_elasticity",M211="sd (X)"),O211*AN211/AQ211,
AND(L211="level-log",M211="level"),O211/BF211,
AND(L211="level-log",M211="sd (X)"),O211/BF211/AQ211,
AND(L211="level-log",M211="sd (Y)"),O211/BF211*BH211,
AND(L211="elasticity",M211="level"),O211,
AND(L211="elasticity",M211="sd (X)"),O211/AQ211,
AND(L211="elasticity",M211="sd (Y)"),O211*BH211,
AND(L211="marginal_effect",M211="percent_of_mean"),O211*AN211/BF211/10)</f>
        <v>1.9322853688029022E-3</v>
      </c>
      <c r="AH211" s="49">
        <f t="shared" si="81"/>
        <v>1</v>
      </c>
      <c r="AI211" s="89">
        <f t="shared" si="71"/>
        <v>1.1511487303506652E-3</v>
      </c>
      <c r="AJ211" s="35">
        <v>0</v>
      </c>
      <c r="AK211" s="49">
        <f t="shared" si="82"/>
        <v>1</v>
      </c>
      <c r="AL211" s="35" t="s">
        <v>148</v>
      </c>
      <c r="AM211" s="35" t="s">
        <v>590</v>
      </c>
      <c r="AN211" s="35">
        <f>0.034</f>
        <v>3.4000000000000002E-2</v>
      </c>
      <c r="AO211" s="35">
        <v>0</v>
      </c>
      <c r="AP211" s="35">
        <f>AN211</f>
        <v>3.4000000000000002E-2</v>
      </c>
      <c r="AQ211" s="35">
        <v>1.4999999999999999E-2</v>
      </c>
      <c r="AR211" s="35" t="s">
        <v>312</v>
      </c>
      <c r="AS211" s="35" t="s">
        <v>312</v>
      </c>
      <c r="AT211" s="35" t="s">
        <v>83</v>
      </c>
      <c r="AU211" s="35" t="s">
        <v>109</v>
      </c>
      <c r="AV211" s="35" t="s">
        <v>133</v>
      </c>
      <c r="AW211" s="35" t="s">
        <v>134</v>
      </c>
      <c r="AX211" s="35" t="s">
        <v>86</v>
      </c>
      <c r="AY211" s="35">
        <v>0</v>
      </c>
      <c r="AZ211" s="35">
        <v>0</v>
      </c>
      <c r="BA211" s="58" t="s">
        <v>111</v>
      </c>
      <c r="BB211" s="35" t="s">
        <v>88</v>
      </c>
      <c r="BC211" s="35" t="s">
        <v>587</v>
      </c>
      <c r="BD211" s="35" t="s">
        <v>114</v>
      </c>
      <c r="BE211" s="35" t="s">
        <v>595</v>
      </c>
      <c r="BF211" s="35">
        <v>0.82699999999999996</v>
      </c>
      <c r="BG211" s="35">
        <v>0</v>
      </c>
      <c r="BH211" s="35">
        <v>0.378</v>
      </c>
      <c r="BI211" s="35" t="s">
        <v>312</v>
      </c>
      <c r="BJ211" s="35" t="s">
        <v>312</v>
      </c>
      <c r="BK211" s="35" t="s">
        <v>91</v>
      </c>
      <c r="BL211" s="35" t="s">
        <v>84</v>
      </c>
      <c r="BM211" s="35">
        <v>1</v>
      </c>
      <c r="BN211" s="35" t="s">
        <v>539</v>
      </c>
      <c r="BO211" s="35" t="s">
        <v>589</v>
      </c>
      <c r="BP211" s="35" t="s">
        <v>588</v>
      </c>
      <c r="BQ211" s="35" t="s">
        <v>92</v>
      </c>
      <c r="BR211" s="35" t="s">
        <v>312</v>
      </c>
      <c r="BS211" s="35" t="s">
        <v>312</v>
      </c>
      <c r="BT211" s="35" t="s">
        <v>312</v>
      </c>
      <c r="BU211" s="35">
        <v>2008</v>
      </c>
      <c r="BV211" s="35">
        <v>2015</v>
      </c>
      <c r="BW211" s="35" t="s">
        <v>596</v>
      </c>
      <c r="BX211" s="35" t="s">
        <v>95</v>
      </c>
      <c r="BY211" s="35" t="s">
        <v>653</v>
      </c>
      <c r="BZ211" s="35">
        <v>0</v>
      </c>
      <c r="CA211" s="35">
        <v>0</v>
      </c>
      <c r="CB211" s="35" t="s">
        <v>97</v>
      </c>
      <c r="CC211" s="35" t="s">
        <v>625</v>
      </c>
      <c r="CD211" s="35">
        <v>1</v>
      </c>
      <c r="CE211" s="35" t="s">
        <v>594</v>
      </c>
      <c r="CF211" s="35">
        <v>1</v>
      </c>
      <c r="CG211" s="35" t="s">
        <v>599</v>
      </c>
      <c r="CH211" s="35">
        <v>1</v>
      </c>
      <c r="CI211" s="35" t="s">
        <v>541</v>
      </c>
      <c r="CJ211" s="35" t="s">
        <v>98</v>
      </c>
      <c r="CK211" s="35">
        <v>62</v>
      </c>
      <c r="CL211" s="35">
        <v>0</v>
      </c>
      <c r="CM211" s="35">
        <v>0</v>
      </c>
      <c r="CN211" s="35" t="s">
        <v>124</v>
      </c>
      <c r="CO211" s="35" t="s">
        <v>97</v>
      </c>
      <c r="CP211" s="35" t="s">
        <v>100</v>
      </c>
      <c r="CQ211" s="35" t="s">
        <v>126</v>
      </c>
      <c r="CR211" s="36">
        <v>46220</v>
      </c>
      <c r="CT211" s="35" t="s">
        <v>660</v>
      </c>
    </row>
    <row r="212" spans="1:98" s="35" customFormat="1" x14ac:dyDescent="0.35">
      <c r="A212" s="34" t="s">
        <v>583</v>
      </c>
      <c r="B212" s="34" t="s">
        <v>656</v>
      </c>
      <c r="C212" s="35" t="s">
        <v>584</v>
      </c>
      <c r="D212" s="35">
        <v>2018</v>
      </c>
      <c r="E212" s="34" t="s">
        <v>585</v>
      </c>
      <c r="F212" s="34" t="s">
        <v>586</v>
      </c>
      <c r="G212" s="35" t="s">
        <v>78</v>
      </c>
      <c r="H212" s="35">
        <v>1</v>
      </c>
      <c r="I212" s="35" t="s">
        <v>390</v>
      </c>
      <c r="J212" s="35" t="s">
        <v>79</v>
      </c>
      <c r="K212" s="35">
        <v>366</v>
      </c>
      <c r="L212" s="35" t="s">
        <v>129</v>
      </c>
      <c r="M212" s="35" t="s">
        <v>380</v>
      </c>
      <c r="N212" s="35">
        <v>-4.0000000000000001E-3</v>
      </c>
      <c r="O212" s="35">
        <v>1E-3</v>
      </c>
      <c r="P212" s="89">
        <f t="shared" si="74"/>
        <v>-4</v>
      </c>
      <c r="Q212" s="35" t="s">
        <v>312</v>
      </c>
      <c r="R212" s="89">
        <f t="shared" si="75"/>
        <v>-5.96E-3</v>
      </c>
      <c r="S212" s="89">
        <f t="shared" si="76"/>
        <v>-2.0400000000000001E-3</v>
      </c>
      <c r="T212" s="35">
        <v>1</v>
      </c>
      <c r="U212" s="35">
        <v>624622</v>
      </c>
      <c r="V212" s="35" t="s">
        <v>312</v>
      </c>
      <c r="W212" s="35" t="s">
        <v>312</v>
      </c>
      <c r="X212" s="35">
        <f t="shared" si="77"/>
        <v>624622</v>
      </c>
      <c r="Y212" s="89">
        <f t="shared" si="78"/>
        <v>-5.0611101660679838E-3</v>
      </c>
      <c r="Z212" s="89">
        <f t="shared" si="79"/>
        <v>1.2652775415169959E-3</v>
      </c>
      <c r="AA212" s="89">
        <f t="shared" si="70"/>
        <v>-5.0611101660679838E-3</v>
      </c>
      <c r="AB212" s="35" t="s">
        <v>81</v>
      </c>
      <c r="AC212" s="89">
        <f t="shared" si="72"/>
        <v>-5.2720677146311972E-3</v>
      </c>
      <c r="AD212" s="89" cm="1">
        <f t="array" ref="AD212">_xlfn.IFS(
AND(L212="marginal_effect",M212="level"),N212*AN212/BF212,
AND(L212="marginal_effect",M212="sd (Y)"),N212*BH212*AN212/BF212,
AND(L212="marginal_effect",M212="sd (X)"),N212/AQ212*AN212/BF212,
AND(L212="semi_elasticity",M212="level"),N212*AN212,
AND(L212="semi_elasticity",M212="sd (Y)"),N212*AN212*BH212,
AND(L212="semi_elasticity",M212="sd (X)"),N212*AN212/AQ212,
AND(L212="level-log",M212="level"),N212/BF212,
AND(L212="level-log",M212="sd (X)"),N212/BF212/AQ212,
AND(L212="level-log",M212="sd (Y)"),N212/BF212*BH212,
AND(L212="elasticity",M212="level"),N212,
AND(L212="elasticity",M212="sd (X)"),N212/AQ212,
AND(L212="elasticity",M212="sd (Y)"),N212*BH212,
AND(L212="marginal_effect",M212="percent_of_mean"),N212*AN212/BF212/10)</f>
        <v>-5.2720677146311972E-3</v>
      </c>
      <c r="AE212" s="49">
        <f t="shared" si="80"/>
        <v>1</v>
      </c>
      <c r="AF212" s="89">
        <f t="shared" si="73"/>
        <v>1.3180169286577993E-3</v>
      </c>
      <c r="AG212" s="89" cm="1">
        <f t="array" ref="AG212">_xlfn.IFS(
AND(L212="marginal_effect",M212="level"),O212*AN212/BF212,
AND(L212="marginal_effect",M212="sd (Y)"),O212*BH212*AN212/BF212,
AND(L212="marginal_effect",M212="sd (X)"),O212/AQ212*AN212/BF212,
AND(L212="semi_elasticity",M212="level"),O212*AN212,
AND(L212="semi_elasticity",M212="sd (Y)"),O212*AN212*BH212,
AND(L212="semi_elasticity",M212="sd (X)"),O212*AN212/AQ212,
AND(L212="level-log",M212="level"),O212/BF212,
AND(L212="level-log",M212="sd (X)"),O212/BF212/AQ212,
AND(L212="level-log",M212="sd (Y)"),O212/BF212*BH212,
AND(L212="elasticity",M212="level"),O212,
AND(L212="elasticity",M212="sd (X)"),O212/AQ212,
AND(L212="elasticity",M212="sd (Y)"),O212*BH212,
AND(L212="marginal_effect",M212="percent_of_mean"),O212*AN212/BF212/10)</f>
        <v>1.3180169286577993E-3</v>
      </c>
      <c r="AH212" s="49">
        <f t="shared" si="81"/>
        <v>1</v>
      </c>
      <c r="AI212" s="89">
        <f t="shared" si="71"/>
        <v>-5.2720677146311972E-3</v>
      </c>
      <c r="AJ212" s="35">
        <v>0</v>
      </c>
      <c r="AK212" s="49">
        <f t="shared" si="82"/>
        <v>1</v>
      </c>
      <c r="AL212" s="35" t="s">
        <v>82</v>
      </c>
      <c r="AM212" s="35" t="s">
        <v>296</v>
      </c>
      <c r="AN212" s="35">
        <v>1.0900000000000001</v>
      </c>
      <c r="AO212" s="35">
        <v>0</v>
      </c>
      <c r="AP212" s="35">
        <f>AN212*10</f>
        <v>10.9</v>
      </c>
      <c r="AQ212" s="35">
        <v>0.57999999999999996</v>
      </c>
      <c r="AR212" s="35" t="s">
        <v>312</v>
      </c>
      <c r="AS212" s="35" t="s">
        <v>312</v>
      </c>
      <c r="AT212" s="35" t="s">
        <v>83</v>
      </c>
      <c r="AU212" s="35" t="s">
        <v>109</v>
      </c>
      <c r="AV212" s="35" t="s">
        <v>133</v>
      </c>
      <c r="AW212" s="35" t="s">
        <v>134</v>
      </c>
      <c r="AX212" s="35" t="s">
        <v>86</v>
      </c>
      <c r="AY212" s="35">
        <v>0</v>
      </c>
      <c r="AZ212" s="35">
        <v>0</v>
      </c>
      <c r="BA212" s="58" t="s">
        <v>111</v>
      </c>
      <c r="BB212" s="35" t="s">
        <v>88</v>
      </c>
      <c r="BC212" s="35" t="s">
        <v>587</v>
      </c>
      <c r="BD212" s="35" t="s">
        <v>114</v>
      </c>
      <c r="BE212" s="35" t="s">
        <v>595</v>
      </c>
      <c r="BF212" s="35">
        <v>0.82699999999999996</v>
      </c>
      <c r="BG212" s="35">
        <v>0</v>
      </c>
      <c r="BH212" s="35">
        <v>0.378</v>
      </c>
      <c r="BI212" s="35" t="s">
        <v>312</v>
      </c>
      <c r="BJ212" s="35" t="s">
        <v>312</v>
      </c>
      <c r="BK212" s="35" t="s">
        <v>91</v>
      </c>
      <c r="BL212" s="35" t="s">
        <v>84</v>
      </c>
      <c r="BM212" s="35">
        <v>1</v>
      </c>
      <c r="BN212" s="35" t="s">
        <v>539</v>
      </c>
      <c r="BO212" s="35" t="s">
        <v>589</v>
      </c>
      <c r="BP212" s="35" t="s">
        <v>588</v>
      </c>
      <c r="BQ212" s="35" t="s">
        <v>92</v>
      </c>
      <c r="BR212" s="35" t="s">
        <v>312</v>
      </c>
      <c r="BS212" s="35" t="s">
        <v>312</v>
      </c>
      <c r="BT212" s="35" t="s">
        <v>312</v>
      </c>
      <c r="BU212" s="35">
        <v>2008</v>
      </c>
      <c r="BV212" s="35">
        <v>2015</v>
      </c>
      <c r="BW212" s="35" t="s">
        <v>596</v>
      </c>
      <c r="BX212" s="35" t="s">
        <v>95</v>
      </c>
      <c r="BY212" s="35" t="s">
        <v>652</v>
      </c>
      <c r="BZ212" s="35">
        <v>0</v>
      </c>
      <c r="CA212" s="35">
        <v>0</v>
      </c>
      <c r="CB212" s="35" t="s">
        <v>97</v>
      </c>
      <c r="CC212" s="35" t="s">
        <v>625</v>
      </c>
      <c r="CD212" s="35">
        <v>1</v>
      </c>
      <c r="CE212" s="35" t="s">
        <v>594</v>
      </c>
      <c r="CF212" s="35">
        <v>1</v>
      </c>
      <c r="CG212" s="35" t="s">
        <v>597</v>
      </c>
      <c r="CH212" s="35">
        <v>1</v>
      </c>
      <c r="CI212" s="35" t="s">
        <v>541</v>
      </c>
      <c r="CJ212" s="35" t="s">
        <v>98</v>
      </c>
      <c r="CK212" s="35">
        <v>62</v>
      </c>
      <c r="CL212" s="35">
        <v>0</v>
      </c>
      <c r="CM212" s="35">
        <v>0</v>
      </c>
      <c r="CN212" s="35" t="s">
        <v>124</v>
      </c>
      <c r="CO212" s="35" t="s">
        <v>97</v>
      </c>
      <c r="CP212" s="35" t="s">
        <v>100</v>
      </c>
      <c r="CQ212" s="35" t="s">
        <v>126</v>
      </c>
      <c r="CR212" s="36">
        <v>46220</v>
      </c>
      <c r="CT212" s="35" t="s">
        <v>661</v>
      </c>
    </row>
    <row r="213" spans="1:98" s="35" customFormat="1" x14ac:dyDescent="0.35">
      <c r="A213" s="34" t="s">
        <v>583</v>
      </c>
      <c r="B213" s="34" t="s">
        <v>655</v>
      </c>
      <c r="C213" s="35" t="s">
        <v>584</v>
      </c>
      <c r="D213" s="35">
        <v>2018</v>
      </c>
      <c r="E213" s="34" t="s">
        <v>585</v>
      </c>
      <c r="F213" s="34" t="s">
        <v>586</v>
      </c>
      <c r="G213" s="35" t="s">
        <v>78</v>
      </c>
      <c r="H213" s="35">
        <v>1</v>
      </c>
      <c r="I213" s="35" t="s">
        <v>390</v>
      </c>
      <c r="J213" s="35" t="s">
        <v>79</v>
      </c>
      <c r="K213" s="35">
        <v>366</v>
      </c>
      <c r="L213" s="35" t="s">
        <v>129</v>
      </c>
      <c r="M213" s="35" t="s">
        <v>380</v>
      </c>
      <c r="N213" s="35">
        <v>-1.9E-2</v>
      </c>
      <c r="O213" s="35">
        <v>7.0000000000000001E-3</v>
      </c>
      <c r="P213" s="89">
        <f t="shared" si="74"/>
        <v>-2.714285714285714</v>
      </c>
      <c r="Q213" s="35" t="s">
        <v>312</v>
      </c>
      <c r="R213" s="89">
        <f t="shared" si="75"/>
        <v>-3.2719999999999999E-2</v>
      </c>
      <c r="S213" s="89">
        <f t="shared" si="76"/>
        <v>-5.28E-3</v>
      </c>
      <c r="T213" s="35">
        <v>1</v>
      </c>
      <c r="U213" s="35">
        <v>624622</v>
      </c>
      <c r="V213" s="35" t="s">
        <v>312</v>
      </c>
      <c r="W213" s="35" t="s">
        <v>312</v>
      </c>
      <c r="X213" s="35">
        <f t="shared" si="77"/>
        <v>624622</v>
      </c>
      <c r="Y213" s="89">
        <f t="shared" si="78"/>
        <v>-3.4343484874047583E-3</v>
      </c>
      <c r="Z213" s="89">
        <f t="shared" si="79"/>
        <v>1.2652862848333321E-3</v>
      </c>
      <c r="AA213" s="89">
        <f t="shared" ref="AA213:AA245" si="83">Y213</f>
        <v>-3.4343484874047583E-3</v>
      </c>
      <c r="AB213" s="35" t="s">
        <v>81</v>
      </c>
      <c r="AC213" s="89">
        <f t="shared" si="72"/>
        <v>-6.7775090689238208E-3</v>
      </c>
      <c r="AD213" s="89" cm="1">
        <f t="array" ref="AD213">_xlfn.IFS(
AND(L213="marginal_effect",M213="level"),N213*AN213/BF213,
AND(L213="marginal_effect",M213="sd (Y)"),N213*BH213*AN213/BF213,
AND(L213="marginal_effect",M213="sd (X)"),N213/AQ213*AN213/BF213,
AND(L213="semi_elasticity",M213="level"),N213*AN213,
AND(L213="semi_elasticity",M213="sd (Y)"),N213*AN213*BH213,
AND(L213="semi_elasticity",M213="sd (X)"),N213*AN213/AQ213,
AND(L213="level-log",M213="level"),N213/BF213,
AND(L213="level-log",M213="sd (X)"),N213/BF213/AQ213,
AND(L213="level-log",M213="sd (Y)"),N213/BF213*BH213,
AND(L213="elasticity",M213="level"),N213,
AND(L213="elasticity",M213="sd (X)"),N213/AQ213,
AND(L213="elasticity",M213="sd (Y)"),N213*BH213,
AND(L213="marginal_effect",M213="percent_of_mean"),N213*AN213/BF213/10)</f>
        <v>-6.7775090689238208E-3</v>
      </c>
      <c r="AE213" s="49">
        <f t="shared" si="80"/>
        <v>1</v>
      </c>
      <c r="AF213" s="89">
        <f t="shared" si="73"/>
        <v>2.4969770253929868E-3</v>
      </c>
      <c r="AG213" s="89" cm="1">
        <f t="array" ref="AG213">_xlfn.IFS(
AND(L213="marginal_effect",M213="level"),O213*AN213/BF213,
AND(L213="marginal_effect",M213="sd (Y)"),O213*BH213*AN213/BF213,
AND(L213="marginal_effect",M213="sd (X)"),O213/AQ213*AN213/BF213,
AND(L213="semi_elasticity",M213="level"),O213*AN213,
AND(L213="semi_elasticity",M213="sd (Y)"),O213*AN213*BH213,
AND(L213="semi_elasticity",M213="sd (X)"),O213*AN213/AQ213,
AND(L213="level-log",M213="level"),O213/BF213,
AND(L213="level-log",M213="sd (X)"),O213/BF213/AQ213,
AND(L213="level-log",M213="sd (Y)"),O213/BF213*BH213,
AND(L213="elasticity",M213="level"),O213,
AND(L213="elasticity",M213="sd (X)"),O213/AQ213,
AND(L213="elasticity",M213="sd (Y)"),O213*BH213,
AND(L213="marginal_effect",M213="percent_of_mean"),O213*AN213/BF213/10)</f>
        <v>2.4969770253929868E-3</v>
      </c>
      <c r="AH213" s="49">
        <f t="shared" si="81"/>
        <v>1</v>
      </c>
      <c r="AI213" s="89">
        <f t="shared" ref="AI213:AI245" si="84">AC213</f>
        <v>-6.7775090689238208E-3</v>
      </c>
      <c r="AJ213" s="35">
        <v>0</v>
      </c>
      <c r="AK213" s="49">
        <f t="shared" si="82"/>
        <v>1</v>
      </c>
      <c r="AL213" s="35" t="s">
        <v>162</v>
      </c>
      <c r="AM213" s="35" t="s">
        <v>590</v>
      </c>
      <c r="AN213" s="35">
        <v>0.29499999999999998</v>
      </c>
      <c r="AO213" s="35">
        <v>0</v>
      </c>
      <c r="AP213" s="35">
        <f>AN213</f>
        <v>0.29499999999999998</v>
      </c>
      <c r="AQ213" s="35">
        <v>0.13900000000000001</v>
      </c>
      <c r="AR213" s="35" t="s">
        <v>312</v>
      </c>
      <c r="AS213" s="35" t="s">
        <v>312</v>
      </c>
      <c r="AT213" s="35" t="s">
        <v>83</v>
      </c>
      <c r="AU213" s="35" t="s">
        <v>109</v>
      </c>
      <c r="AV213" s="35" t="s">
        <v>133</v>
      </c>
      <c r="AW213" s="35" t="s">
        <v>134</v>
      </c>
      <c r="AX213" s="35" t="s">
        <v>86</v>
      </c>
      <c r="AY213" s="35">
        <v>0</v>
      </c>
      <c r="AZ213" s="35">
        <v>0</v>
      </c>
      <c r="BA213" s="58" t="s">
        <v>111</v>
      </c>
      <c r="BB213" s="35" t="s">
        <v>88</v>
      </c>
      <c r="BC213" s="35" t="s">
        <v>587</v>
      </c>
      <c r="BD213" s="35" t="s">
        <v>114</v>
      </c>
      <c r="BE213" s="35" t="s">
        <v>595</v>
      </c>
      <c r="BF213" s="35">
        <v>0.82699999999999996</v>
      </c>
      <c r="BG213" s="35">
        <v>0</v>
      </c>
      <c r="BH213" s="35">
        <v>0.378</v>
      </c>
      <c r="BI213" s="35" t="s">
        <v>312</v>
      </c>
      <c r="BJ213" s="35" t="s">
        <v>312</v>
      </c>
      <c r="BK213" s="35" t="s">
        <v>91</v>
      </c>
      <c r="BL213" s="35" t="s">
        <v>84</v>
      </c>
      <c r="BM213" s="35">
        <v>1</v>
      </c>
      <c r="BN213" s="35" t="s">
        <v>539</v>
      </c>
      <c r="BO213" s="35" t="s">
        <v>589</v>
      </c>
      <c r="BP213" s="35" t="s">
        <v>588</v>
      </c>
      <c r="BQ213" s="35" t="s">
        <v>92</v>
      </c>
      <c r="BR213" s="35" t="s">
        <v>312</v>
      </c>
      <c r="BS213" s="35" t="s">
        <v>312</v>
      </c>
      <c r="BT213" s="35" t="s">
        <v>312</v>
      </c>
      <c r="BU213" s="35">
        <v>2008</v>
      </c>
      <c r="BV213" s="35">
        <v>2015</v>
      </c>
      <c r="BW213" s="35" t="s">
        <v>596</v>
      </c>
      <c r="BX213" s="35" t="s">
        <v>95</v>
      </c>
      <c r="BY213" s="35" t="s">
        <v>652</v>
      </c>
      <c r="BZ213" s="35">
        <v>0</v>
      </c>
      <c r="CA213" s="35">
        <v>0</v>
      </c>
      <c r="CB213" s="35" t="s">
        <v>97</v>
      </c>
      <c r="CC213" s="35" t="s">
        <v>625</v>
      </c>
      <c r="CD213" s="35">
        <v>1</v>
      </c>
      <c r="CE213" s="35" t="s">
        <v>594</v>
      </c>
      <c r="CF213" s="35">
        <v>1</v>
      </c>
      <c r="CG213" s="35" t="s">
        <v>598</v>
      </c>
      <c r="CH213" s="35">
        <v>1</v>
      </c>
      <c r="CI213" s="35" t="s">
        <v>541</v>
      </c>
      <c r="CJ213" s="35" t="s">
        <v>98</v>
      </c>
      <c r="CK213" s="35">
        <v>62</v>
      </c>
      <c r="CL213" s="35">
        <v>0</v>
      </c>
      <c r="CM213" s="35">
        <v>0</v>
      </c>
      <c r="CN213" s="35" t="s">
        <v>124</v>
      </c>
      <c r="CO213" s="35" t="s">
        <v>97</v>
      </c>
      <c r="CP213" s="35" t="s">
        <v>100</v>
      </c>
      <c r="CQ213" s="35" t="s">
        <v>600</v>
      </c>
      <c r="CR213" s="36">
        <v>46220</v>
      </c>
      <c r="CT213" s="35" t="s">
        <v>661</v>
      </c>
    </row>
    <row r="214" spans="1:98" s="35" customFormat="1" x14ac:dyDescent="0.35">
      <c r="A214" s="34" t="s">
        <v>583</v>
      </c>
      <c r="B214" s="34" t="s">
        <v>654</v>
      </c>
      <c r="C214" s="35" t="s">
        <v>584</v>
      </c>
      <c r="D214" s="35">
        <v>2018</v>
      </c>
      <c r="E214" s="34" t="s">
        <v>585</v>
      </c>
      <c r="F214" s="34" t="s">
        <v>586</v>
      </c>
      <c r="G214" s="35" t="s">
        <v>78</v>
      </c>
      <c r="H214" s="35">
        <v>1</v>
      </c>
      <c r="I214" s="35" t="s">
        <v>390</v>
      </c>
      <c r="J214" s="35" t="s">
        <v>79</v>
      </c>
      <c r="K214" s="35">
        <v>366</v>
      </c>
      <c r="L214" s="35" t="s">
        <v>129</v>
      </c>
      <c r="M214" s="35" t="s">
        <v>380</v>
      </c>
      <c r="N214" s="35">
        <v>1.6E-2</v>
      </c>
      <c r="O214" s="35">
        <v>4.5999999999999999E-2</v>
      </c>
      <c r="P214" s="89">
        <f t="shared" si="74"/>
        <v>0.34782608695652173</v>
      </c>
      <c r="Q214" s="35" t="s">
        <v>312</v>
      </c>
      <c r="R214" s="89">
        <f t="shared" si="75"/>
        <v>-7.415999999999999E-2</v>
      </c>
      <c r="S214" s="89">
        <f t="shared" si="76"/>
        <v>0.10615999999999999</v>
      </c>
      <c r="T214" s="35">
        <v>1</v>
      </c>
      <c r="U214" s="35">
        <v>624622</v>
      </c>
      <c r="V214" s="35" t="s">
        <v>312</v>
      </c>
      <c r="W214" s="35" t="s">
        <v>312</v>
      </c>
      <c r="X214" s="35">
        <f t="shared" si="77"/>
        <v>624622</v>
      </c>
      <c r="Y214" s="89">
        <f t="shared" si="78"/>
        <v>4.4010213016676289E-4</v>
      </c>
      <c r="Z214" s="89">
        <f t="shared" si="79"/>
        <v>1.2652936242294433E-3</v>
      </c>
      <c r="AA214" s="89">
        <f t="shared" si="83"/>
        <v>4.4010213016676289E-4</v>
      </c>
      <c r="AB214" s="35" t="s">
        <v>81</v>
      </c>
      <c r="AC214" s="89">
        <f t="shared" si="72"/>
        <v>6.5779927448609448E-4</v>
      </c>
      <c r="AD214" s="89" cm="1">
        <f t="array" ref="AD214">_xlfn.IFS(
AND(L214="marginal_effect",M214="level"),N214*AN214/BF214,
AND(L214="marginal_effect",M214="sd (Y)"),N214*BH214*AN214/BF214,
AND(L214="marginal_effect",M214="sd (X)"),N214/AQ214*AN214/BF214,
AND(L214="semi_elasticity",M214="level"),N214*AN214,
AND(L214="semi_elasticity",M214="sd (Y)"),N214*AN214*BH214,
AND(L214="semi_elasticity",M214="sd (X)"),N214*AN214/AQ214,
AND(L214="level-log",M214="level"),N214/BF214,
AND(L214="level-log",M214="sd (X)"),N214/BF214/AQ214,
AND(L214="level-log",M214="sd (Y)"),N214/BF214*BH214,
AND(L214="elasticity",M214="level"),N214,
AND(L214="elasticity",M214="sd (X)"),N214/AQ214,
AND(L214="elasticity",M214="sd (Y)"),N214*BH214,
AND(L214="marginal_effect",M214="percent_of_mean"),N214*AN214/BF214/10)</f>
        <v>6.5779927448609448E-4</v>
      </c>
      <c r="AE214" s="49">
        <f t="shared" si="80"/>
        <v>1</v>
      </c>
      <c r="AF214" s="89">
        <f t="shared" si="73"/>
        <v>1.8911729141475213E-3</v>
      </c>
      <c r="AG214" s="89" cm="1">
        <f t="array" ref="AG214">_xlfn.IFS(
AND(L214="marginal_effect",M214="level"),O214*AN214/BF214,
AND(L214="marginal_effect",M214="sd (Y)"),O214*BH214*AN214/BF214,
AND(L214="marginal_effect",M214="sd (X)"),O214/AQ214*AN214/BF214,
AND(L214="semi_elasticity",M214="level"),O214*AN214,
AND(L214="semi_elasticity",M214="sd (Y)"),O214*AN214*BH214,
AND(L214="semi_elasticity",M214="sd (X)"),O214*AN214/AQ214,
AND(L214="level-log",M214="level"),O214/BF214,
AND(L214="level-log",M214="sd (X)"),O214/BF214/AQ214,
AND(L214="level-log",M214="sd (Y)"),O214/BF214*BH214,
AND(L214="elasticity",M214="level"),O214,
AND(L214="elasticity",M214="sd (X)"),O214/AQ214,
AND(L214="elasticity",M214="sd (Y)"),O214*BH214,
AND(L214="marginal_effect",M214="percent_of_mean"),O214*AN214/BF214/10)</f>
        <v>1.8911729141475213E-3</v>
      </c>
      <c r="AH214" s="49">
        <f t="shared" si="81"/>
        <v>1</v>
      </c>
      <c r="AI214" s="89">
        <f t="shared" si="84"/>
        <v>6.5779927448609448E-4</v>
      </c>
      <c r="AJ214" s="35">
        <v>0</v>
      </c>
      <c r="AK214" s="49">
        <f t="shared" si="82"/>
        <v>1</v>
      </c>
      <c r="AL214" s="35" t="s">
        <v>148</v>
      </c>
      <c r="AM214" s="35" t="s">
        <v>590</v>
      </c>
      <c r="AN214" s="35">
        <f>0.034</f>
        <v>3.4000000000000002E-2</v>
      </c>
      <c r="AO214" s="35">
        <v>0</v>
      </c>
      <c r="AP214" s="35">
        <f>AN214</f>
        <v>3.4000000000000002E-2</v>
      </c>
      <c r="AQ214" s="35">
        <v>1.4999999999999999E-2</v>
      </c>
      <c r="AR214" s="35" t="s">
        <v>312</v>
      </c>
      <c r="AS214" s="35" t="s">
        <v>312</v>
      </c>
      <c r="AT214" s="35" t="s">
        <v>83</v>
      </c>
      <c r="AU214" s="35" t="s">
        <v>109</v>
      </c>
      <c r="AV214" s="35" t="s">
        <v>133</v>
      </c>
      <c r="AW214" s="35" t="s">
        <v>134</v>
      </c>
      <c r="AX214" s="35" t="s">
        <v>86</v>
      </c>
      <c r="AY214" s="35">
        <v>0</v>
      </c>
      <c r="AZ214" s="35">
        <v>0</v>
      </c>
      <c r="BA214" s="58" t="s">
        <v>111</v>
      </c>
      <c r="BB214" s="35" t="s">
        <v>88</v>
      </c>
      <c r="BC214" s="35" t="s">
        <v>587</v>
      </c>
      <c r="BD214" s="35" t="s">
        <v>114</v>
      </c>
      <c r="BE214" s="35" t="s">
        <v>595</v>
      </c>
      <c r="BF214" s="35">
        <v>0.82699999999999996</v>
      </c>
      <c r="BG214" s="35">
        <v>0</v>
      </c>
      <c r="BH214" s="35">
        <v>0.378</v>
      </c>
      <c r="BI214" s="35" t="s">
        <v>312</v>
      </c>
      <c r="BJ214" s="35" t="s">
        <v>312</v>
      </c>
      <c r="BK214" s="35" t="s">
        <v>91</v>
      </c>
      <c r="BL214" s="35" t="s">
        <v>84</v>
      </c>
      <c r="BM214" s="35">
        <v>1</v>
      </c>
      <c r="BN214" s="35" t="s">
        <v>539</v>
      </c>
      <c r="BO214" s="35" t="s">
        <v>589</v>
      </c>
      <c r="BP214" s="35" t="s">
        <v>588</v>
      </c>
      <c r="BQ214" s="35" t="s">
        <v>92</v>
      </c>
      <c r="BR214" s="35" t="s">
        <v>312</v>
      </c>
      <c r="BS214" s="35" t="s">
        <v>312</v>
      </c>
      <c r="BT214" s="35" t="s">
        <v>312</v>
      </c>
      <c r="BU214" s="35">
        <v>2008</v>
      </c>
      <c r="BV214" s="35">
        <v>2015</v>
      </c>
      <c r="BW214" s="35" t="s">
        <v>596</v>
      </c>
      <c r="BX214" s="35" t="s">
        <v>95</v>
      </c>
      <c r="BY214" s="35" t="s">
        <v>652</v>
      </c>
      <c r="BZ214" s="35">
        <v>0</v>
      </c>
      <c r="CA214" s="35">
        <v>0</v>
      </c>
      <c r="CB214" s="35" t="s">
        <v>97</v>
      </c>
      <c r="CC214" s="35" t="s">
        <v>625</v>
      </c>
      <c r="CD214" s="35">
        <v>1</v>
      </c>
      <c r="CE214" s="35" t="s">
        <v>594</v>
      </c>
      <c r="CF214" s="35">
        <v>1</v>
      </c>
      <c r="CG214" s="35" t="s">
        <v>599</v>
      </c>
      <c r="CH214" s="35">
        <v>1</v>
      </c>
      <c r="CI214" s="35" t="s">
        <v>541</v>
      </c>
      <c r="CJ214" s="35" t="s">
        <v>98</v>
      </c>
      <c r="CK214" s="35">
        <v>62</v>
      </c>
      <c r="CL214" s="35">
        <v>0</v>
      </c>
      <c r="CM214" s="35">
        <v>0</v>
      </c>
      <c r="CN214" s="35" t="s">
        <v>124</v>
      </c>
      <c r="CO214" s="35" t="s">
        <v>97</v>
      </c>
      <c r="CP214" s="35" t="s">
        <v>100</v>
      </c>
      <c r="CQ214" s="35" t="s">
        <v>126</v>
      </c>
      <c r="CR214" s="36">
        <v>46220</v>
      </c>
      <c r="CT214" s="35" t="s">
        <v>661</v>
      </c>
    </row>
    <row r="215" spans="1:98" s="35" customFormat="1" x14ac:dyDescent="0.35">
      <c r="A215" s="34" t="s">
        <v>583</v>
      </c>
      <c r="B215" s="34" t="s">
        <v>681</v>
      </c>
      <c r="C215" s="35" t="s">
        <v>584</v>
      </c>
      <c r="D215" s="35">
        <v>2018</v>
      </c>
      <c r="E215" s="34" t="s">
        <v>585</v>
      </c>
      <c r="F215" s="34" t="s">
        <v>586</v>
      </c>
      <c r="G215" s="35" t="s">
        <v>78</v>
      </c>
      <c r="H215" s="35">
        <v>1</v>
      </c>
      <c r="I215" s="35" t="s">
        <v>390</v>
      </c>
      <c r="J215" s="35" t="s">
        <v>79</v>
      </c>
      <c r="K215" s="35">
        <v>366</v>
      </c>
      <c r="L215" s="35" t="s">
        <v>129</v>
      </c>
      <c r="M215" s="35" t="s">
        <v>380</v>
      </c>
      <c r="N215" s="35">
        <v>-4.0000000000000001E-3</v>
      </c>
      <c r="O215" s="35">
        <v>2E-3</v>
      </c>
      <c r="P215" s="89">
        <f t="shared" si="74"/>
        <v>-2</v>
      </c>
      <c r="Q215" s="35" t="s">
        <v>312</v>
      </c>
      <c r="R215" s="89">
        <f t="shared" si="75"/>
        <v>-7.92E-3</v>
      </c>
      <c r="S215" s="89">
        <f t="shared" si="76"/>
        <v>-8.000000000000021E-5</v>
      </c>
      <c r="T215" s="35">
        <v>1</v>
      </c>
      <c r="U215" s="35">
        <v>222947</v>
      </c>
      <c r="V215" s="35" t="s">
        <v>312</v>
      </c>
      <c r="W215" s="35" t="s">
        <v>312</v>
      </c>
      <c r="X215" s="35">
        <f t="shared" si="77"/>
        <v>222947</v>
      </c>
      <c r="Y215" s="89">
        <f t="shared" si="78"/>
        <v>-4.2357008817141819E-3</v>
      </c>
      <c r="Z215" s="89">
        <f t="shared" si="79"/>
        <v>2.117850440857091E-3</v>
      </c>
      <c r="AA215" s="89">
        <f t="shared" si="83"/>
        <v>-4.2357008817141819E-3</v>
      </c>
      <c r="AB215" s="35" t="s">
        <v>81</v>
      </c>
      <c r="AC215" s="89">
        <f t="shared" si="72"/>
        <v>-5.2720677146311972E-3</v>
      </c>
      <c r="AD215" s="89" cm="1">
        <f t="array" ref="AD215">_xlfn.IFS(
AND(L215="marginal_effect",M215="level"),N215*AN215/BF215,
AND(L215="marginal_effect",M215="sd (Y)"),N215*BH215*AN215/BF215,
AND(L215="marginal_effect",M215="sd (X)"),N215/AQ215*AN215/BF215,
AND(L215="semi_elasticity",M215="level"),N215*AN215,
AND(L215="semi_elasticity",M215="sd (Y)"),N215*AN215*BH215,
AND(L215="semi_elasticity",M215="sd (X)"),N215*AN215/AQ215,
AND(L215="level-log",M215="level"),N215/BF215,
AND(L215="level-log",M215="sd (X)"),N215/BF215/AQ215,
AND(L215="level-log",M215="sd (Y)"),N215/BF215*BH215,
AND(L215="elasticity",M215="level"),N215,
AND(L215="elasticity",M215="sd (X)"),N215/AQ215,
AND(L215="elasticity",M215="sd (Y)"),N215*BH215,
AND(L215="marginal_effect",M215="percent_of_mean"),N215*AN215/BF215/10)</f>
        <v>-5.2720677146311972E-3</v>
      </c>
      <c r="AE215" s="49">
        <f t="shared" si="80"/>
        <v>1</v>
      </c>
      <c r="AF215" s="89">
        <f t="shared" si="73"/>
        <v>2.6360338573155986E-3</v>
      </c>
      <c r="AG215" s="89" cm="1">
        <f t="array" ref="AG215">_xlfn.IFS(
AND(L215="marginal_effect",M215="level"),O215*AN215/BF215,
AND(L215="marginal_effect",M215="sd (Y)"),O215*BH215*AN215/BF215,
AND(L215="marginal_effect",M215="sd (X)"),O215/AQ215*AN215/BF215,
AND(L215="semi_elasticity",M215="level"),O215*AN215,
AND(L215="semi_elasticity",M215="sd (Y)"),O215*AN215*BH215,
AND(L215="semi_elasticity",M215="sd (X)"),O215*AN215/AQ215,
AND(L215="level-log",M215="level"),O215/BF215,
AND(L215="level-log",M215="sd (X)"),O215/BF215/AQ215,
AND(L215="level-log",M215="sd (Y)"),O215/BF215*BH215,
AND(L215="elasticity",M215="level"),O215,
AND(L215="elasticity",M215="sd (X)"),O215/AQ215,
AND(L215="elasticity",M215="sd (Y)"),O215*BH215,
AND(L215="marginal_effect",M215="percent_of_mean"),O215*AN215/BF215/10)</f>
        <v>2.6360338573155986E-3</v>
      </c>
      <c r="AH215" s="49">
        <f t="shared" si="81"/>
        <v>1</v>
      </c>
      <c r="AI215" s="89">
        <f t="shared" si="84"/>
        <v>-5.2720677146311972E-3</v>
      </c>
      <c r="AJ215" s="35">
        <v>0</v>
      </c>
      <c r="AK215" s="49">
        <f t="shared" si="82"/>
        <v>1</v>
      </c>
      <c r="AL215" s="35" t="s">
        <v>82</v>
      </c>
      <c r="AM215" s="35" t="s">
        <v>296</v>
      </c>
      <c r="AN215" s="35">
        <v>1.0900000000000001</v>
      </c>
      <c r="AO215" s="35">
        <v>0</v>
      </c>
      <c r="AP215" s="35">
        <f>AN215*10</f>
        <v>10.9</v>
      </c>
      <c r="AQ215" s="35">
        <v>0.57999999999999996</v>
      </c>
      <c r="AR215" s="35" t="s">
        <v>312</v>
      </c>
      <c r="AS215" s="35" t="s">
        <v>312</v>
      </c>
      <c r="AT215" s="35" t="s">
        <v>83</v>
      </c>
      <c r="AU215" s="35" t="s">
        <v>109</v>
      </c>
      <c r="AV215" s="35" t="s">
        <v>133</v>
      </c>
      <c r="AW215" s="35" t="s">
        <v>134</v>
      </c>
      <c r="AX215" s="35" t="s">
        <v>86</v>
      </c>
      <c r="AY215" s="35">
        <v>0</v>
      </c>
      <c r="AZ215" s="35">
        <v>0</v>
      </c>
      <c r="BA215" s="58" t="s">
        <v>111</v>
      </c>
      <c r="BB215" s="35" t="s">
        <v>88</v>
      </c>
      <c r="BC215" s="35" t="s">
        <v>587</v>
      </c>
      <c r="BD215" s="35" t="s">
        <v>114</v>
      </c>
      <c r="BE215" s="35" t="s">
        <v>595</v>
      </c>
      <c r="BF215" s="35">
        <v>0.82699999999999996</v>
      </c>
      <c r="BG215" s="35">
        <v>0</v>
      </c>
      <c r="BH215" s="35">
        <v>0.378</v>
      </c>
      <c r="BI215" s="35" t="s">
        <v>312</v>
      </c>
      <c r="BJ215" s="35" t="s">
        <v>312</v>
      </c>
      <c r="BK215" s="35" t="s">
        <v>91</v>
      </c>
      <c r="BL215" s="35" t="s">
        <v>84</v>
      </c>
      <c r="BM215" s="35">
        <v>1</v>
      </c>
      <c r="BN215" s="35" t="s">
        <v>539</v>
      </c>
      <c r="BO215" s="35" t="s">
        <v>589</v>
      </c>
      <c r="BP215" s="35" t="s">
        <v>588</v>
      </c>
      <c r="BQ215" s="35" t="s">
        <v>92</v>
      </c>
      <c r="BR215" s="35" t="s">
        <v>312</v>
      </c>
      <c r="BS215" s="35" t="s">
        <v>312</v>
      </c>
      <c r="BT215" s="35" t="s">
        <v>312</v>
      </c>
      <c r="BU215" s="35">
        <v>2008</v>
      </c>
      <c r="BV215" s="35">
        <v>2015</v>
      </c>
      <c r="BW215" s="35" t="s">
        <v>596</v>
      </c>
      <c r="BX215" s="35" t="s">
        <v>95</v>
      </c>
      <c r="BY215" s="35" t="s">
        <v>592</v>
      </c>
      <c r="BZ215" s="35">
        <v>0</v>
      </c>
      <c r="CA215" s="35">
        <v>0</v>
      </c>
      <c r="CB215" s="35" t="s">
        <v>97</v>
      </c>
      <c r="CC215" s="35" t="s">
        <v>625</v>
      </c>
      <c r="CD215" s="35">
        <v>1</v>
      </c>
      <c r="CE215" s="35" t="s">
        <v>594</v>
      </c>
      <c r="CF215" s="35">
        <v>1</v>
      </c>
      <c r="CG215" s="35" t="s">
        <v>662</v>
      </c>
      <c r="CH215" s="35">
        <v>1</v>
      </c>
      <c r="CI215" s="35" t="s">
        <v>541</v>
      </c>
      <c r="CJ215" s="35" t="s">
        <v>98</v>
      </c>
      <c r="CK215" s="35">
        <v>62</v>
      </c>
      <c r="CL215" s="35">
        <v>0</v>
      </c>
      <c r="CM215" s="35">
        <v>0</v>
      </c>
      <c r="CN215" s="35" t="s">
        <v>124</v>
      </c>
      <c r="CO215" s="35" t="s">
        <v>97</v>
      </c>
      <c r="CP215" s="35" t="s">
        <v>100</v>
      </c>
      <c r="CQ215" s="35" t="s">
        <v>126</v>
      </c>
      <c r="CR215" s="36">
        <v>46220</v>
      </c>
      <c r="CT215" s="35" t="s">
        <v>673</v>
      </c>
    </row>
    <row r="216" spans="1:98" s="35" customFormat="1" x14ac:dyDescent="0.35">
      <c r="A216" s="34" t="s">
        <v>583</v>
      </c>
      <c r="B216" s="34" t="s">
        <v>680</v>
      </c>
      <c r="C216" s="35" t="s">
        <v>584</v>
      </c>
      <c r="D216" s="35">
        <v>2018</v>
      </c>
      <c r="E216" s="34" t="s">
        <v>585</v>
      </c>
      <c r="F216" s="34" t="s">
        <v>586</v>
      </c>
      <c r="G216" s="35" t="s">
        <v>78</v>
      </c>
      <c r="H216" s="35">
        <v>1</v>
      </c>
      <c r="I216" s="35" t="s">
        <v>390</v>
      </c>
      <c r="J216" s="35" t="s">
        <v>79</v>
      </c>
      <c r="K216" s="35">
        <v>366</v>
      </c>
      <c r="L216" s="35" t="s">
        <v>129</v>
      </c>
      <c r="M216" s="35" t="s">
        <v>380</v>
      </c>
      <c r="N216" s="35">
        <v>6.0000000000000001E-3</v>
      </c>
      <c r="O216" s="35">
        <v>7.6999999999999999E-2</v>
      </c>
      <c r="P216" s="89">
        <f t="shared" si="74"/>
        <v>7.792207792207792E-2</v>
      </c>
      <c r="Q216" s="35" t="s">
        <v>312</v>
      </c>
      <c r="R216" s="89">
        <f t="shared" si="75"/>
        <v>-0.14491999999999999</v>
      </c>
      <c r="S216" s="89">
        <f t="shared" si="76"/>
        <v>0.15692</v>
      </c>
      <c r="T216" s="35">
        <v>1</v>
      </c>
      <c r="U216" s="35">
        <v>222947</v>
      </c>
      <c r="V216" s="35" t="s">
        <v>312</v>
      </c>
      <c r="W216" s="35" t="s">
        <v>312</v>
      </c>
      <c r="X216" s="35">
        <f t="shared" si="77"/>
        <v>222947</v>
      </c>
      <c r="Y216" s="89">
        <f t="shared" si="78"/>
        <v>1.6502878524327731E-4</v>
      </c>
      <c r="Z216" s="89">
        <f t="shared" si="79"/>
        <v>2.117869410622059E-3</v>
      </c>
      <c r="AA216" s="89">
        <f t="shared" si="83"/>
        <v>1.6502878524327731E-4</v>
      </c>
      <c r="AB216" s="35" t="s">
        <v>81</v>
      </c>
      <c r="AC216" s="89">
        <f t="shared" si="72"/>
        <v>2.4667472793228542E-4</v>
      </c>
      <c r="AD216" s="89" cm="1">
        <f t="array" ref="AD216">_xlfn.IFS(
AND(L216="marginal_effect",M216="level"),N216*AN216/BF216,
AND(L216="marginal_effect",M216="sd (Y)"),N216*BH216*AN216/BF216,
AND(L216="marginal_effect",M216="sd (X)"),N216/AQ216*AN216/BF216,
AND(L216="semi_elasticity",M216="level"),N216*AN216,
AND(L216="semi_elasticity",M216="sd (Y)"),N216*AN216*BH216,
AND(L216="semi_elasticity",M216="sd (X)"),N216*AN216/AQ216,
AND(L216="level-log",M216="level"),N216/BF216,
AND(L216="level-log",M216="sd (X)"),N216/BF216/AQ216,
AND(L216="level-log",M216="sd (Y)"),N216/BF216*BH216,
AND(L216="elasticity",M216="level"),N216,
AND(L216="elasticity",M216="sd (X)"),N216/AQ216,
AND(L216="elasticity",M216="sd (Y)"),N216*BH216,
AND(L216="marginal_effect",M216="percent_of_mean"),N216*AN216/BF216/10)</f>
        <v>2.4667472793228542E-4</v>
      </c>
      <c r="AE216" s="49">
        <f t="shared" si="80"/>
        <v>1</v>
      </c>
      <c r="AF216" s="89">
        <f t="shared" si="73"/>
        <v>3.165659008464329E-3</v>
      </c>
      <c r="AG216" s="89" cm="1">
        <f t="array" ref="AG216">_xlfn.IFS(
AND(L216="marginal_effect",M216="level"),O216*AN216/BF216,
AND(L216="marginal_effect",M216="sd (Y)"),O216*BH216*AN216/BF216,
AND(L216="marginal_effect",M216="sd (X)"),O216/AQ216*AN216/BF216,
AND(L216="semi_elasticity",M216="level"),O216*AN216,
AND(L216="semi_elasticity",M216="sd (Y)"),O216*AN216*BH216,
AND(L216="semi_elasticity",M216="sd (X)"),O216*AN216/AQ216,
AND(L216="level-log",M216="level"),O216/BF216,
AND(L216="level-log",M216="sd (X)"),O216/BF216/AQ216,
AND(L216="level-log",M216="sd (Y)"),O216/BF216*BH216,
AND(L216="elasticity",M216="level"),O216,
AND(L216="elasticity",M216="sd (X)"),O216/AQ216,
AND(L216="elasticity",M216="sd (Y)"),O216*BH216,
AND(L216="marginal_effect",M216="percent_of_mean"),O216*AN216/BF216/10)</f>
        <v>3.165659008464329E-3</v>
      </c>
      <c r="AH216" s="49">
        <f t="shared" si="81"/>
        <v>1</v>
      </c>
      <c r="AI216" s="89">
        <f t="shared" si="84"/>
        <v>2.4667472793228542E-4</v>
      </c>
      <c r="AJ216" s="35">
        <v>0</v>
      </c>
      <c r="AK216" s="49">
        <f t="shared" si="82"/>
        <v>1</v>
      </c>
      <c r="AL216" s="35" t="s">
        <v>148</v>
      </c>
      <c r="AM216" s="35" t="s">
        <v>590</v>
      </c>
      <c r="AN216" s="35">
        <f>0.034</f>
        <v>3.4000000000000002E-2</v>
      </c>
      <c r="AO216" s="35">
        <v>0</v>
      </c>
      <c r="AP216" s="35">
        <f>AN216</f>
        <v>3.4000000000000002E-2</v>
      </c>
      <c r="AQ216" s="35">
        <v>1.4999999999999999E-2</v>
      </c>
      <c r="AR216" s="35" t="s">
        <v>312</v>
      </c>
      <c r="AS216" s="35" t="s">
        <v>312</v>
      </c>
      <c r="AT216" s="35" t="s">
        <v>83</v>
      </c>
      <c r="AU216" s="35" t="s">
        <v>109</v>
      </c>
      <c r="AV216" s="35" t="s">
        <v>133</v>
      </c>
      <c r="AW216" s="35" t="s">
        <v>134</v>
      </c>
      <c r="AX216" s="35" t="s">
        <v>86</v>
      </c>
      <c r="AY216" s="35">
        <v>0</v>
      </c>
      <c r="AZ216" s="35">
        <v>0</v>
      </c>
      <c r="BA216" s="58" t="s">
        <v>111</v>
      </c>
      <c r="BB216" s="35" t="s">
        <v>88</v>
      </c>
      <c r="BC216" s="35" t="s">
        <v>587</v>
      </c>
      <c r="BD216" s="35" t="s">
        <v>114</v>
      </c>
      <c r="BE216" s="35" t="s">
        <v>595</v>
      </c>
      <c r="BF216" s="35">
        <v>0.82699999999999996</v>
      </c>
      <c r="BG216" s="35">
        <v>0</v>
      </c>
      <c r="BH216" s="35">
        <v>0.378</v>
      </c>
      <c r="BI216" s="35" t="s">
        <v>312</v>
      </c>
      <c r="BJ216" s="35" t="s">
        <v>312</v>
      </c>
      <c r="BK216" s="35" t="s">
        <v>91</v>
      </c>
      <c r="BL216" s="35" t="s">
        <v>84</v>
      </c>
      <c r="BM216" s="35">
        <v>1</v>
      </c>
      <c r="BN216" s="35" t="s">
        <v>539</v>
      </c>
      <c r="BO216" s="35" t="s">
        <v>589</v>
      </c>
      <c r="BP216" s="35" t="s">
        <v>588</v>
      </c>
      <c r="BQ216" s="35" t="s">
        <v>92</v>
      </c>
      <c r="BR216" s="35" t="s">
        <v>312</v>
      </c>
      <c r="BS216" s="35" t="s">
        <v>312</v>
      </c>
      <c r="BT216" s="35" t="s">
        <v>312</v>
      </c>
      <c r="BU216" s="35">
        <v>2008</v>
      </c>
      <c r="BV216" s="35">
        <v>2015</v>
      </c>
      <c r="BW216" s="35" t="s">
        <v>596</v>
      </c>
      <c r="BX216" s="35" t="s">
        <v>95</v>
      </c>
      <c r="BY216" s="35" t="s">
        <v>592</v>
      </c>
      <c r="BZ216" s="35">
        <v>0</v>
      </c>
      <c r="CA216" s="35">
        <v>0</v>
      </c>
      <c r="CB216" s="35" t="s">
        <v>97</v>
      </c>
      <c r="CC216" s="35" t="s">
        <v>625</v>
      </c>
      <c r="CD216" s="35">
        <v>1</v>
      </c>
      <c r="CE216" s="35" t="s">
        <v>594</v>
      </c>
      <c r="CF216" s="35">
        <v>1</v>
      </c>
      <c r="CG216" s="35" t="s">
        <v>663</v>
      </c>
      <c r="CH216" s="35">
        <v>1</v>
      </c>
      <c r="CI216" s="35" t="s">
        <v>541</v>
      </c>
      <c r="CJ216" s="35" t="s">
        <v>98</v>
      </c>
      <c r="CK216" s="35">
        <v>62</v>
      </c>
      <c r="CL216" s="35">
        <v>0</v>
      </c>
      <c r="CM216" s="35">
        <v>0</v>
      </c>
      <c r="CN216" s="35" t="s">
        <v>124</v>
      </c>
      <c r="CO216" s="35" t="s">
        <v>97</v>
      </c>
      <c r="CP216" s="35" t="s">
        <v>100</v>
      </c>
      <c r="CQ216" s="35" t="s">
        <v>126</v>
      </c>
      <c r="CR216" s="36">
        <v>46220</v>
      </c>
      <c r="CT216" s="35" t="s">
        <v>673</v>
      </c>
    </row>
    <row r="217" spans="1:98" s="35" customFormat="1" x14ac:dyDescent="0.35">
      <c r="A217" s="34" t="s">
        <v>583</v>
      </c>
      <c r="B217" s="34" t="s">
        <v>679</v>
      </c>
      <c r="C217" s="35" t="s">
        <v>584</v>
      </c>
      <c r="D217" s="35">
        <v>2018</v>
      </c>
      <c r="E217" s="34" t="s">
        <v>585</v>
      </c>
      <c r="F217" s="34" t="s">
        <v>586</v>
      </c>
      <c r="G217" s="35" t="s">
        <v>78</v>
      </c>
      <c r="H217" s="35">
        <v>1</v>
      </c>
      <c r="I217" s="35" t="s">
        <v>390</v>
      </c>
      <c r="J217" s="35" t="s">
        <v>79</v>
      </c>
      <c r="K217" s="35">
        <v>366</v>
      </c>
      <c r="L217" s="35" t="s">
        <v>129</v>
      </c>
      <c r="M217" s="35" t="s">
        <v>380</v>
      </c>
      <c r="N217" s="35">
        <v>-4.0000000000000001E-3</v>
      </c>
      <c r="O217" s="35">
        <v>1E-3</v>
      </c>
      <c r="P217" s="89">
        <f t="shared" si="74"/>
        <v>-4</v>
      </c>
      <c r="Q217" s="35" t="s">
        <v>312</v>
      </c>
      <c r="R217" s="89">
        <f t="shared" si="75"/>
        <v>-5.96E-3</v>
      </c>
      <c r="S217" s="89">
        <f t="shared" si="76"/>
        <v>-2.0400000000000001E-3</v>
      </c>
      <c r="T217" s="35">
        <v>1</v>
      </c>
      <c r="U217" s="35">
        <v>222947</v>
      </c>
      <c r="V217" s="35" t="s">
        <v>312</v>
      </c>
      <c r="W217" s="35" t="s">
        <v>312</v>
      </c>
      <c r="X217" s="35">
        <f t="shared" si="77"/>
        <v>222947</v>
      </c>
      <c r="Y217" s="89">
        <f t="shared" si="78"/>
        <v>-8.4711737924443777E-3</v>
      </c>
      <c r="Z217" s="89">
        <f t="shared" si="79"/>
        <v>2.117793448111094E-3</v>
      </c>
      <c r="AA217" s="89">
        <f t="shared" si="83"/>
        <v>-8.4711737924443777E-3</v>
      </c>
      <c r="AB217" s="35" t="s">
        <v>81</v>
      </c>
      <c r="AC217" s="89">
        <f t="shared" ref="AC217:AC222" si="85">N217*AN217/BF217</f>
        <v>-5.2720677146311972E-3</v>
      </c>
      <c r="AD217" s="89" cm="1">
        <f t="array" ref="AD217">_xlfn.IFS(
AND(L217="marginal_effect",M217="level"),N217*AN217/BF217,
AND(L217="marginal_effect",M217="sd (Y)"),N217*BH217*AN217/BF217,
AND(L217="marginal_effect",M217="sd (X)"),N217/AQ217*AN217/BF217,
AND(L217="semi_elasticity",M217="level"),N217*AN217,
AND(L217="semi_elasticity",M217="sd (Y)"),N217*AN217*BH217,
AND(L217="semi_elasticity",M217="sd (X)"),N217*AN217/AQ217,
AND(L217="level-log",M217="level"),N217/BF217,
AND(L217="level-log",M217="sd (X)"),N217/BF217/AQ217,
AND(L217="level-log",M217="sd (Y)"),N217/BF217*BH217,
AND(L217="elasticity",M217="level"),N217,
AND(L217="elasticity",M217="sd (X)"),N217/AQ217,
AND(L217="elasticity",M217="sd (Y)"),N217*BH217,
AND(L217="marginal_effect",M217="percent_of_mean"),N217*AN217/BF217/10)</f>
        <v>-5.2720677146311972E-3</v>
      </c>
      <c r="AE217" s="49">
        <f t="shared" si="80"/>
        <v>1</v>
      </c>
      <c r="AF217" s="89">
        <f t="shared" ref="AF217:AF222" si="86">O217*AN217/BF217</f>
        <v>1.3180169286577993E-3</v>
      </c>
      <c r="AG217" s="89" cm="1">
        <f t="array" ref="AG217">_xlfn.IFS(
AND(L217="marginal_effect",M217="level"),O217*AN217/BF217,
AND(L217="marginal_effect",M217="sd (Y)"),O217*BH217*AN217/BF217,
AND(L217="marginal_effect",M217="sd (X)"),O217/AQ217*AN217/BF217,
AND(L217="semi_elasticity",M217="level"),O217*AN217,
AND(L217="semi_elasticity",M217="sd (Y)"),O217*AN217*BH217,
AND(L217="semi_elasticity",M217="sd (X)"),O217*AN217/AQ217,
AND(L217="level-log",M217="level"),O217/BF217,
AND(L217="level-log",M217="sd (X)"),O217/BF217/AQ217,
AND(L217="level-log",M217="sd (Y)"),O217/BF217*BH217,
AND(L217="elasticity",M217="level"),O217,
AND(L217="elasticity",M217="sd (X)"),O217/AQ217,
AND(L217="elasticity",M217="sd (Y)"),O217*BH217,
AND(L217="marginal_effect",M217="percent_of_mean"),O217*AN217/BF217/10)</f>
        <v>1.3180169286577993E-3</v>
      </c>
      <c r="AH217" s="49">
        <f t="shared" si="81"/>
        <v>1</v>
      </c>
      <c r="AI217" s="89">
        <f t="shared" si="84"/>
        <v>-5.2720677146311972E-3</v>
      </c>
      <c r="AJ217" s="35">
        <v>0</v>
      </c>
      <c r="AK217" s="49">
        <f t="shared" si="82"/>
        <v>1</v>
      </c>
      <c r="AL217" s="35" t="s">
        <v>82</v>
      </c>
      <c r="AM217" s="35" t="s">
        <v>296</v>
      </c>
      <c r="AN217" s="35">
        <v>1.0900000000000001</v>
      </c>
      <c r="AO217" s="35">
        <v>0</v>
      </c>
      <c r="AP217" s="35">
        <f>AN217*10</f>
        <v>10.9</v>
      </c>
      <c r="AQ217" s="35">
        <v>0.57999999999999996</v>
      </c>
      <c r="AR217" s="35" t="s">
        <v>312</v>
      </c>
      <c r="AS217" s="35" t="s">
        <v>312</v>
      </c>
      <c r="AT217" s="35" t="s">
        <v>83</v>
      </c>
      <c r="AU217" s="35" t="s">
        <v>109</v>
      </c>
      <c r="AV217" s="35" t="s">
        <v>133</v>
      </c>
      <c r="AW217" s="35" t="s">
        <v>134</v>
      </c>
      <c r="AX217" s="35" t="s">
        <v>86</v>
      </c>
      <c r="AY217" s="35">
        <v>0</v>
      </c>
      <c r="AZ217" s="35">
        <v>0</v>
      </c>
      <c r="BA217" s="58" t="s">
        <v>111</v>
      </c>
      <c r="BB217" s="35" t="s">
        <v>88</v>
      </c>
      <c r="BC217" s="35" t="s">
        <v>587</v>
      </c>
      <c r="BD217" s="35" t="s">
        <v>114</v>
      </c>
      <c r="BE217" s="35" t="s">
        <v>595</v>
      </c>
      <c r="BF217" s="35">
        <v>0.82699999999999996</v>
      </c>
      <c r="BG217" s="35">
        <v>0</v>
      </c>
      <c r="BH217" s="35">
        <v>0.378</v>
      </c>
      <c r="BI217" s="35" t="s">
        <v>312</v>
      </c>
      <c r="BJ217" s="35" t="s">
        <v>312</v>
      </c>
      <c r="BK217" s="35" t="s">
        <v>91</v>
      </c>
      <c r="BL217" s="35" t="s">
        <v>84</v>
      </c>
      <c r="BM217" s="35">
        <v>1</v>
      </c>
      <c r="BN217" s="35" t="s">
        <v>539</v>
      </c>
      <c r="BO217" s="35" t="s">
        <v>589</v>
      </c>
      <c r="BP217" s="35" t="s">
        <v>588</v>
      </c>
      <c r="BQ217" s="35" t="s">
        <v>92</v>
      </c>
      <c r="BR217" s="35" t="s">
        <v>312</v>
      </c>
      <c r="BS217" s="35" t="s">
        <v>312</v>
      </c>
      <c r="BT217" s="35" t="s">
        <v>312</v>
      </c>
      <c r="BU217" s="35">
        <v>2008</v>
      </c>
      <c r="BV217" s="35">
        <v>2015</v>
      </c>
      <c r="BW217" s="35" t="s">
        <v>596</v>
      </c>
      <c r="BX217" s="35" t="s">
        <v>95</v>
      </c>
      <c r="BY217" s="35" t="s">
        <v>592</v>
      </c>
      <c r="BZ217" s="35">
        <v>0</v>
      </c>
      <c r="CA217" s="35">
        <v>0</v>
      </c>
      <c r="CB217" s="35" t="s">
        <v>97</v>
      </c>
      <c r="CC217" s="35" t="s">
        <v>625</v>
      </c>
      <c r="CD217" s="35">
        <v>1</v>
      </c>
      <c r="CE217" s="35" t="s">
        <v>594</v>
      </c>
      <c r="CF217" s="35">
        <v>1</v>
      </c>
      <c r="CG217" s="35" t="s">
        <v>664</v>
      </c>
      <c r="CH217" s="35">
        <v>1</v>
      </c>
      <c r="CI217" s="35" t="s">
        <v>541</v>
      </c>
      <c r="CJ217" s="35" t="s">
        <v>98</v>
      </c>
      <c r="CK217" s="35">
        <v>62</v>
      </c>
      <c r="CL217" s="35">
        <v>0</v>
      </c>
      <c r="CM217" s="35">
        <v>0</v>
      </c>
      <c r="CN217" s="35" t="s">
        <v>124</v>
      </c>
      <c r="CO217" s="35" t="s">
        <v>97</v>
      </c>
      <c r="CP217" s="35" t="s">
        <v>100</v>
      </c>
      <c r="CQ217" s="35" t="s">
        <v>126</v>
      </c>
      <c r="CR217" s="36">
        <v>46220</v>
      </c>
      <c r="CT217" s="35" t="s">
        <v>672</v>
      </c>
    </row>
    <row r="218" spans="1:98" s="35" customFormat="1" x14ac:dyDescent="0.35">
      <c r="A218" s="34" t="s">
        <v>583</v>
      </c>
      <c r="B218" s="34" t="s">
        <v>678</v>
      </c>
      <c r="C218" s="35" t="s">
        <v>584</v>
      </c>
      <c r="D218" s="35">
        <v>2018</v>
      </c>
      <c r="E218" s="34" t="s">
        <v>585</v>
      </c>
      <c r="F218" s="34" t="s">
        <v>586</v>
      </c>
      <c r="G218" s="35" t="s">
        <v>78</v>
      </c>
      <c r="H218" s="35">
        <v>1</v>
      </c>
      <c r="I218" s="35" t="s">
        <v>390</v>
      </c>
      <c r="J218" s="35" t="s">
        <v>79</v>
      </c>
      <c r="K218" s="35">
        <v>366</v>
      </c>
      <c r="L218" s="35" t="s">
        <v>129</v>
      </c>
      <c r="M218" s="35" t="s">
        <v>380</v>
      </c>
      <c r="N218" s="35">
        <v>2.9000000000000001E-2</v>
      </c>
      <c r="O218" s="35">
        <v>0.05</v>
      </c>
      <c r="P218" s="89">
        <f t="shared" si="74"/>
        <v>0.57999999999999996</v>
      </c>
      <c r="Q218" s="35" t="s">
        <v>312</v>
      </c>
      <c r="R218" s="89">
        <f t="shared" si="75"/>
        <v>-6.9000000000000006E-2</v>
      </c>
      <c r="S218" s="89">
        <f t="shared" si="76"/>
        <v>0.127</v>
      </c>
      <c r="T218" s="35">
        <v>1</v>
      </c>
      <c r="U218" s="35">
        <v>598890</v>
      </c>
      <c r="V218" s="35" t="s">
        <v>312</v>
      </c>
      <c r="W218" s="35" t="s">
        <v>312</v>
      </c>
      <c r="X218" s="35">
        <f t="shared" si="77"/>
        <v>598890</v>
      </c>
      <c r="Y218" s="89">
        <f t="shared" si="78"/>
        <v>7.4947015078982531E-4</v>
      </c>
      <c r="Z218" s="89">
        <f t="shared" si="79"/>
        <v>1.2921899151548714E-3</v>
      </c>
      <c r="AA218" s="89">
        <f t="shared" si="83"/>
        <v>7.4947015078982531E-4</v>
      </c>
      <c r="AB218" s="35" t="s">
        <v>81</v>
      </c>
      <c r="AC218" s="89">
        <f t="shared" si="85"/>
        <v>1.1922611850060461E-3</v>
      </c>
      <c r="AD218" s="89" cm="1">
        <f t="array" ref="AD218">_xlfn.IFS(
AND(L218="marginal_effect",M218="level"),N218*AN218/BF218,
AND(L218="marginal_effect",M218="sd (Y)"),N218*BH218*AN218/BF218,
AND(L218="marginal_effect",M218="sd (X)"),N218/AQ218*AN218/BF218,
AND(L218="semi_elasticity",M218="level"),N218*AN218,
AND(L218="semi_elasticity",M218="sd (Y)"),N218*AN218*BH218,
AND(L218="semi_elasticity",M218="sd (X)"),N218*AN218/AQ218,
AND(L218="level-log",M218="level"),N218/BF218,
AND(L218="level-log",M218="sd (X)"),N218/BF218/AQ218,
AND(L218="level-log",M218="sd (Y)"),N218/BF218*BH218,
AND(L218="elasticity",M218="level"),N218,
AND(L218="elasticity",M218="sd (X)"),N218/AQ218,
AND(L218="elasticity",M218="sd (Y)"),N218*BH218,
AND(L218="marginal_effect",M218="percent_of_mean"),N218*AN218/BF218/10)</f>
        <v>1.1922611850060461E-3</v>
      </c>
      <c r="AE218" s="49">
        <f t="shared" si="80"/>
        <v>1</v>
      </c>
      <c r="AF218" s="89">
        <f t="shared" si="86"/>
        <v>2.0556227327690451E-3</v>
      </c>
      <c r="AG218" s="89" cm="1">
        <f t="array" ref="AG218">_xlfn.IFS(
AND(L218="marginal_effect",M218="level"),O218*AN218/BF218,
AND(L218="marginal_effect",M218="sd (Y)"),O218*BH218*AN218/BF218,
AND(L218="marginal_effect",M218="sd (X)"),O218/AQ218*AN218/BF218,
AND(L218="semi_elasticity",M218="level"),O218*AN218,
AND(L218="semi_elasticity",M218="sd (Y)"),O218*AN218*BH218,
AND(L218="semi_elasticity",M218="sd (X)"),O218*AN218/AQ218,
AND(L218="level-log",M218="level"),O218/BF218,
AND(L218="level-log",M218="sd (X)"),O218/BF218/AQ218,
AND(L218="level-log",M218="sd (Y)"),O218/BF218*BH218,
AND(L218="elasticity",M218="level"),O218,
AND(L218="elasticity",M218="sd (X)"),O218/AQ218,
AND(L218="elasticity",M218="sd (Y)"),O218*BH218,
AND(L218="marginal_effect",M218="percent_of_mean"),O218*AN218/BF218/10)</f>
        <v>2.0556227327690451E-3</v>
      </c>
      <c r="AH218" s="49">
        <f t="shared" si="81"/>
        <v>1</v>
      </c>
      <c r="AI218" s="89">
        <f t="shared" si="84"/>
        <v>1.1922611850060461E-3</v>
      </c>
      <c r="AJ218" s="35">
        <v>0</v>
      </c>
      <c r="AK218" s="49">
        <f t="shared" si="82"/>
        <v>1</v>
      </c>
      <c r="AL218" s="35" t="s">
        <v>148</v>
      </c>
      <c r="AM218" s="35" t="s">
        <v>590</v>
      </c>
      <c r="AN218" s="35">
        <f>0.034</f>
        <v>3.4000000000000002E-2</v>
      </c>
      <c r="AO218" s="35">
        <v>0</v>
      </c>
      <c r="AP218" s="35">
        <f>AN218</f>
        <v>3.4000000000000002E-2</v>
      </c>
      <c r="AQ218" s="35">
        <v>1.4999999999999999E-2</v>
      </c>
      <c r="AR218" s="35" t="s">
        <v>312</v>
      </c>
      <c r="AS218" s="35" t="s">
        <v>312</v>
      </c>
      <c r="AT218" s="35" t="s">
        <v>83</v>
      </c>
      <c r="AU218" s="35" t="s">
        <v>109</v>
      </c>
      <c r="AV218" s="35" t="s">
        <v>133</v>
      </c>
      <c r="AW218" s="35" t="s">
        <v>134</v>
      </c>
      <c r="AX218" s="35" t="s">
        <v>86</v>
      </c>
      <c r="AY218" s="35">
        <v>0</v>
      </c>
      <c r="AZ218" s="35">
        <v>0</v>
      </c>
      <c r="BA218" s="58" t="s">
        <v>111</v>
      </c>
      <c r="BB218" s="35" t="s">
        <v>88</v>
      </c>
      <c r="BC218" s="35" t="s">
        <v>587</v>
      </c>
      <c r="BD218" s="35" t="s">
        <v>114</v>
      </c>
      <c r="BE218" s="35" t="s">
        <v>595</v>
      </c>
      <c r="BF218" s="35">
        <v>0.82699999999999996</v>
      </c>
      <c r="BG218" s="35">
        <v>0</v>
      </c>
      <c r="BH218" s="35">
        <v>0.378</v>
      </c>
      <c r="BI218" s="35" t="s">
        <v>312</v>
      </c>
      <c r="BJ218" s="35" t="s">
        <v>312</v>
      </c>
      <c r="BK218" s="35" t="s">
        <v>91</v>
      </c>
      <c r="BL218" s="35" t="s">
        <v>84</v>
      </c>
      <c r="BM218" s="35">
        <v>1</v>
      </c>
      <c r="BN218" s="35" t="s">
        <v>539</v>
      </c>
      <c r="BO218" s="35" t="s">
        <v>589</v>
      </c>
      <c r="BP218" s="35" t="s">
        <v>588</v>
      </c>
      <c r="BQ218" s="35" t="s">
        <v>92</v>
      </c>
      <c r="BR218" s="35" t="s">
        <v>312</v>
      </c>
      <c r="BS218" s="35" t="s">
        <v>312</v>
      </c>
      <c r="BT218" s="35" t="s">
        <v>312</v>
      </c>
      <c r="BU218" s="35">
        <v>2008</v>
      </c>
      <c r="BV218" s="35">
        <v>2015</v>
      </c>
      <c r="BW218" s="35" t="s">
        <v>596</v>
      </c>
      <c r="BX218" s="35" t="s">
        <v>95</v>
      </c>
      <c r="BY218" s="35" t="s">
        <v>592</v>
      </c>
      <c r="BZ218" s="35">
        <v>0</v>
      </c>
      <c r="CA218" s="35">
        <v>0</v>
      </c>
      <c r="CB218" s="35" t="s">
        <v>97</v>
      </c>
      <c r="CC218" s="35" t="s">
        <v>625</v>
      </c>
      <c r="CD218" s="35">
        <v>1</v>
      </c>
      <c r="CE218" s="35" t="s">
        <v>594</v>
      </c>
      <c r="CF218" s="35">
        <v>1</v>
      </c>
      <c r="CG218" s="35" t="s">
        <v>665</v>
      </c>
      <c r="CH218" s="35">
        <v>1</v>
      </c>
      <c r="CI218" s="35" t="s">
        <v>541</v>
      </c>
      <c r="CJ218" s="35" t="s">
        <v>98</v>
      </c>
      <c r="CK218" s="35">
        <v>62</v>
      </c>
      <c r="CL218" s="35">
        <v>0</v>
      </c>
      <c r="CM218" s="35">
        <v>0</v>
      </c>
      <c r="CN218" s="35" t="s">
        <v>124</v>
      </c>
      <c r="CO218" s="35" t="s">
        <v>97</v>
      </c>
      <c r="CP218" s="35" t="s">
        <v>100</v>
      </c>
      <c r="CQ218" s="35" t="s">
        <v>126</v>
      </c>
      <c r="CR218" s="36">
        <v>46220</v>
      </c>
      <c r="CT218" s="35" t="s">
        <v>672</v>
      </c>
    </row>
    <row r="219" spans="1:98" s="35" customFormat="1" x14ac:dyDescent="0.35">
      <c r="A219" s="34" t="s">
        <v>583</v>
      </c>
      <c r="B219" s="34" t="s">
        <v>677</v>
      </c>
      <c r="C219" s="35" t="s">
        <v>584</v>
      </c>
      <c r="D219" s="35">
        <v>2018</v>
      </c>
      <c r="E219" s="34" t="s">
        <v>585</v>
      </c>
      <c r="F219" s="34" t="s">
        <v>586</v>
      </c>
      <c r="G219" s="35" t="s">
        <v>78</v>
      </c>
      <c r="H219" s="35">
        <v>1</v>
      </c>
      <c r="I219" s="35" t="s">
        <v>390</v>
      </c>
      <c r="J219" s="35" t="s">
        <v>79</v>
      </c>
      <c r="K219" s="35">
        <v>366</v>
      </c>
      <c r="L219" s="35" t="s">
        <v>129</v>
      </c>
      <c r="M219" s="35" t="s">
        <v>380</v>
      </c>
      <c r="N219" s="35">
        <v>-4.0000000000000001E-3</v>
      </c>
      <c r="O219" s="35">
        <v>1E-3</v>
      </c>
      <c r="P219" s="89">
        <f t="shared" si="74"/>
        <v>-4</v>
      </c>
      <c r="Q219" s="35" t="s">
        <v>312</v>
      </c>
      <c r="R219" s="89">
        <f t="shared" si="75"/>
        <v>-5.96E-3</v>
      </c>
      <c r="S219" s="89">
        <f t="shared" si="76"/>
        <v>-2.0400000000000001E-3</v>
      </c>
      <c r="T219" s="35">
        <v>1</v>
      </c>
      <c r="U219" s="35">
        <v>591984</v>
      </c>
      <c r="V219" s="35" t="s">
        <v>312</v>
      </c>
      <c r="W219" s="35" t="s">
        <v>312</v>
      </c>
      <c r="X219" s="35">
        <f t="shared" si="77"/>
        <v>591984</v>
      </c>
      <c r="Y219" s="89">
        <f t="shared" si="78"/>
        <v>-5.1987524491003629E-3</v>
      </c>
      <c r="Z219" s="89">
        <f t="shared" si="79"/>
        <v>1.2996881122750909E-3</v>
      </c>
      <c r="AA219" s="89">
        <f t="shared" si="83"/>
        <v>-5.1987524491003629E-3</v>
      </c>
      <c r="AB219" s="35" t="s">
        <v>81</v>
      </c>
      <c r="AC219" s="89">
        <f t="shared" si="85"/>
        <v>-5.2720677146311972E-3</v>
      </c>
      <c r="AD219" s="89" cm="1">
        <f t="array" ref="AD219">_xlfn.IFS(
AND(L219="marginal_effect",M219="level"),N219*AN219/BF219,
AND(L219="marginal_effect",M219="sd (Y)"),N219*BH219*AN219/BF219,
AND(L219="marginal_effect",M219="sd (X)"),N219/AQ219*AN219/BF219,
AND(L219="semi_elasticity",M219="level"),N219*AN219,
AND(L219="semi_elasticity",M219="sd (Y)"),N219*AN219*BH219,
AND(L219="semi_elasticity",M219="sd (X)"),N219*AN219/AQ219,
AND(L219="level-log",M219="level"),N219/BF219,
AND(L219="level-log",M219="sd (X)"),N219/BF219/AQ219,
AND(L219="level-log",M219="sd (Y)"),N219/BF219*BH219,
AND(L219="elasticity",M219="level"),N219,
AND(L219="elasticity",M219="sd (X)"),N219/AQ219,
AND(L219="elasticity",M219="sd (Y)"),N219*BH219,
AND(L219="marginal_effect",M219="percent_of_mean"),N219*AN219/BF219/10)</f>
        <v>-5.2720677146311972E-3</v>
      </c>
      <c r="AE219" s="49">
        <f t="shared" si="80"/>
        <v>1</v>
      </c>
      <c r="AF219" s="89">
        <f t="shared" si="86"/>
        <v>1.3180169286577993E-3</v>
      </c>
      <c r="AG219" s="89" cm="1">
        <f t="array" ref="AG219">_xlfn.IFS(
AND(L219="marginal_effect",M219="level"),O219*AN219/BF219,
AND(L219="marginal_effect",M219="sd (Y)"),O219*BH219*AN219/BF219,
AND(L219="marginal_effect",M219="sd (X)"),O219/AQ219*AN219/BF219,
AND(L219="semi_elasticity",M219="level"),O219*AN219,
AND(L219="semi_elasticity",M219="sd (Y)"),O219*AN219*BH219,
AND(L219="semi_elasticity",M219="sd (X)"),O219*AN219/AQ219,
AND(L219="level-log",M219="level"),O219/BF219,
AND(L219="level-log",M219="sd (X)"),O219/BF219/AQ219,
AND(L219="level-log",M219="sd (Y)"),O219/BF219*BH219,
AND(L219="elasticity",M219="level"),O219,
AND(L219="elasticity",M219="sd (X)"),O219/AQ219,
AND(L219="elasticity",M219="sd (Y)"),O219*BH219,
AND(L219="marginal_effect",M219="percent_of_mean"),O219*AN219/BF219/10)</f>
        <v>1.3180169286577993E-3</v>
      </c>
      <c r="AH219" s="49">
        <f t="shared" si="81"/>
        <v>1</v>
      </c>
      <c r="AI219" s="89">
        <f t="shared" si="84"/>
        <v>-5.2720677146311972E-3</v>
      </c>
      <c r="AJ219" s="35">
        <v>0</v>
      </c>
      <c r="AK219" s="49">
        <f t="shared" si="82"/>
        <v>1</v>
      </c>
      <c r="AL219" s="35" t="s">
        <v>82</v>
      </c>
      <c r="AM219" s="35" t="s">
        <v>296</v>
      </c>
      <c r="AN219" s="35">
        <v>1.0900000000000001</v>
      </c>
      <c r="AO219" s="35">
        <v>0</v>
      </c>
      <c r="AP219" s="35">
        <f>AN219*10</f>
        <v>10.9</v>
      </c>
      <c r="AQ219" s="35">
        <v>0.57999999999999996</v>
      </c>
      <c r="AR219" s="35" t="s">
        <v>312</v>
      </c>
      <c r="AS219" s="35" t="s">
        <v>312</v>
      </c>
      <c r="AT219" s="35" t="s">
        <v>83</v>
      </c>
      <c r="AU219" s="35" t="s">
        <v>109</v>
      </c>
      <c r="AV219" s="35" t="s">
        <v>133</v>
      </c>
      <c r="AW219" s="35" t="s">
        <v>134</v>
      </c>
      <c r="AX219" s="35" t="s">
        <v>86</v>
      </c>
      <c r="AY219" s="35">
        <v>0</v>
      </c>
      <c r="AZ219" s="35">
        <v>0</v>
      </c>
      <c r="BA219" s="58" t="s">
        <v>111</v>
      </c>
      <c r="BB219" s="35" t="s">
        <v>88</v>
      </c>
      <c r="BC219" s="35" t="s">
        <v>587</v>
      </c>
      <c r="BD219" s="35" t="s">
        <v>114</v>
      </c>
      <c r="BE219" s="35" t="s">
        <v>595</v>
      </c>
      <c r="BF219" s="35">
        <v>0.82699999999999996</v>
      </c>
      <c r="BG219" s="35">
        <v>0</v>
      </c>
      <c r="BH219" s="35">
        <v>0.378</v>
      </c>
      <c r="BI219" s="35" t="s">
        <v>312</v>
      </c>
      <c r="BJ219" s="35" t="s">
        <v>312</v>
      </c>
      <c r="BK219" s="35" t="s">
        <v>91</v>
      </c>
      <c r="BL219" s="35" t="s">
        <v>84</v>
      </c>
      <c r="BM219" s="35">
        <v>1</v>
      </c>
      <c r="BN219" s="35" t="s">
        <v>539</v>
      </c>
      <c r="BO219" s="35" t="s">
        <v>589</v>
      </c>
      <c r="BP219" s="35" t="s">
        <v>588</v>
      </c>
      <c r="BQ219" s="35" t="s">
        <v>92</v>
      </c>
      <c r="BR219" s="35" t="s">
        <v>312</v>
      </c>
      <c r="BS219" s="35" t="s">
        <v>312</v>
      </c>
      <c r="BT219" s="35" t="s">
        <v>312</v>
      </c>
      <c r="BU219" s="35">
        <v>2008</v>
      </c>
      <c r="BV219" s="35">
        <v>2015</v>
      </c>
      <c r="BW219" s="35" t="s">
        <v>596</v>
      </c>
      <c r="BX219" s="35" t="s">
        <v>95</v>
      </c>
      <c r="BY219" s="35" t="s">
        <v>592</v>
      </c>
      <c r="BZ219" s="35">
        <v>0</v>
      </c>
      <c r="CA219" s="35">
        <v>0</v>
      </c>
      <c r="CB219" s="35" t="s">
        <v>97</v>
      </c>
      <c r="CC219" s="35" t="s">
        <v>625</v>
      </c>
      <c r="CD219" s="35">
        <v>1</v>
      </c>
      <c r="CE219" s="35" t="s">
        <v>594</v>
      </c>
      <c r="CF219" s="35">
        <v>1</v>
      </c>
      <c r="CG219" s="35" t="s">
        <v>666</v>
      </c>
      <c r="CH219" s="35">
        <v>1</v>
      </c>
      <c r="CI219" s="35" t="s">
        <v>541</v>
      </c>
      <c r="CJ219" s="35" t="s">
        <v>98</v>
      </c>
      <c r="CK219" s="35">
        <v>62</v>
      </c>
      <c r="CL219" s="35">
        <v>0</v>
      </c>
      <c r="CM219" s="35">
        <v>0</v>
      </c>
      <c r="CN219" s="35" t="s">
        <v>124</v>
      </c>
      <c r="CO219" s="35" t="s">
        <v>97</v>
      </c>
      <c r="CP219" s="35" t="s">
        <v>100</v>
      </c>
      <c r="CQ219" s="35" t="s">
        <v>126</v>
      </c>
      <c r="CR219" s="36">
        <v>46220</v>
      </c>
      <c r="CT219" s="35" t="s">
        <v>671</v>
      </c>
    </row>
    <row r="220" spans="1:98" s="35" customFormat="1" x14ac:dyDescent="0.35">
      <c r="A220" s="34" t="s">
        <v>583</v>
      </c>
      <c r="B220" s="34" t="s">
        <v>676</v>
      </c>
      <c r="C220" s="35" t="s">
        <v>584</v>
      </c>
      <c r="D220" s="35">
        <v>2018</v>
      </c>
      <c r="E220" s="34" t="s">
        <v>585</v>
      </c>
      <c r="F220" s="34" t="s">
        <v>586</v>
      </c>
      <c r="G220" s="35" t="s">
        <v>78</v>
      </c>
      <c r="H220" s="35">
        <v>1</v>
      </c>
      <c r="I220" s="35" t="s">
        <v>390</v>
      </c>
      <c r="J220" s="35" t="s">
        <v>79</v>
      </c>
      <c r="K220" s="35">
        <v>366</v>
      </c>
      <c r="L220" s="35" t="s">
        <v>129</v>
      </c>
      <c r="M220" s="35" t="s">
        <v>380</v>
      </c>
      <c r="N220" s="35">
        <v>3.3000000000000002E-2</v>
      </c>
      <c r="O220" s="35">
        <v>4.9000000000000002E-2</v>
      </c>
      <c r="P220" s="89">
        <f t="shared" si="74"/>
        <v>0.67346938775510201</v>
      </c>
      <c r="Q220" s="35" t="s">
        <v>312</v>
      </c>
      <c r="R220" s="89">
        <f t="shared" si="75"/>
        <v>-6.3039999999999999E-2</v>
      </c>
      <c r="S220" s="89">
        <f t="shared" si="76"/>
        <v>0.12903999999999999</v>
      </c>
      <c r="T220" s="35">
        <v>1</v>
      </c>
      <c r="U220" s="35">
        <v>591984</v>
      </c>
      <c r="V220" s="35" t="s">
        <v>312</v>
      </c>
      <c r="W220" s="35" t="s">
        <v>312</v>
      </c>
      <c r="X220" s="35">
        <f t="shared" si="77"/>
        <v>591984</v>
      </c>
      <c r="Y220" s="89">
        <f t="shared" si="78"/>
        <v>8.7531165054759402E-4</v>
      </c>
      <c r="Z220" s="89">
        <f t="shared" si="79"/>
        <v>1.2997051780858217E-3</v>
      </c>
      <c r="AA220" s="89">
        <f t="shared" si="83"/>
        <v>8.7531165054759402E-4</v>
      </c>
      <c r="AB220" s="35" t="s">
        <v>81</v>
      </c>
      <c r="AC220" s="89">
        <f t="shared" si="85"/>
        <v>1.3567110036275698E-3</v>
      </c>
      <c r="AD220" s="89" cm="1">
        <f t="array" ref="AD220">_xlfn.IFS(
AND(L220="marginal_effect",M220="level"),N220*AN220/BF220,
AND(L220="marginal_effect",M220="sd (Y)"),N220*BH220*AN220/BF220,
AND(L220="marginal_effect",M220="sd (X)"),N220/AQ220*AN220/BF220,
AND(L220="semi_elasticity",M220="level"),N220*AN220,
AND(L220="semi_elasticity",M220="sd (Y)"),N220*AN220*BH220,
AND(L220="semi_elasticity",M220="sd (X)"),N220*AN220/AQ220,
AND(L220="level-log",M220="level"),N220/BF220,
AND(L220="level-log",M220="sd (X)"),N220/BF220/AQ220,
AND(L220="level-log",M220="sd (Y)"),N220/BF220*BH220,
AND(L220="elasticity",M220="level"),N220,
AND(L220="elasticity",M220="sd (X)"),N220/AQ220,
AND(L220="elasticity",M220="sd (Y)"),N220*BH220,
AND(L220="marginal_effect",M220="percent_of_mean"),N220*AN220/BF220/10)</f>
        <v>1.3567110036275698E-3</v>
      </c>
      <c r="AE220" s="49">
        <f t="shared" si="80"/>
        <v>1</v>
      </c>
      <c r="AF220" s="89">
        <f t="shared" si="86"/>
        <v>2.0145102781136642E-3</v>
      </c>
      <c r="AG220" s="89" cm="1">
        <f t="array" ref="AG220">_xlfn.IFS(
AND(L220="marginal_effect",M220="level"),O220*AN220/BF220,
AND(L220="marginal_effect",M220="sd (Y)"),O220*BH220*AN220/BF220,
AND(L220="marginal_effect",M220="sd (X)"),O220/AQ220*AN220/BF220,
AND(L220="semi_elasticity",M220="level"),O220*AN220,
AND(L220="semi_elasticity",M220="sd (Y)"),O220*AN220*BH220,
AND(L220="semi_elasticity",M220="sd (X)"),O220*AN220/AQ220,
AND(L220="level-log",M220="level"),O220/BF220,
AND(L220="level-log",M220="sd (X)"),O220/BF220/AQ220,
AND(L220="level-log",M220="sd (Y)"),O220/BF220*BH220,
AND(L220="elasticity",M220="level"),O220,
AND(L220="elasticity",M220="sd (X)"),O220/AQ220,
AND(L220="elasticity",M220="sd (Y)"),O220*BH220,
AND(L220="marginal_effect",M220="percent_of_mean"),O220*AN220/BF220/10)</f>
        <v>2.0145102781136642E-3</v>
      </c>
      <c r="AH220" s="49">
        <f t="shared" si="81"/>
        <v>1</v>
      </c>
      <c r="AI220" s="89">
        <f t="shared" si="84"/>
        <v>1.3567110036275698E-3</v>
      </c>
      <c r="AJ220" s="35">
        <v>0</v>
      </c>
      <c r="AK220" s="49">
        <f t="shared" si="82"/>
        <v>1</v>
      </c>
      <c r="AL220" s="35" t="s">
        <v>148</v>
      </c>
      <c r="AM220" s="35" t="s">
        <v>590</v>
      </c>
      <c r="AN220" s="35">
        <f>0.034</f>
        <v>3.4000000000000002E-2</v>
      </c>
      <c r="AO220" s="35">
        <v>0</v>
      </c>
      <c r="AP220" s="35">
        <f>AN220</f>
        <v>3.4000000000000002E-2</v>
      </c>
      <c r="AQ220" s="35">
        <v>1.4999999999999999E-2</v>
      </c>
      <c r="AR220" s="35" t="s">
        <v>312</v>
      </c>
      <c r="AS220" s="35" t="s">
        <v>312</v>
      </c>
      <c r="AT220" s="35" t="s">
        <v>83</v>
      </c>
      <c r="AU220" s="35" t="s">
        <v>109</v>
      </c>
      <c r="AV220" s="35" t="s">
        <v>133</v>
      </c>
      <c r="AW220" s="35" t="s">
        <v>134</v>
      </c>
      <c r="AX220" s="35" t="s">
        <v>86</v>
      </c>
      <c r="AY220" s="35">
        <v>0</v>
      </c>
      <c r="AZ220" s="35">
        <v>0</v>
      </c>
      <c r="BA220" s="58" t="s">
        <v>111</v>
      </c>
      <c r="BB220" s="35" t="s">
        <v>88</v>
      </c>
      <c r="BC220" s="35" t="s">
        <v>587</v>
      </c>
      <c r="BD220" s="35" t="s">
        <v>114</v>
      </c>
      <c r="BE220" s="35" t="s">
        <v>595</v>
      </c>
      <c r="BF220" s="35">
        <v>0.82699999999999996</v>
      </c>
      <c r="BG220" s="35">
        <v>0</v>
      </c>
      <c r="BH220" s="35">
        <v>0.378</v>
      </c>
      <c r="BI220" s="35" t="s">
        <v>312</v>
      </c>
      <c r="BJ220" s="35" t="s">
        <v>312</v>
      </c>
      <c r="BK220" s="35" t="s">
        <v>91</v>
      </c>
      <c r="BL220" s="35" t="s">
        <v>84</v>
      </c>
      <c r="BM220" s="35">
        <v>1</v>
      </c>
      <c r="BN220" s="35" t="s">
        <v>539</v>
      </c>
      <c r="BO220" s="35" t="s">
        <v>589</v>
      </c>
      <c r="BP220" s="35" t="s">
        <v>588</v>
      </c>
      <c r="BQ220" s="35" t="s">
        <v>92</v>
      </c>
      <c r="BR220" s="35" t="s">
        <v>312</v>
      </c>
      <c r="BS220" s="35" t="s">
        <v>312</v>
      </c>
      <c r="BT220" s="35" t="s">
        <v>312</v>
      </c>
      <c r="BU220" s="35">
        <v>2008</v>
      </c>
      <c r="BV220" s="35">
        <v>2015</v>
      </c>
      <c r="BW220" s="35" t="s">
        <v>596</v>
      </c>
      <c r="BX220" s="35" t="s">
        <v>95</v>
      </c>
      <c r="BY220" s="35" t="s">
        <v>592</v>
      </c>
      <c r="BZ220" s="35">
        <v>0</v>
      </c>
      <c r="CA220" s="35">
        <v>0</v>
      </c>
      <c r="CB220" s="35" t="s">
        <v>97</v>
      </c>
      <c r="CC220" s="35" t="s">
        <v>625</v>
      </c>
      <c r="CD220" s="35">
        <v>1</v>
      </c>
      <c r="CE220" s="35" t="s">
        <v>594</v>
      </c>
      <c r="CF220" s="35">
        <v>1</v>
      </c>
      <c r="CG220" s="35" t="s">
        <v>667</v>
      </c>
      <c r="CH220" s="35">
        <v>1</v>
      </c>
      <c r="CI220" s="35" t="s">
        <v>541</v>
      </c>
      <c r="CJ220" s="35" t="s">
        <v>98</v>
      </c>
      <c r="CK220" s="35">
        <v>62</v>
      </c>
      <c r="CL220" s="35">
        <v>0</v>
      </c>
      <c r="CM220" s="35">
        <v>0</v>
      </c>
      <c r="CN220" s="35" t="s">
        <v>124</v>
      </c>
      <c r="CO220" s="35" t="s">
        <v>97</v>
      </c>
      <c r="CP220" s="35" t="s">
        <v>100</v>
      </c>
      <c r="CQ220" s="35" t="s">
        <v>126</v>
      </c>
      <c r="CR220" s="36">
        <v>46220</v>
      </c>
      <c r="CT220" s="35" t="s">
        <v>671</v>
      </c>
    </row>
    <row r="221" spans="1:98" s="35" customFormat="1" x14ac:dyDescent="0.35">
      <c r="A221" s="34" t="s">
        <v>583</v>
      </c>
      <c r="B221" s="34" t="s">
        <v>675</v>
      </c>
      <c r="C221" s="35" t="s">
        <v>584</v>
      </c>
      <c r="D221" s="35">
        <v>2018</v>
      </c>
      <c r="E221" s="34" t="s">
        <v>585</v>
      </c>
      <c r="F221" s="34" t="s">
        <v>586</v>
      </c>
      <c r="G221" s="35" t="s">
        <v>78</v>
      </c>
      <c r="H221" s="35">
        <v>1</v>
      </c>
      <c r="I221" s="35" t="s">
        <v>390</v>
      </c>
      <c r="J221" s="35" t="s">
        <v>79</v>
      </c>
      <c r="K221" s="35">
        <v>366</v>
      </c>
      <c r="L221" s="35" t="s">
        <v>129</v>
      </c>
      <c r="M221" s="35" t="s">
        <v>380</v>
      </c>
      <c r="N221" s="35">
        <v>-5.0000000000000001E-3</v>
      </c>
      <c r="O221" s="35">
        <v>2E-3</v>
      </c>
      <c r="P221" s="89">
        <f t="shared" si="74"/>
        <v>-2.5</v>
      </c>
      <c r="Q221" s="35" t="s">
        <v>312</v>
      </c>
      <c r="R221" s="89">
        <f t="shared" si="75"/>
        <v>-8.9200000000000008E-3</v>
      </c>
      <c r="S221" s="89">
        <f t="shared" si="76"/>
        <v>-1.0800000000000002E-3</v>
      </c>
      <c r="T221" s="35">
        <v>1</v>
      </c>
      <c r="U221" s="35">
        <v>217945</v>
      </c>
      <c r="V221" s="35" t="s">
        <v>312</v>
      </c>
      <c r="W221" s="35" t="s">
        <v>312</v>
      </c>
      <c r="X221" s="35">
        <f t="shared" si="77"/>
        <v>217945</v>
      </c>
      <c r="Y221" s="89">
        <f t="shared" si="78"/>
        <v>-5.3550104984949861E-3</v>
      </c>
      <c r="Z221" s="89">
        <f t="shared" si="79"/>
        <v>2.1420041993979945E-3</v>
      </c>
      <c r="AA221" s="89">
        <f t="shared" si="83"/>
        <v>-5.3550104984949861E-3</v>
      </c>
      <c r="AB221" s="35" t="s">
        <v>81</v>
      </c>
      <c r="AC221" s="89">
        <f t="shared" si="85"/>
        <v>-6.590084643288998E-3</v>
      </c>
      <c r="AD221" s="89" cm="1">
        <f t="array" ref="AD221">_xlfn.IFS(
AND(L221="marginal_effect",M221="level"),N221*AN221/BF221,
AND(L221="marginal_effect",M221="sd (Y)"),N221*BH221*AN221/BF221,
AND(L221="marginal_effect",M221="sd (X)"),N221/AQ221*AN221/BF221,
AND(L221="semi_elasticity",M221="level"),N221*AN221,
AND(L221="semi_elasticity",M221="sd (Y)"),N221*AN221*BH221,
AND(L221="semi_elasticity",M221="sd (X)"),N221*AN221/AQ221,
AND(L221="level-log",M221="level"),N221/BF221,
AND(L221="level-log",M221="sd (X)"),N221/BF221/AQ221,
AND(L221="level-log",M221="sd (Y)"),N221/BF221*BH221,
AND(L221="elasticity",M221="level"),N221,
AND(L221="elasticity",M221="sd (X)"),N221/AQ221,
AND(L221="elasticity",M221="sd (Y)"),N221*BH221,
AND(L221="marginal_effect",M221="percent_of_mean"),N221*AN221/BF221/10)</f>
        <v>-6.590084643288998E-3</v>
      </c>
      <c r="AE221" s="49">
        <f t="shared" si="80"/>
        <v>1</v>
      </c>
      <c r="AF221" s="89">
        <f t="shared" si="86"/>
        <v>2.6360338573155986E-3</v>
      </c>
      <c r="AG221" s="89" cm="1">
        <f t="array" ref="AG221">_xlfn.IFS(
AND(L221="marginal_effect",M221="level"),O221*AN221/BF221,
AND(L221="marginal_effect",M221="sd (Y)"),O221*BH221*AN221/BF221,
AND(L221="marginal_effect",M221="sd (X)"),O221/AQ221*AN221/BF221,
AND(L221="semi_elasticity",M221="level"),O221*AN221,
AND(L221="semi_elasticity",M221="sd (Y)"),O221*AN221*BH221,
AND(L221="semi_elasticity",M221="sd (X)"),O221*AN221/AQ221,
AND(L221="level-log",M221="level"),O221/BF221,
AND(L221="level-log",M221="sd (X)"),O221/BF221/AQ221,
AND(L221="level-log",M221="sd (Y)"),O221/BF221*BH221,
AND(L221="elasticity",M221="level"),O221,
AND(L221="elasticity",M221="sd (X)"),O221/AQ221,
AND(L221="elasticity",M221="sd (Y)"),O221*BH221,
AND(L221="marginal_effect",M221="percent_of_mean"),O221*AN221/BF221/10)</f>
        <v>2.6360338573155986E-3</v>
      </c>
      <c r="AH221" s="49">
        <f t="shared" si="81"/>
        <v>1</v>
      </c>
      <c r="AI221" s="89">
        <f t="shared" si="84"/>
        <v>-6.590084643288998E-3</v>
      </c>
      <c r="AJ221" s="35">
        <v>0</v>
      </c>
      <c r="AK221" s="49">
        <f t="shared" si="82"/>
        <v>1</v>
      </c>
      <c r="AL221" s="35" t="s">
        <v>82</v>
      </c>
      <c r="AM221" s="35" t="s">
        <v>296</v>
      </c>
      <c r="AN221" s="35">
        <v>1.0900000000000001</v>
      </c>
      <c r="AO221" s="35">
        <v>0</v>
      </c>
      <c r="AP221" s="35">
        <f>AN221*10</f>
        <v>10.9</v>
      </c>
      <c r="AQ221" s="35">
        <v>0.57999999999999996</v>
      </c>
      <c r="AR221" s="35" t="s">
        <v>312</v>
      </c>
      <c r="AS221" s="35" t="s">
        <v>312</v>
      </c>
      <c r="AT221" s="35" t="s">
        <v>83</v>
      </c>
      <c r="AU221" s="35" t="s">
        <v>109</v>
      </c>
      <c r="AV221" s="35" t="s">
        <v>133</v>
      </c>
      <c r="AW221" s="35" t="s">
        <v>134</v>
      </c>
      <c r="AX221" s="35" t="s">
        <v>86</v>
      </c>
      <c r="AY221" s="35">
        <v>0</v>
      </c>
      <c r="AZ221" s="35">
        <v>0</v>
      </c>
      <c r="BA221" s="58" t="s">
        <v>111</v>
      </c>
      <c r="BB221" s="35" t="s">
        <v>88</v>
      </c>
      <c r="BC221" s="35" t="s">
        <v>587</v>
      </c>
      <c r="BD221" s="35" t="s">
        <v>114</v>
      </c>
      <c r="BE221" s="35" t="s">
        <v>595</v>
      </c>
      <c r="BF221" s="35">
        <v>0.82699999999999996</v>
      </c>
      <c r="BG221" s="35">
        <v>0</v>
      </c>
      <c r="BH221" s="35">
        <v>0.378</v>
      </c>
      <c r="BI221" s="35" t="s">
        <v>312</v>
      </c>
      <c r="BJ221" s="35" t="s">
        <v>312</v>
      </c>
      <c r="BK221" s="35" t="s">
        <v>91</v>
      </c>
      <c r="BL221" s="35" t="s">
        <v>84</v>
      </c>
      <c r="BM221" s="35">
        <v>1</v>
      </c>
      <c r="BN221" s="35" t="s">
        <v>539</v>
      </c>
      <c r="BO221" s="35" t="s">
        <v>589</v>
      </c>
      <c r="BP221" s="35" t="s">
        <v>588</v>
      </c>
      <c r="BQ221" s="35" t="s">
        <v>92</v>
      </c>
      <c r="BR221" s="35" t="s">
        <v>312</v>
      </c>
      <c r="BS221" s="35" t="s">
        <v>312</v>
      </c>
      <c r="BT221" s="35" t="s">
        <v>312</v>
      </c>
      <c r="BU221" s="35">
        <v>2008</v>
      </c>
      <c r="BV221" s="35">
        <v>2015</v>
      </c>
      <c r="BW221" s="35" t="s">
        <v>596</v>
      </c>
      <c r="BX221" s="35" t="s">
        <v>95</v>
      </c>
      <c r="BY221" s="35" t="s">
        <v>592</v>
      </c>
      <c r="BZ221" s="35">
        <v>0</v>
      </c>
      <c r="CA221" s="35">
        <v>0</v>
      </c>
      <c r="CB221" s="35" t="s">
        <v>97</v>
      </c>
      <c r="CC221" s="35" t="s">
        <v>625</v>
      </c>
      <c r="CD221" s="35">
        <v>1</v>
      </c>
      <c r="CE221" s="35" t="s">
        <v>594</v>
      </c>
      <c r="CF221" s="35">
        <v>1</v>
      </c>
      <c r="CG221" s="35" t="s">
        <v>668</v>
      </c>
      <c r="CH221" s="35">
        <v>1</v>
      </c>
      <c r="CI221" s="35" t="s">
        <v>541</v>
      </c>
      <c r="CJ221" s="35" t="s">
        <v>98</v>
      </c>
      <c r="CK221" s="35">
        <v>62</v>
      </c>
      <c r="CL221" s="35">
        <v>0</v>
      </c>
      <c r="CM221" s="35">
        <v>0</v>
      </c>
      <c r="CN221" s="35" t="s">
        <v>124</v>
      </c>
      <c r="CO221" s="35" t="s">
        <v>97</v>
      </c>
      <c r="CP221" s="35" t="s">
        <v>100</v>
      </c>
      <c r="CQ221" s="35" t="s">
        <v>126</v>
      </c>
      <c r="CR221" s="36">
        <v>46220</v>
      </c>
      <c r="CT221" s="35" t="s">
        <v>670</v>
      </c>
    </row>
    <row r="222" spans="1:98" s="35" customFormat="1" x14ac:dyDescent="0.35">
      <c r="A222" s="34" t="s">
        <v>583</v>
      </c>
      <c r="B222" s="34" t="s">
        <v>674</v>
      </c>
      <c r="C222" s="35" t="s">
        <v>584</v>
      </c>
      <c r="D222" s="35">
        <v>2018</v>
      </c>
      <c r="E222" s="34" t="s">
        <v>585</v>
      </c>
      <c r="F222" s="34" t="s">
        <v>586</v>
      </c>
      <c r="G222" s="35" t="s">
        <v>78</v>
      </c>
      <c r="H222" s="35">
        <v>1</v>
      </c>
      <c r="I222" s="35" t="s">
        <v>390</v>
      </c>
      <c r="J222" s="35" t="s">
        <v>79</v>
      </c>
      <c r="K222" s="35">
        <v>366</v>
      </c>
      <c r="L222" s="35" t="s">
        <v>129</v>
      </c>
      <c r="M222" s="35" t="s">
        <v>380</v>
      </c>
      <c r="N222" s="35">
        <v>7.1999999999999995E-2</v>
      </c>
      <c r="O222" s="35">
        <v>8.3000000000000004E-2</v>
      </c>
      <c r="P222" s="89">
        <f t="shared" si="74"/>
        <v>0.8674698795180722</v>
      </c>
      <c r="Q222" s="35" t="s">
        <v>312</v>
      </c>
      <c r="R222" s="89">
        <f t="shared" si="75"/>
        <v>-9.0680000000000024E-2</v>
      </c>
      <c r="S222" s="89">
        <f t="shared" si="76"/>
        <v>0.23468</v>
      </c>
      <c r="T222" s="35">
        <v>1</v>
      </c>
      <c r="U222" s="35">
        <v>217945</v>
      </c>
      <c r="V222" s="35" t="s">
        <v>312</v>
      </c>
      <c r="W222" s="35" t="s">
        <v>312</v>
      </c>
      <c r="X222" s="35">
        <f t="shared" si="77"/>
        <v>217945</v>
      </c>
      <c r="Y222" s="89">
        <f t="shared" si="78"/>
        <v>1.8581475594305547E-3</v>
      </c>
      <c r="Z222" s="89">
        <f t="shared" si="79"/>
        <v>2.1420312143435563E-3</v>
      </c>
      <c r="AA222" s="89">
        <f t="shared" si="83"/>
        <v>1.8581475594305547E-3</v>
      </c>
      <c r="AB222" s="35" t="s">
        <v>81</v>
      </c>
      <c r="AC222" s="89">
        <f t="shared" si="85"/>
        <v>2.9600967351874246E-3</v>
      </c>
      <c r="AD222" s="89" cm="1">
        <f t="array" ref="AD222">_xlfn.IFS(
AND(L222="marginal_effect",M222="level"),N222*AN222/BF222,
AND(L222="marginal_effect",M222="sd (Y)"),N222*BH222*AN222/BF222,
AND(L222="marginal_effect",M222="sd (X)"),N222/AQ222*AN222/BF222,
AND(L222="semi_elasticity",M222="level"),N222*AN222,
AND(L222="semi_elasticity",M222="sd (Y)"),N222*AN222*BH222,
AND(L222="semi_elasticity",M222="sd (X)"),N222*AN222/AQ222,
AND(L222="level-log",M222="level"),N222/BF222,
AND(L222="level-log",M222="sd (X)"),N222/BF222/AQ222,
AND(L222="level-log",M222="sd (Y)"),N222/BF222*BH222,
AND(L222="elasticity",M222="level"),N222,
AND(L222="elasticity",M222="sd (X)"),N222/AQ222,
AND(L222="elasticity",M222="sd (Y)"),N222*BH222,
AND(L222="marginal_effect",M222="percent_of_mean"),N222*AN222/BF222/10)</f>
        <v>2.9600967351874246E-3</v>
      </c>
      <c r="AE222" s="49">
        <f t="shared" si="80"/>
        <v>1</v>
      </c>
      <c r="AF222" s="89">
        <f t="shared" si="86"/>
        <v>3.4123337363966147E-3</v>
      </c>
      <c r="AG222" s="89" cm="1">
        <f t="array" ref="AG222">_xlfn.IFS(
AND(L222="marginal_effect",M222="level"),O222*AN222/BF222,
AND(L222="marginal_effect",M222="sd (Y)"),O222*BH222*AN222/BF222,
AND(L222="marginal_effect",M222="sd (X)"),O222/AQ222*AN222/BF222,
AND(L222="semi_elasticity",M222="level"),O222*AN222,
AND(L222="semi_elasticity",M222="sd (Y)"),O222*AN222*BH222,
AND(L222="semi_elasticity",M222="sd (X)"),O222*AN222/AQ222,
AND(L222="level-log",M222="level"),O222/BF222,
AND(L222="level-log",M222="sd (X)"),O222/BF222/AQ222,
AND(L222="level-log",M222="sd (Y)"),O222/BF222*BH222,
AND(L222="elasticity",M222="level"),O222,
AND(L222="elasticity",M222="sd (X)"),O222/AQ222,
AND(L222="elasticity",M222="sd (Y)"),O222*BH222,
AND(L222="marginal_effect",M222="percent_of_mean"),O222*AN222/BF222/10)</f>
        <v>3.4123337363966147E-3</v>
      </c>
      <c r="AH222" s="49">
        <f t="shared" si="81"/>
        <v>1</v>
      </c>
      <c r="AI222" s="89">
        <f t="shared" si="84"/>
        <v>2.9600967351874246E-3</v>
      </c>
      <c r="AJ222" s="35">
        <v>0</v>
      </c>
      <c r="AK222" s="49">
        <f t="shared" si="82"/>
        <v>1</v>
      </c>
      <c r="AL222" s="35" t="s">
        <v>148</v>
      </c>
      <c r="AM222" s="35" t="s">
        <v>590</v>
      </c>
      <c r="AN222" s="35">
        <f>0.034</f>
        <v>3.4000000000000002E-2</v>
      </c>
      <c r="AO222" s="35">
        <v>0</v>
      </c>
      <c r="AP222" s="35">
        <f t="shared" ref="AP222:AP286" si="87">AN222</f>
        <v>3.4000000000000002E-2</v>
      </c>
      <c r="AQ222" s="35">
        <v>1.4999999999999999E-2</v>
      </c>
      <c r="AR222" s="35" t="s">
        <v>312</v>
      </c>
      <c r="AS222" s="35" t="s">
        <v>312</v>
      </c>
      <c r="AT222" s="35" t="s">
        <v>83</v>
      </c>
      <c r="AU222" s="35" t="s">
        <v>109</v>
      </c>
      <c r="AV222" s="35" t="s">
        <v>133</v>
      </c>
      <c r="AW222" s="35" t="s">
        <v>134</v>
      </c>
      <c r="AX222" s="35" t="s">
        <v>86</v>
      </c>
      <c r="AY222" s="35">
        <v>0</v>
      </c>
      <c r="AZ222" s="35">
        <v>0</v>
      </c>
      <c r="BA222" s="58" t="s">
        <v>111</v>
      </c>
      <c r="BB222" s="35" t="s">
        <v>88</v>
      </c>
      <c r="BC222" s="35" t="s">
        <v>587</v>
      </c>
      <c r="BD222" s="35" t="s">
        <v>114</v>
      </c>
      <c r="BE222" s="35" t="s">
        <v>595</v>
      </c>
      <c r="BF222" s="35">
        <v>0.82699999999999996</v>
      </c>
      <c r="BG222" s="35">
        <v>0</v>
      </c>
      <c r="BH222" s="35">
        <v>0.378</v>
      </c>
      <c r="BI222" s="35" t="s">
        <v>312</v>
      </c>
      <c r="BJ222" s="35" t="s">
        <v>312</v>
      </c>
      <c r="BK222" s="35" t="s">
        <v>91</v>
      </c>
      <c r="BL222" s="35" t="s">
        <v>84</v>
      </c>
      <c r="BM222" s="35">
        <v>1</v>
      </c>
      <c r="BN222" s="35" t="s">
        <v>539</v>
      </c>
      <c r="BO222" s="35" t="s">
        <v>589</v>
      </c>
      <c r="BP222" s="35" t="s">
        <v>588</v>
      </c>
      <c r="BQ222" s="35" t="s">
        <v>92</v>
      </c>
      <c r="BR222" s="35" t="s">
        <v>312</v>
      </c>
      <c r="BS222" s="35" t="s">
        <v>312</v>
      </c>
      <c r="BT222" s="35" t="s">
        <v>312</v>
      </c>
      <c r="BU222" s="35">
        <v>2008</v>
      </c>
      <c r="BV222" s="35">
        <v>2015</v>
      </c>
      <c r="BW222" s="35" t="s">
        <v>596</v>
      </c>
      <c r="BX222" s="35" t="s">
        <v>95</v>
      </c>
      <c r="BY222" s="35" t="s">
        <v>592</v>
      </c>
      <c r="BZ222" s="35">
        <v>0</v>
      </c>
      <c r="CA222" s="35">
        <v>0</v>
      </c>
      <c r="CB222" s="35" t="s">
        <v>97</v>
      </c>
      <c r="CC222" s="35" t="s">
        <v>625</v>
      </c>
      <c r="CD222" s="35">
        <v>1</v>
      </c>
      <c r="CE222" s="35" t="s">
        <v>594</v>
      </c>
      <c r="CF222" s="35">
        <v>1</v>
      </c>
      <c r="CG222" s="35" t="s">
        <v>669</v>
      </c>
      <c r="CH222" s="35">
        <v>1</v>
      </c>
      <c r="CI222" s="35" t="s">
        <v>541</v>
      </c>
      <c r="CJ222" s="35" t="s">
        <v>98</v>
      </c>
      <c r="CK222" s="35">
        <v>62</v>
      </c>
      <c r="CL222" s="35">
        <v>0</v>
      </c>
      <c r="CM222" s="35">
        <v>0</v>
      </c>
      <c r="CN222" s="35" t="s">
        <v>124</v>
      </c>
      <c r="CO222" s="35" t="s">
        <v>97</v>
      </c>
      <c r="CP222" s="35" t="s">
        <v>100</v>
      </c>
      <c r="CQ222" s="35" t="s">
        <v>126</v>
      </c>
      <c r="CR222" s="36">
        <v>46220</v>
      </c>
      <c r="CT222" s="35" t="s">
        <v>670</v>
      </c>
    </row>
    <row r="223" spans="1:98" s="39" customFormat="1" x14ac:dyDescent="0.35">
      <c r="A223" s="38" t="s">
        <v>682</v>
      </c>
      <c r="B223" s="38" t="s">
        <v>693</v>
      </c>
      <c r="C223" s="39" t="s">
        <v>683</v>
      </c>
      <c r="D223" s="39">
        <v>2019</v>
      </c>
      <c r="E223" s="38" t="s">
        <v>684</v>
      </c>
      <c r="F223" s="38" t="s">
        <v>685</v>
      </c>
      <c r="G223" s="39" t="s">
        <v>78</v>
      </c>
      <c r="H223" s="39">
        <v>1</v>
      </c>
      <c r="I223" s="39" t="s">
        <v>686</v>
      </c>
      <c r="J223" s="39" t="s">
        <v>79</v>
      </c>
      <c r="K223" s="39">
        <v>266</v>
      </c>
      <c r="L223" s="39" t="s">
        <v>129</v>
      </c>
      <c r="M223" s="39" t="s">
        <v>557</v>
      </c>
      <c r="N223" s="39">
        <v>-0.35359000000000002</v>
      </c>
      <c r="O223" s="39">
        <v>6.8049999999999999E-2</v>
      </c>
      <c r="P223" s="90">
        <f t="shared" si="74"/>
        <v>-5.1960323291697286</v>
      </c>
      <c r="Q223" s="39" t="s">
        <v>312</v>
      </c>
      <c r="R223" s="90">
        <f t="shared" si="75"/>
        <v>-0.48696800000000001</v>
      </c>
      <c r="S223" s="90">
        <f t="shared" si="76"/>
        <v>-0.22021200000000002</v>
      </c>
      <c r="T223" s="39">
        <v>1</v>
      </c>
      <c r="U223" s="39">
        <v>984740</v>
      </c>
      <c r="V223" s="39">
        <v>3</v>
      </c>
      <c r="W223" s="39">
        <v>1</v>
      </c>
      <c r="X223" s="39">
        <f t="shared" si="77"/>
        <v>984737</v>
      </c>
      <c r="Y223" s="90">
        <f t="shared" si="78"/>
        <v>-5.2360738465623835E-3</v>
      </c>
      <c r="Z223" s="90">
        <f t="shared" si="79"/>
        <v>1.0077061717202697E-3</v>
      </c>
      <c r="AA223" s="90">
        <f t="shared" si="83"/>
        <v>-5.2360738465623835E-3</v>
      </c>
      <c r="AB223" s="39" t="s">
        <v>81</v>
      </c>
      <c r="AC223" s="90">
        <f t="shared" ref="AC223:AC230" si="88">N223/AQ223*AN223/BF223</f>
        <v>-1.3248102551083284E-2</v>
      </c>
      <c r="AD223" s="90" cm="1">
        <f t="array" ref="AD223">_xlfn.IFS(
AND(L223="marginal_effect",M223="level"),N223*AN223/BF223,
AND(L223="marginal_effect",M223="sd (Y)"),N223*BH223*AN223/BF223,
AND(L223="marginal_effect",M223="sd (X)"),N223/AQ223*AN223/BF223,
AND(L223="semi_elasticity",M223="level"),N223*AN223,
AND(L223="semi_elasticity",M223="sd (Y)"),N223*AN223*BH223,
AND(L223="semi_elasticity",M223="sd (X)"),N223*AN223/AQ223,
AND(L223="level-log",M223="level"),N223/BF223,
AND(L223="level-log",M223="sd (X)"),N223/BF223/AQ223,
AND(L223="level-log",M223="sd (Y)"),N223/BF223*BH223,
AND(L223="elasticity",M223="level"),N223,
AND(L223="elasticity",M223="sd (X)"),N223/AQ223,
AND(L223="elasticity",M223="sd (Y)"),N223*BH223,
AND(L223="marginal_effect",M223="percent_of_mean"),N223*AN223/BF223/10)</f>
        <v>-1.3248102551083284E-2</v>
      </c>
      <c r="AE223" s="41">
        <f t="shared" si="80"/>
        <v>1</v>
      </c>
      <c r="AF223" s="90">
        <f t="shared" ref="AF223:AF230" si="89">O223/AQ223*AN223/BF223</f>
        <v>2.5496574524200839E-3</v>
      </c>
      <c r="AG223" s="90" cm="1">
        <f t="array" ref="AG223">_xlfn.IFS(
AND(L223="marginal_effect",M223="level"),O223*AN223/BF223,
AND(L223="marginal_effect",M223="sd (Y)"),O223*BH223*AN223/BF223,
AND(L223="marginal_effect",M223="sd (X)"),O223/AQ223*AN223/BF223,
AND(L223="semi_elasticity",M223="level"),O223*AN223,
AND(L223="semi_elasticity",M223="sd (Y)"),O223*AN223*BH223,
AND(L223="semi_elasticity",M223="sd (X)"),O223*AN223/AQ223,
AND(L223="level-log",M223="level"),O223/BF223,
AND(L223="level-log",M223="sd (X)"),O223/BF223/AQ223,
AND(L223="level-log",M223="sd (Y)"),O223/BF223*BH223,
AND(L223="elasticity",M223="level"),O223,
AND(L223="elasticity",M223="sd (X)"),O223/AQ223,
AND(L223="elasticity",M223="sd (Y)"),O223*BH223,
AND(L223="marginal_effect",M223="percent_of_mean"),O223*AN223/BF223/10)</f>
        <v>2.5496574524200839E-3</v>
      </c>
      <c r="AH223" s="41">
        <f t="shared" si="81"/>
        <v>1</v>
      </c>
      <c r="AI223" s="90">
        <f t="shared" si="84"/>
        <v>-1.3248102551083284E-2</v>
      </c>
      <c r="AJ223" s="39">
        <v>0</v>
      </c>
      <c r="AK223" s="41">
        <f t="shared" si="82"/>
        <v>1</v>
      </c>
      <c r="AL223" s="39" t="s">
        <v>82</v>
      </c>
      <c r="AM223" s="39" t="s">
        <v>1333</v>
      </c>
      <c r="AN223" s="39">
        <v>50.65</v>
      </c>
      <c r="AO223" s="39">
        <v>0</v>
      </c>
      <c r="AP223" s="39">
        <f t="shared" si="87"/>
        <v>50.65</v>
      </c>
      <c r="AQ223" s="39">
        <v>27.51</v>
      </c>
      <c r="AR223" s="39" t="s">
        <v>312</v>
      </c>
      <c r="AS223" s="39" t="s">
        <v>312</v>
      </c>
      <c r="AT223" s="39" t="s">
        <v>83</v>
      </c>
      <c r="AU223" s="39" t="s">
        <v>85</v>
      </c>
      <c r="AV223" s="39" t="s">
        <v>108</v>
      </c>
      <c r="AW223" s="39" t="s">
        <v>85</v>
      </c>
      <c r="AX223" s="39" t="s">
        <v>86</v>
      </c>
      <c r="AY223" s="39">
        <v>0</v>
      </c>
      <c r="AZ223" s="39">
        <v>0</v>
      </c>
      <c r="BA223" s="39" t="s">
        <v>87</v>
      </c>
      <c r="BB223" s="39" t="s">
        <v>88</v>
      </c>
      <c r="BC223" s="39" t="s">
        <v>89</v>
      </c>
      <c r="BD223" s="39" t="s">
        <v>114</v>
      </c>
      <c r="BE223" s="39" t="s">
        <v>688</v>
      </c>
      <c r="BF223" s="39">
        <v>49.14</v>
      </c>
      <c r="BG223" s="39">
        <v>0</v>
      </c>
      <c r="BH223" s="39">
        <v>21.11</v>
      </c>
      <c r="BI223" s="39" t="s">
        <v>312</v>
      </c>
      <c r="BJ223" s="39" t="s">
        <v>312</v>
      </c>
      <c r="BK223" s="39" t="s">
        <v>91</v>
      </c>
      <c r="BL223" s="39" t="s">
        <v>84</v>
      </c>
      <c r="BM223" s="39">
        <v>1</v>
      </c>
      <c r="BN223" s="39" t="s">
        <v>2177</v>
      </c>
      <c r="BO223" s="39" t="s">
        <v>687</v>
      </c>
      <c r="BP223" s="39" t="s">
        <v>315</v>
      </c>
      <c r="BQ223" s="39" t="s">
        <v>117</v>
      </c>
      <c r="BR223" s="39" t="s">
        <v>312</v>
      </c>
      <c r="BS223" s="39">
        <v>28.94</v>
      </c>
      <c r="BT223" s="39" t="s">
        <v>312</v>
      </c>
      <c r="BU223" s="39" t="s">
        <v>689</v>
      </c>
      <c r="BV223" s="39" t="s">
        <v>690</v>
      </c>
      <c r="BW223" s="39" t="s">
        <v>94</v>
      </c>
      <c r="BX223" s="39" t="s">
        <v>95</v>
      </c>
      <c r="BY223" s="39" t="s">
        <v>96</v>
      </c>
      <c r="BZ223" s="39">
        <v>0</v>
      </c>
      <c r="CA223" s="39">
        <v>0</v>
      </c>
      <c r="CB223" s="39" t="s">
        <v>97</v>
      </c>
      <c r="CC223" s="39" t="s">
        <v>692</v>
      </c>
      <c r="CD223" s="39">
        <v>1</v>
      </c>
      <c r="CE223" s="39" t="s">
        <v>435</v>
      </c>
      <c r="CF223" s="39">
        <v>1</v>
      </c>
      <c r="CG223" s="39" t="s">
        <v>106</v>
      </c>
      <c r="CH223" s="39">
        <v>1</v>
      </c>
      <c r="CI223" s="39" t="s">
        <v>691</v>
      </c>
      <c r="CJ223" s="39" t="s">
        <v>98</v>
      </c>
      <c r="CK223" s="39">
        <v>8</v>
      </c>
      <c r="CL223" s="39">
        <v>0</v>
      </c>
      <c r="CM223" s="39">
        <v>0</v>
      </c>
      <c r="CN223" s="39" t="s">
        <v>99</v>
      </c>
      <c r="CO223" s="39" t="s">
        <v>97</v>
      </c>
      <c r="CP223" s="39" t="s">
        <v>100</v>
      </c>
      <c r="CQ223" s="39" t="s">
        <v>126</v>
      </c>
      <c r="CR223" s="42">
        <v>46220</v>
      </c>
      <c r="CT223" s="39" t="s">
        <v>543</v>
      </c>
    </row>
    <row r="224" spans="1:98" s="39" customFormat="1" x14ac:dyDescent="0.35">
      <c r="A224" s="38" t="s">
        <v>682</v>
      </c>
      <c r="B224" s="38" t="s">
        <v>694</v>
      </c>
      <c r="C224" s="39" t="s">
        <v>683</v>
      </c>
      <c r="D224" s="39">
        <v>2019</v>
      </c>
      <c r="E224" s="38" t="s">
        <v>684</v>
      </c>
      <c r="F224" s="38" t="s">
        <v>685</v>
      </c>
      <c r="G224" s="39" t="s">
        <v>78</v>
      </c>
      <c r="H224" s="39">
        <v>1</v>
      </c>
      <c r="I224" s="39" t="s">
        <v>686</v>
      </c>
      <c r="J224" s="39" t="s">
        <v>79</v>
      </c>
      <c r="K224" s="39">
        <v>266</v>
      </c>
      <c r="L224" s="39" t="s">
        <v>129</v>
      </c>
      <c r="M224" s="39" t="s">
        <v>557</v>
      </c>
      <c r="N224" s="39">
        <v>-0.45876</v>
      </c>
      <c r="O224" s="39">
        <v>6.6989999999999994E-2</v>
      </c>
      <c r="P224" s="90">
        <f t="shared" si="74"/>
        <v>-6.8481862964621589</v>
      </c>
      <c r="Q224" s="39" t="s">
        <v>312</v>
      </c>
      <c r="R224" s="90">
        <f t="shared" si="75"/>
        <v>-0.59006040000000004</v>
      </c>
      <c r="S224" s="90">
        <f t="shared" si="76"/>
        <v>-0.32745960000000002</v>
      </c>
      <c r="T224" s="39">
        <v>1</v>
      </c>
      <c r="U224" s="39">
        <v>984740</v>
      </c>
      <c r="V224" s="39">
        <v>3</v>
      </c>
      <c r="W224" s="39">
        <v>1</v>
      </c>
      <c r="X224" s="39">
        <f t="shared" si="77"/>
        <v>984737</v>
      </c>
      <c r="Y224" s="90">
        <f t="shared" si="78"/>
        <v>-6.9008898740261981E-3</v>
      </c>
      <c r="Z224" s="90">
        <f t="shared" si="79"/>
        <v>1.0076959906291196E-3</v>
      </c>
      <c r="AA224" s="90">
        <f t="shared" si="83"/>
        <v>-6.9008898740261981E-3</v>
      </c>
      <c r="AB224" s="39" t="s">
        <v>81</v>
      </c>
      <c r="AC224" s="90">
        <f t="shared" si="88"/>
        <v>-1.7188550372846993E-2</v>
      </c>
      <c r="AD224" s="90" cm="1">
        <f t="array" ref="AD224">_xlfn.IFS(
AND(L224="marginal_effect",M224="level"),N224*AN224/BF224,
AND(L224="marginal_effect",M224="sd (Y)"),N224*BH224*AN224/BF224,
AND(L224="marginal_effect",M224="sd (X)"),N224/AQ224*AN224/BF224,
AND(L224="semi_elasticity",M224="level"),N224*AN224,
AND(L224="semi_elasticity",M224="sd (Y)"),N224*AN224*BH224,
AND(L224="semi_elasticity",M224="sd (X)"),N224*AN224/AQ224,
AND(L224="level-log",M224="level"),N224/BF224,
AND(L224="level-log",M224="sd (X)"),N224/BF224/AQ224,
AND(L224="level-log",M224="sd (Y)"),N224/BF224*BH224,
AND(L224="elasticity",M224="level"),N224,
AND(L224="elasticity",M224="sd (X)"),N224/AQ224,
AND(L224="elasticity",M224="sd (Y)"),N224*BH224,
AND(L224="marginal_effect",M224="percent_of_mean"),N224*AN224/BF224/10)</f>
        <v>-1.7188550372846993E-2</v>
      </c>
      <c r="AE224" s="41">
        <f t="shared" si="80"/>
        <v>1</v>
      </c>
      <c r="AF224" s="90">
        <f t="shared" si="89"/>
        <v>2.5099419946748185E-3</v>
      </c>
      <c r="AG224" s="90" cm="1">
        <f t="array" ref="AG224">_xlfn.IFS(
AND(L224="marginal_effect",M224="level"),O224*AN224/BF224,
AND(L224="marginal_effect",M224="sd (Y)"),O224*BH224*AN224/BF224,
AND(L224="marginal_effect",M224="sd (X)"),O224/AQ224*AN224/BF224,
AND(L224="semi_elasticity",M224="level"),O224*AN224,
AND(L224="semi_elasticity",M224="sd (Y)"),O224*AN224*BH224,
AND(L224="semi_elasticity",M224="sd (X)"),O224*AN224/AQ224,
AND(L224="level-log",M224="level"),O224/BF224,
AND(L224="level-log",M224="sd (X)"),O224/BF224/AQ224,
AND(L224="level-log",M224="sd (Y)"),O224/BF224*BH224,
AND(L224="elasticity",M224="level"),O224,
AND(L224="elasticity",M224="sd (X)"),O224/AQ224,
AND(L224="elasticity",M224="sd (Y)"),O224*BH224,
AND(L224="marginal_effect",M224="percent_of_mean"),O224*AN224/BF224/10)</f>
        <v>2.5099419946748185E-3</v>
      </c>
      <c r="AH224" s="41">
        <f t="shared" si="81"/>
        <v>1</v>
      </c>
      <c r="AI224" s="90">
        <f t="shared" si="84"/>
        <v>-1.7188550372846993E-2</v>
      </c>
      <c r="AJ224" s="39">
        <v>0</v>
      </c>
      <c r="AK224" s="41">
        <f t="shared" si="82"/>
        <v>1</v>
      </c>
      <c r="AL224" s="39" t="s">
        <v>82</v>
      </c>
      <c r="AM224" s="39" t="s">
        <v>1333</v>
      </c>
      <c r="AN224" s="39">
        <v>50.65</v>
      </c>
      <c r="AO224" s="39">
        <v>0</v>
      </c>
      <c r="AP224" s="39">
        <f t="shared" si="87"/>
        <v>50.65</v>
      </c>
      <c r="AQ224" s="39">
        <v>27.51</v>
      </c>
      <c r="AR224" s="39" t="s">
        <v>312</v>
      </c>
      <c r="AS224" s="39" t="s">
        <v>312</v>
      </c>
      <c r="AT224" s="39" t="s">
        <v>83</v>
      </c>
      <c r="AU224" s="39" t="s">
        <v>85</v>
      </c>
      <c r="AV224" s="39" t="s">
        <v>108</v>
      </c>
      <c r="AW224" s="39" t="s">
        <v>85</v>
      </c>
      <c r="AX224" s="39" t="s">
        <v>86</v>
      </c>
      <c r="AY224" s="39">
        <v>0</v>
      </c>
      <c r="AZ224" s="39">
        <v>0</v>
      </c>
      <c r="BA224" s="39" t="s">
        <v>87</v>
      </c>
      <c r="BB224" s="39" t="s">
        <v>88</v>
      </c>
      <c r="BC224" s="39" t="s">
        <v>89</v>
      </c>
      <c r="BD224" s="39" t="s">
        <v>114</v>
      </c>
      <c r="BE224" s="39" t="s">
        <v>688</v>
      </c>
      <c r="BF224" s="39">
        <v>49.14</v>
      </c>
      <c r="BG224" s="39">
        <v>0</v>
      </c>
      <c r="BH224" s="39">
        <v>21.11</v>
      </c>
      <c r="BI224" s="39" t="s">
        <v>312</v>
      </c>
      <c r="BJ224" s="39" t="s">
        <v>312</v>
      </c>
      <c r="BK224" s="39" t="s">
        <v>91</v>
      </c>
      <c r="BL224" s="39" t="s">
        <v>84</v>
      </c>
      <c r="BM224" s="39">
        <v>1</v>
      </c>
      <c r="BN224" s="39" t="s">
        <v>2177</v>
      </c>
      <c r="BO224" s="39" t="s">
        <v>687</v>
      </c>
      <c r="BP224" s="39" t="s">
        <v>315</v>
      </c>
      <c r="BQ224" s="39" t="s">
        <v>117</v>
      </c>
      <c r="BR224" s="39" t="s">
        <v>312</v>
      </c>
      <c r="BS224" s="39">
        <v>28.94</v>
      </c>
      <c r="BT224" s="39" t="s">
        <v>312</v>
      </c>
      <c r="BU224" s="39" t="s">
        <v>689</v>
      </c>
      <c r="BV224" s="39" t="s">
        <v>690</v>
      </c>
      <c r="BW224" s="39" t="s">
        <v>94</v>
      </c>
      <c r="BX224" s="39" t="s">
        <v>95</v>
      </c>
      <c r="BY224" s="39" t="s">
        <v>96</v>
      </c>
      <c r="BZ224" s="39">
        <v>0</v>
      </c>
      <c r="CA224" s="39">
        <v>0</v>
      </c>
      <c r="CB224" s="39" t="s">
        <v>97</v>
      </c>
      <c r="CC224" s="39" t="s">
        <v>692</v>
      </c>
      <c r="CD224" s="39">
        <v>1</v>
      </c>
      <c r="CE224" s="39" t="s">
        <v>435</v>
      </c>
      <c r="CF224" s="39">
        <v>1</v>
      </c>
      <c r="CG224" s="39" t="s">
        <v>106</v>
      </c>
      <c r="CH224" s="39">
        <v>1</v>
      </c>
      <c r="CI224" s="39" t="s">
        <v>691</v>
      </c>
      <c r="CJ224" s="39" t="s">
        <v>98</v>
      </c>
      <c r="CK224" s="39">
        <v>8</v>
      </c>
      <c r="CL224" s="39">
        <v>1</v>
      </c>
      <c r="CM224" s="39">
        <v>1</v>
      </c>
      <c r="CN224" s="39" t="s">
        <v>99</v>
      </c>
      <c r="CO224" s="39" t="s">
        <v>97</v>
      </c>
      <c r="CP224" s="39" t="s">
        <v>100</v>
      </c>
      <c r="CQ224" s="39" t="s">
        <v>126</v>
      </c>
      <c r="CR224" s="42">
        <v>46220</v>
      </c>
      <c r="CT224" s="39" t="s">
        <v>549</v>
      </c>
    </row>
    <row r="225" spans="1:98" s="39" customFormat="1" x14ac:dyDescent="0.35">
      <c r="A225" s="38" t="s">
        <v>682</v>
      </c>
      <c r="B225" s="38" t="s">
        <v>695</v>
      </c>
      <c r="C225" s="39" t="s">
        <v>683</v>
      </c>
      <c r="D225" s="39">
        <v>2019</v>
      </c>
      <c r="E225" s="38" t="s">
        <v>684</v>
      </c>
      <c r="F225" s="38" t="s">
        <v>685</v>
      </c>
      <c r="G225" s="39" t="s">
        <v>78</v>
      </c>
      <c r="H225" s="39">
        <v>1</v>
      </c>
      <c r="I225" s="39" t="s">
        <v>686</v>
      </c>
      <c r="J225" s="39" t="s">
        <v>79</v>
      </c>
      <c r="K225" s="39">
        <v>266</v>
      </c>
      <c r="L225" s="39" t="s">
        <v>129</v>
      </c>
      <c r="M225" s="39" t="s">
        <v>557</v>
      </c>
      <c r="N225" s="39">
        <v>-0.29041</v>
      </c>
      <c r="O225" s="39">
        <v>6.8430000000000005E-2</v>
      </c>
      <c r="P225" s="90">
        <f t="shared" si="74"/>
        <v>-4.2438988747625306</v>
      </c>
      <c r="Q225" s="39" t="s">
        <v>312</v>
      </c>
      <c r="R225" s="90">
        <f t="shared" si="75"/>
        <v>-0.42453280000000004</v>
      </c>
      <c r="S225" s="90">
        <f t="shared" si="76"/>
        <v>-0.15628719999999999</v>
      </c>
      <c r="T225" s="39">
        <v>1</v>
      </c>
      <c r="U225" s="39">
        <v>984740</v>
      </c>
      <c r="V225" s="39">
        <v>3</v>
      </c>
      <c r="W225" s="39">
        <v>1</v>
      </c>
      <c r="X225" s="39">
        <f t="shared" si="77"/>
        <v>984737</v>
      </c>
      <c r="Y225" s="90">
        <f t="shared" si="78"/>
        <v>-4.2766226049561259E-3</v>
      </c>
      <c r="Z225" s="90">
        <f t="shared" si="79"/>
        <v>1.0077107704870622E-3</v>
      </c>
      <c r="AA225" s="90">
        <f t="shared" si="83"/>
        <v>-4.2766226049561259E-3</v>
      </c>
      <c r="AB225" s="39" t="s">
        <v>81</v>
      </c>
      <c r="AC225" s="90">
        <f t="shared" si="88"/>
        <v>-1.0880911399813616E-2</v>
      </c>
      <c r="AD225" s="90" cm="1">
        <f t="array" ref="AD225">_xlfn.IFS(
AND(L225="marginal_effect",M225="level"),N225*AN225/BF225,
AND(L225="marginal_effect",M225="sd (Y)"),N225*BH225*AN225/BF225,
AND(L225="marginal_effect",M225="sd (X)"),N225/AQ225*AN225/BF225,
AND(L225="semi_elasticity",M225="level"),N225*AN225,
AND(L225="semi_elasticity",M225="sd (Y)"),N225*AN225*BH225,
AND(L225="semi_elasticity",M225="sd (X)"),N225*AN225/AQ225,
AND(L225="level-log",M225="level"),N225/BF225,
AND(L225="level-log",M225="sd (X)"),N225/BF225/AQ225,
AND(L225="level-log",M225="sd (Y)"),N225/BF225*BH225,
AND(L225="elasticity",M225="level"),N225,
AND(L225="elasticity",M225="sd (X)"),N225/AQ225,
AND(L225="elasticity",M225="sd (Y)"),N225*BH225,
AND(L225="marginal_effect",M225="percent_of_mean"),N225*AN225/BF225/10)</f>
        <v>-1.0880911399813616E-2</v>
      </c>
      <c r="AE225" s="41">
        <f t="shared" si="80"/>
        <v>1</v>
      </c>
      <c r="AF225" s="90">
        <f t="shared" si="89"/>
        <v>2.5638950693476323E-3</v>
      </c>
      <c r="AG225" s="90" cm="1">
        <f t="array" ref="AG225">_xlfn.IFS(
AND(L225="marginal_effect",M225="level"),O225*AN225/BF225,
AND(L225="marginal_effect",M225="sd (Y)"),O225*BH225*AN225/BF225,
AND(L225="marginal_effect",M225="sd (X)"),O225/AQ225*AN225/BF225,
AND(L225="semi_elasticity",M225="level"),O225*AN225,
AND(L225="semi_elasticity",M225="sd (Y)"),O225*AN225*BH225,
AND(L225="semi_elasticity",M225="sd (X)"),O225*AN225/AQ225,
AND(L225="level-log",M225="level"),O225/BF225,
AND(L225="level-log",M225="sd (X)"),O225/BF225/AQ225,
AND(L225="level-log",M225="sd (Y)"),O225/BF225*BH225,
AND(L225="elasticity",M225="level"),O225,
AND(L225="elasticity",M225="sd (X)"),O225/AQ225,
AND(L225="elasticity",M225="sd (Y)"),O225*BH225,
AND(L225="marginal_effect",M225="percent_of_mean"),O225*AN225/BF225/10)</f>
        <v>2.5638950693476323E-3</v>
      </c>
      <c r="AH225" s="41">
        <f t="shared" si="81"/>
        <v>1</v>
      </c>
      <c r="AI225" s="90">
        <f t="shared" si="84"/>
        <v>-1.0880911399813616E-2</v>
      </c>
      <c r="AJ225" s="39">
        <v>0</v>
      </c>
      <c r="AK225" s="41">
        <f t="shared" si="82"/>
        <v>1</v>
      </c>
      <c r="AL225" s="39" t="s">
        <v>82</v>
      </c>
      <c r="AM225" s="39" t="s">
        <v>1333</v>
      </c>
      <c r="AN225" s="39">
        <v>50.65</v>
      </c>
      <c r="AO225" s="39">
        <v>0</v>
      </c>
      <c r="AP225" s="39">
        <f t="shared" si="87"/>
        <v>50.65</v>
      </c>
      <c r="AQ225" s="39">
        <v>27.51</v>
      </c>
      <c r="AR225" s="39" t="s">
        <v>312</v>
      </c>
      <c r="AS225" s="39" t="s">
        <v>312</v>
      </c>
      <c r="AT225" s="39" t="s">
        <v>83</v>
      </c>
      <c r="AU225" s="39" t="s">
        <v>85</v>
      </c>
      <c r="AV225" s="39" t="s">
        <v>108</v>
      </c>
      <c r="AW225" s="39" t="s">
        <v>85</v>
      </c>
      <c r="AX225" s="39" t="s">
        <v>86</v>
      </c>
      <c r="AY225" s="39">
        <v>0</v>
      </c>
      <c r="AZ225" s="39">
        <v>0</v>
      </c>
      <c r="BA225" s="39" t="s">
        <v>87</v>
      </c>
      <c r="BB225" s="39" t="s">
        <v>88</v>
      </c>
      <c r="BC225" s="39" t="s">
        <v>89</v>
      </c>
      <c r="BD225" s="39" t="s">
        <v>114</v>
      </c>
      <c r="BE225" s="39" t="s">
        <v>688</v>
      </c>
      <c r="BF225" s="39">
        <v>49.14</v>
      </c>
      <c r="BG225" s="39">
        <v>0</v>
      </c>
      <c r="BH225" s="39">
        <v>21.11</v>
      </c>
      <c r="BI225" s="39" t="s">
        <v>312</v>
      </c>
      <c r="BJ225" s="39" t="s">
        <v>312</v>
      </c>
      <c r="BK225" s="39" t="s">
        <v>91</v>
      </c>
      <c r="BL225" s="39" t="s">
        <v>84</v>
      </c>
      <c r="BM225" s="39">
        <v>1</v>
      </c>
      <c r="BN225" s="39" t="s">
        <v>2177</v>
      </c>
      <c r="BO225" s="39" t="s">
        <v>687</v>
      </c>
      <c r="BP225" s="39" t="s">
        <v>315</v>
      </c>
      <c r="BQ225" s="39" t="s">
        <v>117</v>
      </c>
      <c r="BR225" s="39" t="s">
        <v>312</v>
      </c>
      <c r="BS225" s="39">
        <v>28.94</v>
      </c>
      <c r="BT225" s="39" t="s">
        <v>312</v>
      </c>
      <c r="BU225" s="39" t="s">
        <v>689</v>
      </c>
      <c r="BV225" s="39" t="s">
        <v>690</v>
      </c>
      <c r="BW225" s="39" t="s">
        <v>94</v>
      </c>
      <c r="BX225" s="39" t="s">
        <v>95</v>
      </c>
      <c r="BY225" s="39" t="s">
        <v>96</v>
      </c>
      <c r="BZ225" s="39">
        <v>0</v>
      </c>
      <c r="CA225" s="39">
        <v>0</v>
      </c>
      <c r="CB225" s="39" t="s">
        <v>97</v>
      </c>
      <c r="CC225" s="39" t="s">
        <v>692</v>
      </c>
      <c r="CD225" s="39">
        <v>1</v>
      </c>
      <c r="CE225" s="39" t="s">
        <v>435</v>
      </c>
      <c r="CF225" s="39">
        <v>1</v>
      </c>
      <c r="CG225" s="39" t="s">
        <v>106</v>
      </c>
      <c r="CH225" s="39">
        <v>1</v>
      </c>
      <c r="CI225" s="39" t="s">
        <v>691</v>
      </c>
      <c r="CJ225" s="39" t="s">
        <v>98</v>
      </c>
      <c r="CK225" s="39">
        <v>8</v>
      </c>
      <c r="CL225" s="39">
        <v>0</v>
      </c>
      <c r="CM225" s="39">
        <v>0</v>
      </c>
      <c r="CN225" s="39" t="s">
        <v>99</v>
      </c>
      <c r="CO225" s="39" t="s">
        <v>948</v>
      </c>
      <c r="CP225" s="39" t="s">
        <v>100</v>
      </c>
      <c r="CQ225" s="39" t="s">
        <v>126</v>
      </c>
      <c r="CR225" s="42">
        <v>46220</v>
      </c>
      <c r="CT225" s="39" t="s">
        <v>697</v>
      </c>
    </row>
    <row r="226" spans="1:98" s="39" customFormat="1" x14ac:dyDescent="0.35">
      <c r="A226" s="38" t="s">
        <v>682</v>
      </c>
      <c r="B226" s="38" t="s">
        <v>696</v>
      </c>
      <c r="C226" s="39" t="s">
        <v>683</v>
      </c>
      <c r="D226" s="39">
        <v>2019</v>
      </c>
      <c r="E226" s="38" t="s">
        <v>684</v>
      </c>
      <c r="F226" s="38" t="s">
        <v>685</v>
      </c>
      <c r="G226" s="39" t="s">
        <v>78</v>
      </c>
      <c r="H226" s="39">
        <v>1</v>
      </c>
      <c r="I226" s="39" t="s">
        <v>686</v>
      </c>
      <c r="J226" s="39" t="s">
        <v>79</v>
      </c>
      <c r="K226" s="39">
        <v>266</v>
      </c>
      <c r="L226" s="39" t="s">
        <v>129</v>
      </c>
      <c r="M226" s="39" t="s">
        <v>557</v>
      </c>
      <c r="N226" s="39">
        <f>N225-0.18964</f>
        <v>-0.48004999999999998</v>
      </c>
      <c r="O226" s="39" t="s">
        <v>312</v>
      </c>
      <c r="P226" s="90" t="e">
        <f t="shared" si="74"/>
        <v>#VALUE!</v>
      </c>
      <c r="Q226" s="39" t="s">
        <v>312</v>
      </c>
      <c r="R226" s="90" t="e">
        <f t="shared" si="75"/>
        <v>#VALUE!</v>
      </c>
      <c r="S226" s="90" t="e">
        <f t="shared" si="76"/>
        <v>#VALUE!</v>
      </c>
      <c r="T226" s="39">
        <v>1</v>
      </c>
      <c r="U226" s="39">
        <v>984740</v>
      </c>
      <c r="V226" s="39">
        <v>3</v>
      </c>
      <c r="W226" s="39">
        <v>1</v>
      </c>
      <c r="X226" s="39">
        <f t="shared" si="77"/>
        <v>984737</v>
      </c>
      <c r="Y226" s="90" t="e">
        <f t="shared" si="78"/>
        <v>#VALUE!</v>
      </c>
      <c r="Z226" s="90" t="e">
        <f t="shared" si="79"/>
        <v>#VALUE!</v>
      </c>
      <c r="AA226" s="90" t="e">
        <f t="shared" si="83"/>
        <v>#VALUE!</v>
      </c>
      <c r="AB226" s="39" t="s">
        <v>81</v>
      </c>
      <c r="AC226" s="90">
        <f t="shared" si="88"/>
        <v>-1.7986231594919341E-2</v>
      </c>
      <c r="AD226" s="90" cm="1">
        <f t="array" ref="AD226">_xlfn.IFS(
AND(L226="marginal_effect",M226="level"),N226*AN226/BF226,
AND(L226="marginal_effect",M226="sd (Y)"),N226*BH226*AN226/BF226,
AND(L226="marginal_effect",M226="sd (X)"),N226/AQ226*AN226/BF226,
AND(L226="semi_elasticity",M226="level"),N226*AN226,
AND(L226="semi_elasticity",M226="sd (Y)"),N226*AN226*BH226,
AND(L226="semi_elasticity",M226="sd (X)"),N226*AN226/AQ226,
AND(L226="level-log",M226="level"),N226/BF226,
AND(L226="level-log",M226="sd (X)"),N226/BF226/AQ226,
AND(L226="level-log",M226="sd (Y)"),N226/BF226*BH226,
AND(L226="elasticity",M226="level"),N226,
AND(L226="elasticity",M226="sd (X)"),N226/AQ226,
AND(L226="elasticity",M226="sd (Y)"),N226*BH226,
AND(L226="marginal_effect",M226="percent_of_mean"),N226*AN226/BF226/10)</f>
        <v>-1.7986231594919341E-2</v>
      </c>
      <c r="AE226" s="41">
        <f t="shared" si="80"/>
        <v>1</v>
      </c>
      <c r="AF226" s="90" t="e">
        <f t="shared" si="89"/>
        <v>#VALUE!</v>
      </c>
      <c r="AG226" s="90" t="e" cm="1">
        <f t="array" ref="AG226">_xlfn.IFS(
AND(L226="marginal_effect",M226="level"),O226*AN226/BF226,
AND(L226="marginal_effect",M226="sd (Y)"),O226*BH226*AN226/BF226,
AND(L226="marginal_effect",M226="sd (X)"),O226/AQ226*AN226/BF226,
AND(L226="semi_elasticity",M226="level"),O226*AN226,
AND(L226="semi_elasticity",M226="sd (Y)"),O226*AN226*BH226,
AND(L226="semi_elasticity",M226="sd (X)"),O226*AN226/AQ226,
AND(L226="level-log",M226="level"),O226/BF226,
AND(L226="level-log",M226="sd (X)"),O226/BF226/AQ226,
AND(L226="level-log",M226="sd (Y)"),O226/BF226*BH226,
AND(L226="elasticity",M226="level"),O226,
AND(L226="elasticity",M226="sd (X)"),O226/AQ226,
AND(L226="elasticity",M226="sd (Y)"),O226*BH226,
AND(L226="marginal_effect",M226="percent_of_mean"),O226*AN226/BF226/10)</f>
        <v>#VALUE!</v>
      </c>
      <c r="AH226" s="41" t="e">
        <f t="shared" si="81"/>
        <v>#VALUE!</v>
      </c>
      <c r="AI226" s="90">
        <f t="shared" si="84"/>
        <v>-1.7986231594919341E-2</v>
      </c>
      <c r="AJ226" s="39">
        <v>0</v>
      </c>
      <c r="AK226" s="41" t="e">
        <f t="shared" si="82"/>
        <v>#VALUE!</v>
      </c>
      <c r="AL226" s="39" t="s">
        <v>82</v>
      </c>
      <c r="AM226" s="39" t="s">
        <v>1333</v>
      </c>
      <c r="AN226" s="39">
        <v>50.65</v>
      </c>
      <c r="AO226" s="39">
        <v>0</v>
      </c>
      <c r="AP226" s="39">
        <f t="shared" si="87"/>
        <v>50.65</v>
      </c>
      <c r="AQ226" s="39">
        <v>27.51</v>
      </c>
      <c r="AR226" s="39" t="s">
        <v>312</v>
      </c>
      <c r="AS226" s="39" t="s">
        <v>312</v>
      </c>
      <c r="AT226" s="39" t="s">
        <v>83</v>
      </c>
      <c r="AU226" s="39" t="s">
        <v>85</v>
      </c>
      <c r="AV226" s="39" t="s">
        <v>108</v>
      </c>
      <c r="AW226" s="39" t="s">
        <v>85</v>
      </c>
      <c r="AX226" s="39" t="s">
        <v>86</v>
      </c>
      <c r="AY226" s="39">
        <v>0</v>
      </c>
      <c r="AZ226" s="39">
        <v>0</v>
      </c>
      <c r="BA226" s="39" t="s">
        <v>87</v>
      </c>
      <c r="BB226" s="39" t="s">
        <v>88</v>
      </c>
      <c r="BC226" s="39" t="s">
        <v>89</v>
      </c>
      <c r="BD226" s="39" t="s">
        <v>114</v>
      </c>
      <c r="BE226" s="39" t="s">
        <v>688</v>
      </c>
      <c r="BF226" s="39">
        <v>49.14</v>
      </c>
      <c r="BG226" s="39">
        <v>0</v>
      </c>
      <c r="BH226" s="39">
        <v>21.11</v>
      </c>
      <c r="BI226" s="39" t="s">
        <v>312</v>
      </c>
      <c r="BJ226" s="39" t="s">
        <v>312</v>
      </c>
      <c r="BK226" s="39" t="s">
        <v>91</v>
      </c>
      <c r="BL226" s="39" t="s">
        <v>84</v>
      </c>
      <c r="BM226" s="39">
        <v>1</v>
      </c>
      <c r="BN226" s="39" t="s">
        <v>2177</v>
      </c>
      <c r="BO226" s="39" t="s">
        <v>687</v>
      </c>
      <c r="BP226" s="39" t="s">
        <v>315</v>
      </c>
      <c r="BQ226" s="39" t="s">
        <v>117</v>
      </c>
      <c r="BR226" s="39" t="s">
        <v>312</v>
      </c>
      <c r="BS226" s="39">
        <v>28.94</v>
      </c>
      <c r="BT226" s="39" t="s">
        <v>312</v>
      </c>
      <c r="BU226" s="39" t="s">
        <v>689</v>
      </c>
      <c r="BV226" s="39" t="s">
        <v>690</v>
      </c>
      <c r="BW226" s="39" t="s">
        <v>94</v>
      </c>
      <c r="BX226" s="39" t="s">
        <v>95</v>
      </c>
      <c r="BY226" s="39" t="s">
        <v>96</v>
      </c>
      <c r="BZ226" s="39">
        <v>0</v>
      </c>
      <c r="CA226" s="39">
        <v>0</v>
      </c>
      <c r="CB226" s="39" t="s">
        <v>97</v>
      </c>
      <c r="CC226" s="39" t="s">
        <v>692</v>
      </c>
      <c r="CD226" s="39">
        <v>1</v>
      </c>
      <c r="CE226" s="39" t="s">
        <v>435</v>
      </c>
      <c r="CF226" s="39">
        <v>1</v>
      </c>
      <c r="CG226" s="39" t="s">
        <v>106</v>
      </c>
      <c r="CH226" s="39">
        <v>1</v>
      </c>
      <c r="CI226" s="39" t="s">
        <v>691</v>
      </c>
      <c r="CJ226" s="39" t="s">
        <v>98</v>
      </c>
      <c r="CK226" s="39">
        <v>8</v>
      </c>
      <c r="CL226" s="39">
        <v>0</v>
      </c>
      <c r="CM226" s="39">
        <v>0</v>
      </c>
      <c r="CN226" s="39" t="s">
        <v>99</v>
      </c>
      <c r="CO226" s="39" t="s">
        <v>948</v>
      </c>
      <c r="CP226" s="39" t="s">
        <v>100</v>
      </c>
      <c r="CQ226" s="39" t="s">
        <v>126</v>
      </c>
      <c r="CR226" s="42">
        <v>46220</v>
      </c>
      <c r="CT226" s="39" t="s">
        <v>698</v>
      </c>
    </row>
    <row r="227" spans="1:98" s="39" customFormat="1" x14ac:dyDescent="0.35">
      <c r="A227" s="38" t="s">
        <v>682</v>
      </c>
      <c r="B227" s="38" t="s">
        <v>699</v>
      </c>
      <c r="C227" s="39" t="s">
        <v>683</v>
      </c>
      <c r="D227" s="39">
        <v>2019</v>
      </c>
      <c r="E227" s="38" t="s">
        <v>684</v>
      </c>
      <c r="F227" s="38" t="s">
        <v>685</v>
      </c>
      <c r="G227" s="39" t="s">
        <v>78</v>
      </c>
      <c r="H227" s="39">
        <v>1</v>
      </c>
      <c r="I227" s="39" t="s">
        <v>686</v>
      </c>
      <c r="J227" s="39" t="s">
        <v>79</v>
      </c>
      <c r="K227" s="39">
        <v>266</v>
      </c>
      <c r="L227" s="39" t="s">
        <v>129</v>
      </c>
      <c r="M227" s="39" t="s">
        <v>557</v>
      </c>
      <c r="N227" s="39">
        <v>-0.44768999999999998</v>
      </c>
      <c r="O227" s="39">
        <v>6.8430000000000005E-2</v>
      </c>
      <c r="P227" s="90">
        <f t="shared" si="74"/>
        <v>-6.5423060061376583</v>
      </c>
      <c r="Q227" s="39" t="s">
        <v>312</v>
      </c>
      <c r="R227" s="90">
        <f t="shared" si="75"/>
        <v>-0.58181280000000002</v>
      </c>
      <c r="S227" s="90">
        <f t="shared" si="76"/>
        <v>-0.31356719999999993</v>
      </c>
      <c r="T227" s="39">
        <v>1</v>
      </c>
      <c r="U227" s="39">
        <v>899827</v>
      </c>
      <c r="V227" s="39">
        <v>3</v>
      </c>
      <c r="W227" s="39">
        <v>1</v>
      </c>
      <c r="X227" s="39">
        <f t="shared" si="77"/>
        <v>899824</v>
      </c>
      <c r="Y227" s="90">
        <f t="shared" si="78"/>
        <v>-6.8967064114497378E-3</v>
      </c>
      <c r="Z227" s="90">
        <f t="shared" si="79"/>
        <v>1.0541705638622834E-3</v>
      </c>
      <c r="AA227" s="90">
        <f t="shared" si="83"/>
        <v>-6.8967064114497378E-3</v>
      </c>
      <c r="AB227" s="39" t="s">
        <v>81</v>
      </c>
      <c r="AC227" s="90">
        <f t="shared" si="88"/>
        <v>-1.6773786111299743E-2</v>
      </c>
      <c r="AD227" s="90" cm="1">
        <f t="array" ref="AD227">_xlfn.IFS(
AND(L227="marginal_effect",M227="level"),N227*AN227/BF227,
AND(L227="marginal_effect",M227="sd (Y)"),N227*BH227*AN227/BF227,
AND(L227="marginal_effect",M227="sd (X)"),N227/AQ227*AN227/BF227,
AND(L227="semi_elasticity",M227="level"),N227*AN227,
AND(L227="semi_elasticity",M227="sd (Y)"),N227*AN227*BH227,
AND(L227="semi_elasticity",M227="sd (X)"),N227*AN227/AQ227,
AND(L227="level-log",M227="level"),N227/BF227,
AND(L227="level-log",M227="sd (X)"),N227/BF227/AQ227,
AND(L227="level-log",M227="sd (Y)"),N227/BF227*BH227,
AND(L227="elasticity",M227="level"),N227,
AND(L227="elasticity",M227="sd (X)"),N227/AQ227,
AND(L227="elasticity",M227="sd (Y)"),N227*BH227,
AND(L227="marginal_effect",M227="percent_of_mean"),N227*AN227/BF227/10)</f>
        <v>-1.6773786111299743E-2</v>
      </c>
      <c r="AE227" s="41">
        <f t="shared" si="80"/>
        <v>1</v>
      </c>
      <c r="AF227" s="90">
        <f t="shared" si="89"/>
        <v>2.5638950693476323E-3</v>
      </c>
      <c r="AG227" s="90" cm="1">
        <f t="array" ref="AG227">_xlfn.IFS(
AND(L227="marginal_effect",M227="level"),O227*AN227/BF227,
AND(L227="marginal_effect",M227="sd (Y)"),O227*BH227*AN227/BF227,
AND(L227="marginal_effect",M227="sd (X)"),O227/AQ227*AN227/BF227,
AND(L227="semi_elasticity",M227="level"),O227*AN227,
AND(L227="semi_elasticity",M227="sd (Y)"),O227*AN227*BH227,
AND(L227="semi_elasticity",M227="sd (X)"),O227*AN227/AQ227,
AND(L227="level-log",M227="level"),O227/BF227,
AND(L227="level-log",M227="sd (X)"),O227/BF227/AQ227,
AND(L227="level-log",M227="sd (Y)"),O227/BF227*BH227,
AND(L227="elasticity",M227="level"),O227,
AND(L227="elasticity",M227="sd (X)"),O227/AQ227,
AND(L227="elasticity",M227="sd (Y)"),O227*BH227,
AND(L227="marginal_effect",M227="percent_of_mean"),O227*AN227/BF227/10)</f>
        <v>2.5638950693476323E-3</v>
      </c>
      <c r="AH227" s="41">
        <f t="shared" si="81"/>
        <v>1</v>
      </c>
      <c r="AI227" s="90">
        <f t="shared" si="84"/>
        <v>-1.6773786111299743E-2</v>
      </c>
      <c r="AJ227" s="39">
        <v>0</v>
      </c>
      <c r="AK227" s="41">
        <f t="shared" si="82"/>
        <v>1</v>
      </c>
      <c r="AL227" s="39" t="s">
        <v>82</v>
      </c>
      <c r="AM227" s="39" t="s">
        <v>1333</v>
      </c>
      <c r="AN227" s="39">
        <v>50.65</v>
      </c>
      <c r="AO227" s="39">
        <v>0</v>
      </c>
      <c r="AP227" s="39">
        <f t="shared" si="87"/>
        <v>50.65</v>
      </c>
      <c r="AQ227" s="39">
        <v>27.51</v>
      </c>
      <c r="AR227" s="39" t="s">
        <v>312</v>
      </c>
      <c r="AS227" s="39" t="s">
        <v>312</v>
      </c>
      <c r="AT227" s="39" t="s">
        <v>83</v>
      </c>
      <c r="AU227" s="39" t="s">
        <v>85</v>
      </c>
      <c r="AV227" s="39" t="s">
        <v>108</v>
      </c>
      <c r="AW227" s="39" t="s">
        <v>85</v>
      </c>
      <c r="AX227" s="39" t="s">
        <v>86</v>
      </c>
      <c r="AY227" s="39">
        <v>0</v>
      </c>
      <c r="AZ227" s="39">
        <v>0</v>
      </c>
      <c r="BA227" s="39" t="s">
        <v>87</v>
      </c>
      <c r="BB227" s="39" t="s">
        <v>88</v>
      </c>
      <c r="BC227" s="39" t="s">
        <v>89</v>
      </c>
      <c r="BD227" s="39" t="s">
        <v>114</v>
      </c>
      <c r="BE227" s="39" t="s">
        <v>688</v>
      </c>
      <c r="BF227" s="39">
        <v>49.14</v>
      </c>
      <c r="BG227" s="39">
        <v>1</v>
      </c>
      <c r="BH227" s="39">
        <v>21.11</v>
      </c>
      <c r="BI227" s="39" t="s">
        <v>312</v>
      </c>
      <c r="BJ227" s="39" t="s">
        <v>312</v>
      </c>
      <c r="BK227" s="39" t="s">
        <v>91</v>
      </c>
      <c r="BL227" s="39" t="s">
        <v>84</v>
      </c>
      <c r="BM227" s="39">
        <v>1</v>
      </c>
      <c r="BN227" s="39" t="s">
        <v>2177</v>
      </c>
      <c r="BO227" s="39" t="s">
        <v>687</v>
      </c>
      <c r="BP227" s="39" t="s">
        <v>315</v>
      </c>
      <c r="BQ227" s="39" t="s">
        <v>117</v>
      </c>
      <c r="BR227" s="39" t="s">
        <v>312</v>
      </c>
      <c r="BS227" s="39">
        <v>28.94</v>
      </c>
      <c r="BT227" s="39" t="s">
        <v>312</v>
      </c>
      <c r="BU227" s="39" t="s">
        <v>689</v>
      </c>
      <c r="BV227" s="39" t="s">
        <v>690</v>
      </c>
      <c r="BW227" s="39" t="s">
        <v>94</v>
      </c>
      <c r="BX227" s="39" t="s">
        <v>95</v>
      </c>
      <c r="BY227" s="39" t="s">
        <v>96</v>
      </c>
      <c r="BZ227" s="39">
        <v>0</v>
      </c>
      <c r="CA227" s="39">
        <v>0</v>
      </c>
      <c r="CB227" s="39" t="s">
        <v>97</v>
      </c>
      <c r="CC227" s="39" t="s">
        <v>692</v>
      </c>
      <c r="CD227" s="39">
        <v>1</v>
      </c>
      <c r="CE227" s="39" t="s">
        <v>435</v>
      </c>
      <c r="CF227" s="39">
        <v>1</v>
      </c>
      <c r="CG227" s="39" t="s">
        <v>106</v>
      </c>
      <c r="CH227" s="39">
        <v>1</v>
      </c>
      <c r="CI227" s="39" t="s">
        <v>691</v>
      </c>
      <c r="CJ227" s="39" t="s">
        <v>98</v>
      </c>
      <c r="CK227" s="39">
        <v>8</v>
      </c>
      <c r="CL227" s="39">
        <v>0</v>
      </c>
      <c r="CM227" s="39">
        <v>0</v>
      </c>
      <c r="CN227" s="39" t="s">
        <v>99</v>
      </c>
      <c r="CO227" s="39" t="s">
        <v>957</v>
      </c>
      <c r="CP227" s="39" t="s">
        <v>100</v>
      </c>
      <c r="CQ227" s="39" t="s">
        <v>126</v>
      </c>
      <c r="CR227" s="42">
        <v>46220</v>
      </c>
      <c r="CT227" s="39" t="s">
        <v>701</v>
      </c>
    </row>
    <row r="228" spans="1:98" s="39" customFormat="1" x14ac:dyDescent="0.35">
      <c r="A228" s="38" t="s">
        <v>682</v>
      </c>
      <c r="B228" s="38" t="s">
        <v>700</v>
      </c>
      <c r="C228" s="39" t="s">
        <v>683</v>
      </c>
      <c r="D228" s="39">
        <v>2019</v>
      </c>
      <c r="E228" s="38" t="s">
        <v>684</v>
      </c>
      <c r="F228" s="38" t="s">
        <v>685</v>
      </c>
      <c r="G228" s="39" t="s">
        <v>78</v>
      </c>
      <c r="H228" s="39">
        <v>1</v>
      </c>
      <c r="I228" s="39" t="s">
        <v>686</v>
      </c>
      <c r="J228" s="39" t="s">
        <v>79</v>
      </c>
      <c r="K228" s="39">
        <v>266</v>
      </c>
      <c r="L228" s="39" t="s">
        <v>129</v>
      </c>
      <c r="M228" s="39" t="s">
        <v>557</v>
      </c>
      <c r="N228" s="39">
        <f>N227-0.15988</f>
        <v>-0.60756999999999994</v>
      </c>
      <c r="O228" s="39" t="s">
        <v>312</v>
      </c>
      <c r="P228" s="90" t="e">
        <f t="shared" si="74"/>
        <v>#VALUE!</v>
      </c>
      <c r="Q228" s="39" t="s">
        <v>312</v>
      </c>
      <c r="R228" s="90" t="e">
        <f t="shared" si="75"/>
        <v>#VALUE!</v>
      </c>
      <c r="S228" s="90" t="e">
        <f t="shared" si="76"/>
        <v>#VALUE!</v>
      </c>
      <c r="T228" s="39">
        <v>1</v>
      </c>
      <c r="U228" s="39">
        <v>899827</v>
      </c>
      <c r="V228" s="39">
        <v>3</v>
      </c>
      <c r="W228" s="39">
        <v>1</v>
      </c>
      <c r="X228" s="39">
        <f t="shared" si="77"/>
        <v>899824</v>
      </c>
      <c r="Y228" s="90" t="e">
        <f t="shared" si="78"/>
        <v>#VALUE!</v>
      </c>
      <c r="Z228" s="90" t="e">
        <f t="shared" si="79"/>
        <v>#VALUE!</v>
      </c>
      <c r="AA228" s="90" t="e">
        <f t="shared" si="83"/>
        <v>#VALUE!</v>
      </c>
      <c r="AB228" s="39" t="s">
        <v>81</v>
      </c>
      <c r="AC228" s="90">
        <f t="shared" si="88"/>
        <v>-2.2764076096500663E-2</v>
      </c>
      <c r="AD228" s="90" cm="1">
        <f t="array" ref="AD228">_xlfn.IFS(
AND(L228="marginal_effect",M228="level"),N228*AN228/BF228,
AND(L228="marginal_effect",M228="sd (Y)"),N228*BH228*AN228/BF228,
AND(L228="marginal_effect",M228="sd (X)"),N228/AQ228*AN228/BF228,
AND(L228="semi_elasticity",M228="level"),N228*AN228,
AND(L228="semi_elasticity",M228="sd (Y)"),N228*AN228*BH228,
AND(L228="semi_elasticity",M228="sd (X)"),N228*AN228/AQ228,
AND(L228="level-log",M228="level"),N228/BF228,
AND(L228="level-log",M228="sd (X)"),N228/BF228/AQ228,
AND(L228="level-log",M228="sd (Y)"),N228/BF228*BH228,
AND(L228="elasticity",M228="level"),N228,
AND(L228="elasticity",M228="sd (X)"),N228/AQ228,
AND(L228="elasticity",M228="sd (Y)"),N228*BH228,
AND(L228="marginal_effect",M228="percent_of_mean"),N228*AN228/BF228/10)</f>
        <v>-2.2764076096500663E-2</v>
      </c>
      <c r="AE228" s="41">
        <f t="shared" si="80"/>
        <v>1</v>
      </c>
      <c r="AF228" s="90" t="e">
        <f t="shared" si="89"/>
        <v>#VALUE!</v>
      </c>
      <c r="AG228" s="90" t="e" cm="1">
        <f t="array" ref="AG228">_xlfn.IFS(
AND(L228="marginal_effect",M228="level"),O228*AN228/BF228,
AND(L228="marginal_effect",M228="sd (Y)"),O228*BH228*AN228/BF228,
AND(L228="marginal_effect",M228="sd (X)"),O228/AQ228*AN228/BF228,
AND(L228="semi_elasticity",M228="level"),O228*AN228,
AND(L228="semi_elasticity",M228="sd (Y)"),O228*AN228*BH228,
AND(L228="semi_elasticity",M228="sd (X)"),O228*AN228/AQ228,
AND(L228="level-log",M228="level"),O228/BF228,
AND(L228="level-log",M228="sd (X)"),O228/BF228/AQ228,
AND(L228="level-log",M228="sd (Y)"),O228/BF228*BH228,
AND(L228="elasticity",M228="level"),O228,
AND(L228="elasticity",M228="sd (X)"),O228/AQ228,
AND(L228="elasticity",M228="sd (Y)"),O228*BH228,
AND(L228="marginal_effect",M228="percent_of_mean"),O228*AN228/BF228/10)</f>
        <v>#VALUE!</v>
      </c>
      <c r="AH228" s="41" t="e">
        <f t="shared" si="81"/>
        <v>#VALUE!</v>
      </c>
      <c r="AI228" s="90">
        <f t="shared" si="84"/>
        <v>-2.2764076096500663E-2</v>
      </c>
      <c r="AJ228" s="39">
        <v>0</v>
      </c>
      <c r="AK228" s="41" t="e">
        <f t="shared" si="82"/>
        <v>#VALUE!</v>
      </c>
      <c r="AL228" s="39" t="s">
        <v>82</v>
      </c>
      <c r="AM228" s="39" t="s">
        <v>1333</v>
      </c>
      <c r="AN228" s="39">
        <v>50.65</v>
      </c>
      <c r="AO228" s="39">
        <v>0</v>
      </c>
      <c r="AP228" s="39">
        <f t="shared" si="87"/>
        <v>50.65</v>
      </c>
      <c r="AQ228" s="39">
        <v>27.51</v>
      </c>
      <c r="AR228" s="39" t="s">
        <v>312</v>
      </c>
      <c r="AS228" s="39" t="s">
        <v>312</v>
      </c>
      <c r="AT228" s="39" t="s">
        <v>83</v>
      </c>
      <c r="AU228" s="39" t="s">
        <v>85</v>
      </c>
      <c r="AV228" s="39" t="s">
        <v>108</v>
      </c>
      <c r="AW228" s="39" t="s">
        <v>85</v>
      </c>
      <c r="AX228" s="39" t="s">
        <v>86</v>
      </c>
      <c r="AY228" s="39">
        <v>0</v>
      </c>
      <c r="AZ228" s="39">
        <v>0</v>
      </c>
      <c r="BA228" s="39" t="s">
        <v>87</v>
      </c>
      <c r="BB228" s="39" t="s">
        <v>88</v>
      </c>
      <c r="BC228" s="39" t="s">
        <v>89</v>
      </c>
      <c r="BD228" s="39" t="s">
        <v>114</v>
      </c>
      <c r="BE228" s="39" t="s">
        <v>688</v>
      </c>
      <c r="BF228" s="39">
        <v>49.14</v>
      </c>
      <c r="BG228" s="39">
        <v>1</v>
      </c>
      <c r="BH228" s="39">
        <v>21.11</v>
      </c>
      <c r="BI228" s="39" t="s">
        <v>312</v>
      </c>
      <c r="BJ228" s="39" t="s">
        <v>312</v>
      </c>
      <c r="BK228" s="39" t="s">
        <v>91</v>
      </c>
      <c r="BL228" s="39" t="s">
        <v>84</v>
      </c>
      <c r="BM228" s="39">
        <v>1</v>
      </c>
      <c r="BN228" s="39" t="s">
        <v>2177</v>
      </c>
      <c r="BO228" s="39" t="s">
        <v>687</v>
      </c>
      <c r="BP228" s="39" t="s">
        <v>315</v>
      </c>
      <c r="BQ228" s="39" t="s">
        <v>117</v>
      </c>
      <c r="BR228" s="39" t="s">
        <v>312</v>
      </c>
      <c r="BS228" s="39">
        <v>28.94</v>
      </c>
      <c r="BT228" s="39" t="s">
        <v>312</v>
      </c>
      <c r="BU228" s="39" t="s">
        <v>689</v>
      </c>
      <c r="BV228" s="39" t="s">
        <v>690</v>
      </c>
      <c r="BW228" s="39" t="s">
        <v>94</v>
      </c>
      <c r="BX228" s="39" t="s">
        <v>95</v>
      </c>
      <c r="BY228" s="39" t="s">
        <v>96</v>
      </c>
      <c r="BZ228" s="39">
        <v>0</v>
      </c>
      <c r="CA228" s="39">
        <v>0</v>
      </c>
      <c r="CB228" s="39" t="s">
        <v>97</v>
      </c>
      <c r="CC228" s="39" t="s">
        <v>692</v>
      </c>
      <c r="CD228" s="39">
        <v>1</v>
      </c>
      <c r="CE228" s="39" t="s">
        <v>435</v>
      </c>
      <c r="CF228" s="39">
        <v>1</v>
      </c>
      <c r="CG228" s="39" t="s">
        <v>106</v>
      </c>
      <c r="CH228" s="39">
        <v>1</v>
      </c>
      <c r="CI228" s="39" t="s">
        <v>691</v>
      </c>
      <c r="CJ228" s="39" t="s">
        <v>98</v>
      </c>
      <c r="CK228" s="39">
        <v>8</v>
      </c>
      <c r="CL228" s="39">
        <v>0</v>
      </c>
      <c r="CM228" s="39">
        <v>0</v>
      </c>
      <c r="CN228" s="39" t="s">
        <v>99</v>
      </c>
      <c r="CO228" s="39" t="s">
        <v>957</v>
      </c>
      <c r="CP228" s="39" t="s">
        <v>100</v>
      </c>
      <c r="CQ228" s="39" t="s">
        <v>126</v>
      </c>
      <c r="CR228" s="42">
        <v>46220</v>
      </c>
      <c r="CT228" s="39" t="s">
        <v>701</v>
      </c>
    </row>
    <row r="229" spans="1:98" s="39" customFormat="1" x14ac:dyDescent="0.35">
      <c r="A229" s="38" t="s">
        <v>682</v>
      </c>
      <c r="B229" s="38" t="s">
        <v>706</v>
      </c>
      <c r="C229" s="39" t="s">
        <v>683</v>
      </c>
      <c r="D229" s="39">
        <v>2019</v>
      </c>
      <c r="E229" s="38" t="s">
        <v>684</v>
      </c>
      <c r="F229" s="38" t="s">
        <v>685</v>
      </c>
      <c r="G229" s="39" t="s">
        <v>78</v>
      </c>
      <c r="H229" s="39">
        <v>1</v>
      </c>
      <c r="I229" s="39" t="s">
        <v>686</v>
      </c>
      <c r="J229" s="39" t="s">
        <v>79</v>
      </c>
      <c r="K229" s="39">
        <v>266</v>
      </c>
      <c r="L229" s="39" t="s">
        <v>129</v>
      </c>
      <c r="M229" s="39" t="s">
        <v>557</v>
      </c>
      <c r="N229" s="39">
        <v>-0.34644000000000003</v>
      </c>
      <c r="O229" s="39">
        <v>0.14438999999999999</v>
      </c>
      <c r="P229" s="90">
        <f t="shared" si="74"/>
        <v>-2.399335134012051</v>
      </c>
      <c r="Q229" s="39" t="s">
        <v>312</v>
      </c>
      <c r="R229" s="90">
        <f t="shared" si="75"/>
        <v>-0.62944440000000002</v>
      </c>
      <c r="S229" s="90">
        <f t="shared" si="76"/>
        <v>-6.3435600000000036E-2</v>
      </c>
      <c r="T229" s="39">
        <v>1</v>
      </c>
      <c r="U229" s="39">
        <v>13295</v>
      </c>
      <c r="V229" s="39">
        <v>3</v>
      </c>
      <c r="W229" s="39">
        <v>1</v>
      </c>
      <c r="X229" s="39">
        <f t="shared" si="77"/>
        <v>13292</v>
      </c>
      <c r="Y229" s="90">
        <f t="shared" si="78"/>
        <v>-2.0806628856417559E-2</v>
      </c>
      <c r="Z229" s="90">
        <f t="shared" si="79"/>
        <v>8.6718310257999399E-3</v>
      </c>
      <c r="AA229" s="90">
        <f t="shared" si="83"/>
        <v>-2.0806628856417559E-2</v>
      </c>
      <c r="AB229" s="39" t="s">
        <v>81</v>
      </c>
      <c r="AC229" s="90">
        <f t="shared" si="88"/>
        <v>-1.3588591589265306E-2</v>
      </c>
      <c r="AD229" s="90" cm="1">
        <f t="array" ref="AD229">_xlfn.IFS(
AND(L229="marginal_effect",M229="level"),N229*AN229/BF229,
AND(L229="marginal_effect",M229="sd (Y)"),N229*BH229*AN229/BF229,
AND(L229="marginal_effect",M229="sd (X)"),N229/AQ229*AN229/BF229,
AND(L229="semi_elasticity",M229="level"),N229*AN229,
AND(L229="semi_elasticity",M229="sd (Y)"),N229*AN229*BH229,
AND(L229="semi_elasticity",M229="sd (X)"),N229*AN229/AQ229,
AND(L229="level-log",M229="level"),N229/BF229,
AND(L229="level-log",M229="sd (X)"),N229/BF229/AQ229,
AND(L229="level-log",M229="sd (Y)"),N229/BF229*BH229,
AND(L229="elasticity",M229="level"),N229,
AND(L229="elasticity",M229="sd (X)"),N229/AQ229,
AND(L229="elasticity",M229="sd (Y)"),N229*BH229,
AND(L229="marginal_effect",M229="percent_of_mean"),N229*AN229/BF229/10)</f>
        <v>-1.3588591589265306E-2</v>
      </c>
      <c r="AE229" s="41">
        <f t="shared" si="80"/>
        <v>1</v>
      </c>
      <c r="AF229" s="90">
        <f t="shared" si="89"/>
        <v>5.6634821024535778E-3</v>
      </c>
      <c r="AG229" s="90" cm="1">
        <f t="array" ref="AG229">_xlfn.IFS(
AND(L229="marginal_effect",M229="level"),O229*AN229/BF229,
AND(L229="marginal_effect",M229="sd (Y)"),O229*BH229*AN229/BF229,
AND(L229="marginal_effect",M229="sd (X)"),O229/AQ229*AN229/BF229,
AND(L229="semi_elasticity",M229="level"),O229*AN229,
AND(L229="semi_elasticity",M229="sd (Y)"),O229*AN229*BH229,
AND(L229="semi_elasticity",M229="sd (X)"),O229*AN229/AQ229,
AND(L229="level-log",M229="level"),O229/BF229,
AND(L229="level-log",M229="sd (X)"),O229/BF229/AQ229,
AND(L229="level-log",M229="sd (Y)"),O229/BF229*BH229,
AND(L229="elasticity",M229="level"),O229,
AND(L229="elasticity",M229="sd (X)"),O229/AQ229,
AND(L229="elasticity",M229="sd (Y)"),O229*BH229,
AND(L229="marginal_effect",M229="percent_of_mean"),O229*AN229/BF229/10)</f>
        <v>5.6634821024535778E-3</v>
      </c>
      <c r="AH229" s="41">
        <f t="shared" si="81"/>
        <v>1</v>
      </c>
      <c r="AI229" s="90">
        <f t="shared" si="84"/>
        <v>-1.3588591589265306E-2</v>
      </c>
      <c r="AJ229" s="39">
        <v>0</v>
      </c>
      <c r="AK229" s="41">
        <f t="shared" si="82"/>
        <v>1</v>
      </c>
      <c r="AL229" s="39" t="s">
        <v>82</v>
      </c>
      <c r="AM229" s="39" t="s">
        <v>1333</v>
      </c>
      <c r="AN229" s="39">
        <v>51.14</v>
      </c>
      <c r="AO229" s="39">
        <v>0</v>
      </c>
      <c r="AP229" s="39">
        <f t="shared" si="87"/>
        <v>51.14</v>
      </c>
      <c r="AQ229" s="39">
        <v>27.05</v>
      </c>
      <c r="AR229" s="39" t="s">
        <v>312</v>
      </c>
      <c r="AS229" s="39" t="s">
        <v>312</v>
      </c>
      <c r="AT229" s="39" t="s">
        <v>83</v>
      </c>
      <c r="AU229" s="39" t="s">
        <v>85</v>
      </c>
      <c r="AV229" s="39" t="s">
        <v>108</v>
      </c>
      <c r="AW229" s="39" t="s">
        <v>85</v>
      </c>
      <c r="AX229" s="39" t="s">
        <v>86</v>
      </c>
      <c r="AY229" s="39">
        <v>0</v>
      </c>
      <c r="AZ229" s="39">
        <v>0</v>
      </c>
      <c r="BA229" s="39" t="s">
        <v>87</v>
      </c>
      <c r="BB229" s="39" t="s">
        <v>88</v>
      </c>
      <c r="BC229" s="39" t="s">
        <v>89</v>
      </c>
      <c r="BD229" s="39" t="s">
        <v>114</v>
      </c>
      <c r="BE229" s="39" t="s">
        <v>703</v>
      </c>
      <c r="BF229" s="39">
        <v>48.2</v>
      </c>
      <c r="BG229" s="39">
        <v>0</v>
      </c>
      <c r="BH229" s="39">
        <v>14.05</v>
      </c>
      <c r="BI229" s="39" t="s">
        <v>312</v>
      </c>
      <c r="BJ229" s="39" t="s">
        <v>312</v>
      </c>
      <c r="BK229" s="39" t="s">
        <v>91</v>
      </c>
      <c r="BL229" s="39" t="s">
        <v>702</v>
      </c>
      <c r="BM229" s="39">
        <v>1</v>
      </c>
      <c r="BN229" s="39" t="s">
        <v>2177</v>
      </c>
      <c r="BO229" s="39" t="s">
        <v>687</v>
      </c>
      <c r="BP229" s="39" t="s">
        <v>315</v>
      </c>
      <c r="BQ229" s="39" t="s">
        <v>117</v>
      </c>
      <c r="BR229" s="39" t="s">
        <v>312</v>
      </c>
      <c r="BS229" s="39">
        <v>28.94</v>
      </c>
      <c r="BT229" s="39" t="s">
        <v>312</v>
      </c>
      <c r="BU229" s="39" t="s">
        <v>689</v>
      </c>
      <c r="BV229" s="39" t="s">
        <v>690</v>
      </c>
      <c r="BW229" s="39" t="s">
        <v>94</v>
      </c>
      <c r="BX229" s="39" t="s">
        <v>95</v>
      </c>
      <c r="BY229" s="39" t="s">
        <v>96</v>
      </c>
      <c r="BZ229" s="39">
        <v>0</v>
      </c>
      <c r="CA229" s="39">
        <v>0</v>
      </c>
      <c r="CB229" s="39" t="s">
        <v>97</v>
      </c>
      <c r="CC229" s="39" t="s">
        <v>692</v>
      </c>
      <c r="CD229" s="39">
        <v>1</v>
      </c>
      <c r="CE229" s="39" t="s">
        <v>435</v>
      </c>
      <c r="CF229" s="39">
        <v>1</v>
      </c>
      <c r="CG229" s="39" t="s">
        <v>106</v>
      </c>
      <c r="CH229" s="39">
        <v>1</v>
      </c>
      <c r="CI229" s="39" t="s">
        <v>691</v>
      </c>
      <c r="CJ229" s="39" t="s">
        <v>98</v>
      </c>
      <c r="CK229" s="39">
        <v>8</v>
      </c>
      <c r="CL229" s="39">
        <v>0</v>
      </c>
      <c r="CM229" s="39">
        <v>0</v>
      </c>
      <c r="CN229" s="39" t="s">
        <v>99</v>
      </c>
      <c r="CO229" s="39" t="s">
        <v>97</v>
      </c>
      <c r="CP229" s="39" t="s">
        <v>100</v>
      </c>
      <c r="CQ229" s="39" t="s">
        <v>126</v>
      </c>
      <c r="CR229" s="42">
        <v>46220</v>
      </c>
      <c r="CT229" s="39" t="s">
        <v>704</v>
      </c>
    </row>
    <row r="230" spans="1:98" s="39" customFormat="1" x14ac:dyDescent="0.35">
      <c r="A230" s="38" t="s">
        <v>682</v>
      </c>
      <c r="B230" s="38" t="s">
        <v>705</v>
      </c>
      <c r="C230" s="39" t="s">
        <v>683</v>
      </c>
      <c r="D230" s="39">
        <v>2019</v>
      </c>
      <c r="E230" s="38" t="s">
        <v>684</v>
      </c>
      <c r="F230" s="38" t="s">
        <v>685</v>
      </c>
      <c r="G230" s="39" t="s">
        <v>78</v>
      </c>
      <c r="H230" s="39">
        <v>1</v>
      </c>
      <c r="I230" s="39" t="s">
        <v>686</v>
      </c>
      <c r="J230" s="39" t="s">
        <v>79</v>
      </c>
      <c r="K230" s="39">
        <v>266</v>
      </c>
      <c r="L230" s="39" t="s">
        <v>129</v>
      </c>
      <c r="M230" s="39" t="s">
        <v>557</v>
      </c>
      <c r="N230" s="39">
        <v>-0.51741999999999999</v>
      </c>
      <c r="O230" s="39">
        <v>0.12279</v>
      </c>
      <c r="P230" s="90">
        <f t="shared" si="74"/>
        <v>-4.2138610636045284</v>
      </c>
      <c r="Q230" s="39" t="s">
        <v>312</v>
      </c>
      <c r="R230" s="90">
        <f t="shared" si="75"/>
        <v>-0.7580884</v>
      </c>
      <c r="S230" s="90">
        <f t="shared" si="76"/>
        <v>-0.27675159999999999</v>
      </c>
      <c r="T230" s="39">
        <v>1</v>
      </c>
      <c r="U230" s="39">
        <v>13295</v>
      </c>
      <c r="V230" s="39">
        <v>3</v>
      </c>
      <c r="W230" s="39">
        <v>1</v>
      </c>
      <c r="X230" s="39">
        <f t="shared" si="77"/>
        <v>13292</v>
      </c>
      <c r="Y230" s="90">
        <f t="shared" si="78"/>
        <v>-3.6525414668448615E-2</v>
      </c>
      <c r="Z230" s="90">
        <f t="shared" si="79"/>
        <v>8.667920967760822E-3</v>
      </c>
      <c r="AA230" s="90">
        <f t="shared" si="83"/>
        <v>-3.6525414668448615E-2</v>
      </c>
      <c r="AB230" s="39" t="s">
        <v>81</v>
      </c>
      <c r="AC230" s="90">
        <f t="shared" si="88"/>
        <v>-2.0295026729354737E-2</v>
      </c>
      <c r="AD230" s="90" cm="1">
        <f t="array" ref="AD230">_xlfn.IFS(
AND(L230="marginal_effect",M230="level"),N230*AN230/BF230,
AND(L230="marginal_effect",M230="sd (Y)"),N230*BH230*AN230/BF230,
AND(L230="marginal_effect",M230="sd (X)"),N230/AQ230*AN230/BF230,
AND(L230="semi_elasticity",M230="level"),N230*AN230,
AND(L230="semi_elasticity",M230="sd (Y)"),N230*AN230*BH230,
AND(L230="semi_elasticity",M230="sd (X)"),N230*AN230/AQ230,
AND(L230="level-log",M230="level"),N230/BF230,
AND(L230="level-log",M230="sd (X)"),N230/BF230/AQ230,
AND(L230="level-log",M230="sd (Y)"),N230/BF230*BH230,
AND(L230="elasticity",M230="level"),N230,
AND(L230="elasticity",M230="sd (X)"),N230/AQ230,
AND(L230="elasticity",M230="sd (Y)"),N230*BH230,
AND(L230="marginal_effect",M230="percent_of_mean"),N230*AN230/BF230/10)</f>
        <v>-2.0295026729354737E-2</v>
      </c>
      <c r="AE230" s="41">
        <f t="shared" si="80"/>
        <v>1</v>
      </c>
      <c r="AF230" s="90">
        <f t="shared" si="89"/>
        <v>4.816254362215353E-3</v>
      </c>
      <c r="AG230" s="90" cm="1">
        <f t="array" ref="AG230">_xlfn.IFS(
AND(L230="marginal_effect",M230="level"),O230*AN230/BF230,
AND(L230="marginal_effect",M230="sd (Y)"),O230*BH230*AN230/BF230,
AND(L230="marginal_effect",M230="sd (X)"),O230/AQ230*AN230/BF230,
AND(L230="semi_elasticity",M230="level"),O230*AN230,
AND(L230="semi_elasticity",M230="sd (Y)"),O230*AN230*BH230,
AND(L230="semi_elasticity",M230="sd (X)"),O230*AN230/AQ230,
AND(L230="level-log",M230="level"),O230/BF230,
AND(L230="level-log",M230="sd (X)"),O230/BF230/AQ230,
AND(L230="level-log",M230="sd (Y)"),O230/BF230*BH230,
AND(L230="elasticity",M230="level"),O230,
AND(L230="elasticity",M230="sd (X)"),O230/AQ230,
AND(L230="elasticity",M230="sd (Y)"),O230*BH230,
AND(L230="marginal_effect",M230="percent_of_mean"),O230*AN230/BF230/10)</f>
        <v>4.816254362215353E-3</v>
      </c>
      <c r="AH230" s="41">
        <f t="shared" si="81"/>
        <v>1</v>
      </c>
      <c r="AI230" s="90">
        <f t="shared" si="84"/>
        <v>-2.0295026729354737E-2</v>
      </c>
      <c r="AJ230" s="39">
        <v>0</v>
      </c>
      <c r="AK230" s="41">
        <f t="shared" si="82"/>
        <v>1</v>
      </c>
      <c r="AL230" s="39" t="s">
        <v>82</v>
      </c>
      <c r="AM230" s="39" t="s">
        <v>1333</v>
      </c>
      <c r="AN230" s="39">
        <v>51.14</v>
      </c>
      <c r="AO230" s="39">
        <v>0</v>
      </c>
      <c r="AP230" s="39">
        <f t="shared" si="87"/>
        <v>51.14</v>
      </c>
      <c r="AQ230" s="39">
        <v>27.05</v>
      </c>
      <c r="AR230" s="39" t="s">
        <v>312</v>
      </c>
      <c r="AS230" s="39" t="s">
        <v>312</v>
      </c>
      <c r="AT230" s="39" t="s">
        <v>83</v>
      </c>
      <c r="AU230" s="39" t="s">
        <v>85</v>
      </c>
      <c r="AV230" s="39" t="s">
        <v>108</v>
      </c>
      <c r="AW230" s="39" t="s">
        <v>85</v>
      </c>
      <c r="AX230" s="39" t="s">
        <v>86</v>
      </c>
      <c r="AY230" s="39">
        <v>0</v>
      </c>
      <c r="AZ230" s="39">
        <v>0</v>
      </c>
      <c r="BA230" s="39" t="s">
        <v>87</v>
      </c>
      <c r="BB230" s="39" t="s">
        <v>88</v>
      </c>
      <c r="BC230" s="39" t="s">
        <v>89</v>
      </c>
      <c r="BD230" s="39" t="s">
        <v>114</v>
      </c>
      <c r="BE230" s="39" t="s">
        <v>703</v>
      </c>
      <c r="BF230" s="39">
        <v>48.2</v>
      </c>
      <c r="BG230" s="39">
        <v>0</v>
      </c>
      <c r="BH230" s="39">
        <v>14.05</v>
      </c>
      <c r="BI230" s="39" t="s">
        <v>312</v>
      </c>
      <c r="BJ230" s="39" t="s">
        <v>312</v>
      </c>
      <c r="BK230" s="39" t="s">
        <v>91</v>
      </c>
      <c r="BL230" s="39" t="s">
        <v>702</v>
      </c>
      <c r="BM230" s="39">
        <v>1</v>
      </c>
      <c r="BN230" s="39" t="s">
        <v>2177</v>
      </c>
      <c r="BO230" s="39" t="s">
        <v>687</v>
      </c>
      <c r="BP230" s="39" t="s">
        <v>315</v>
      </c>
      <c r="BQ230" s="39" t="s">
        <v>117</v>
      </c>
      <c r="BR230" s="39" t="s">
        <v>312</v>
      </c>
      <c r="BS230" s="39">
        <v>28.94</v>
      </c>
      <c r="BT230" s="39" t="s">
        <v>312</v>
      </c>
      <c r="BU230" s="39" t="s">
        <v>689</v>
      </c>
      <c r="BV230" s="39" t="s">
        <v>690</v>
      </c>
      <c r="BW230" s="39" t="s">
        <v>94</v>
      </c>
      <c r="BX230" s="39" t="s">
        <v>95</v>
      </c>
      <c r="BY230" s="39" t="s">
        <v>96</v>
      </c>
      <c r="BZ230" s="39">
        <v>0</v>
      </c>
      <c r="CA230" s="39">
        <v>0</v>
      </c>
      <c r="CB230" s="39" t="s">
        <v>97</v>
      </c>
      <c r="CC230" s="39" t="s">
        <v>692</v>
      </c>
      <c r="CD230" s="39">
        <v>1</v>
      </c>
      <c r="CE230" s="39" t="s">
        <v>435</v>
      </c>
      <c r="CF230" s="39">
        <v>1</v>
      </c>
      <c r="CG230" s="39" t="s">
        <v>106</v>
      </c>
      <c r="CH230" s="39">
        <v>1</v>
      </c>
      <c r="CI230" s="39" t="s">
        <v>691</v>
      </c>
      <c r="CJ230" s="39" t="s">
        <v>98</v>
      </c>
      <c r="CK230" s="39">
        <v>8</v>
      </c>
      <c r="CL230" s="39">
        <v>0</v>
      </c>
      <c r="CM230" s="39">
        <v>0</v>
      </c>
      <c r="CN230" s="39" t="s">
        <v>124</v>
      </c>
      <c r="CO230" s="39" t="s">
        <v>97</v>
      </c>
      <c r="CP230" s="39" t="s">
        <v>100</v>
      </c>
      <c r="CQ230" s="39" t="s">
        <v>126</v>
      </c>
      <c r="CR230" s="42">
        <v>46220</v>
      </c>
      <c r="CT230" s="39" t="s">
        <v>707</v>
      </c>
    </row>
    <row r="231" spans="1:98" s="44" customFormat="1" x14ac:dyDescent="0.35">
      <c r="A231" s="43" t="s">
        <v>708</v>
      </c>
      <c r="B231" s="43" t="s">
        <v>2204</v>
      </c>
      <c r="C231" s="44" t="s">
        <v>709</v>
      </c>
      <c r="D231" s="44">
        <v>2019</v>
      </c>
      <c r="E231" s="43" t="s">
        <v>710</v>
      </c>
      <c r="F231" s="43" t="s">
        <v>711</v>
      </c>
      <c r="G231" s="44" t="s">
        <v>78</v>
      </c>
      <c r="H231" s="44">
        <v>1</v>
      </c>
      <c r="I231" s="44" t="s">
        <v>712</v>
      </c>
      <c r="J231" s="44" t="s">
        <v>79</v>
      </c>
      <c r="K231" s="44">
        <v>54</v>
      </c>
      <c r="L231" s="44" t="s">
        <v>129</v>
      </c>
      <c r="M231" s="44" t="s">
        <v>380</v>
      </c>
      <c r="N231" s="44">
        <v>-2.1000000000000001E-2</v>
      </c>
      <c r="O231" s="44">
        <v>8.9999999999999993E-3</v>
      </c>
      <c r="P231" s="91">
        <f t="shared" ref="P231" si="90">N231/O231</f>
        <v>-2.3333333333333335</v>
      </c>
      <c r="Q231" s="44" t="s">
        <v>312</v>
      </c>
      <c r="R231" s="91">
        <f t="shared" ref="R231" si="91">N231-1.96*O231</f>
        <v>-3.8640000000000001E-2</v>
      </c>
      <c r="S231" s="91">
        <f t="shared" ref="S231" si="92">N231+1.96*O231</f>
        <v>-3.3600000000000019E-3</v>
      </c>
      <c r="T231" s="44">
        <v>1</v>
      </c>
      <c r="U231" s="44">
        <v>119225</v>
      </c>
      <c r="V231" s="44">
        <v>1</v>
      </c>
      <c r="W231" s="44">
        <v>1</v>
      </c>
      <c r="X231" s="44">
        <f t="shared" ref="X231" si="93">IF(V231="NA",U231,U231-V231)</f>
        <v>119224</v>
      </c>
      <c r="Y231" s="91">
        <f t="shared" ref="Y231" si="94">P231/(P231^2 + X231)^(1/2)</f>
        <v>-6.7574839852193591E-3</v>
      </c>
      <c r="Z231" s="91">
        <f t="shared" ref="Z231" si="95">((1-Y231^2)/X231)^(1/2)</f>
        <v>2.8960645650940109E-3</v>
      </c>
      <c r="AA231" s="91">
        <f t="shared" ref="AA231" si="96">Y231</f>
        <v>-6.7574839852193591E-3</v>
      </c>
      <c r="AB231" s="44" t="s">
        <v>81</v>
      </c>
      <c r="AC231" s="91">
        <f>N231*AN231/BF231</f>
        <v>-9.2361990950226257E-3</v>
      </c>
      <c r="AD231" s="91" cm="1">
        <f t="array" ref="AD231">_xlfn.IFS(
AND(L231="marginal_effect",M231="level"),N231*AN231/BF231,
AND(L231="marginal_effect",M231="sd (Y)"),N231*BH231*AN231/BF231,
AND(L231="marginal_effect",M231="sd (X)"),N231/AQ231*AN231/BF231,
AND(L231="semi_elasticity",M231="level"),N231*AN231,
AND(L231="semi_elasticity",M231="sd (Y)"),N231*AN231*BH231,
AND(L231="semi_elasticity",M231="sd (X)"),N231*AN231/AQ231,
AND(L231="level-log",M231="level"),N231/BF231,
AND(L231="level-log",M231="sd (X)"),N231/BF231/AQ231,
AND(L231="level-log",M231="sd (Y)"),N231/BF231*BH231,
AND(L231="elasticity",M231="level"),N231,
AND(L231="elasticity",M231="sd (X)"),N231/AQ231,
AND(L231="elasticity",M231="sd (Y)"),N231*BH231,
AND(L231="marginal_effect",M231="percent_of_mean"),N231*AN231/BF231/10)</f>
        <v>-9.2361990950226257E-3</v>
      </c>
      <c r="AE231" s="50">
        <f t="shared" ref="AE231" si="97">IF(AC231=AD231,1,0)</f>
        <v>1</v>
      </c>
      <c r="AF231" s="91">
        <f>O231*AN231/BF231</f>
        <v>3.9583710407239819E-3</v>
      </c>
      <c r="AG231" s="91" cm="1">
        <f t="array" ref="AG231">_xlfn.IFS(
AND(L231="marginal_effect",M231="level"),O231*AN231/BF231,
AND(L231="marginal_effect",M231="sd (Y)"),O231*BH231*AN231/BF231,
AND(L231="marginal_effect",M231="sd (X)"),O231/AQ231*AN231/BF231,
AND(L231="semi_elasticity",M231="level"),O231*AN231,
AND(L231="semi_elasticity",M231="sd (Y)"),O231*AN231*BH231,
AND(L231="semi_elasticity",M231="sd (X)"),O231*AN231/AQ231,
AND(L231="level-log",M231="level"),O231/BF231,
AND(L231="level-log",M231="sd (X)"),O231/BF231/AQ231,
AND(L231="level-log",M231="sd (Y)"),O231/BF231*BH231,
AND(L231="elasticity",M231="level"),O231,
AND(L231="elasticity",M231="sd (X)"),O231/AQ231,
AND(L231="elasticity",M231="sd (Y)"),O231*BH231,
AND(L231="marginal_effect",M231="percent_of_mean"),O231*AN231/BF231/10)</f>
        <v>3.9583710407239819E-3</v>
      </c>
      <c r="AH231" s="50">
        <f t="shared" ref="AH231" si="98">IF(AF231=AG231,1,0)</f>
        <v>1</v>
      </c>
      <c r="AI231" s="91">
        <f t="shared" ref="AI231" si="99">AC231</f>
        <v>-9.2361990950226257E-3</v>
      </c>
      <c r="AJ231" s="44">
        <v>0</v>
      </c>
      <c r="AK231" s="44">
        <f t="shared" ref="AK231" si="100">IF(P231=(AC231/AF231),1,0)</f>
        <v>1</v>
      </c>
      <c r="AL231" s="44" t="s">
        <v>82</v>
      </c>
      <c r="AM231" s="44" t="s">
        <v>1333</v>
      </c>
      <c r="AN231" s="44">
        <v>4.8600000000000003</v>
      </c>
      <c r="AO231" s="44">
        <v>0</v>
      </c>
      <c r="AP231" s="44">
        <f t="shared" ref="AP231" si="101">AN231</f>
        <v>4.8600000000000003</v>
      </c>
      <c r="AQ231" s="44">
        <v>3.91</v>
      </c>
      <c r="AR231" s="44" t="s">
        <v>312</v>
      </c>
      <c r="AS231" s="44">
        <v>22</v>
      </c>
      <c r="AT231" s="44" t="s">
        <v>83</v>
      </c>
      <c r="AU231" s="44" t="s">
        <v>109</v>
      </c>
      <c r="AV231" s="44" t="s">
        <v>133</v>
      </c>
      <c r="AW231" s="44" t="s">
        <v>85</v>
      </c>
      <c r="AX231" s="44" t="s">
        <v>86</v>
      </c>
      <c r="AY231" s="44">
        <v>0</v>
      </c>
      <c r="AZ231" s="44">
        <v>0</v>
      </c>
      <c r="BA231" s="44" t="s">
        <v>111</v>
      </c>
      <c r="BB231" s="44" t="s">
        <v>88</v>
      </c>
      <c r="BC231" s="44" t="s">
        <v>113</v>
      </c>
      <c r="BD231" s="44" t="s">
        <v>114</v>
      </c>
      <c r="BE231" s="44" t="s">
        <v>713</v>
      </c>
      <c r="BF231" s="44">
        <v>11.05</v>
      </c>
      <c r="BG231" s="44">
        <v>0</v>
      </c>
      <c r="BH231" s="44">
        <v>7.6</v>
      </c>
      <c r="BI231" s="44">
        <v>-14.81</v>
      </c>
      <c r="BJ231" s="44">
        <v>192.01</v>
      </c>
      <c r="BK231" s="44" t="s">
        <v>91</v>
      </c>
      <c r="BL231" s="44" t="s">
        <v>84</v>
      </c>
      <c r="BM231" s="44">
        <v>1</v>
      </c>
      <c r="BN231" s="44" t="s">
        <v>428</v>
      </c>
      <c r="BO231" s="44" t="s">
        <v>714</v>
      </c>
      <c r="BP231" s="44" t="s">
        <v>715</v>
      </c>
      <c r="BQ231" s="44" t="s">
        <v>92</v>
      </c>
      <c r="BR231" s="44" t="s">
        <v>93</v>
      </c>
      <c r="BS231" s="44" t="s">
        <v>312</v>
      </c>
      <c r="BT231" s="44" t="s">
        <v>312</v>
      </c>
      <c r="BU231" s="44">
        <v>2006</v>
      </c>
      <c r="BV231" s="44">
        <v>2011</v>
      </c>
      <c r="BW231" s="44" t="s">
        <v>94</v>
      </c>
      <c r="BX231" s="44" t="s">
        <v>95</v>
      </c>
      <c r="BY231" s="44" t="s">
        <v>96</v>
      </c>
      <c r="BZ231" s="44">
        <v>0</v>
      </c>
      <c r="CA231" s="44">
        <v>0</v>
      </c>
      <c r="CB231" s="44" t="s">
        <v>97</v>
      </c>
      <c r="CC231" s="44" t="s">
        <v>97</v>
      </c>
      <c r="CD231" s="44">
        <v>0</v>
      </c>
      <c r="CE231" s="44" t="s">
        <v>97</v>
      </c>
      <c r="CF231" s="44">
        <v>0</v>
      </c>
      <c r="CG231" s="44" t="s">
        <v>97</v>
      </c>
      <c r="CH231" s="44">
        <v>1</v>
      </c>
      <c r="CI231" s="44" t="s">
        <v>716</v>
      </c>
      <c r="CJ231" s="44" t="s">
        <v>98</v>
      </c>
      <c r="CK231" s="44">
        <v>6</v>
      </c>
      <c r="CL231" s="44">
        <v>1</v>
      </c>
      <c r="CM231" s="44">
        <v>1</v>
      </c>
      <c r="CN231" s="44" t="s">
        <v>99</v>
      </c>
      <c r="CO231" s="44" t="s">
        <v>97</v>
      </c>
      <c r="CP231" s="44" t="s">
        <v>717</v>
      </c>
      <c r="CQ231" s="44" t="s">
        <v>126</v>
      </c>
      <c r="CR231" s="45">
        <v>46220</v>
      </c>
      <c r="CT231" s="44" t="s">
        <v>449</v>
      </c>
    </row>
    <row r="232" spans="1:98" s="44" customFormat="1" x14ac:dyDescent="0.35">
      <c r="A232" s="43" t="s">
        <v>708</v>
      </c>
      <c r="B232" s="43" t="s">
        <v>722</v>
      </c>
      <c r="C232" s="44" t="s">
        <v>709</v>
      </c>
      <c r="D232" s="44">
        <v>2019</v>
      </c>
      <c r="E232" s="43" t="s">
        <v>710</v>
      </c>
      <c r="F232" s="43" t="s">
        <v>711</v>
      </c>
      <c r="G232" s="44" t="s">
        <v>78</v>
      </c>
      <c r="H232" s="44">
        <v>1</v>
      </c>
      <c r="I232" s="44" t="s">
        <v>712</v>
      </c>
      <c r="J232" s="44" t="s">
        <v>79</v>
      </c>
      <c r="K232" s="44">
        <v>54</v>
      </c>
      <c r="L232" s="44" t="s">
        <v>129</v>
      </c>
      <c r="M232" s="44" t="s">
        <v>380</v>
      </c>
      <c r="N232" s="44">
        <v>-1.7000000000000001E-2</v>
      </c>
      <c r="O232" s="44">
        <v>7.0000000000000001E-3</v>
      </c>
      <c r="P232" s="91">
        <f t="shared" si="74"/>
        <v>-2.4285714285714288</v>
      </c>
      <c r="Q232" s="44" t="s">
        <v>312</v>
      </c>
      <c r="R232" s="91">
        <f t="shared" si="75"/>
        <v>-3.0720000000000001E-2</v>
      </c>
      <c r="S232" s="91">
        <f t="shared" si="76"/>
        <v>-3.2800000000000017E-3</v>
      </c>
      <c r="T232" s="44">
        <v>1</v>
      </c>
      <c r="U232" s="44">
        <v>119225</v>
      </c>
      <c r="V232" s="44">
        <v>1</v>
      </c>
      <c r="W232" s="44">
        <v>1</v>
      </c>
      <c r="X232" s="44">
        <f t="shared" si="77"/>
        <v>119224</v>
      </c>
      <c r="Y232" s="91">
        <f t="shared" si="78"/>
        <v>-7.0332862817924779E-3</v>
      </c>
      <c r="Z232" s="91">
        <f t="shared" si="79"/>
        <v>2.8960590572086669E-3</v>
      </c>
      <c r="AA232" s="91">
        <f t="shared" si="83"/>
        <v>-7.0332862817924779E-3</v>
      </c>
      <c r="AB232" s="44" t="s">
        <v>81</v>
      </c>
      <c r="AC232" s="91">
        <f>N232*AN232/BF232</f>
        <v>-7.4769230769230772E-3</v>
      </c>
      <c r="AD232" s="91" cm="1">
        <f t="array" ref="AD232">_xlfn.IFS(
AND(L232="marginal_effect",M232="level"),N232*AN232/BF232,
AND(L232="marginal_effect",M232="sd (Y)"),N232*BH232*AN232/BF232,
AND(L232="marginal_effect",M232="sd (X)"),N232/AQ232*AN232/BF232,
AND(L232="semi_elasticity",M232="level"),N232*AN232,
AND(L232="semi_elasticity",M232="sd (Y)"),N232*AN232*BH232,
AND(L232="semi_elasticity",M232="sd (X)"),N232*AN232/AQ232,
AND(L232="level-log",M232="level"),N232/BF232,
AND(L232="level-log",M232="sd (X)"),N232/BF232/AQ232,
AND(L232="level-log",M232="sd (Y)"),N232/BF232*BH232,
AND(L232="elasticity",M232="level"),N232,
AND(L232="elasticity",M232="sd (X)"),N232/AQ232,
AND(L232="elasticity",M232="sd (Y)"),N232*BH232,
AND(L232="marginal_effect",M232="percent_of_mean"),N232*AN232/BF232/10)</f>
        <v>-7.4769230769230772E-3</v>
      </c>
      <c r="AE232" s="50">
        <f t="shared" si="80"/>
        <v>1</v>
      </c>
      <c r="AF232" s="91">
        <f>O232*AN232/BF232</f>
        <v>3.0787330316742081E-3</v>
      </c>
      <c r="AG232" s="91" cm="1">
        <f t="array" ref="AG232">_xlfn.IFS(
AND(L232="marginal_effect",M232="level"),O232*AN232/BF232,
AND(L232="marginal_effect",M232="sd (Y)"),O232*BH232*AN232/BF232,
AND(L232="marginal_effect",M232="sd (X)"),O232/AQ232*AN232/BF232,
AND(L232="semi_elasticity",M232="level"),O232*AN232,
AND(L232="semi_elasticity",M232="sd (Y)"),O232*AN232*BH232,
AND(L232="semi_elasticity",M232="sd (X)"),O232*AN232/AQ232,
AND(L232="level-log",M232="level"),O232/BF232,
AND(L232="level-log",M232="sd (X)"),O232/BF232/AQ232,
AND(L232="level-log",M232="sd (Y)"),O232/BF232*BH232,
AND(L232="elasticity",M232="level"),O232,
AND(L232="elasticity",M232="sd (X)"),O232/AQ232,
AND(L232="elasticity",M232="sd (Y)"),O232*BH232,
AND(L232="marginal_effect",M232="percent_of_mean"),O232*AN232/BF232/10)</f>
        <v>3.0787330316742081E-3</v>
      </c>
      <c r="AH232" s="50">
        <f t="shared" si="81"/>
        <v>1</v>
      </c>
      <c r="AI232" s="91">
        <f t="shared" si="84"/>
        <v>-7.4769230769230772E-3</v>
      </c>
      <c r="AJ232" s="44">
        <v>0</v>
      </c>
      <c r="AK232" s="44">
        <f t="shared" si="82"/>
        <v>1</v>
      </c>
      <c r="AL232" s="44" t="s">
        <v>82</v>
      </c>
      <c r="AM232" s="44" t="s">
        <v>1333</v>
      </c>
      <c r="AN232" s="44">
        <v>4.8600000000000003</v>
      </c>
      <c r="AO232" s="44">
        <v>0</v>
      </c>
      <c r="AP232" s="44">
        <f t="shared" si="87"/>
        <v>4.8600000000000003</v>
      </c>
      <c r="AQ232" s="44">
        <v>3.91</v>
      </c>
      <c r="AR232" s="44" t="s">
        <v>312</v>
      </c>
      <c r="AS232" s="44">
        <v>22</v>
      </c>
      <c r="AT232" s="44" t="s">
        <v>83</v>
      </c>
      <c r="AU232" s="44" t="s">
        <v>109</v>
      </c>
      <c r="AV232" s="44" t="s">
        <v>133</v>
      </c>
      <c r="AW232" s="44" t="s">
        <v>85</v>
      </c>
      <c r="AX232" s="44" t="s">
        <v>86</v>
      </c>
      <c r="AY232" s="44">
        <v>0</v>
      </c>
      <c r="AZ232" s="44">
        <v>0</v>
      </c>
      <c r="BA232" s="44" t="s">
        <v>111</v>
      </c>
      <c r="BB232" s="44" t="s">
        <v>88</v>
      </c>
      <c r="BC232" s="44" t="s">
        <v>113</v>
      </c>
      <c r="BD232" s="44" t="s">
        <v>114</v>
      </c>
      <c r="BE232" s="44" t="s">
        <v>713</v>
      </c>
      <c r="BF232" s="44">
        <v>11.05</v>
      </c>
      <c r="BG232" s="44">
        <v>0</v>
      </c>
      <c r="BH232" s="44">
        <v>7.6</v>
      </c>
      <c r="BI232" s="44">
        <v>-14.81</v>
      </c>
      <c r="BJ232" s="44">
        <v>192.01</v>
      </c>
      <c r="BK232" s="44" t="s">
        <v>91</v>
      </c>
      <c r="BL232" s="44" t="s">
        <v>84</v>
      </c>
      <c r="BM232" s="44">
        <v>1</v>
      </c>
      <c r="BN232" s="44" t="s">
        <v>428</v>
      </c>
      <c r="BO232" s="44" t="s">
        <v>714</v>
      </c>
      <c r="BP232" s="44" t="s">
        <v>715</v>
      </c>
      <c r="BQ232" s="44" t="s">
        <v>92</v>
      </c>
      <c r="BR232" s="44" t="s">
        <v>93</v>
      </c>
      <c r="BS232" s="44" t="s">
        <v>312</v>
      </c>
      <c r="BT232" s="44" t="s">
        <v>312</v>
      </c>
      <c r="BU232" s="44">
        <v>2006</v>
      </c>
      <c r="BV232" s="44">
        <v>2011</v>
      </c>
      <c r="BW232" s="44" t="s">
        <v>94</v>
      </c>
      <c r="BX232" s="44" t="s">
        <v>95</v>
      </c>
      <c r="BY232" s="44" t="s">
        <v>96</v>
      </c>
      <c r="BZ232" s="44">
        <v>0</v>
      </c>
      <c r="CA232" s="44">
        <v>0</v>
      </c>
      <c r="CB232" s="44" t="s">
        <v>97</v>
      </c>
      <c r="CC232" s="44" t="s">
        <v>97</v>
      </c>
      <c r="CD232" s="44">
        <v>0</v>
      </c>
      <c r="CE232" s="44" t="s">
        <v>97</v>
      </c>
      <c r="CF232" s="44">
        <v>0</v>
      </c>
      <c r="CG232" s="44" t="s">
        <v>97</v>
      </c>
      <c r="CH232" s="44">
        <v>1</v>
      </c>
      <c r="CI232" s="44" t="s">
        <v>716</v>
      </c>
      <c r="CJ232" s="44" t="s">
        <v>98</v>
      </c>
      <c r="CK232" s="44">
        <v>6</v>
      </c>
      <c r="CL232" s="44">
        <v>0</v>
      </c>
      <c r="CM232" s="44">
        <v>0</v>
      </c>
      <c r="CN232" s="44" t="s">
        <v>124</v>
      </c>
      <c r="CO232" s="44" t="s">
        <v>97</v>
      </c>
      <c r="CP232" s="44" t="s">
        <v>717</v>
      </c>
      <c r="CQ232" s="44" t="s">
        <v>126</v>
      </c>
      <c r="CR232" s="45">
        <v>46220</v>
      </c>
      <c r="CT232" s="44" t="s">
        <v>718</v>
      </c>
    </row>
    <row r="233" spans="1:98" s="44" customFormat="1" x14ac:dyDescent="0.35">
      <c r="A233" s="43" t="s">
        <v>708</v>
      </c>
      <c r="B233" s="43" t="s">
        <v>723</v>
      </c>
      <c r="C233" s="44" t="s">
        <v>709</v>
      </c>
      <c r="D233" s="44">
        <v>2019</v>
      </c>
      <c r="E233" s="43" t="s">
        <v>710</v>
      </c>
      <c r="F233" s="43" t="s">
        <v>711</v>
      </c>
      <c r="G233" s="44" t="s">
        <v>78</v>
      </c>
      <c r="H233" s="44">
        <v>1</v>
      </c>
      <c r="I233" s="44" t="s">
        <v>712</v>
      </c>
      <c r="J233" s="44" t="s">
        <v>79</v>
      </c>
      <c r="K233" s="44">
        <v>54</v>
      </c>
      <c r="L233" s="44" t="s">
        <v>129</v>
      </c>
      <c r="M233" s="44" t="s">
        <v>380</v>
      </c>
      <c r="N233" s="44">
        <v>-0.01</v>
      </c>
      <c r="O233" s="44">
        <v>8.9999999999999993E-3</v>
      </c>
      <c r="P233" s="91">
        <f t="shared" si="74"/>
        <v>-1.1111111111111112</v>
      </c>
      <c r="Q233" s="44" t="s">
        <v>312</v>
      </c>
      <c r="R233" s="91">
        <f t="shared" si="75"/>
        <v>-2.7639999999999998E-2</v>
      </c>
      <c r="S233" s="91">
        <f t="shared" si="76"/>
        <v>7.6399999999999992E-3</v>
      </c>
      <c r="T233" s="44">
        <v>1</v>
      </c>
      <c r="U233" s="44">
        <v>119225</v>
      </c>
      <c r="V233" s="44" t="s">
        <v>312</v>
      </c>
      <c r="W233" s="44">
        <v>1</v>
      </c>
      <c r="X233" s="44">
        <f t="shared" si="77"/>
        <v>119225</v>
      </c>
      <c r="Y233" s="91">
        <f t="shared" si="78"/>
        <v>-3.2178928328676255E-3</v>
      </c>
      <c r="Z233" s="91">
        <f t="shared" si="79"/>
        <v>2.8961035495808627E-3</v>
      </c>
      <c r="AA233" s="91">
        <f t="shared" si="83"/>
        <v>-3.2178928328676255E-3</v>
      </c>
      <c r="AB233" s="44" t="s">
        <v>81</v>
      </c>
      <c r="AC233" s="91">
        <f>N233*AN233/BF233</f>
        <v>-4.3981900452488686E-3</v>
      </c>
      <c r="AD233" s="91" cm="1">
        <f t="array" ref="AD233">_xlfn.IFS(
AND(L233="marginal_effect",M233="level"),N233*AN233/BF233,
AND(L233="marginal_effect",M233="sd (Y)"),N233*BH233*AN233/BF233,
AND(L233="marginal_effect",M233="sd (X)"),N233/AQ233*AN233/BF233,
AND(L233="semi_elasticity",M233="level"),N233*AN233,
AND(L233="semi_elasticity",M233="sd (Y)"),N233*AN233*BH233,
AND(L233="semi_elasticity",M233="sd (X)"),N233*AN233/AQ233,
AND(L233="level-log",M233="level"),N233/BF233,
AND(L233="level-log",M233="sd (X)"),N233/BF233/AQ233,
AND(L233="level-log",M233="sd (Y)"),N233/BF233*BH233,
AND(L233="elasticity",M233="level"),N233,
AND(L233="elasticity",M233="sd (X)"),N233/AQ233,
AND(L233="elasticity",M233="sd (Y)"),N233*BH233,
AND(L233="marginal_effect",M233="percent_of_mean"),N233*AN233/BF233/10)</f>
        <v>-4.3981900452488686E-3</v>
      </c>
      <c r="AE233" s="50">
        <f t="shared" si="80"/>
        <v>1</v>
      </c>
      <c r="AF233" s="91">
        <f>O233*AN233/BF233</f>
        <v>3.9583710407239819E-3</v>
      </c>
      <c r="AG233" s="91" cm="1">
        <f t="array" ref="AG233">_xlfn.IFS(
AND(L233="marginal_effect",M233="level"),O233*AN233/BF233,
AND(L233="marginal_effect",M233="sd (Y)"),O233*BH233*AN233/BF233,
AND(L233="marginal_effect",M233="sd (X)"),O233/AQ233*AN233/BF233,
AND(L233="semi_elasticity",M233="level"),O233*AN233,
AND(L233="semi_elasticity",M233="sd (Y)"),O233*AN233*BH233,
AND(L233="semi_elasticity",M233="sd (X)"),O233*AN233/AQ233,
AND(L233="level-log",M233="level"),O233/BF233,
AND(L233="level-log",M233="sd (X)"),O233/BF233/AQ233,
AND(L233="level-log",M233="sd (Y)"),O233/BF233*BH233,
AND(L233="elasticity",M233="level"),O233,
AND(L233="elasticity",M233="sd (X)"),O233/AQ233,
AND(L233="elasticity",M233="sd (Y)"),O233*BH233,
AND(L233="marginal_effect",M233="percent_of_mean"),O233*AN233/BF233/10)</f>
        <v>3.9583710407239819E-3</v>
      </c>
      <c r="AH233" s="50">
        <f t="shared" si="81"/>
        <v>1</v>
      </c>
      <c r="AI233" s="91">
        <f t="shared" si="84"/>
        <v>-4.3981900452488686E-3</v>
      </c>
      <c r="AJ233" s="44">
        <v>0</v>
      </c>
      <c r="AK233" s="44">
        <f t="shared" si="82"/>
        <v>1</v>
      </c>
      <c r="AL233" s="44" t="s">
        <v>82</v>
      </c>
      <c r="AM233" s="44" t="s">
        <v>1333</v>
      </c>
      <c r="AN233" s="44">
        <v>4.8600000000000003</v>
      </c>
      <c r="AO233" s="44">
        <v>0</v>
      </c>
      <c r="AP233" s="44">
        <f t="shared" si="87"/>
        <v>4.8600000000000003</v>
      </c>
      <c r="AQ233" s="44">
        <v>3.91</v>
      </c>
      <c r="AR233" s="44" t="s">
        <v>312</v>
      </c>
      <c r="AS233" s="44">
        <v>22</v>
      </c>
      <c r="AT233" s="44" t="s">
        <v>83</v>
      </c>
      <c r="AU233" s="44" t="s">
        <v>109</v>
      </c>
      <c r="AV233" s="44" t="s">
        <v>133</v>
      </c>
      <c r="AW233" s="44" t="s">
        <v>85</v>
      </c>
      <c r="AX233" s="44" t="s">
        <v>86</v>
      </c>
      <c r="AY233" s="44">
        <v>0</v>
      </c>
      <c r="AZ233" s="44">
        <v>0</v>
      </c>
      <c r="BA233" s="44" t="s">
        <v>111</v>
      </c>
      <c r="BB233" s="44" t="s">
        <v>88</v>
      </c>
      <c r="BC233" s="44" t="s">
        <v>113</v>
      </c>
      <c r="BD233" s="44" t="s">
        <v>114</v>
      </c>
      <c r="BE233" s="44" t="s">
        <v>713</v>
      </c>
      <c r="BF233" s="44">
        <v>11.05</v>
      </c>
      <c r="BG233" s="44">
        <v>0</v>
      </c>
      <c r="BH233" s="44">
        <v>7.6</v>
      </c>
      <c r="BI233" s="44">
        <v>-14.81</v>
      </c>
      <c r="BJ233" s="44">
        <v>192.01</v>
      </c>
      <c r="BK233" s="44" t="s">
        <v>91</v>
      </c>
      <c r="BL233" s="44" t="s">
        <v>84</v>
      </c>
      <c r="BM233" s="44">
        <v>1</v>
      </c>
      <c r="BN233" s="44" t="s">
        <v>428</v>
      </c>
      <c r="BO233" s="44" t="s">
        <v>714</v>
      </c>
      <c r="BP233" s="44" t="s">
        <v>715</v>
      </c>
      <c r="BQ233" s="44" t="s">
        <v>92</v>
      </c>
      <c r="BR233" s="44" t="s">
        <v>93</v>
      </c>
      <c r="BS233" s="44" t="s">
        <v>312</v>
      </c>
      <c r="BT233" s="44" t="s">
        <v>312</v>
      </c>
      <c r="BU233" s="44">
        <v>2006</v>
      </c>
      <c r="BV233" s="44">
        <v>2011</v>
      </c>
      <c r="BW233" s="44" t="s">
        <v>94</v>
      </c>
      <c r="BX233" s="44" t="s">
        <v>95</v>
      </c>
      <c r="BY233" s="44" t="s">
        <v>96</v>
      </c>
      <c r="BZ233" s="44">
        <v>0</v>
      </c>
      <c r="CA233" s="44">
        <v>0</v>
      </c>
      <c r="CB233" s="44" t="s">
        <v>97</v>
      </c>
      <c r="CC233" s="44" t="s">
        <v>313</v>
      </c>
      <c r="CD233" s="44">
        <v>1</v>
      </c>
      <c r="CE233" s="44" t="s">
        <v>312</v>
      </c>
      <c r="CF233" s="44">
        <v>0</v>
      </c>
      <c r="CG233" s="44" t="s">
        <v>97</v>
      </c>
      <c r="CH233" s="44">
        <v>1</v>
      </c>
      <c r="CI233" s="44" t="s">
        <v>716</v>
      </c>
      <c r="CJ233" s="44" t="s">
        <v>98</v>
      </c>
      <c r="CK233" s="44">
        <v>6</v>
      </c>
      <c r="CL233" s="44">
        <v>0</v>
      </c>
      <c r="CM233" s="44">
        <v>0</v>
      </c>
      <c r="CN233" s="44" t="s">
        <v>124</v>
      </c>
      <c r="CO233" s="44" t="s">
        <v>97</v>
      </c>
      <c r="CP233" s="44" t="s">
        <v>717</v>
      </c>
      <c r="CQ233" s="44" t="s">
        <v>126</v>
      </c>
      <c r="CR233" s="45">
        <v>46220</v>
      </c>
      <c r="CT233" s="44" t="s">
        <v>720</v>
      </c>
    </row>
    <row r="234" spans="1:98" s="44" customFormat="1" x14ac:dyDescent="0.35">
      <c r="A234" s="43" t="s">
        <v>708</v>
      </c>
      <c r="B234" s="43" t="s">
        <v>724</v>
      </c>
      <c r="C234" s="44" t="s">
        <v>709</v>
      </c>
      <c r="D234" s="44">
        <v>2019</v>
      </c>
      <c r="E234" s="43" t="s">
        <v>710</v>
      </c>
      <c r="F234" s="43" t="s">
        <v>711</v>
      </c>
      <c r="G234" s="44" t="s">
        <v>78</v>
      </c>
      <c r="H234" s="44">
        <v>1</v>
      </c>
      <c r="I234" s="44" t="s">
        <v>712</v>
      </c>
      <c r="J234" s="44" t="s">
        <v>79</v>
      </c>
      <c r="K234" s="44">
        <v>54</v>
      </c>
      <c r="L234" s="44" t="s">
        <v>129</v>
      </c>
      <c r="M234" s="44" t="s">
        <v>380</v>
      </c>
      <c r="N234" s="44">
        <v>-8.9999999999999993E-3</v>
      </c>
      <c r="O234" s="44">
        <v>8.9999999999999993E-3</v>
      </c>
      <c r="P234" s="91">
        <f t="shared" si="74"/>
        <v>-1</v>
      </c>
      <c r="Q234" s="44" t="s">
        <v>312</v>
      </c>
      <c r="R234" s="91">
        <f t="shared" si="75"/>
        <v>-2.6639999999999997E-2</v>
      </c>
      <c r="S234" s="91">
        <f t="shared" si="76"/>
        <v>8.6400000000000001E-3</v>
      </c>
      <c r="T234" s="44">
        <v>1</v>
      </c>
      <c r="U234" s="44">
        <v>119225</v>
      </c>
      <c r="V234" s="44" t="s">
        <v>312</v>
      </c>
      <c r="W234" s="44">
        <v>1</v>
      </c>
      <c r="X234" s="44">
        <f t="shared" si="77"/>
        <v>119225</v>
      </c>
      <c r="Y234" s="91">
        <f t="shared" si="78"/>
        <v>-2.8961063985089371E-3</v>
      </c>
      <c r="Z234" s="91">
        <f t="shared" si="79"/>
        <v>2.8961063985089375E-3</v>
      </c>
      <c r="AA234" s="91">
        <f t="shared" si="83"/>
        <v>-2.8961063985089371E-3</v>
      </c>
      <c r="AB234" s="44" t="s">
        <v>81</v>
      </c>
      <c r="AC234" s="91">
        <f>N234*AN234/BF234</f>
        <v>-3.9583710407239819E-3</v>
      </c>
      <c r="AD234" s="91" cm="1">
        <f t="array" ref="AD234">_xlfn.IFS(
AND(L234="marginal_effect",M234="level"),N234*AN234/BF234,
AND(L234="marginal_effect",M234="sd (Y)"),N234*BH234*AN234/BF234,
AND(L234="marginal_effect",M234="sd (X)"),N234/AQ234*AN234/BF234,
AND(L234="semi_elasticity",M234="level"),N234*AN234,
AND(L234="semi_elasticity",M234="sd (Y)"),N234*AN234*BH234,
AND(L234="semi_elasticity",M234="sd (X)"),N234*AN234/AQ234,
AND(L234="level-log",M234="level"),N234/BF234,
AND(L234="level-log",M234="sd (X)"),N234/BF234/AQ234,
AND(L234="level-log",M234="sd (Y)"),N234/BF234*BH234,
AND(L234="elasticity",M234="level"),N234,
AND(L234="elasticity",M234="sd (X)"),N234/AQ234,
AND(L234="elasticity",M234="sd (Y)"),N234*BH234,
AND(L234="marginal_effect",M234="percent_of_mean"),N234*AN234/BF234/10)</f>
        <v>-3.9583710407239819E-3</v>
      </c>
      <c r="AE234" s="50">
        <f t="shared" si="80"/>
        <v>1</v>
      </c>
      <c r="AF234" s="91">
        <f>O234*AN234/BF234</f>
        <v>3.9583710407239819E-3</v>
      </c>
      <c r="AG234" s="91" cm="1">
        <f t="array" ref="AG234">_xlfn.IFS(
AND(L234="marginal_effect",M234="level"),O234*AN234/BF234,
AND(L234="marginal_effect",M234="sd (Y)"),O234*BH234*AN234/BF234,
AND(L234="marginal_effect",M234="sd (X)"),O234/AQ234*AN234/BF234,
AND(L234="semi_elasticity",M234="level"),O234*AN234,
AND(L234="semi_elasticity",M234="sd (Y)"),O234*AN234*BH234,
AND(L234="semi_elasticity",M234="sd (X)"),O234*AN234/AQ234,
AND(L234="level-log",M234="level"),O234/BF234,
AND(L234="level-log",M234="sd (X)"),O234/BF234/AQ234,
AND(L234="level-log",M234="sd (Y)"),O234/BF234*BH234,
AND(L234="elasticity",M234="level"),O234,
AND(L234="elasticity",M234="sd (X)"),O234/AQ234,
AND(L234="elasticity",M234="sd (Y)"),O234*BH234,
AND(L234="marginal_effect",M234="percent_of_mean"),O234*AN234/BF234/10)</f>
        <v>3.9583710407239819E-3</v>
      </c>
      <c r="AH234" s="50">
        <f t="shared" si="81"/>
        <v>1</v>
      </c>
      <c r="AI234" s="91">
        <f t="shared" si="84"/>
        <v>-3.9583710407239819E-3</v>
      </c>
      <c r="AJ234" s="44">
        <v>0</v>
      </c>
      <c r="AK234" s="44">
        <f t="shared" si="82"/>
        <v>1</v>
      </c>
      <c r="AL234" s="44" t="s">
        <v>82</v>
      </c>
      <c r="AM234" s="44" t="s">
        <v>1333</v>
      </c>
      <c r="AN234" s="44">
        <v>4.8600000000000003</v>
      </c>
      <c r="AO234" s="44">
        <v>0</v>
      </c>
      <c r="AP234" s="44">
        <f t="shared" si="87"/>
        <v>4.8600000000000003</v>
      </c>
      <c r="AQ234" s="44">
        <v>3.91</v>
      </c>
      <c r="AR234" s="44" t="s">
        <v>312</v>
      </c>
      <c r="AS234" s="44">
        <v>22</v>
      </c>
      <c r="AT234" s="44" t="s">
        <v>83</v>
      </c>
      <c r="AU234" s="44" t="s">
        <v>109</v>
      </c>
      <c r="AV234" s="44" t="s">
        <v>133</v>
      </c>
      <c r="AW234" s="44" t="s">
        <v>85</v>
      </c>
      <c r="AX234" s="44" t="s">
        <v>86</v>
      </c>
      <c r="AY234" s="44">
        <v>0</v>
      </c>
      <c r="AZ234" s="44">
        <v>0</v>
      </c>
      <c r="BA234" s="44" t="s">
        <v>111</v>
      </c>
      <c r="BB234" s="44" t="s">
        <v>88</v>
      </c>
      <c r="BC234" s="44" t="s">
        <v>113</v>
      </c>
      <c r="BD234" s="44" t="s">
        <v>114</v>
      </c>
      <c r="BE234" s="44" t="s">
        <v>713</v>
      </c>
      <c r="BF234" s="44">
        <v>11.05</v>
      </c>
      <c r="BG234" s="44">
        <v>0</v>
      </c>
      <c r="BH234" s="44">
        <v>7.6</v>
      </c>
      <c r="BI234" s="44">
        <v>-14.81</v>
      </c>
      <c r="BJ234" s="44">
        <v>192.01</v>
      </c>
      <c r="BK234" s="44" t="s">
        <v>91</v>
      </c>
      <c r="BL234" s="44" t="s">
        <v>84</v>
      </c>
      <c r="BM234" s="44">
        <v>1</v>
      </c>
      <c r="BN234" s="44" t="s">
        <v>428</v>
      </c>
      <c r="BO234" s="44" t="s">
        <v>714</v>
      </c>
      <c r="BP234" s="44" t="s">
        <v>715</v>
      </c>
      <c r="BQ234" s="44" t="s">
        <v>92</v>
      </c>
      <c r="BR234" s="44" t="s">
        <v>93</v>
      </c>
      <c r="BS234" s="44" t="s">
        <v>312</v>
      </c>
      <c r="BT234" s="44" t="s">
        <v>312</v>
      </c>
      <c r="BU234" s="44">
        <v>2006</v>
      </c>
      <c r="BV234" s="44">
        <v>2011</v>
      </c>
      <c r="BW234" s="44" t="s">
        <v>94</v>
      </c>
      <c r="BX234" s="44" t="s">
        <v>95</v>
      </c>
      <c r="BY234" s="44" t="s">
        <v>96</v>
      </c>
      <c r="BZ234" s="44">
        <v>0</v>
      </c>
      <c r="CA234" s="44">
        <v>0</v>
      </c>
      <c r="CB234" s="44" t="s">
        <v>97</v>
      </c>
      <c r="CC234" s="44" t="s">
        <v>719</v>
      </c>
      <c r="CD234" s="44">
        <v>1</v>
      </c>
      <c r="CE234" s="44" t="s">
        <v>312</v>
      </c>
      <c r="CF234" s="44">
        <v>0</v>
      </c>
      <c r="CG234" s="44" t="s">
        <v>97</v>
      </c>
      <c r="CH234" s="44">
        <v>1</v>
      </c>
      <c r="CI234" s="44" t="s">
        <v>716</v>
      </c>
      <c r="CJ234" s="44" t="s">
        <v>98</v>
      </c>
      <c r="CK234" s="44">
        <v>6</v>
      </c>
      <c r="CL234" s="44">
        <v>0</v>
      </c>
      <c r="CM234" s="44">
        <v>0</v>
      </c>
      <c r="CN234" s="44" t="s">
        <v>124</v>
      </c>
      <c r="CO234" s="44" t="s">
        <v>97</v>
      </c>
      <c r="CP234" s="44" t="s">
        <v>717</v>
      </c>
      <c r="CQ234" s="44" t="s">
        <v>126</v>
      </c>
      <c r="CR234" s="45">
        <v>46220</v>
      </c>
      <c r="CT234" s="44" t="s">
        <v>721</v>
      </c>
    </row>
    <row r="235" spans="1:98" s="44" customFormat="1" x14ac:dyDescent="0.35">
      <c r="A235" s="43" t="s">
        <v>708</v>
      </c>
      <c r="B235" s="43" t="s">
        <v>725</v>
      </c>
      <c r="C235" s="44" t="s">
        <v>709</v>
      </c>
      <c r="D235" s="44">
        <v>2019</v>
      </c>
      <c r="E235" s="43" t="s">
        <v>710</v>
      </c>
      <c r="F235" s="43" t="s">
        <v>711</v>
      </c>
      <c r="G235" s="44" t="s">
        <v>78</v>
      </c>
      <c r="H235" s="44">
        <v>1</v>
      </c>
      <c r="I235" s="44" t="s">
        <v>712</v>
      </c>
      <c r="J235" s="44" t="s">
        <v>79</v>
      </c>
      <c r="K235" s="44">
        <v>54</v>
      </c>
      <c r="L235" s="44" t="s">
        <v>104</v>
      </c>
      <c r="M235" s="44" t="s">
        <v>380</v>
      </c>
      <c r="N235" s="44">
        <v>-1E-3</v>
      </c>
      <c r="O235" s="44">
        <v>1E-3</v>
      </c>
      <c r="P235" s="91">
        <f t="shared" si="74"/>
        <v>-1</v>
      </c>
      <c r="Q235" s="44" t="s">
        <v>312</v>
      </c>
      <c r="R235" s="91">
        <f t="shared" si="75"/>
        <v>-2.96E-3</v>
      </c>
      <c r="S235" s="91">
        <f t="shared" si="76"/>
        <v>9.5999999999999992E-4</v>
      </c>
      <c r="T235" s="44">
        <v>1</v>
      </c>
      <c r="U235" s="44">
        <v>110913</v>
      </c>
      <c r="V235" s="44">
        <v>1</v>
      </c>
      <c r="W235" s="44">
        <v>1</v>
      </c>
      <c r="X235" s="44">
        <f t="shared" si="77"/>
        <v>110912</v>
      </c>
      <c r="Y235" s="91">
        <f t="shared" si="78"/>
        <v>-3.002678081797475E-3</v>
      </c>
      <c r="Z235" s="91">
        <f t="shared" si="79"/>
        <v>3.002678081797475E-3</v>
      </c>
      <c r="AA235" s="91">
        <f t="shared" si="83"/>
        <v>-3.002678081797475E-3</v>
      </c>
      <c r="AB235" s="44" t="s">
        <v>81</v>
      </c>
      <c r="AC235" s="91">
        <f>N235*AN235</f>
        <v>-4.8600000000000006E-3</v>
      </c>
      <c r="AD235" s="91" cm="1">
        <f t="array" ref="AD235">_xlfn.IFS(
AND(L235="marginal_effect",M235="level"),N235*AN235/BF235,
AND(L235="marginal_effect",M235="sd (Y)"),N235*BH235*AN235/BF235,
AND(L235="marginal_effect",M235="sd (X)"),N235/AQ235*AN235/BF235,
AND(L235="semi_elasticity",M235="level"),N235*AN235,
AND(L235="semi_elasticity",M235="sd (Y)"),N235*AN235*BH235,
AND(L235="semi_elasticity",M235="sd (X)"),N235*AN235/AQ235,
AND(L235="level-log",M235="level"),N235/BF235,
AND(L235="level-log",M235="sd (X)"),N235/BF235/AQ235,
AND(L235="level-log",M235="sd (Y)"),N235/BF235*BH235,
AND(L235="elasticity",M235="level"),N235,
AND(L235="elasticity",M235="sd (X)"),N235/AQ235,
AND(L235="elasticity",M235="sd (Y)"),N235*BH235,
AND(L235="marginal_effect",M235="percent_of_mean"),N235*AN235/BF235/10)</f>
        <v>-4.8600000000000006E-3</v>
      </c>
      <c r="AE235" s="50">
        <f t="shared" si="80"/>
        <v>1</v>
      </c>
      <c r="AF235" s="91">
        <f>O235*AN235</f>
        <v>4.8600000000000006E-3</v>
      </c>
      <c r="AG235" s="91" cm="1">
        <f t="array" ref="AG235">_xlfn.IFS(
AND(L235="marginal_effect",M235="level"),O235*AN235/BF235,
AND(L235="marginal_effect",M235="sd (Y)"),O235*BH235*AN235/BF235,
AND(L235="marginal_effect",M235="sd (X)"),O235/AQ235*AN235/BF235,
AND(L235="semi_elasticity",M235="level"),O235*AN235,
AND(L235="semi_elasticity",M235="sd (Y)"),O235*AN235*BH235,
AND(L235="semi_elasticity",M235="sd (X)"),O235*AN235/AQ235,
AND(L235="level-log",M235="level"),O235/BF235,
AND(L235="level-log",M235="sd (X)"),O235/BF235/AQ235,
AND(L235="level-log",M235="sd (Y)"),O235/BF235*BH235,
AND(L235="elasticity",M235="level"),O235,
AND(L235="elasticity",M235="sd (X)"),O235/AQ235,
AND(L235="elasticity",M235="sd (Y)"),O235*BH235,
AND(L235="marginal_effect",M235="percent_of_mean"),O235*AN235/BF235/10)</f>
        <v>4.8600000000000006E-3</v>
      </c>
      <c r="AH235" s="50">
        <f t="shared" si="81"/>
        <v>1</v>
      </c>
      <c r="AI235" s="91">
        <f t="shared" si="84"/>
        <v>-4.8600000000000006E-3</v>
      </c>
      <c r="AJ235" s="44">
        <v>0</v>
      </c>
      <c r="AK235" s="44">
        <f t="shared" si="82"/>
        <v>1</v>
      </c>
      <c r="AL235" s="44" t="s">
        <v>82</v>
      </c>
      <c r="AM235" s="44" t="s">
        <v>1333</v>
      </c>
      <c r="AN235" s="44">
        <v>4.8600000000000003</v>
      </c>
      <c r="AO235" s="44">
        <v>0</v>
      </c>
      <c r="AP235" s="44">
        <f t="shared" si="87"/>
        <v>4.8600000000000003</v>
      </c>
      <c r="AQ235" s="44">
        <v>3.91</v>
      </c>
      <c r="AR235" s="44" t="s">
        <v>312</v>
      </c>
      <c r="AS235" s="44">
        <v>22</v>
      </c>
      <c r="AT235" s="44" t="s">
        <v>83</v>
      </c>
      <c r="AU235" s="44" t="s">
        <v>109</v>
      </c>
      <c r="AV235" s="44" t="s">
        <v>133</v>
      </c>
      <c r="AW235" s="44" t="s">
        <v>85</v>
      </c>
      <c r="AX235" s="44" t="s">
        <v>86</v>
      </c>
      <c r="AY235" s="44">
        <v>0</v>
      </c>
      <c r="AZ235" s="44">
        <v>0</v>
      </c>
      <c r="BA235" s="44" t="s">
        <v>111</v>
      </c>
      <c r="BB235" s="44" t="s">
        <v>88</v>
      </c>
      <c r="BC235" s="44" t="s">
        <v>113</v>
      </c>
      <c r="BD235" s="44" t="s">
        <v>114</v>
      </c>
      <c r="BE235" s="44" t="s">
        <v>713</v>
      </c>
      <c r="BF235" s="44">
        <v>11.05</v>
      </c>
      <c r="BG235" s="44">
        <v>0</v>
      </c>
      <c r="BH235" s="44">
        <v>7.6</v>
      </c>
      <c r="BI235" s="44">
        <v>-14.81</v>
      </c>
      <c r="BJ235" s="44">
        <v>192.01</v>
      </c>
      <c r="BK235" s="44" t="s">
        <v>91</v>
      </c>
      <c r="BL235" s="44" t="s">
        <v>84</v>
      </c>
      <c r="BM235" s="44">
        <v>1</v>
      </c>
      <c r="BN235" s="44" t="s">
        <v>428</v>
      </c>
      <c r="BO235" s="44" t="s">
        <v>714</v>
      </c>
      <c r="BP235" s="44" t="s">
        <v>715</v>
      </c>
      <c r="BQ235" s="44" t="s">
        <v>92</v>
      </c>
      <c r="BR235" s="44" t="s">
        <v>93</v>
      </c>
      <c r="BS235" s="44" t="s">
        <v>312</v>
      </c>
      <c r="BT235" s="44" t="s">
        <v>312</v>
      </c>
      <c r="BU235" s="44">
        <v>2006</v>
      </c>
      <c r="BV235" s="44">
        <v>2011</v>
      </c>
      <c r="BW235" s="44" t="s">
        <v>94</v>
      </c>
      <c r="BX235" s="44" t="s">
        <v>95</v>
      </c>
      <c r="BY235" s="44" t="s">
        <v>96</v>
      </c>
      <c r="BZ235" s="44">
        <v>0</v>
      </c>
      <c r="CA235" s="44">
        <v>0</v>
      </c>
      <c r="CB235" s="44" t="s">
        <v>97</v>
      </c>
      <c r="CC235" s="44" t="s">
        <v>97</v>
      </c>
      <c r="CD235" s="44">
        <v>0</v>
      </c>
      <c r="CE235" s="44" t="s">
        <v>97</v>
      </c>
      <c r="CF235" s="44">
        <v>0</v>
      </c>
      <c r="CG235" s="44" t="s">
        <v>97</v>
      </c>
      <c r="CH235" s="44">
        <v>1</v>
      </c>
      <c r="CI235" s="44" t="s">
        <v>716</v>
      </c>
      <c r="CJ235" s="44" t="s">
        <v>98</v>
      </c>
      <c r="CK235" s="44">
        <v>6</v>
      </c>
      <c r="CL235" s="44">
        <v>0</v>
      </c>
      <c r="CM235" s="44">
        <v>0</v>
      </c>
      <c r="CN235" s="44" t="s">
        <v>124</v>
      </c>
      <c r="CO235" s="44" t="s">
        <v>97</v>
      </c>
      <c r="CP235" s="44" t="s">
        <v>717</v>
      </c>
      <c r="CQ235" s="44" t="s">
        <v>126</v>
      </c>
      <c r="CR235" s="45">
        <v>46220</v>
      </c>
      <c r="CT235" s="44" t="s">
        <v>718</v>
      </c>
    </row>
    <row r="236" spans="1:98" s="44" customFormat="1" x14ac:dyDescent="0.35">
      <c r="A236" s="43" t="s">
        <v>708</v>
      </c>
      <c r="B236" s="43" t="s">
        <v>726</v>
      </c>
      <c r="C236" s="44" t="s">
        <v>709</v>
      </c>
      <c r="D236" s="44">
        <v>2019</v>
      </c>
      <c r="E236" s="43" t="s">
        <v>710</v>
      </c>
      <c r="F236" s="43" t="s">
        <v>711</v>
      </c>
      <c r="G236" s="44" t="s">
        <v>78</v>
      </c>
      <c r="H236" s="44">
        <v>1</v>
      </c>
      <c r="I236" s="44" t="s">
        <v>712</v>
      </c>
      <c r="J236" s="44" t="s">
        <v>79</v>
      </c>
      <c r="K236" s="44">
        <v>54</v>
      </c>
      <c r="L236" s="44" t="s">
        <v>104</v>
      </c>
      <c r="M236" s="44" t="s">
        <v>380</v>
      </c>
      <c r="N236" s="44">
        <v>-1E-3</v>
      </c>
      <c r="O236" s="44">
        <v>1E-3</v>
      </c>
      <c r="P236" s="91">
        <f t="shared" si="74"/>
        <v>-1</v>
      </c>
      <c r="Q236" s="44" t="s">
        <v>312</v>
      </c>
      <c r="R236" s="91">
        <f t="shared" si="75"/>
        <v>-2.96E-3</v>
      </c>
      <c r="S236" s="91">
        <f t="shared" si="76"/>
        <v>9.5999999999999992E-4</v>
      </c>
      <c r="T236" s="44">
        <v>1</v>
      </c>
      <c r="U236" s="44">
        <v>110913</v>
      </c>
      <c r="V236" s="44" t="s">
        <v>312</v>
      </c>
      <c r="W236" s="44">
        <v>1</v>
      </c>
      <c r="X236" s="44">
        <f t="shared" si="77"/>
        <v>110913</v>
      </c>
      <c r="Y236" s="91">
        <f t="shared" si="78"/>
        <v>-3.002664545702618E-3</v>
      </c>
      <c r="Z236" s="91">
        <f t="shared" si="79"/>
        <v>3.002664545702618E-3</v>
      </c>
      <c r="AA236" s="91">
        <f t="shared" si="83"/>
        <v>-3.002664545702618E-3</v>
      </c>
      <c r="AB236" s="44" t="s">
        <v>81</v>
      </c>
      <c r="AC236" s="91">
        <f>N236*AN236</f>
        <v>-4.8600000000000006E-3</v>
      </c>
      <c r="AD236" s="91" cm="1">
        <f t="array" ref="AD236">_xlfn.IFS(
AND(L236="marginal_effect",M236="level"),N236*AN236/BF236,
AND(L236="marginal_effect",M236="sd (Y)"),N236*BH236*AN236/BF236,
AND(L236="marginal_effect",M236="sd (X)"),N236/AQ236*AN236/BF236,
AND(L236="semi_elasticity",M236="level"),N236*AN236,
AND(L236="semi_elasticity",M236="sd (Y)"),N236*AN236*BH236,
AND(L236="semi_elasticity",M236="sd (X)"),N236*AN236/AQ236,
AND(L236="level-log",M236="level"),N236/BF236,
AND(L236="level-log",M236="sd (X)"),N236/BF236/AQ236,
AND(L236="level-log",M236="sd (Y)"),N236/BF236*BH236,
AND(L236="elasticity",M236="level"),N236,
AND(L236="elasticity",M236="sd (X)"),N236/AQ236,
AND(L236="elasticity",M236="sd (Y)"),N236*BH236,
AND(L236="marginal_effect",M236="percent_of_mean"),N236*AN236/BF236/10)</f>
        <v>-4.8600000000000006E-3</v>
      </c>
      <c r="AE236" s="50">
        <f t="shared" si="80"/>
        <v>1</v>
      </c>
      <c r="AF236" s="91">
        <f>O236*AN236</f>
        <v>4.8600000000000006E-3</v>
      </c>
      <c r="AG236" s="91" cm="1">
        <f t="array" ref="AG236">_xlfn.IFS(
AND(L236="marginal_effect",M236="level"),O236*AN236/BF236,
AND(L236="marginal_effect",M236="sd (Y)"),O236*BH236*AN236/BF236,
AND(L236="marginal_effect",M236="sd (X)"),O236/AQ236*AN236/BF236,
AND(L236="semi_elasticity",M236="level"),O236*AN236,
AND(L236="semi_elasticity",M236="sd (Y)"),O236*AN236*BH236,
AND(L236="semi_elasticity",M236="sd (X)"),O236*AN236/AQ236,
AND(L236="level-log",M236="level"),O236/BF236,
AND(L236="level-log",M236="sd (X)"),O236/BF236/AQ236,
AND(L236="level-log",M236="sd (Y)"),O236/BF236*BH236,
AND(L236="elasticity",M236="level"),O236,
AND(L236="elasticity",M236="sd (X)"),O236/AQ236,
AND(L236="elasticity",M236="sd (Y)"),O236*BH236,
AND(L236="marginal_effect",M236="percent_of_mean"),O236*AN236/BF236/10)</f>
        <v>4.8600000000000006E-3</v>
      </c>
      <c r="AH236" s="50">
        <f t="shared" si="81"/>
        <v>1</v>
      </c>
      <c r="AI236" s="91">
        <f t="shared" si="84"/>
        <v>-4.8600000000000006E-3</v>
      </c>
      <c r="AJ236" s="44">
        <v>0</v>
      </c>
      <c r="AK236" s="44">
        <f t="shared" si="82"/>
        <v>1</v>
      </c>
      <c r="AL236" s="44" t="s">
        <v>82</v>
      </c>
      <c r="AM236" s="44" t="s">
        <v>1333</v>
      </c>
      <c r="AN236" s="44">
        <v>4.8600000000000003</v>
      </c>
      <c r="AO236" s="44">
        <v>0</v>
      </c>
      <c r="AP236" s="44">
        <f t="shared" si="87"/>
        <v>4.8600000000000003</v>
      </c>
      <c r="AQ236" s="44">
        <v>3.91</v>
      </c>
      <c r="AR236" s="44" t="s">
        <v>312</v>
      </c>
      <c r="AS236" s="44">
        <v>22</v>
      </c>
      <c r="AT236" s="44" t="s">
        <v>83</v>
      </c>
      <c r="AU236" s="44" t="s">
        <v>109</v>
      </c>
      <c r="AV236" s="44" t="s">
        <v>133</v>
      </c>
      <c r="AW236" s="44" t="s">
        <v>85</v>
      </c>
      <c r="AX236" s="44" t="s">
        <v>86</v>
      </c>
      <c r="AY236" s="44">
        <v>0</v>
      </c>
      <c r="AZ236" s="44">
        <v>0</v>
      </c>
      <c r="BA236" s="44" t="s">
        <v>111</v>
      </c>
      <c r="BB236" s="44" t="s">
        <v>88</v>
      </c>
      <c r="BC236" s="44" t="s">
        <v>113</v>
      </c>
      <c r="BD236" s="44" t="s">
        <v>114</v>
      </c>
      <c r="BE236" s="44" t="s">
        <v>713</v>
      </c>
      <c r="BF236" s="44">
        <v>11.05</v>
      </c>
      <c r="BG236" s="44">
        <v>0</v>
      </c>
      <c r="BH236" s="44">
        <v>7.6</v>
      </c>
      <c r="BI236" s="44">
        <v>-14.81</v>
      </c>
      <c r="BJ236" s="44">
        <v>192.01</v>
      </c>
      <c r="BK236" s="44" t="s">
        <v>91</v>
      </c>
      <c r="BL236" s="44" t="s">
        <v>84</v>
      </c>
      <c r="BM236" s="44">
        <v>1</v>
      </c>
      <c r="BN236" s="44" t="s">
        <v>428</v>
      </c>
      <c r="BO236" s="44" t="s">
        <v>714</v>
      </c>
      <c r="BP236" s="44" t="s">
        <v>715</v>
      </c>
      <c r="BQ236" s="44" t="s">
        <v>92</v>
      </c>
      <c r="BR236" s="44" t="s">
        <v>93</v>
      </c>
      <c r="BS236" s="44" t="s">
        <v>312</v>
      </c>
      <c r="BT236" s="44" t="s">
        <v>312</v>
      </c>
      <c r="BU236" s="44">
        <v>2006</v>
      </c>
      <c r="BV236" s="44">
        <v>2011</v>
      </c>
      <c r="BW236" s="44" t="s">
        <v>94</v>
      </c>
      <c r="BX236" s="44" t="s">
        <v>95</v>
      </c>
      <c r="BY236" s="44" t="s">
        <v>96</v>
      </c>
      <c r="BZ236" s="44">
        <v>0</v>
      </c>
      <c r="CA236" s="44">
        <v>0</v>
      </c>
      <c r="CB236" s="44" t="s">
        <v>97</v>
      </c>
      <c r="CC236" s="44" t="s">
        <v>313</v>
      </c>
      <c r="CD236" s="44">
        <v>1</v>
      </c>
      <c r="CE236" s="44" t="s">
        <v>312</v>
      </c>
      <c r="CF236" s="44">
        <v>0</v>
      </c>
      <c r="CG236" s="44" t="s">
        <v>97</v>
      </c>
      <c r="CH236" s="44">
        <v>1</v>
      </c>
      <c r="CI236" s="44" t="s">
        <v>716</v>
      </c>
      <c r="CJ236" s="44" t="s">
        <v>98</v>
      </c>
      <c r="CK236" s="44">
        <v>6</v>
      </c>
      <c r="CL236" s="44">
        <v>0</v>
      </c>
      <c r="CM236" s="44">
        <v>0</v>
      </c>
      <c r="CN236" s="44" t="s">
        <v>124</v>
      </c>
      <c r="CO236" s="44" t="s">
        <v>97</v>
      </c>
      <c r="CP236" s="44" t="s">
        <v>717</v>
      </c>
      <c r="CQ236" s="44" t="s">
        <v>126</v>
      </c>
      <c r="CR236" s="45">
        <v>46220</v>
      </c>
      <c r="CT236" s="44" t="s">
        <v>720</v>
      </c>
    </row>
    <row r="237" spans="1:98" s="44" customFormat="1" x14ac:dyDescent="0.35">
      <c r="A237" s="43" t="s">
        <v>708</v>
      </c>
      <c r="B237" s="43" t="s">
        <v>727</v>
      </c>
      <c r="C237" s="44" t="s">
        <v>709</v>
      </c>
      <c r="D237" s="44">
        <v>2019</v>
      </c>
      <c r="E237" s="43" t="s">
        <v>710</v>
      </c>
      <c r="F237" s="43" t="s">
        <v>711</v>
      </c>
      <c r="G237" s="44" t="s">
        <v>78</v>
      </c>
      <c r="H237" s="44">
        <v>1</v>
      </c>
      <c r="I237" s="44" t="s">
        <v>712</v>
      </c>
      <c r="J237" s="44" t="s">
        <v>79</v>
      </c>
      <c r="K237" s="44">
        <v>54</v>
      </c>
      <c r="L237" s="44" t="s">
        <v>104</v>
      </c>
      <c r="M237" s="44" t="s">
        <v>380</v>
      </c>
      <c r="N237" s="44">
        <v>-1E-3</v>
      </c>
      <c r="O237" s="44">
        <v>1E-3</v>
      </c>
      <c r="P237" s="91">
        <f t="shared" si="74"/>
        <v>-1</v>
      </c>
      <c r="Q237" s="44" t="s">
        <v>312</v>
      </c>
      <c r="R237" s="91">
        <f t="shared" si="75"/>
        <v>-2.96E-3</v>
      </c>
      <c r="S237" s="91">
        <f t="shared" si="76"/>
        <v>9.5999999999999992E-4</v>
      </c>
      <c r="T237" s="44">
        <v>1</v>
      </c>
      <c r="U237" s="44">
        <v>110913</v>
      </c>
      <c r="V237" s="44" t="s">
        <v>312</v>
      </c>
      <c r="W237" s="44">
        <v>1</v>
      </c>
      <c r="X237" s="44">
        <f t="shared" si="77"/>
        <v>110913</v>
      </c>
      <c r="Y237" s="91">
        <f t="shared" si="78"/>
        <v>-3.002664545702618E-3</v>
      </c>
      <c r="Z237" s="91">
        <f t="shared" si="79"/>
        <v>3.002664545702618E-3</v>
      </c>
      <c r="AA237" s="91">
        <f t="shared" si="83"/>
        <v>-3.002664545702618E-3</v>
      </c>
      <c r="AB237" s="44" t="s">
        <v>81</v>
      </c>
      <c r="AC237" s="91">
        <f>N237*AN237</f>
        <v>-4.8600000000000006E-3</v>
      </c>
      <c r="AD237" s="91" cm="1">
        <f t="array" ref="AD237">_xlfn.IFS(
AND(L237="marginal_effect",M237="level"),N237*AN237/BF237,
AND(L237="marginal_effect",M237="sd (Y)"),N237*BH237*AN237/BF237,
AND(L237="marginal_effect",M237="sd (X)"),N237/AQ237*AN237/BF237,
AND(L237="semi_elasticity",M237="level"),N237*AN237,
AND(L237="semi_elasticity",M237="sd (Y)"),N237*AN237*BH237,
AND(L237="semi_elasticity",M237="sd (X)"),N237*AN237/AQ237,
AND(L237="level-log",M237="level"),N237/BF237,
AND(L237="level-log",M237="sd (X)"),N237/BF237/AQ237,
AND(L237="level-log",M237="sd (Y)"),N237/BF237*BH237,
AND(L237="elasticity",M237="level"),N237,
AND(L237="elasticity",M237="sd (X)"),N237/AQ237,
AND(L237="elasticity",M237="sd (Y)"),N237*BH237,
AND(L237="marginal_effect",M237="percent_of_mean"),N237*AN237/BF237/10)</f>
        <v>-4.8600000000000006E-3</v>
      </c>
      <c r="AE237" s="50">
        <f t="shared" si="80"/>
        <v>1</v>
      </c>
      <c r="AF237" s="91">
        <f>O237*AN237</f>
        <v>4.8600000000000006E-3</v>
      </c>
      <c r="AG237" s="91" cm="1">
        <f t="array" ref="AG237">_xlfn.IFS(
AND(L237="marginal_effect",M237="level"),O237*AN237/BF237,
AND(L237="marginal_effect",M237="sd (Y)"),O237*BH237*AN237/BF237,
AND(L237="marginal_effect",M237="sd (X)"),O237/AQ237*AN237/BF237,
AND(L237="semi_elasticity",M237="level"),O237*AN237,
AND(L237="semi_elasticity",M237="sd (Y)"),O237*AN237*BH237,
AND(L237="semi_elasticity",M237="sd (X)"),O237*AN237/AQ237,
AND(L237="level-log",M237="level"),O237/BF237,
AND(L237="level-log",M237="sd (X)"),O237/BF237/AQ237,
AND(L237="level-log",M237="sd (Y)"),O237/BF237*BH237,
AND(L237="elasticity",M237="level"),O237,
AND(L237="elasticity",M237="sd (X)"),O237/AQ237,
AND(L237="elasticity",M237="sd (Y)"),O237*BH237,
AND(L237="marginal_effect",M237="percent_of_mean"),O237*AN237/BF237/10)</f>
        <v>4.8600000000000006E-3</v>
      </c>
      <c r="AH237" s="50">
        <f t="shared" si="81"/>
        <v>1</v>
      </c>
      <c r="AI237" s="91">
        <f t="shared" si="84"/>
        <v>-4.8600000000000006E-3</v>
      </c>
      <c r="AJ237" s="44">
        <v>0</v>
      </c>
      <c r="AK237" s="44">
        <f t="shared" si="82"/>
        <v>1</v>
      </c>
      <c r="AL237" s="44" t="s">
        <v>82</v>
      </c>
      <c r="AM237" s="44" t="s">
        <v>1333</v>
      </c>
      <c r="AN237" s="44">
        <v>4.8600000000000003</v>
      </c>
      <c r="AO237" s="44">
        <v>0</v>
      </c>
      <c r="AP237" s="44">
        <f t="shared" si="87"/>
        <v>4.8600000000000003</v>
      </c>
      <c r="AQ237" s="44">
        <v>3.91</v>
      </c>
      <c r="AR237" s="44" t="s">
        <v>312</v>
      </c>
      <c r="AS237" s="44">
        <v>22</v>
      </c>
      <c r="AT237" s="44" t="s">
        <v>83</v>
      </c>
      <c r="AU237" s="44" t="s">
        <v>109</v>
      </c>
      <c r="AV237" s="44" t="s">
        <v>133</v>
      </c>
      <c r="AW237" s="44" t="s">
        <v>85</v>
      </c>
      <c r="AX237" s="44" t="s">
        <v>86</v>
      </c>
      <c r="AY237" s="44">
        <v>0</v>
      </c>
      <c r="AZ237" s="44">
        <v>0</v>
      </c>
      <c r="BA237" s="44" t="s">
        <v>111</v>
      </c>
      <c r="BB237" s="44" t="s">
        <v>88</v>
      </c>
      <c r="BC237" s="44" t="s">
        <v>113</v>
      </c>
      <c r="BD237" s="44" t="s">
        <v>114</v>
      </c>
      <c r="BE237" s="44" t="s">
        <v>713</v>
      </c>
      <c r="BF237" s="44">
        <v>11.05</v>
      </c>
      <c r="BG237" s="44">
        <v>0</v>
      </c>
      <c r="BH237" s="44">
        <v>7.6</v>
      </c>
      <c r="BI237" s="44">
        <v>-14.81</v>
      </c>
      <c r="BJ237" s="44">
        <v>192.01</v>
      </c>
      <c r="BK237" s="44" t="s">
        <v>91</v>
      </c>
      <c r="BL237" s="44" t="s">
        <v>84</v>
      </c>
      <c r="BM237" s="44">
        <v>1</v>
      </c>
      <c r="BN237" s="44" t="s">
        <v>428</v>
      </c>
      <c r="BO237" s="44" t="s">
        <v>714</v>
      </c>
      <c r="BP237" s="44" t="s">
        <v>715</v>
      </c>
      <c r="BQ237" s="44" t="s">
        <v>92</v>
      </c>
      <c r="BR237" s="44" t="s">
        <v>93</v>
      </c>
      <c r="BS237" s="44" t="s">
        <v>312</v>
      </c>
      <c r="BT237" s="44" t="s">
        <v>312</v>
      </c>
      <c r="BU237" s="44">
        <v>2006</v>
      </c>
      <c r="BV237" s="44">
        <v>2011</v>
      </c>
      <c r="BW237" s="44" t="s">
        <v>94</v>
      </c>
      <c r="BX237" s="44" t="s">
        <v>95</v>
      </c>
      <c r="BY237" s="44" t="s">
        <v>96</v>
      </c>
      <c r="BZ237" s="44">
        <v>0</v>
      </c>
      <c r="CA237" s="44">
        <v>0</v>
      </c>
      <c r="CB237" s="44" t="s">
        <v>97</v>
      </c>
      <c r="CC237" s="44" t="s">
        <v>719</v>
      </c>
      <c r="CD237" s="44">
        <v>1</v>
      </c>
      <c r="CE237" s="44" t="s">
        <v>312</v>
      </c>
      <c r="CF237" s="44">
        <v>0</v>
      </c>
      <c r="CG237" s="44" t="s">
        <v>97</v>
      </c>
      <c r="CH237" s="44">
        <v>1</v>
      </c>
      <c r="CI237" s="44" t="s">
        <v>716</v>
      </c>
      <c r="CJ237" s="44" t="s">
        <v>98</v>
      </c>
      <c r="CK237" s="44">
        <v>6</v>
      </c>
      <c r="CL237" s="44">
        <v>0</v>
      </c>
      <c r="CM237" s="44">
        <v>0</v>
      </c>
      <c r="CN237" s="44" t="s">
        <v>124</v>
      </c>
      <c r="CO237" s="44" t="s">
        <v>97</v>
      </c>
      <c r="CP237" s="44" t="s">
        <v>717</v>
      </c>
      <c r="CQ237" s="44" t="s">
        <v>126</v>
      </c>
      <c r="CR237" s="45">
        <v>46220</v>
      </c>
      <c r="CT237" s="44" t="s">
        <v>721</v>
      </c>
    </row>
    <row r="238" spans="1:98" s="47" customFormat="1" x14ac:dyDescent="0.35">
      <c r="A238" s="46" t="s">
        <v>730</v>
      </c>
      <c r="B238" s="46" t="s">
        <v>740</v>
      </c>
      <c r="C238" s="47" t="s">
        <v>731</v>
      </c>
      <c r="D238" s="47">
        <v>2024</v>
      </c>
      <c r="E238" s="46" t="s">
        <v>732</v>
      </c>
      <c r="F238" s="46" t="s">
        <v>733</v>
      </c>
      <c r="G238" s="47" t="s">
        <v>78</v>
      </c>
      <c r="H238" s="47">
        <v>1</v>
      </c>
      <c r="I238" s="47" t="s">
        <v>290</v>
      </c>
      <c r="J238" s="47" t="s">
        <v>79</v>
      </c>
      <c r="K238" s="47">
        <v>11</v>
      </c>
      <c r="L238" s="47" t="s">
        <v>80</v>
      </c>
      <c r="M238" s="47" t="s">
        <v>380</v>
      </c>
      <c r="N238" s="47">
        <v>-0.01</v>
      </c>
      <c r="O238" s="47">
        <v>5.0000000000000001E-3</v>
      </c>
      <c r="P238" s="92">
        <f t="shared" si="74"/>
        <v>-2</v>
      </c>
      <c r="Q238" s="47" t="s">
        <v>312</v>
      </c>
      <c r="R238" s="92">
        <f t="shared" si="75"/>
        <v>-1.9799999999999998E-2</v>
      </c>
      <c r="S238" s="92">
        <f t="shared" si="76"/>
        <v>-2.0000000000000052E-4</v>
      </c>
      <c r="T238" s="47">
        <v>1</v>
      </c>
      <c r="U238" s="47">
        <v>27769</v>
      </c>
      <c r="V238" s="47">
        <v>1</v>
      </c>
      <c r="W238" s="47">
        <v>1</v>
      </c>
      <c r="X238" s="47">
        <f t="shared" ref="X238:X269" si="102">U238-V238</f>
        <v>27768</v>
      </c>
      <c r="Y238" s="92">
        <f t="shared" si="78"/>
        <v>-1.2001248194721752E-2</v>
      </c>
      <c r="Z238" s="92">
        <f t="shared" si="79"/>
        <v>6.0006240973608758E-3</v>
      </c>
      <c r="AA238" s="92">
        <f t="shared" si="83"/>
        <v>-1.2001248194721752E-2</v>
      </c>
      <c r="AB238" s="47" t="s">
        <v>81</v>
      </c>
      <c r="AC238" s="92">
        <f t="shared" ref="AC238:AC271" si="103">N238</f>
        <v>-0.01</v>
      </c>
      <c r="AD238" s="92" cm="1">
        <f t="array" ref="AD238">_xlfn.IFS(
AND(L238="marginal_effect",M238="level"),N238*AN238/BF238,
AND(L238="marginal_effect",M238="sd (Y)"),N238*BH238*AN238/BF238,
AND(L238="marginal_effect",M238="sd (X)"),N238/AQ238*AN238/BF238,
AND(L238="semi_elasticity",M238="level"),N238*AN238,
AND(L238="semi_elasticity",M238="sd (Y)"),N238*AN238*BH238,
AND(L238="semi_elasticity",M238="sd (X)"),N238*AN238/AQ238,
AND(L238="level-log",M238="level"),N238/BF238,
AND(L238="level-log",M238="sd (X)"),N238/BF238/AQ238,
AND(L238="level-log",M238="sd (Y)"),N238/BF238*BH238,
AND(L238="elasticity",M238="level"),N238,
AND(L238="elasticity",M238="sd (X)"),N238/AQ238,
AND(L238="elasticity",M238="sd (Y)"),N238*BH238,
AND(L238="marginal_effect",M238="percent_of_mean"),N238*AN238/BF238/10)</f>
        <v>-0.01</v>
      </c>
      <c r="AE238" s="51">
        <f t="shared" si="80"/>
        <v>1</v>
      </c>
      <c r="AF238" s="92">
        <f t="shared" ref="AF238:AF271" si="104">O238</f>
        <v>5.0000000000000001E-3</v>
      </c>
      <c r="AG238" s="92" cm="1">
        <f t="array" ref="AG238">_xlfn.IFS(
AND(L238="marginal_effect",M238="level"),O238*AN238/BF238,
AND(L238="marginal_effect",M238="sd (Y)"),O238*BH238*AN238/BF238,
AND(L238="marginal_effect",M238="sd (X)"),O238/AQ238*AN238/BF238,
AND(L238="semi_elasticity",M238="level"),O238*AN238,
AND(L238="semi_elasticity",M238="sd (Y)"),O238*AN238*BH238,
AND(L238="semi_elasticity",M238="sd (X)"),O238*AN238/AQ238,
AND(L238="level-log",M238="level"),O238/BF238,
AND(L238="level-log",M238="sd (X)"),O238/BF238/AQ238,
AND(L238="level-log",M238="sd (Y)"),O238/BF238*BH238,
AND(L238="elasticity",M238="level"),O238,
AND(L238="elasticity",M238="sd (X)"),O238/AQ238,
AND(L238="elasticity",M238="sd (Y)"),O238*BH238,
AND(L238="marginal_effect",M238="percent_of_mean"),O238*AN238/BF238/10)</f>
        <v>5.0000000000000001E-3</v>
      </c>
      <c r="AH238" s="51">
        <f t="shared" si="81"/>
        <v>1</v>
      </c>
      <c r="AI238" s="92">
        <f t="shared" si="84"/>
        <v>-0.01</v>
      </c>
      <c r="AJ238" s="47">
        <v>0</v>
      </c>
      <c r="AK238" s="47">
        <f t="shared" si="82"/>
        <v>1</v>
      </c>
      <c r="AL238" s="47" t="s">
        <v>735</v>
      </c>
      <c r="AM238" s="47" t="s">
        <v>737</v>
      </c>
      <c r="AN238" s="47">
        <v>71.41</v>
      </c>
      <c r="AO238" s="47">
        <v>0</v>
      </c>
      <c r="AP238" s="47">
        <f t="shared" si="87"/>
        <v>71.41</v>
      </c>
      <c r="AQ238" s="47">
        <v>44.91</v>
      </c>
      <c r="AR238" s="47">
        <v>14</v>
      </c>
      <c r="AS238" s="47">
        <v>500</v>
      </c>
      <c r="AT238" s="47" t="s">
        <v>83</v>
      </c>
      <c r="AU238" s="47" t="s">
        <v>109</v>
      </c>
      <c r="AV238" s="47" t="s">
        <v>133</v>
      </c>
      <c r="AW238" s="47" t="s">
        <v>109</v>
      </c>
      <c r="AX238" s="47" t="s">
        <v>86</v>
      </c>
      <c r="AY238" s="47">
        <v>0</v>
      </c>
      <c r="AZ238" s="47">
        <v>0</v>
      </c>
      <c r="BA238" s="47" t="s">
        <v>2205</v>
      </c>
      <c r="BB238" s="47" t="s">
        <v>88</v>
      </c>
      <c r="BC238" s="47" t="s">
        <v>113</v>
      </c>
      <c r="BD238" s="47" t="s">
        <v>114</v>
      </c>
      <c r="BE238" s="47" t="s">
        <v>534</v>
      </c>
      <c r="BF238" s="47">
        <v>34.6</v>
      </c>
      <c r="BG238" s="47">
        <v>0</v>
      </c>
      <c r="BH238" s="47">
        <v>15.66</v>
      </c>
      <c r="BI238" s="47">
        <v>0</v>
      </c>
      <c r="BJ238" s="47">
        <v>156</v>
      </c>
      <c r="BK238" s="47" t="s">
        <v>91</v>
      </c>
      <c r="BL238" s="47" t="s">
        <v>84</v>
      </c>
      <c r="BM238" s="47">
        <v>1</v>
      </c>
      <c r="BN238" s="47" t="s">
        <v>539</v>
      </c>
      <c r="BO238" s="47" t="s">
        <v>540</v>
      </c>
      <c r="BP238" s="47" t="s">
        <v>540</v>
      </c>
      <c r="BQ238" s="47" t="s">
        <v>117</v>
      </c>
      <c r="BR238" s="47" t="s">
        <v>134</v>
      </c>
      <c r="BS238" s="47" t="s">
        <v>312</v>
      </c>
      <c r="BT238" s="47">
        <v>0</v>
      </c>
      <c r="BU238" s="47" t="s">
        <v>728</v>
      </c>
      <c r="BV238" s="47" t="s">
        <v>729</v>
      </c>
      <c r="BW238" s="47" t="s">
        <v>736</v>
      </c>
      <c r="BX238" s="47" t="s">
        <v>95</v>
      </c>
      <c r="BY238" s="47" t="s">
        <v>96</v>
      </c>
      <c r="BZ238" s="47">
        <v>0</v>
      </c>
      <c r="CA238" s="47">
        <v>0</v>
      </c>
      <c r="CB238" s="47" t="s">
        <v>97</v>
      </c>
      <c r="CC238" s="47" t="s">
        <v>739</v>
      </c>
      <c r="CD238" s="47">
        <v>0</v>
      </c>
      <c r="CE238" s="47" t="s">
        <v>97</v>
      </c>
      <c r="CF238" s="47">
        <v>0</v>
      </c>
      <c r="CG238" s="47" t="s">
        <v>97</v>
      </c>
      <c r="CH238" s="47">
        <v>1</v>
      </c>
      <c r="CI238" s="47" t="s">
        <v>509</v>
      </c>
      <c r="CJ238" s="47" t="s">
        <v>98</v>
      </c>
      <c r="CK238" s="47">
        <v>34</v>
      </c>
      <c r="CL238" s="47">
        <v>0</v>
      </c>
      <c r="CM238" s="47">
        <v>0</v>
      </c>
      <c r="CN238" s="47" t="s">
        <v>99</v>
      </c>
      <c r="CO238" s="47" t="s">
        <v>97</v>
      </c>
      <c r="CP238" s="47" t="s">
        <v>100</v>
      </c>
      <c r="CQ238" s="47" t="s">
        <v>126</v>
      </c>
      <c r="CR238" s="48">
        <v>46223</v>
      </c>
      <c r="CT238" s="47" t="s">
        <v>543</v>
      </c>
    </row>
    <row r="239" spans="1:98" s="47" customFormat="1" x14ac:dyDescent="0.35">
      <c r="A239" s="46" t="s">
        <v>730</v>
      </c>
      <c r="B239" s="46" t="s">
        <v>741</v>
      </c>
      <c r="C239" s="47" t="s">
        <v>731</v>
      </c>
      <c r="D239" s="47">
        <v>2024</v>
      </c>
      <c r="E239" s="46" t="s">
        <v>732</v>
      </c>
      <c r="F239" s="46" t="s">
        <v>733</v>
      </c>
      <c r="G239" s="47" t="s">
        <v>78</v>
      </c>
      <c r="H239" s="47">
        <v>1</v>
      </c>
      <c r="I239" s="47" t="s">
        <v>290</v>
      </c>
      <c r="J239" s="47" t="s">
        <v>79</v>
      </c>
      <c r="K239" s="47">
        <v>11</v>
      </c>
      <c r="L239" s="47" t="s">
        <v>80</v>
      </c>
      <c r="M239" s="47" t="s">
        <v>380</v>
      </c>
      <c r="N239" s="47">
        <v>-1.7000000000000001E-2</v>
      </c>
      <c r="O239" s="47">
        <v>5.0000000000000001E-3</v>
      </c>
      <c r="P239" s="92">
        <f t="shared" si="74"/>
        <v>-3.4000000000000004</v>
      </c>
      <c r="Q239" s="47" t="s">
        <v>312</v>
      </c>
      <c r="R239" s="92">
        <f t="shared" si="75"/>
        <v>-2.6800000000000001E-2</v>
      </c>
      <c r="S239" s="92">
        <f t="shared" si="76"/>
        <v>-7.2000000000000015E-3</v>
      </c>
      <c r="T239" s="47">
        <v>1</v>
      </c>
      <c r="U239" s="47">
        <v>27769</v>
      </c>
      <c r="V239" s="47">
        <v>14</v>
      </c>
      <c r="W239" s="47">
        <v>1</v>
      </c>
      <c r="X239" s="47">
        <f t="shared" si="102"/>
        <v>27755</v>
      </c>
      <c r="Y239" s="92">
        <f t="shared" si="78"/>
        <v>-2.0404120416033619E-2</v>
      </c>
      <c r="Z239" s="92">
        <f t="shared" si="79"/>
        <v>6.0012118870687112E-3</v>
      </c>
      <c r="AA239" s="92">
        <f t="shared" si="83"/>
        <v>-2.0404120416033619E-2</v>
      </c>
      <c r="AB239" s="47" t="s">
        <v>81</v>
      </c>
      <c r="AC239" s="92">
        <f t="shared" si="103"/>
        <v>-1.7000000000000001E-2</v>
      </c>
      <c r="AD239" s="92" cm="1">
        <f t="array" ref="AD239">_xlfn.IFS(
AND(L239="marginal_effect",M239="level"),N239*AN239/BF239,
AND(L239="marginal_effect",M239="sd (Y)"),N239*BH239*AN239/BF239,
AND(L239="marginal_effect",M239="sd (X)"),N239/AQ239*AN239/BF239,
AND(L239="semi_elasticity",M239="level"),N239*AN239,
AND(L239="semi_elasticity",M239="sd (Y)"),N239*AN239*BH239,
AND(L239="semi_elasticity",M239="sd (X)"),N239*AN239/AQ239,
AND(L239="level-log",M239="level"),N239/BF239,
AND(L239="level-log",M239="sd (X)"),N239/BF239/AQ239,
AND(L239="level-log",M239="sd (Y)"),N239/BF239*BH239,
AND(L239="elasticity",M239="level"),N239,
AND(L239="elasticity",M239="sd (X)"),N239/AQ239,
AND(L239="elasticity",M239="sd (Y)"),N239*BH239,
AND(L239="marginal_effect",M239="percent_of_mean"),N239*AN239/BF239/10)</f>
        <v>-1.7000000000000001E-2</v>
      </c>
      <c r="AE239" s="51">
        <f t="shared" si="80"/>
        <v>1</v>
      </c>
      <c r="AF239" s="92">
        <f t="shared" si="104"/>
        <v>5.0000000000000001E-3</v>
      </c>
      <c r="AG239" s="92" cm="1">
        <f t="array" ref="AG239">_xlfn.IFS(
AND(L239="marginal_effect",M239="level"),O239*AN239/BF239,
AND(L239="marginal_effect",M239="sd (Y)"),O239*BH239*AN239/BF239,
AND(L239="marginal_effect",M239="sd (X)"),O239/AQ239*AN239/BF239,
AND(L239="semi_elasticity",M239="level"),O239*AN239,
AND(L239="semi_elasticity",M239="sd (Y)"),O239*AN239*BH239,
AND(L239="semi_elasticity",M239="sd (X)"),O239*AN239/AQ239,
AND(L239="level-log",M239="level"),O239/BF239,
AND(L239="level-log",M239="sd (X)"),O239/BF239/AQ239,
AND(L239="level-log",M239="sd (Y)"),O239/BF239*BH239,
AND(L239="elasticity",M239="level"),O239,
AND(L239="elasticity",M239="sd (X)"),O239/AQ239,
AND(L239="elasticity",M239="sd (Y)"),O239*BH239,
AND(L239="marginal_effect",M239="percent_of_mean"),O239*AN239/BF239/10)</f>
        <v>5.0000000000000001E-3</v>
      </c>
      <c r="AH239" s="51">
        <f t="shared" si="81"/>
        <v>1</v>
      </c>
      <c r="AI239" s="92">
        <f t="shared" si="84"/>
        <v>-1.7000000000000001E-2</v>
      </c>
      <c r="AJ239" s="47">
        <v>0</v>
      </c>
      <c r="AK239" s="47">
        <f t="shared" si="82"/>
        <v>1</v>
      </c>
      <c r="AL239" s="47" t="s">
        <v>735</v>
      </c>
      <c r="AM239" s="47" t="s">
        <v>737</v>
      </c>
      <c r="AN239" s="47">
        <v>71.41</v>
      </c>
      <c r="AO239" s="47">
        <v>0</v>
      </c>
      <c r="AP239" s="47">
        <f t="shared" si="87"/>
        <v>71.41</v>
      </c>
      <c r="AQ239" s="47">
        <v>44.91</v>
      </c>
      <c r="AR239" s="47">
        <v>14</v>
      </c>
      <c r="AS239" s="47">
        <v>500</v>
      </c>
      <c r="AT239" s="47" t="s">
        <v>83</v>
      </c>
      <c r="AU239" s="47" t="s">
        <v>109</v>
      </c>
      <c r="AV239" s="47" t="s">
        <v>133</v>
      </c>
      <c r="AW239" s="47" t="s">
        <v>109</v>
      </c>
      <c r="AX239" s="47" t="s">
        <v>86</v>
      </c>
      <c r="AY239" s="47">
        <v>0</v>
      </c>
      <c r="AZ239" s="47">
        <v>0</v>
      </c>
      <c r="BA239" s="47" t="s">
        <v>2205</v>
      </c>
      <c r="BB239" s="47" t="s">
        <v>88</v>
      </c>
      <c r="BC239" s="47" t="s">
        <v>113</v>
      </c>
      <c r="BD239" s="47" t="s">
        <v>114</v>
      </c>
      <c r="BE239" s="47" t="s">
        <v>534</v>
      </c>
      <c r="BF239" s="47">
        <v>34.6</v>
      </c>
      <c r="BG239" s="47">
        <v>0</v>
      </c>
      <c r="BH239" s="47">
        <v>15.66</v>
      </c>
      <c r="BI239" s="47">
        <v>0</v>
      </c>
      <c r="BJ239" s="47">
        <v>156</v>
      </c>
      <c r="BK239" s="47" t="s">
        <v>91</v>
      </c>
      <c r="BL239" s="47" t="s">
        <v>84</v>
      </c>
      <c r="BM239" s="47">
        <v>1</v>
      </c>
      <c r="BN239" s="47" t="s">
        <v>539</v>
      </c>
      <c r="BO239" s="47" t="s">
        <v>540</v>
      </c>
      <c r="BP239" s="47" t="s">
        <v>540</v>
      </c>
      <c r="BQ239" s="47" t="s">
        <v>117</v>
      </c>
      <c r="BR239" s="47" t="s">
        <v>134</v>
      </c>
      <c r="BS239" s="47" t="s">
        <v>312</v>
      </c>
      <c r="BT239" s="47">
        <v>0</v>
      </c>
      <c r="BU239" s="47" t="s">
        <v>728</v>
      </c>
      <c r="BV239" s="47" t="s">
        <v>729</v>
      </c>
      <c r="BW239" s="47" t="s">
        <v>736</v>
      </c>
      <c r="BX239" s="47" t="s">
        <v>95</v>
      </c>
      <c r="BY239" s="47" t="s">
        <v>96</v>
      </c>
      <c r="BZ239" s="47">
        <v>0</v>
      </c>
      <c r="CA239" s="47">
        <v>0</v>
      </c>
      <c r="CB239" s="47" t="s">
        <v>97</v>
      </c>
      <c r="CC239" s="47" t="s">
        <v>739</v>
      </c>
      <c r="CD239" s="47">
        <v>1</v>
      </c>
      <c r="CE239" s="47" t="s">
        <v>738</v>
      </c>
      <c r="CF239" s="47">
        <v>0</v>
      </c>
      <c r="CG239" s="47" t="s">
        <v>97</v>
      </c>
      <c r="CH239" s="47">
        <v>1</v>
      </c>
      <c r="CI239" s="47" t="s">
        <v>509</v>
      </c>
      <c r="CJ239" s="47" t="s">
        <v>98</v>
      </c>
      <c r="CK239" s="47">
        <v>34</v>
      </c>
      <c r="CL239" s="47">
        <v>0</v>
      </c>
      <c r="CM239" s="47">
        <v>0</v>
      </c>
      <c r="CN239" s="47" t="s">
        <v>99</v>
      </c>
      <c r="CO239" s="47" t="s">
        <v>97</v>
      </c>
      <c r="CP239" s="47" t="s">
        <v>100</v>
      </c>
      <c r="CQ239" s="47" t="s">
        <v>126</v>
      </c>
      <c r="CR239" s="48">
        <v>46223</v>
      </c>
      <c r="CT239" s="47" t="s">
        <v>549</v>
      </c>
    </row>
    <row r="240" spans="1:98" s="47" customFormat="1" x14ac:dyDescent="0.35">
      <c r="A240" s="46" t="s">
        <v>730</v>
      </c>
      <c r="B240" s="46" t="s">
        <v>742</v>
      </c>
      <c r="C240" s="47" t="s">
        <v>731</v>
      </c>
      <c r="D240" s="47">
        <v>2024</v>
      </c>
      <c r="E240" s="46" t="s">
        <v>732</v>
      </c>
      <c r="F240" s="46" t="s">
        <v>733</v>
      </c>
      <c r="G240" s="47" t="s">
        <v>78</v>
      </c>
      <c r="H240" s="47">
        <v>1</v>
      </c>
      <c r="I240" s="47" t="s">
        <v>290</v>
      </c>
      <c r="J240" s="47" t="s">
        <v>79</v>
      </c>
      <c r="K240" s="47">
        <v>11</v>
      </c>
      <c r="L240" s="47" t="s">
        <v>80</v>
      </c>
      <c r="M240" s="47" t="s">
        <v>380</v>
      </c>
      <c r="N240" s="47">
        <v>-1.9E-2</v>
      </c>
      <c r="O240" s="47">
        <v>5.0000000000000001E-3</v>
      </c>
      <c r="P240" s="92">
        <f t="shared" si="74"/>
        <v>-3.8</v>
      </c>
      <c r="Q240" s="47" t="s">
        <v>312</v>
      </c>
      <c r="R240" s="92">
        <f t="shared" si="75"/>
        <v>-2.8799999999999999E-2</v>
      </c>
      <c r="S240" s="92">
        <f t="shared" si="76"/>
        <v>-9.1999999999999998E-3</v>
      </c>
      <c r="T240" s="47">
        <v>1</v>
      </c>
      <c r="U240" s="59">
        <v>26235</v>
      </c>
      <c r="V240" s="47">
        <v>14</v>
      </c>
      <c r="W240" s="47">
        <v>1</v>
      </c>
      <c r="X240" s="47">
        <f t="shared" si="102"/>
        <v>26221</v>
      </c>
      <c r="Y240" s="92">
        <f t="shared" si="78"/>
        <v>-2.3460616507688728E-2</v>
      </c>
      <c r="Z240" s="92">
        <f t="shared" si="79"/>
        <v>6.1738464493917705E-3</v>
      </c>
      <c r="AA240" s="92">
        <f t="shared" si="83"/>
        <v>-2.3460616507688728E-2</v>
      </c>
      <c r="AB240" s="47" t="s">
        <v>81</v>
      </c>
      <c r="AC240" s="92">
        <f t="shared" si="103"/>
        <v>-1.9E-2</v>
      </c>
      <c r="AD240" s="92" cm="1">
        <f t="array" ref="AD240">_xlfn.IFS(
AND(L240="marginal_effect",M240="level"),N240*AN240/BF240,
AND(L240="marginal_effect",M240="sd (Y)"),N240*BH240*AN240/BF240,
AND(L240="marginal_effect",M240="sd (X)"),N240/AQ240*AN240/BF240,
AND(L240="semi_elasticity",M240="level"),N240*AN240,
AND(L240="semi_elasticity",M240="sd (Y)"),N240*AN240*BH240,
AND(L240="semi_elasticity",M240="sd (X)"),N240*AN240/AQ240,
AND(L240="level-log",M240="level"),N240/BF240,
AND(L240="level-log",M240="sd (X)"),N240/BF240/AQ240,
AND(L240="level-log",M240="sd (Y)"),N240/BF240*BH240,
AND(L240="elasticity",M240="level"),N240,
AND(L240="elasticity",M240="sd (X)"),N240/AQ240,
AND(L240="elasticity",M240="sd (Y)"),N240*BH240,
AND(L240="marginal_effect",M240="percent_of_mean"),N240*AN240/BF240/10)</f>
        <v>-1.9E-2</v>
      </c>
      <c r="AE240" s="51">
        <f t="shared" si="80"/>
        <v>1</v>
      </c>
      <c r="AF240" s="92">
        <f t="shared" si="104"/>
        <v>5.0000000000000001E-3</v>
      </c>
      <c r="AG240" s="92" cm="1">
        <f t="array" ref="AG240">_xlfn.IFS(
AND(L240="marginal_effect",M240="level"),O240*AN240/BF240,
AND(L240="marginal_effect",M240="sd (Y)"),O240*BH240*AN240/BF240,
AND(L240="marginal_effect",M240="sd (X)"),O240/AQ240*AN240/BF240,
AND(L240="semi_elasticity",M240="level"),O240*AN240,
AND(L240="semi_elasticity",M240="sd (Y)"),O240*AN240*BH240,
AND(L240="semi_elasticity",M240="sd (X)"),O240*AN240/AQ240,
AND(L240="level-log",M240="level"),O240/BF240,
AND(L240="level-log",M240="sd (X)"),O240/BF240/AQ240,
AND(L240="level-log",M240="sd (Y)"),O240/BF240*BH240,
AND(L240="elasticity",M240="level"),O240,
AND(L240="elasticity",M240="sd (X)"),O240/AQ240,
AND(L240="elasticity",M240="sd (Y)"),O240*BH240,
AND(L240="marginal_effect",M240="percent_of_mean"),O240*AN240/BF240/10)</f>
        <v>5.0000000000000001E-3</v>
      </c>
      <c r="AH240" s="51">
        <f t="shared" si="81"/>
        <v>1</v>
      </c>
      <c r="AI240" s="92">
        <f t="shared" si="84"/>
        <v>-1.9E-2</v>
      </c>
      <c r="AJ240" s="47">
        <v>0</v>
      </c>
      <c r="AK240" s="47">
        <f t="shared" si="82"/>
        <v>1</v>
      </c>
      <c r="AL240" s="47" t="s">
        <v>735</v>
      </c>
      <c r="AM240" s="47" t="s">
        <v>737</v>
      </c>
      <c r="AN240" s="47">
        <v>71.41</v>
      </c>
      <c r="AO240" s="47">
        <v>1</v>
      </c>
      <c r="AP240" s="47">
        <f t="shared" si="87"/>
        <v>71.41</v>
      </c>
      <c r="AQ240" s="47">
        <v>44.91</v>
      </c>
      <c r="AR240" s="47">
        <v>14</v>
      </c>
      <c r="AS240" s="47">
        <v>500</v>
      </c>
      <c r="AT240" s="47" t="s">
        <v>83</v>
      </c>
      <c r="AU240" s="47" t="s">
        <v>109</v>
      </c>
      <c r="AV240" s="47" t="s">
        <v>133</v>
      </c>
      <c r="AW240" s="47" t="s">
        <v>109</v>
      </c>
      <c r="AX240" s="47" t="s">
        <v>86</v>
      </c>
      <c r="AY240" s="47">
        <v>0</v>
      </c>
      <c r="AZ240" s="47">
        <v>0</v>
      </c>
      <c r="BA240" s="47" t="s">
        <v>2205</v>
      </c>
      <c r="BB240" s="47" t="s">
        <v>88</v>
      </c>
      <c r="BC240" s="47" t="s">
        <v>113</v>
      </c>
      <c r="BD240" s="47" t="s">
        <v>114</v>
      </c>
      <c r="BE240" s="47" t="s">
        <v>534</v>
      </c>
      <c r="BF240" s="47">
        <v>34.6</v>
      </c>
      <c r="BG240" s="47">
        <v>1</v>
      </c>
      <c r="BH240" s="47">
        <v>15.66</v>
      </c>
      <c r="BI240" s="47">
        <v>0</v>
      </c>
      <c r="BJ240" s="47">
        <v>156</v>
      </c>
      <c r="BK240" s="47" t="s">
        <v>91</v>
      </c>
      <c r="BL240" s="47" t="s">
        <v>84</v>
      </c>
      <c r="BM240" s="47">
        <v>1</v>
      </c>
      <c r="BN240" s="47" t="s">
        <v>539</v>
      </c>
      <c r="BO240" s="47" t="s">
        <v>540</v>
      </c>
      <c r="BP240" s="47" t="s">
        <v>540</v>
      </c>
      <c r="BQ240" s="47" t="s">
        <v>117</v>
      </c>
      <c r="BR240" s="47" t="s">
        <v>134</v>
      </c>
      <c r="BS240" s="47" t="s">
        <v>312</v>
      </c>
      <c r="BT240" s="47">
        <v>0</v>
      </c>
      <c r="BU240" s="47" t="s">
        <v>728</v>
      </c>
      <c r="BV240" s="47" t="s">
        <v>729</v>
      </c>
      <c r="BW240" s="47" t="s">
        <v>736</v>
      </c>
      <c r="BX240" s="47" t="s">
        <v>95</v>
      </c>
      <c r="BY240" s="47" t="s">
        <v>96</v>
      </c>
      <c r="BZ240" s="47">
        <v>0</v>
      </c>
      <c r="CA240" s="47">
        <v>0</v>
      </c>
      <c r="CB240" s="47" t="s">
        <v>97</v>
      </c>
      <c r="CC240" s="47" t="s">
        <v>739</v>
      </c>
      <c r="CD240" s="47">
        <v>1</v>
      </c>
      <c r="CE240" s="47" t="s">
        <v>738</v>
      </c>
      <c r="CF240" s="47">
        <v>0</v>
      </c>
      <c r="CG240" s="47" t="s">
        <v>97</v>
      </c>
      <c r="CH240" s="47">
        <v>1</v>
      </c>
      <c r="CI240" s="47" t="s">
        <v>509</v>
      </c>
      <c r="CJ240" s="47" t="s">
        <v>98</v>
      </c>
      <c r="CK240" s="47">
        <v>34</v>
      </c>
      <c r="CL240" s="47">
        <v>0</v>
      </c>
      <c r="CM240" s="47">
        <v>0</v>
      </c>
      <c r="CN240" s="47" t="s">
        <v>99</v>
      </c>
      <c r="CO240" s="47" t="s">
        <v>97</v>
      </c>
      <c r="CP240" s="47" t="s">
        <v>100</v>
      </c>
      <c r="CQ240" s="47" t="s">
        <v>126</v>
      </c>
      <c r="CR240" s="48">
        <v>46223</v>
      </c>
      <c r="CT240" s="47" t="s">
        <v>550</v>
      </c>
    </row>
    <row r="241" spans="1:98" s="47" customFormat="1" x14ac:dyDescent="0.35">
      <c r="A241" s="46" t="s">
        <v>730</v>
      </c>
      <c r="B241" s="46" t="s">
        <v>743</v>
      </c>
      <c r="C241" s="47" t="s">
        <v>731</v>
      </c>
      <c r="D241" s="47">
        <v>2024</v>
      </c>
      <c r="E241" s="46" t="s">
        <v>732</v>
      </c>
      <c r="F241" s="46" t="s">
        <v>733</v>
      </c>
      <c r="G241" s="47" t="s">
        <v>78</v>
      </c>
      <c r="H241" s="47">
        <v>1</v>
      </c>
      <c r="I241" s="47" t="s">
        <v>290</v>
      </c>
      <c r="J241" s="47" t="s">
        <v>79</v>
      </c>
      <c r="K241" s="47">
        <v>11</v>
      </c>
      <c r="L241" s="47" t="s">
        <v>80</v>
      </c>
      <c r="M241" s="47" t="s">
        <v>380</v>
      </c>
      <c r="N241" s="47">
        <v>-2.1999999999999999E-2</v>
      </c>
      <c r="O241" s="47">
        <v>7.0000000000000001E-3</v>
      </c>
      <c r="P241" s="92">
        <f t="shared" si="74"/>
        <v>-3.1428571428571428</v>
      </c>
      <c r="Q241" s="47" t="s">
        <v>312</v>
      </c>
      <c r="R241" s="92">
        <f t="shared" si="75"/>
        <v>-3.5720000000000002E-2</v>
      </c>
      <c r="S241" s="92">
        <f t="shared" si="76"/>
        <v>-8.2799999999999992E-3</v>
      </c>
      <c r="T241" s="47">
        <v>1</v>
      </c>
      <c r="U241" s="59">
        <v>17073</v>
      </c>
      <c r="V241" s="47">
        <v>14</v>
      </c>
      <c r="W241" s="47">
        <v>1</v>
      </c>
      <c r="X241" s="47">
        <f t="shared" si="102"/>
        <v>17059</v>
      </c>
      <c r="Y241" s="92">
        <f t="shared" si="78"/>
        <v>-2.4055930444862789E-2</v>
      </c>
      <c r="Z241" s="92">
        <f t="shared" si="79"/>
        <v>7.6541596870017973E-3</v>
      </c>
      <c r="AA241" s="92">
        <f t="shared" si="83"/>
        <v>-2.4055930444862789E-2</v>
      </c>
      <c r="AB241" s="47" t="s">
        <v>81</v>
      </c>
      <c r="AC241" s="92">
        <f t="shared" si="103"/>
        <v>-2.1999999999999999E-2</v>
      </c>
      <c r="AD241" s="92" cm="1">
        <f t="array" ref="AD241">_xlfn.IFS(
AND(L241="marginal_effect",M241="level"),N241*AN241/BF241,
AND(L241="marginal_effect",M241="sd (Y)"),N241*BH241*AN241/BF241,
AND(L241="marginal_effect",M241="sd (X)"),N241/AQ241*AN241/BF241,
AND(L241="semi_elasticity",M241="level"),N241*AN241,
AND(L241="semi_elasticity",M241="sd (Y)"),N241*AN241*BH241,
AND(L241="semi_elasticity",M241="sd (X)"),N241*AN241/AQ241,
AND(L241="level-log",M241="level"),N241/BF241,
AND(L241="level-log",M241="sd (X)"),N241/BF241/AQ241,
AND(L241="level-log",M241="sd (Y)"),N241/BF241*BH241,
AND(L241="elasticity",M241="level"),N241,
AND(L241="elasticity",M241="sd (X)"),N241/AQ241,
AND(L241="elasticity",M241="sd (Y)"),N241*BH241,
AND(L241="marginal_effect",M241="percent_of_mean"),N241*AN241/BF241/10)</f>
        <v>-2.1999999999999999E-2</v>
      </c>
      <c r="AE241" s="51">
        <f t="shared" si="80"/>
        <v>1</v>
      </c>
      <c r="AF241" s="92">
        <f t="shared" si="104"/>
        <v>7.0000000000000001E-3</v>
      </c>
      <c r="AG241" s="92" cm="1">
        <f t="array" ref="AG241">_xlfn.IFS(
AND(L241="marginal_effect",M241="level"),O241*AN241/BF241,
AND(L241="marginal_effect",M241="sd (Y)"),O241*BH241*AN241/BF241,
AND(L241="marginal_effect",M241="sd (X)"),O241/AQ241*AN241/BF241,
AND(L241="semi_elasticity",M241="level"),O241*AN241,
AND(L241="semi_elasticity",M241="sd (Y)"),O241*AN241*BH241,
AND(L241="semi_elasticity",M241="sd (X)"),O241*AN241/AQ241,
AND(L241="level-log",M241="level"),O241/BF241,
AND(L241="level-log",M241="sd (X)"),O241/BF241/AQ241,
AND(L241="level-log",M241="sd (Y)"),O241/BF241*BH241,
AND(L241="elasticity",M241="level"),O241,
AND(L241="elasticity",M241="sd (X)"),O241/AQ241,
AND(L241="elasticity",M241="sd (Y)"),O241*BH241,
AND(L241="marginal_effect",M241="percent_of_mean"),O241*AN241/BF241/10)</f>
        <v>7.0000000000000001E-3</v>
      </c>
      <c r="AH241" s="51">
        <f t="shared" si="81"/>
        <v>1</v>
      </c>
      <c r="AI241" s="92">
        <f t="shared" si="84"/>
        <v>-2.1999999999999999E-2</v>
      </c>
      <c r="AJ241" s="47">
        <v>0</v>
      </c>
      <c r="AK241" s="47">
        <f t="shared" si="82"/>
        <v>1</v>
      </c>
      <c r="AL241" s="47" t="s">
        <v>735</v>
      </c>
      <c r="AM241" s="47" t="s">
        <v>737</v>
      </c>
      <c r="AN241" s="47">
        <v>71.41</v>
      </c>
      <c r="AO241" s="47">
        <v>1</v>
      </c>
      <c r="AP241" s="47">
        <f t="shared" si="87"/>
        <v>71.41</v>
      </c>
      <c r="AQ241" s="47">
        <v>44.91</v>
      </c>
      <c r="AR241" s="47">
        <v>14</v>
      </c>
      <c r="AS241" s="47">
        <v>500</v>
      </c>
      <c r="AT241" s="47" t="s">
        <v>83</v>
      </c>
      <c r="AU241" s="47" t="s">
        <v>109</v>
      </c>
      <c r="AV241" s="47" t="s">
        <v>133</v>
      </c>
      <c r="AW241" s="47" t="s">
        <v>109</v>
      </c>
      <c r="AX241" s="47" t="s">
        <v>86</v>
      </c>
      <c r="AY241" s="47">
        <v>0</v>
      </c>
      <c r="AZ241" s="47">
        <v>0</v>
      </c>
      <c r="BA241" s="47" t="s">
        <v>2205</v>
      </c>
      <c r="BB241" s="47" t="s">
        <v>88</v>
      </c>
      <c r="BC241" s="47" t="s">
        <v>113</v>
      </c>
      <c r="BD241" s="47" t="s">
        <v>114</v>
      </c>
      <c r="BE241" s="47" t="s">
        <v>534</v>
      </c>
      <c r="BF241" s="47">
        <v>34.6</v>
      </c>
      <c r="BG241" s="47">
        <v>1</v>
      </c>
      <c r="BH241" s="47">
        <v>15.66</v>
      </c>
      <c r="BI241" s="47">
        <v>0</v>
      </c>
      <c r="BJ241" s="47">
        <v>156</v>
      </c>
      <c r="BK241" s="47" t="s">
        <v>91</v>
      </c>
      <c r="BL241" s="47" t="s">
        <v>84</v>
      </c>
      <c r="BM241" s="47">
        <v>1</v>
      </c>
      <c r="BN241" s="47" t="s">
        <v>539</v>
      </c>
      <c r="BO241" s="47" t="s">
        <v>540</v>
      </c>
      <c r="BP241" s="47" t="s">
        <v>540</v>
      </c>
      <c r="BQ241" s="47" t="s">
        <v>117</v>
      </c>
      <c r="BR241" s="47" t="s">
        <v>134</v>
      </c>
      <c r="BS241" s="47" t="s">
        <v>312</v>
      </c>
      <c r="BT241" s="47">
        <v>0</v>
      </c>
      <c r="BU241" s="47" t="s">
        <v>728</v>
      </c>
      <c r="BV241" s="47" t="s">
        <v>729</v>
      </c>
      <c r="BW241" s="47" t="s">
        <v>736</v>
      </c>
      <c r="BX241" s="47" t="s">
        <v>95</v>
      </c>
      <c r="BY241" s="47" t="s">
        <v>96</v>
      </c>
      <c r="BZ241" s="47">
        <v>0</v>
      </c>
      <c r="CA241" s="47">
        <v>0</v>
      </c>
      <c r="CB241" s="47" t="s">
        <v>97</v>
      </c>
      <c r="CC241" s="47" t="s">
        <v>739</v>
      </c>
      <c r="CD241" s="47">
        <v>1</v>
      </c>
      <c r="CE241" s="47" t="s">
        <v>738</v>
      </c>
      <c r="CF241" s="47">
        <v>0</v>
      </c>
      <c r="CG241" s="47" t="s">
        <v>97</v>
      </c>
      <c r="CH241" s="47">
        <v>1</v>
      </c>
      <c r="CI241" s="47" t="s">
        <v>509</v>
      </c>
      <c r="CJ241" s="47" t="s">
        <v>98</v>
      </c>
      <c r="CK241" s="47">
        <v>34</v>
      </c>
      <c r="CL241" s="47">
        <v>0</v>
      </c>
      <c r="CM241" s="47">
        <v>1</v>
      </c>
      <c r="CN241" s="47" t="s">
        <v>99</v>
      </c>
      <c r="CO241" s="47" t="s">
        <v>957</v>
      </c>
      <c r="CP241" s="47" t="s">
        <v>100</v>
      </c>
      <c r="CQ241" s="47" t="s">
        <v>126</v>
      </c>
      <c r="CR241" s="48">
        <v>46223</v>
      </c>
      <c r="CT241" s="47" t="s">
        <v>551</v>
      </c>
    </row>
    <row r="242" spans="1:98" s="47" customFormat="1" x14ac:dyDescent="0.35">
      <c r="A242" s="46" t="s">
        <v>730</v>
      </c>
      <c r="B242" s="46" t="s">
        <v>744</v>
      </c>
      <c r="C242" s="47" t="s">
        <v>731</v>
      </c>
      <c r="D242" s="47">
        <v>2024</v>
      </c>
      <c r="E242" s="46" t="s">
        <v>732</v>
      </c>
      <c r="F242" s="46" t="s">
        <v>733</v>
      </c>
      <c r="G242" s="47" t="s">
        <v>78</v>
      </c>
      <c r="H242" s="47">
        <v>1</v>
      </c>
      <c r="I242" s="47" t="s">
        <v>290</v>
      </c>
      <c r="J242" s="47" t="s">
        <v>79</v>
      </c>
      <c r="K242" s="47">
        <v>11</v>
      </c>
      <c r="L242" s="47" t="s">
        <v>80</v>
      </c>
      <c r="M242" s="47" t="s">
        <v>380</v>
      </c>
      <c r="N242" s="47">
        <v>-0.10100000000000001</v>
      </c>
      <c r="O242" s="47">
        <v>1.9E-2</v>
      </c>
      <c r="P242" s="92">
        <f t="shared" si="74"/>
        <v>-5.3157894736842106</v>
      </c>
      <c r="Q242" s="47" t="s">
        <v>312</v>
      </c>
      <c r="R242" s="92">
        <f t="shared" si="75"/>
        <v>-0.13824</v>
      </c>
      <c r="S242" s="92">
        <f t="shared" si="76"/>
        <v>-6.3760000000000011E-2</v>
      </c>
      <c r="T242" s="47">
        <v>1</v>
      </c>
      <c r="U242" s="59">
        <v>17073</v>
      </c>
      <c r="V242" s="47">
        <v>14</v>
      </c>
      <c r="W242" s="47">
        <v>1</v>
      </c>
      <c r="X242" s="47">
        <f t="shared" si="102"/>
        <v>17059</v>
      </c>
      <c r="Y242" s="92">
        <f t="shared" si="78"/>
        <v>-4.0666012447393526E-2</v>
      </c>
      <c r="Z242" s="92">
        <f t="shared" si="79"/>
        <v>7.6500419455492776E-3</v>
      </c>
      <c r="AA242" s="92">
        <f t="shared" si="83"/>
        <v>-4.0666012447393526E-2</v>
      </c>
      <c r="AB242" s="47" t="s">
        <v>81</v>
      </c>
      <c r="AC242" s="92">
        <f t="shared" si="103"/>
        <v>-0.10100000000000001</v>
      </c>
      <c r="AD242" s="92" cm="1">
        <f t="array" ref="AD242">_xlfn.IFS(
AND(L242="marginal_effect",M242="level"),N242*AN242/BF242,
AND(L242="marginal_effect",M242="sd (Y)"),N242*BH242*AN242/BF242,
AND(L242="marginal_effect",M242="sd (X)"),N242/AQ242*AN242/BF242,
AND(L242="semi_elasticity",M242="level"),N242*AN242,
AND(L242="semi_elasticity",M242="sd (Y)"),N242*AN242*BH242,
AND(L242="semi_elasticity",M242="sd (X)"),N242*AN242/AQ242,
AND(L242="level-log",M242="level"),N242/BF242,
AND(L242="level-log",M242="sd (X)"),N242/BF242/AQ242,
AND(L242="level-log",M242="sd (Y)"),N242/BF242*BH242,
AND(L242="elasticity",M242="level"),N242,
AND(L242="elasticity",M242="sd (X)"),N242/AQ242,
AND(L242="elasticity",M242="sd (Y)"),N242*BH242,
AND(L242="marginal_effect",M242="percent_of_mean"),N242*AN242/BF242/10)</f>
        <v>-0.10100000000000001</v>
      </c>
      <c r="AE242" s="51">
        <f t="shared" si="80"/>
        <v>1</v>
      </c>
      <c r="AF242" s="92">
        <f t="shared" si="104"/>
        <v>1.9E-2</v>
      </c>
      <c r="AG242" s="92" cm="1">
        <f t="array" ref="AG242">_xlfn.IFS(
AND(L242="marginal_effect",M242="level"),O242*AN242/BF242,
AND(L242="marginal_effect",M242="sd (Y)"),O242*BH242*AN242/BF242,
AND(L242="marginal_effect",M242="sd (X)"),O242/AQ242*AN242/BF242,
AND(L242="semi_elasticity",M242="level"),O242*AN242,
AND(L242="semi_elasticity",M242="sd (Y)"),O242*AN242*BH242,
AND(L242="semi_elasticity",M242="sd (X)"),O242*AN242/AQ242,
AND(L242="level-log",M242="level"),O242/BF242,
AND(L242="level-log",M242="sd (X)"),O242/BF242/AQ242,
AND(L242="level-log",M242="sd (Y)"),O242/BF242*BH242,
AND(L242="elasticity",M242="level"),O242,
AND(L242="elasticity",M242="sd (X)"),O242/AQ242,
AND(L242="elasticity",M242="sd (Y)"),O242*BH242,
AND(L242="marginal_effect",M242="percent_of_mean"),O242*AN242/BF242/10)</f>
        <v>1.9E-2</v>
      </c>
      <c r="AH242" s="51">
        <f t="shared" si="81"/>
        <v>1</v>
      </c>
      <c r="AI242" s="92">
        <f t="shared" si="84"/>
        <v>-0.10100000000000001</v>
      </c>
      <c r="AJ242" s="47">
        <v>0</v>
      </c>
      <c r="AK242" s="47">
        <f t="shared" si="82"/>
        <v>1</v>
      </c>
      <c r="AL242" s="47" t="s">
        <v>735</v>
      </c>
      <c r="AM242" s="47" t="s">
        <v>737</v>
      </c>
      <c r="AN242" s="47">
        <v>71.41</v>
      </c>
      <c r="AO242" s="47">
        <v>1</v>
      </c>
      <c r="AP242" s="47">
        <f t="shared" si="87"/>
        <v>71.41</v>
      </c>
      <c r="AQ242" s="47">
        <v>44.91</v>
      </c>
      <c r="AR242" s="47">
        <v>14</v>
      </c>
      <c r="AS242" s="47">
        <v>500</v>
      </c>
      <c r="AT242" s="47" t="s">
        <v>83</v>
      </c>
      <c r="AU242" s="47" t="s">
        <v>109</v>
      </c>
      <c r="AV242" s="47" t="s">
        <v>133</v>
      </c>
      <c r="AW242" s="47" t="s">
        <v>109</v>
      </c>
      <c r="AX242" s="47" t="s">
        <v>86</v>
      </c>
      <c r="AY242" s="47">
        <v>0</v>
      </c>
      <c r="AZ242" s="47">
        <v>0</v>
      </c>
      <c r="BA242" s="47" t="s">
        <v>2205</v>
      </c>
      <c r="BB242" s="47" t="s">
        <v>88</v>
      </c>
      <c r="BC242" s="47" t="s">
        <v>113</v>
      </c>
      <c r="BD242" s="47" t="s">
        <v>114</v>
      </c>
      <c r="BE242" s="47" t="s">
        <v>534</v>
      </c>
      <c r="BF242" s="47">
        <v>34.6</v>
      </c>
      <c r="BG242" s="47">
        <v>1</v>
      </c>
      <c r="BH242" s="47">
        <v>15.66</v>
      </c>
      <c r="BI242" s="47">
        <v>0</v>
      </c>
      <c r="BJ242" s="47">
        <v>156</v>
      </c>
      <c r="BK242" s="47" t="s">
        <v>91</v>
      </c>
      <c r="BL242" s="47" t="s">
        <v>84</v>
      </c>
      <c r="BM242" s="47">
        <v>1</v>
      </c>
      <c r="BN242" s="47" t="s">
        <v>539</v>
      </c>
      <c r="BO242" s="47" t="s">
        <v>540</v>
      </c>
      <c r="BP242" s="47" t="s">
        <v>540</v>
      </c>
      <c r="BQ242" s="47" t="s">
        <v>117</v>
      </c>
      <c r="BR242" s="47" t="s">
        <v>134</v>
      </c>
      <c r="BS242" s="47" t="s">
        <v>312</v>
      </c>
      <c r="BT242" s="47">
        <v>0</v>
      </c>
      <c r="BU242" s="47" t="s">
        <v>728</v>
      </c>
      <c r="BV242" s="47" t="s">
        <v>729</v>
      </c>
      <c r="BW242" s="47" t="s">
        <v>736</v>
      </c>
      <c r="BX242" s="47" t="s">
        <v>95</v>
      </c>
      <c r="BY242" s="47" t="s">
        <v>748</v>
      </c>
      <c r="BZ242" s="47">
        <v>1</v>
      </c>
      <c r="CA242" s="47">
        <v>1</v>
      </c>
      <c r="CB242" s="47" t="s">
        <v>749</v>
      </c>
      <c r="CC242" s="47" t="s">
        <v>739</v>
      </c>
      <c r="CD242" s="47">
        <v>1</v>
      </c>
      <c r="CE242" s="47" t="s">
        <v>738</v>
      </c>
      <c r="CF242" s="47">
        <v>0</v>
      </c>
      <c r="CG242" s="47" t="s">
        <v>97</v>
      </c>
      <c r="CH242" s="47">
        <v>1</v>
      </c>
      <c r="CI242" s="47" t="s">
        <v>509</v>
      </c>
      <c r="CJ242" s="47" t="s">
        <v>98</v>
      </c>
      <c r="CK242" s="47">
        <v>34</v>
      </c>
      <c r="CL242" s="47">
        <v>1</v>
      </c>
      <c r="CM242" s="47">
        <v>1</v>
      </c>
      <c r="CN242" s="47" t="s">
        <v>99</v>
      </c>
      <c r="CO242" s="47" t="s">
        <v>957</v>
      </c>
      <c r="CP242" s="47" t="s">
        <v>100</v>
      </c>
      <c r="CQ242" s="47" t="s">
        <v>126</v>
      </c>
      <c r="CR242" s="48">
        <v>46223</v>
      </c>
      <c r="CT242" s="47" t="s">
        <v>437</v>
      </c>
    </row>
    <row r="243" spans="1:98" s="47" customFormat="1" x14ac:dyDescent="0.35">
      <c r="A243" s="46" t="s">
        <v>730</v>
      </c>
      <c r="B243" s="46" t="s">
        <v>745</v>
      </c>
      <c r="C243" s="47" t="s">
        <v>731</v>
      </c>
      <c r="D243" s="47">
        <v>2024</v>
      </c>
      <c r="E243" s="46" t="s">
        <v>732</v>
      </c>
      <c r="F243" s="46" t="s">
        <v>733</v>
      </c>
      <c r="G243" s="47" t="s">
        <v>78</v>
      </c>
      <c r="H243" s="47">
        <v>1</v>
      </c>
      <c r="I243" s="47" t="s">
        <v>290</v>
      </c>
      <c r="J243" s="47" t="s">
        <v>79</v>
      </c>
      <c r="K243" s="47">
        <v>11</v>
      </c>
      <c r="L243" s="47" t="s">
        <v>80</v>
      </c>
      <c r="M243" s="47" t="s">
        <v>380</v>
      </c>
      <c r="N243" s="47">
        <v>-5.0999999999999997E-2</v>
      </c>
      <c r="O243" s="47">
        <v>1.0999999999999999E-2</v>
      </c>
      <c r="P243" s="92">
        <f t="shared" si="74"/>
        <v>-4.6363636363636367</v>
      </c>
      <c r="Q243" s="47" t="s">
        <v>312</v>
      </c>
      <c r="R243" s="92">
        <f t="shared" si="75"/>
        <v>-7.2559999999999999E-2</v>
      </c>
      <c r="S243" s="92">
        <f t="shared" si="76"/>
        <v>-2.9439999999999997E-2</v>
      </c>
      <c r="T243" s="47">
        <v>1</v>
      </c>
      <c r="U243" s="59">
        <v>17073</v>
      </c>
      <c r="V243" s="47">
        <v>14</v>
      </c>
      <c r="W243" s="47">
        <v>1</v>
      </c>
      <c r="X243" s="47">
        <f t="shared" si="102"/>
        <v>17059</v>
      </c>
      <c r="Y243" s="92">
        <f t="shared" si="78"/>
        <v>-3.5475396129046793E-2</v>
      </c>
      <c r="Z243" s="92">
        <f t="shared" si="79"/>
        <v>7.651556027833622E-3</v>
      </c>
      <c r="AA243" s="92">
        <f t="shared" si="83"/>
        <v>-3.5475396129046793E-2</v>
      </c>
      <c r="AB243" s="47" t="s">
        <v>81</v>
      </c>
      <c r="AC243" s="92">
        <f t="shared" si="103"/>
        <v>-5.0999999999999997E-2</v>
      </c>
      <c r="AD243" s="92" cm="1">
        <f t="array" ref="AD243">_xlfn.IFS(
AND(L243="marginal_effect",M243="level"),N243*AN243/BF243,
AND(L243="marginal_effect",M243="sd (Y)"),N243*BH243*AN243/BF243,
AND(L243="marginal_effect",M243="sd (X)"),N243/AQ243*AN243/BF243,
AND(L243="semi_elasticity",M243="level"),N243*AN243,
AND(L243="semi_elasticity",M243="sd (Y)"),N243*AN243*BH243,
AND(L243="semi_elasticity",M243="sd (X)"),N243*AN243/AQ243,
AND(L243="level-log",M243="level"),N243/BF243,
AND(L243="level-log",M243="sd (X)"),N243/BF243/AQ243,
AND(L243="level-log",M243="sd (Y)"),N243/BF243*BH243,
AND(L243="elasticity",M243="level"),N243,
AND(L243="elasticity",M243="sd (X)"),N243/AQ243,
AND(L243="elasticity",M243="sd (Y)"),N243*BH243,
AND(L243="marginal_effect",M243="percent_of_mean"),N243*AN243/BF243/10)</f>
        <v>-5.0999999999999997E-2</v>
      </c>
      <c r="AE243" s="51">
        <f t="shared" si="80"/>
        <v>1</v>
      </c>
      <c r="AF243" s="92">
        <f t="shared" si="104"/>
        <v>1.0999999999999999E-2</v>
      </c>
      <c r="AG243" s="92" cm="1">
        <f t="array" ref="AG243">_xlfn.IFS(
AND(L243="marginal_effect",M243="level"),O243*AN243/BF243,
AND(L243="marginal_effect",M243="sd (Y)"),O243*BH243*AN243/BF243,
AND(L243="marginal_effect",M243="sd (X)"),O243/AQ243*AN243/BF243,
AND(L243="semi_elasticity",M243="level"),O243*AN243,
AND(L243="semi_elasticity",M243="sd (Y)"),O243*AN243*BH243,
AND(L243="semi_elasticity",M243="sd (X)"),O243*AN243/AQ243,
AND(L243="level-log",M243="level"),O243/BF243,
AND(L243="level-log",M243="sd (X)"),O243/BF243/AQ243,
AND(L243="level-log",M243="sd (Y)"),O243/BF243*BH243,
AND(L243="elasticity",M243="level"),O243,
AND(L243="elasticity",M243="sd (X)"),O243/AQ243,
AND(L243="elasticity",M243="sd (Y)"),O243*BH243,
AND(L243="marginal_effect",M243="percent_of_mean"),O243*AN243/BF243/10)</f>
        <v>1.0999999999999999E-2</v>
      </c>
      <c r="AH243" s="51">
        <f t="shared" si="81"/>
        <v>1</v>
      </c>
      <c r="AI243" s="92">
        <f t="shared" si="84"/>
        <v>-5.0999999999999997E-2</v>
      </c>
      <c r="AJ243" s="47">
        <v>0</v>
      </c>
      <c r="AK243" s="47">
        <f t="shared" si="82"/>
        <v>1</v>
      </c>
      <c r="AL243" s="47" t="s">
        <v>82</v>
      </c>
      <c r="AM243" s="47" t="s">
        <v>1333</v>
      </c>
      <c r="AN243" s="47">
        <v>43.08</v>
      </c>
      <c r="AO243" s="47">
        <v>1</v>
      </c>
      <c r="AP243" s="47">
        <f t="shared" si="87"/>
        <v>43.08</v>
      </c>
      <c r="AQ243" s="47">
        <v>35.29</v>
      </c>
      <c r="AR243" s="47">
        <v>1</v>
      </c>
      <c r="AS243" s="47">
        <v>366</v>
      </c>
      <c r="AT243" s="47" t="s">
        <v>83</v>
      </c>
      <c r="AU243" s="47" t="s">
        <v>109</v>
      </c>
      <c r="AV243" s="47" t="s">
        <v>133</v>
      </c>
      <c r="AW243" s="47" t="s">
        <v>109</v>
      </c>
      <c r="AX243" s="47" t="s">
        <v>86</v>
      </c>
      <c r="AY243" s="47">
        <v>0</v>
      </c>
      <c r="AZ243" s="47">
        <v>0</v>
      </c>
      <c r="BA243" s="47" t="s">
        <v>2205</v>
      </c>
      <c r="BB243" s="47" t="s">
        <v>88</v>
      </c>
      <c r="BC243" s="47" t="s">
        <v>113</v>
      </c>
      <c r="BD243" s="47" t="s">
        <v>114</v>
      </c>
      <c r="BE243" s="47" t="s">
        <v>534</v>
      </c>
      <c r="BF243" s="47">
        <v>34.6</v>
      </c>
      <c r="BG243" s="47">
        <v>1</v>
      </c>
      <c r="BH243" s="47">
        <v>15.66</v>
      </c>
      <c r="BI243" s="47">
        <v>0</v>
      </c>
      <c r="BJ243" s="47">
        <v>156</v>
      </c>
      <c r="BK243" s="47" t="s">
        <v>91</v>
      </c>
      <c r="BL243" s="47" t="s">
        <v>84</v>
      </c>
      <c r="BM243" s="47">
        <v>1</v>
      </c>
      <c r="BN243" s="47" t="s">
        <v>539</v>
      </c>
      <c r="BO243" s="47" t="s">
        <v>540</v>
      </c>
      <c r="BP243" s="47" t="s">
        <v>540</v>
      </c>
      <c r="BQ243" s="47" t="s">
        <v>117</v>
      </c>
      <c r="BR243" s="47" t="s">
        <v>134</v>
      </c>
      <c r="BS243" s="47" t="s">
        <v>312</v>
      </c>
      <c r="BT243" s="47">
        <v>0</v>
      </c>
      <c r="BU243" s="47" t="s">
        <v>728</v>
      </c>
      <c r="BV243" s="47" t="s">
        <v>729</v>
      </c>
      <c r="BW243" s="47" t="s">
        <v>736</v>
      </c>
      <c r="BX243" s="47" t="s">
        <v>95</v>
      </c>
      <c r="BY243" s="47" t="s">
        <v>748</v>
      </c>
      <c r="BZ243" s="47">
        <v>1</v>
      </c>
      <c r="CA243" s="47">
        <v>1</v>
      </c>
      <c r="CB243" s="47" t="s">
        <v>749</v>
      </c>
      <c r="CC243" s="47" t="s">
        <v>739</v>
      </c>
      <c r="CD243" s="47">
        <v>1</v>
      </c>
      <c r="CE243" s="47" t="s">
        <v>738</v>
      </c>
      <c r="CF243" s="47">
        <v>0</v>
      </c>
      <c r="CG243" s="47" t="s">
        <v>97</v>
      </c>
      <c r="CH243" s="47">
        <v>1</v>
      </c>
      <c r="CI243" s="47" t="s">
        <v>509</v>
      </c>
      <c r="CJ243" s="47" t="s">
        <v>98</v>
      </c>
      <c r="CK243" s="47">
        <v>34</v>
      </c>
      <c r="CL243" s="47">
        <v>0</v>
      </c>
      <c r="CM243" s="47">
        <v>0</v>
      </c>
      <c r="CN243" s="47" t="s">
        <v>99</v>
      </c>
      <c r="CO243" s="47" t="s">
        <v>957</v>
      </c>
      <c r="CP243" s="47" t="s">
        <v>100</v>
      </c>
      <c r="CQ243" s="47" t="s">
        <v>126</v>
      </c>
      <c r="CR243" s="48">
        <v>46223</v>
      </c>
      <c r="CT243" s="47" t="s">
        <v>438</v>
      </c>
    </row>
    <row r="244" spans="1:98" s="47" customFormat="1" x14ac:dyDescent="0.35">
      <c r="A244" s="46" t="s">
        <v>730</v>
      </c>
      <c r="B244" s="46" t="s">
        <v>746</v>
      </c>
      <c r="C244" s="47" t="s">
        <v>731</v>
      </c>
      <c r="D244" s="47">
        <v>2024</v>
      </c>
      <c r="E244" s="46" t="s">
        <v>732</v>
      </c>
      <c r="F244" s="46" t="s">
        <v>733</v>
      </c>
      <c r="G244" s="47" t="s">
        <v>78</v>
      </c>
      <c r="H244" s="47">
        <v>1</v>
      </c>
      <c r="I244" s="47" t="s">
        <v>290</v>
      </c>
      <c r="J244" s="47" t="s">
        <v>79</v>
      </c>
      <c r="K244" s="47">
        <v>11</v>
      </c>
      <c r="L244" s="47" t="s">
        <v>80</v>
      </c>
      <c r="M244" s="47" t="s">
        <v>380</v>
      </c>
      <c r="N244" s="47">
        <v>-7.2999999999999995E-2</v>
      </c>
      <c r="O244" s="47">
        <v>1.4999999999999999E-2</v>
      </c>
      <c r="P244" s="92">
        <f t="shared" si="74"/>
        <v>-4.8666666666666663</v>
      </c>
      <c r="Q244" s="47" t="s">
        <v>312</v>
      </c>
      <c r="R244" s="92">
        <f t="shared" si="75"/>
        <v>-0.10239999999999999</v>
      </c>
      <c r="S244" s="92">
        <f t="shared" si="76"/>
        <v>-4.36E-2</v>
      </c>
      <c r="T244" s="47">
        <v>1</v>
      </c>
      <c r="U244" s="59">
        <v>17073</v>
      </c>
      <c r="V244" s="47">
        <v>14</v>
      </c>
      <c r="W244" s="47">
        <v>1</v>
      </c>
      <c r="X244" s="47">
        <f t="shared" si="102"/>
        <v>17059</v>
      </c>
      <c r="Y244" s="92">
        <f t="shared" si="78"/>
        <v>-3.7235187215446282E-2</v>
      </c>
      <c r="Z244" s="92">
        <f t="shared" si="79"/>
        <v>7.6510658661875916E-3</v>
      </c>
      <c r="AA244" s="92">
        <f t="shared" si="83"/>
        <v>-3.7235187215446282E-2</v>
      </c>
      <c r="AB244" s="47" t="s">
        <v>81</v>
      </c>
      <c r="AC244" s="92">
        <f t="shared" si="103"/>
        <v>-7.2999999999999995E-2</v>
      </c>
      <c r="AD244" s="92" cm="1">
        <f t="array" ref="AD244">_xlfn.IFS(
AND(L244="marginal_effect",M244="level"),N244*AN244/BF244,
AND(L244="marginal_effect",M244="sd (Y)"),N244*BH244*AN244/BF244,
AND(L244="marginal_effect",M244="sd (X)"),N244/AQ244*AN244/BF244,
AND(L244="semi_elasticity",M244="level"),N244*AN244,
AND(L244="semi_elasticity",M244="sd (Y)"),N244*AN244*BH244,
AND(L244="semi_elasticity",M244="sd (X)"),N244*AN244/AQ244,
AND(L244="level-log",M244="level"),N244/BF244,
AND(L244="level-log",M244="sd (X)"),N244/BF244/AQ244,
AND(L244="level-log",M244="sd (Y)"),N244/BF244*BH244,
AND(L244="elasticity",M244="level"),N244,
AND(L244="elasticity",M244="sd (X)"),N244/AQ244,
AND(L244="elasticity",M244="sd (Y)"),N244*BH244,
AND(L244="marginal_effect",M244="percent_of_mean"),N244*AN244/BF244/10)</f>
        <v>-7.2999999999999995E-2</v>
      </c>
      <c r="AE244" s="51">
        <f t="shared" si="80"/>
        <v>1</v>
      </c>
      <c r="AF244" s="92">
        <f t="shared" si="104"/>
        <v>1.4999999999999999E-2</v>
      </c>
      <c r="AG244" s="92" cm="1">
        <f t="array" ref="AG244">_xlfn.IFS(
AND(L244="marginal_effect",M244="level"),O244*AN244/BF244,
AND(L244="marginal_effect",M244="sd (Y)"),O244*BH244*AN244/BF244,
AND(L244="marginal_effect",M244="sd (X)"),O244/AQ244*AN244/BF244,
AND(L244="semi_elasticity",M244="level"),O244*AN244,
AND(L244="semi_elasticity",M244="sd (Y)"),O244*AN244*BH244,
AND(L244="semi_elasticity",M244="sd (X)"),O244*AN244/AQ244,
AND(L244="level-log",M244="level"),O244/BF244,
AND(L244="level-log",M244="sd (X)"),O244/BF244/AQ244,
AND(L244="level-log",M244="sd (Y)"),O244/BF244*BH244,
AND(L244="elasticity",M244="level"),O244,
AND(L244="elasticity",M244="sd (X)"),O244/AQ244,
AND(L244="elasticity",M244="sd (Y)"),O244*BH244,
AND(L244="marginal_effect",M244="percent_of_mean"),O244*AN244/BF244/10)</f>
        <v>1.4999999999999999E-2</v>
      </c>
      <c r="AH244" s="51">
        <f t="shared" si="81"/>
        <v>1</v>
      </c>
      <c r="AI244" s="92">
        <f t="shared" si="84"/>
        <v>-7.2999999999999995E-2</v>
      </c>
      <c r="AJ244" s="47">
        <v>0</v>
      </c>
      <c r="AK244" s="47">
        <f t="shared" si="82"/>
        <v>1</v>
      </c>
      <c r="AL244" s="47" t="s">
        <v>106</v>
      </c>
      <c r="AM244" s="47" t="s">
        <v>1333</v>
      </c>
      <c r="AN244" s="47">
        <v>77.83</v>
      </c>
      <c r="AO244" s="47">
        <v>1</v>
      </c>
      <c r="AP244" s="47">
        <f t="shared" si="87"/>
        <v>77.83</v>
      </c>
      <c r="AQ244" s="47">
        <v>59.84</v>
      </c>
      <c r="AR244" s="47">
        <v>1</v>
      </c>
      <c r="AS244" s="47">
        <v>901</v>
      </c>
      <c r="AT244" s="47" t="s">
        <v>83</v>
      </c>
      <c r="AU244" s="47" t="s">
        <v>109</v>
      </c>
      <c r="AV244" s="47" t="s">
        <v>133</v>
      </c>
      <c r="AW244" s="47" t="s">
        <v>109</v>
      </c>
      <c r="AX244" s="47" t="s">
        <v>86</v>
      </c>
      <c r="AY244" s="47">
        <v>0</v>
      </c>
      <c r="AZ244" s="47">
        <v>0</v>
      </c>
      <c r="BA244" s="47" t="s">
        <v>2205</v>
      </c>
      <c r="BB244" s="47" t="s">
        <v>88</v>
      </c>
      <c r="BC244" s="47" t="s">
        <v>113</v>
      </c>
      <c r="BD244" s="47" t="s">
        <v>114</v>
      </c>
      <c r="BE244" s="47" t="s">
        <v>534</v>
      </c>
      <c r="BF244" s="47">
        <v>34.6</v>
      </c>
      <c r="BG244" s="47">
        <v>1</v>
      </c>
      <c r="BH244" s="47">
        <v>15.66</v>
      </c>
      <c r="BI244" s="47">
        <v>0</v>
      </c>
      <c r="BJ244" s="47">
        <v>156</v>
      </c>
      <c r="BK244" s="47" t="s">
        <v>91</v>
      </c>
      <c r="BL244" s="47" t="s">
        <v>84</v>
      </c>
      <c r="BM244" s="47">
        <v>1</v>
      </c>
      <c r="BN244" s="47" t="s">
        <v>539</v>
      </c>
      <c r="BO244" s="47" t="s">
        <v>540</v>
      </c>
      <c r="BP244" s="47" t="s">
        <v>540</v>
      </c>
      <c r="BQ244" s="47" t="s">
        <v>117</v>
      </c>
      <c r="BR244" s="47" t="s">
        <v>134</v>
      </c>
      <c r="BS244" s="47" t="s">
        <v>312</v>
      </c>
      <c r="BT244" s="47">
        <v>0</v>
      </c>
      <c r="BU244" s="47" t="s">
        <v>728</v>
      </c>
      <c r="BV244" s="47" t="s">
        <v>729</v>
      </c>
      <c r="BW244" s="47" t="s">
        <v>736</v>
      </c>
      <c r="BX244" s="47" t="s">
        <v>95</v>
      </c>
      <c r="BY244" s="47" t="s">
        <v>748</v>
      </c>
      <c r="BZ244" s="47">
        <v>1</v>
      </c>
      <c r="CA244" s="47">
        <v>1</v>
      </c>
      <c r="CB244" s="47" t="s">
        <v>749</v>
      </c>
      <c r="CC244" s="47" t="s">
        <v>739</v>
      </c>
      <c r="CD244" s="47">
        <v>1</v>
      </c>
      <c r="CE244" s="47" t="s">
        <v>738</v>
      </c>
      <c r="CF244" s="47">
        <v>0</v>
      </c>
      <c r="CG244" s="47" t="s">
        <v>97</v>
      </c>
      <c r="CH244" s="47">
        <v>1</v>
      </c>
      <c r="CI244" s="47" t="s">
        <v>509</v>
      </c>
      <c r="CJ244" s="47" t="s">
        <v>98</v>
      </c>
      <c r="CK244" s="47">
        <v>34</v>
      </c>
      <c r="CL244" s="47">
        <v>0</v>
      </c>
      <c r="CM244" s="47">
        <v>0</v>
      </c>
      <c r="CN244" s="47" t="s">
        <v>99</v>
      </c>
      <c r="CO244" s="47" t="s">
        <v>957</v>
      </c>
      <c r="CP244" s="47" t="s">
        <v>100</v>
      </c>
      <c r="CQ244" s="47" t="s">
        <v>126</v>
      </c>
      <c r="CR244" s="48">
        <v>46223</v>
      </c>
      <c r="CT244" s="47" t="s">
        <v>439</v>
      </c>
    </row>
    <row r="245" spans="1:98" s="47" customFormat="1" x14ac:dyDescent="0.35">
      <c r="A245" s="46" t="s">
        <v>730</v>
      </c>
      <c r="B245" s="46" t="s">
        <v>747</v>
      </c>
      <c r="C245" s="47" t="s">
        <v>731</v>
      </c>
      <c r="D245" s="47">
        <v>2024</v>
      </c>
      <c r="E245" s="46" t="s">
        <v>732</v>
      </c>
      <c r="F245" s="46" t="s">
        <v>733</v>
      </c>
      <c r="G245" s="47" t="s">
        <v>78</v>
      </c>
      <c r="H245" s="47">
        <v>1</v>
      </c>
      <c r="I245" s="47" t="s">
        <v>290</v>
      </c>
      <c r="J245" s="47" t="s">
        <v>79</v>
      </c>
      <c r="K245" s="47">
        <v>11</v>
      </c>
      <c r="L245" s="47" t="s">
        <v>80</v>
      </c>
      <c r="M245" s="47" t="s">
        <v>380</v>
      </c>
      <c r="N245" s="47">
        <v>-7.2999999999999995E-2</v>
      </c>
      <c r="O245" s="47">
        <v>2.1999999999999999E-2</v>
      </c>
      <c r="P245" s="92">
        <f t="shared" si="74"/>
        <v>-3.3181818181818183</v>
      </c>
      <c r="Q245" s="47" t="s">
        <v>312</v>
      </c>
      <c r="R245" s="92">
        <f t="shared" si="75"/>
        <v>-0.11612</v>
      </c>
      <c r="S245" s="92">
        <f t="shared" si="76"/>
        <v>-2.9879999999999997E-2</v>
      </c>
      <c r="T245" s="47">
        <v>1</v>
      </c>
      <c r="U245" s="59">
        <v>17073</v>
      </c>
      <c r="V245" s="47">
        <v>14</v>
      </c>
      <c r="W245" s="47">
        <v>1</v>
      </c>
      <c r="X245" s="47">
        <f t="shared" si="102"/>
        <v>17059</v>
      </c>
      <c r="Y245" s="92">
        <f t="shared" si="78"/>
        <v>-2.5397050780610338E-2</v>
      </c>
      <c r="Z245" s="92">
        <f t="shared" si="79"/>
        <v>7.6539057147044847E-3</v>
      </c>
      <c r="AA245" s="92">
        <f t="shared" si="83"/>
        <v>-2.5397050780610338E-2</v>
      </c>
      <c r="AB245" s="47" t="s">
        <v>81</v>
      </c>
      <c r="AC245" s="92">
        <f t="shared" si="103"/>
        <v>-7.2999999999999995E-2</v>
      </c>
      <c r="AD245" s="92" cm="1">
        <f t="array" ref="AD245">_xlfn.IFS(
AND(L245="marginal_effect",M245="level"),N245*AN245/BF245,
AND(L245="marginal_effect",M245="sd (Y)"),N245*BH245*AN245/BF245,
AND(L245="marginal_effect",M245="sd (X)"),N245/AQ245*AN245/BF245,
AND(L245="semi_elasticity",M245="level"),N245*AN245,
AND(L245="semi_elasticity",M245="sd (Y)"),N245*AN245*BH245,
AND(L245="semi_elasticity",M245="sd (X)"),N245*AN245/AQ245,
AND(L245="level-log",M245="level"),N245/BF245,
AND(L245="level-log",M245="sd (X)"),N245/BF245/AQ245,
AND(L245="level-log",M245="sd (Y)"),N245/BF245*BH245,
AND(L245="elasticity",M245="level"),N245,
AND(L245="elasticity",M245="sd (X)"),N245/AQ245,
AND(L245="elasticity",M245="sd (Y)"),N245*BH245,
AND(L245="marginal_effect",M245="percent_of_mean"),N245*AN245/BF245/10)</f>
        <v>-7.2999999999999995E-2</v>
      </c>
      <c r="AE245" s="51">
        <f t="shared" si="80"/>
        <v>1</v>
      </c>
      <c r="AF245" s="92">
        <f t="shared" si="104"/>
        <v>2.1999999999999999E-2</v>
      </c>
      <c r="AG245" s="92" cm="1">
        <f t="array" ref="AG245">_xlfn.IFS(
AND(L245="marginal_effect",M245="level"),O245*AN245/BF245,
AND(L245="marginal_effect",M245="sd (Y)"),O245*BH245*AN245/BF245,
AND(L245="marginal_effect",M245="sd (X)"),O245/AQ245*AN245/BF245,
AND(L245="semi_elasticity",M245="level"),O245*AN245,
AND(L245="semi_elasticity",M245="sd (Y)"),O245*AN245*BH245,
AND(L245="semi_elasticity",M245="sd (X)"),O245*AN245/AQ245,
AND(L245="level-log",M245="level"),O245/BF245,
AND(L245="level-log",M245="sd (X)"),O245/BF245/AQ245,
AND(L245="level-log",M245="sd (Y)"),O245/BF245*BH245,
AND(L245="elasticity",M245="level"),O245,
AND(L245="elasticity",M245="sd (X)"),O245/AQ245,
AND(L245="elasticity",M245="sd (Y)"),O245*BH245,
AND(L245="marginal_effect",M245="percent_of_mean"),O245*AN245/BF245/10)</f>
        <v>2.1999999999999999E-2</v>
      </c>
      <c r="AH245" s="51">
        <f t="shared" si="81"/>
        <v>1</v>
      </c>
      <c r="AI245" s="92">
        <f t="shared" si="84"/>
        <v>-7.2999999999999995E-2</v>
      </c>
      <c r="AJ245" s="47">
        <v>0</v>
      </c>
      <c r="AK245" s="47">
        <f t="shared" si="82"/>
        <v>1</v>
      </c>
      <c r="AL245" s="47" t="s">
        <v>148</v>
      </c>
      <c r="AM245" s="47" t="s">
        <v>1333</v>
      </c>
      <c r="AN245" s="47">
        <v>82.92</v>
      </c>
      <c r="AO245" s="47">
        <v>1</v>
      </c>
      <c r="AP245" s="47">
        <f t="shared" si="87"/>
        <v>82.92</v>
      </c>
      <c r="AQ245" s="47">
        <v>49.68</v>
      </c>
      <c r="AR245" s="47">
        <v>1</v>
      </c>
      <c r="AS245" s="47">
        <v>353</v>
      </c>
      <c r="AT245" s="47" t="s">
        <v>83</v>
      </c>
      <c r="AU245" s="47" t="s">
        <v>109</v>
      </c>
      <c r="AV245" s="47" t="s">
        <v>133</v>
      </c>
      <c r="AW245" s="47" t="s">
        <v>109</v>
      </c>
      <c r="AX245" s="47" t="s">
        <v>86</v>
      </c>
      <c r="AY245" s="47">
        <v>0</v>
      </c>
      <c r="AZ245" s="47">
        <v>0</v>
      </c>
      <c r="BA245" s="47" t="s">
        <v>2205</v>
      </c>
      <c r="BB245" s="47" t="s">
        <v>88</v>
      </c>
      <c r="BC245" s="47" t="s">
        <v>113</v>
      </c>
      <c r="BD245" s="47" t="s">
        <v>114</v>
      </c>
      <c r="BE245" s="47" t="s">
        <v>534</v>
      </c>
      <c r="BF245" s="47">
        <v>34.6</v>
      </c>
      <c r="BG245" s="47">
        <v>1</v>
      </c>
      <c r="BH245" s="47">
        <v>15.66</v>
      </c>
      <c r="BI245" s="47">
        <v>0</v>
      </c>
      <c r="BJ245" s="47">
        <v>156</v>
      </c>
      <c r="BK245" s="47" t="s">
        <v>91</v>
      </c>
      <c r="BL245" s="47" t="s">
        <v>84</v>
      </c>
      <c r="BM245" s="47">
        <v>1</v>
      </c>
      <c r="BN245" s="47" t="s">
        <v>539</v>
      </c>
      <c r="BO245" s="47" t="s">
        <v>540</v>
      </c>
      <c r="BP245" s="47" t="s">
        <v>540</v>
      </c>
      <c r="BQ245" s="47" t="s">
        <v>117</v>
      </c>
      <c r="BR245" s="47" t="s">
        <v>134</v>
      </c>
      <c r="BS245" s="47" t="s">
        <v>312</v>
      </c>
      <c r="BT245" s="47">
        <v>0</v>
      </c>
      <c r="BU245" s="47" t="s">
        <v>728</v>
      </c>
      <c r="BV245" s="47" t="s">
        <v>729</v>
      </c>
      <c r="BW245" s="47" t="s">
        <v>736</v>
      </c>
      <c r="BX245" s="47" t="s">
        <v>95</v>
      </c>
      <c r="BY245" s="47" t="s">
        <v>748</v>
      </c>
      <c r="BZ245" s="47">
        <v>1</v>
      </c>
      <c r="CA245" s="47">
        <v>1</v>
      </c>
      <c r="CB245" s="47" t="s">
        <v>749</v>
      </c>
      <c r="CC245" s="47" t="s">
        <v>739</v>
      </c>
      <c r="CD245" s="47">
        <v>1</v>
      </c>
      <c r="CE245" s="47" t="s">
        <v>738</v>
      </c>
      <c r="CF245" s="47">
        <v>0</v>
      </c>
      <c r="CG245" s="47" t="s">
        <v>97</v>
      </c>
      <c r="CH245" s="47">
        <v>1</v>
      </c>
      <c r="CI245" s="47" t="s">
        <v>509</v>
      </c>
      <c r="CJ245" s="47" t="s">
        <v>98</v>
      </c>
      <c r="CK245" s="47">
        <v>34</v>
      </c>
      <c r="CL245" s="47">
        <v>0</v>
      </c>
      <c r="CM245" s="47">
        <v>0</v>
      </c>
      <c r="CN245" s="47" t="s">
        <v>99</v>
      </c>
      <c r="CO245" s="47" t="s">
        <v>957</v>
      </c>
      <c r="CP245" s="47" t="s">
        <v>100</v>
      </c>
      <c r="CQ245" s="47" t="s">
        <v>126</v>
      </c>
      <c r="CR245" s="48">
        <v>46223</v>
      </c>
      <c r="CT245" s="47" t="s">
        <v>440</v>
      </c>
    </row>
    <row r="246" spans="1:98" s="47" customFormat="1" x14ac:dyDescent="0.35">
      <c r="A246" s="46" t="s">
        <v>730</v>
      </c>
      <c r="B246" s="46" t="s">
        <v>750</v>
      </c>
      <c r="C246" s="47" t="s">
        <v>731</v>
      </c>
      <c r="D246" s="47">
        <v>2024</v>
      </c>
      <c r="E246" s="46" t="s">
        <v>732</v>
      </c>
      <c r="F246" s="46" t="s">
        <v>733</v>
      </c>
      <c r="G246" s="47" t="s">
        <v>78</v>
      </c>
      <c r="H246" s="47">
        <v>1</v>
      </c>
      <c r="I246" s="47" t="s">
        <v>290</v>
      </c>
      <c r="J246" s="47" t="s">
        <v>79</v>
      </c>
      <c r="K246" s="47">
        <v>11</v>
      </c>
      <c r="L246" s="47" t="s">
        <v>80</v>
      </c>
      <c r="M246" s="47" t="s">
        <v>380</v>
      </c>
      <c r="N246" s="47">
        <v>-4.7E-2</v>
      </c>
      <c r="O246" s="47">
        <v>0.01</v>
      </c>
      <c r="P246" s="92">
        <f t="shared" si="74"/>
        <v>-4.7</v>
      </c>
      <c r="Q246" s="47" t="s">
        <v>312</v>
      </c>
      <c r="R246" s="92">
        <f t="shared" si="75"/>
        <v>-6.6599999999999993E-2</v>
      </c>
      <c r="S246" s="92">
        <f t="shared" si="76"/>
        <v>-2.7400000000000001E-2</v>
      </c>
      <c r="T246" s="47">
        <v>1</v>
      </c>
      <c r="U246" s="59">
        <v>17073</v>
      </c>
      <c r="V246" s="47">
        <v>15</v>
      </c>
      <c r="W246" s="47">
        <v>1</v>
      </c>
      <c r="X246" s="47">
        <f t="shared" si="102"/>
        <v>17058</v>
      </c>
      <c r="Y246" s="92">
        <f t="shared" si="78"/>
        <v>-3.5962740607757331E-2</v>
      </c>
      <c r="Z246" s="92">
        <f t="shared" si="79"/>
        <v>7.6516469378207089E-3</v>
      </c>
      <c r="AA246" s="92">
        <f t="shared" ref="AA246:AA277" si="105">Y246</f>
        <v>-3.5962740607757331E-2</v>
      </c>
      <c r="AB246" s="47" t="s">
        <v>81</v>
      </c>
      <c r="AC246" s="92">
        <f t="shared" si="103"/>
        <v>-4.7E-2</v>
      </c>
      <c r="AD246" s="92" cm="1">
        <f t="array" ref="AD246">_xlfn.IFS(
AND(L246="marginal_effect",M246="level"),N246*AN246/BF246,
AND(L246="marginal_effect",M246="sd (Y)"),N246*BH246*AN246/BF246,
AND(L246="marginal_effect",M246="sd (X)"),N246/AQ246*AN246/BF246,
AND(L246="semi_elasticity",M246="level"),N246*AN246,
AND(L246="semi_elasticity",M246="sd (Y)"),N246*AN246*BH246,
AND(L246="semi_elasticity",M246="sd (X)"),N246*AN246/AQ246,
AND(L246="level-log",M246="level"),N246/BF246,
AND(L246="level-log",M246="sd (X)"),N246/BF246/AQ246,
AND(L246="level-log",M246="sd (Y)"),N246/BF246*BH246,
AND(L246="elasticity",M246="level"),N246,
AND(L246="elasticity",M246="sd (X)"),N246/AQ246,
AND(L246="elasticity",M246="sd (Y)"),N246*BH246,
AND(L246="marginal_effect",M246="percent_of_mean"),N246*AN246/BF246/10)</f>
        <v>-4.7E-2</v>
      </c>
      <c r="AE246" s="51">
        <f t="shared" si="80"/>
        <v>1</v>
      </c>
      <c r="AF246" s="92">
        <f t="shared" si="104"/>
        <v>0.01</v>
      </c>
      <c r="AG246" s="92" cm="1">
        <f t="array" ref="AG246">_xlfn.IFS(
AND(L246="marginal_effect",M246="level"),O246*AN246/BF246,
AND(L246="marginal_effect",M246="sd (Y)"),O246*BH246*AN246/BF246,
AND(L246="marginal_effect",M246="sd (X)"),O246/AQ246*AN246/BF246,
AND(L246="semi_elasticity",M246="level"),O246*AN246,
AND(L246="semi_elasticity",M246="sd (Y)"),O246*AN246*BH246,
AND(L246="semi_elasticity",M246="sd (X)"),O246*AN246/AQ246,
AND(L246="level-log",M246="level"),O246/BF246,
AND(L246="level-log",M246="sd (X)"),O246/BF246/AQ246,
AND(L246="level-log",M246="sd (Y)"),O246/BF246*BH246,
AND(L246="elasticity",M246="level"),O246,
AND(L246="elasticity",M246="sd (X)"),O246/AQ246,
AND(L246="elasticity",M246="sd (Y)"),O246*BH246,
AND(L246="marginal_effect",M246="percent_of_mean"),O246*AN246/BF246/10)</f>
        <v>0.01</v>
      </c>
      <c r="AH246" s="51">
        <f t="shared" si="81"/>
        <v>1</v>
      </c>
      <c r="AI246" s="92">
        <f t="shared" ref="AI246:AI276" si="106">AC246</f>
        <v>-4.7E-2</v>
      </c>
      <c r="AJ246" s="47">
        <v>0</v>
      </c>
      <c r="AK246" s="47">
        <f t="shared" si="82"/>
        <v>1</v>
      </c>
      <c r="AL246" s="47" t="s">
        <v>82</v>
      </c>
      <c r="AM246" s="47" t="s">
        <v>1333</v>
      </c>
      <c r="AN246" s="47">
        <v>43.08</v>
      </c>
      <c r="AO246" s="47">
        <v>1</v>
      </c>
      <c r="AP246" s="47">
        <f t="shared" si="87"/>
        <v>43.08</v>
      </c>
      <c r="AQ246" s="47">
        <v>35.29</v>
      </c>
      <c r="AR246" s="47">
        <v>1</v>
      </c>
      <c r="AS246" s="47">
        <v>366</v>
      </c>
      <c r="AT246" s="47" t="s">
        <v>83</v>
      </c>
      <c r="AU246" s="47" t="s">
        <v>109</v>
      </c>
      <c r="AV246" s="47" t="s">
        <v>133</v>
      </c>
      <c r="AW246" s="47" t="s">
        <v>109</v>
      </c>
      <c r="AX246" s="47" t="s">
        <v>86</v>
      </c>
      <c r="AY246" s="47">
        <v>0</v>
      </c>
      <c r="AZ246" s="47">
        <v>0</v>
      </c>
      <c r="BA246" s="47" t="s">
        <v>2205</v>
      </c>
      <c r="BB246" s="47" t="s">
        <v>88</v>
      </c>
      <c r="BC246" s="47" t="s">
        <v>113</v>
      </c>
      <c r="BD246" s="47" t="s">
        <v>114</v>
      </c>
      <c r="BE246" s="47" t="s">
        <v>534</v>
      </c>
      <c r="BF246" s="47">
        <v>34.6</v>
      </c>
      <c r="BG246" s="47">
        <v>1</v>
      </c>
      <c r="BH246" s="47">
        <v>15.66</v>
      </c>
      <c r="BI246" s="47">
        <v>0</v>
      </c>
      <c r="BJ246" s="47">
        <v>156</v>
      </c>
      <c r="BK246" s="47" t="s">
        <v>91</v>
      </c>
      <c r="BL246" s="47" t="s">
        <v>84</v>
      </c>
      <c r="BM246" s="47">
        <v>1</v>
      </c>
      <c r="BN246" s="47" t="s">
        <v>539</v>
      </c>
      <c r="BO246" s="47" t="s">
        <v>540</v>
      </c>
      <c r="BP246" s="47" t="s">
        <v>540</v>
      </c>
      <c r="BQ246" s="47" t="s">
        <v>117</v>
      </c>
      <c r="BR246" s="47" t="s">
        <v>134</v>
      </c>
      <c r="BS246" s="47" t="s">
        <v>312</v>
      </c>
      <c r="BT246" s="47">
        <v>0</v>
      </c>
      <c r="BU246" s="47" t="s">
        <v>728</v>
      </c>
      <c r="BV246" s="47" t="s">
        <v>729</v>
      </c>
      <c r="BW246" s="47" t="s">
        <v>736</v>
      </c>
      <c r="BX246" s="47" t="s">
        <v>95</v>
      </c>
      <c r="BY246" s="47" t="s">
        <v>748</v>
      </c>
      <c r="BZ246" s="47">
        <v>1</v>
      </c>
      <c r="CA246" s="47">
        <v>1</v>
      </c>
      <c r="CB246" s="47" t="s">
        <v>749</v>
      </c>
      <c r="CC246" s="47" t="s">
        <v>739</v>
      </c>
      <c r="CD246" s="47">
        <v>1</v>
      </c>
      <c r="CE246" s="47" t="s">
        <v>738</v>
      </c>
      <c r="CF246" s="47">
        <v>1</v>
      </c>
      <c r="CG246" s="47" t="s">
        <v>148</v>
      </c>
      <c r="CH246" s="47">
        <v>1</v>
      </c>
      <c r="CI246" s="47" t="s">
        <v>509</v>
      </c>
      <c r="CJ246" s="47" t="s">
        <v>98</v>
      </c>
      <c r="CK246" s="47">
        <v>34</v>
      </c>
      <c r="CL246" s="47">
        <v>0</v>
      </c>
      <c r="CM246" s="47">
        <v>0</v>
      </c>
      <c r="CN246" s="47" t="s">
        <v>99</v>
      </c>
      <c r="CO246" s="47" t="s">
        <v>957</v>
      </c>
      <c r="CP246" s="47" t="s">
        <v>100</v>
      </c>
      <c r="CQ246" s="47" t="s">
        <v>126</v>
      </c>
      <c r="CR246" s="48">
        <v>46223</v>
      </c>
      <c r="CT246" s="47" t="s">
        <v>778</v>
      </c>
    </row>
    <row r="247" spans="1:98" s="47" customFormat="1" x14ac:dyDescent="0.35">
      <c r="A247" s="46" t="s">
        <v>730</v>
      </c>
      <c r="B247" s="46" t="s">
        <v>751</v>
      </c>
      <c r="C247" s="47" t="s">
        <v>731</v>
      </c>
      <c r="D247" s="47">
        <v>2024</v>
      </c>
      <c r="E247" s="46" t="s">
        <v>732</v>
      </c>
      <c r="F247" s="46" t="s">
        <v>733</v>
      </c>
      <c r="G247" s="47" t="s">
        <v>78</v>
      </c>
      <c r="H247" s="47">
        <v>1</v>
      </c>
      <c r="I247" s="47" t="s">
        <v>290</v>
      </c>
      <c r="J247" s="47" t="s">
        <v>79</v>
      </c>
      <c r="K247" s="47">
        <v>11</v>
      </c>
      <c r="L247" s="47" t="s">
        <v>80</v>
      </c>
      <c r="M247" s="47" t="s">
        <v>380</v>
      </c>
      <c r="N247" s="47">
        <v>-7.2999999999999995E-2</v>
      </c>
      <c r="O247" s="47">
        <v>1.6E-2</v>
      </c>
      <c r="P247" s="92">
        <f t="shared" si="74"/>
        <v>-4.5625</v>
      </c>
      <c r="Q247" s="47" t="s">
        <v>312</v>
      </c>
      <c r="R247" s="92">
        <f t="shared" si="75"/>
        <v>-0.10435999999999999</v>
      </c>
      <c r="S247" s="92">
        <f t="shared" si="76"/>
        <v>-4.1639999999999996E-2</v>
      </c>
      <c r="T247" s="47">
        <v>1</v>
      </c>
      <c r="U247" s="59">
        <v>17073</v>
      </c>
      <c r="V247" s="47">
        <v>15</v>
      </c>
      <c r="W247" s="47">
        <v>1</v>
      </c>
      <c r="X247" s="47">
        <f t="shared" si="102"/>
        <v>17058</v>
      </c>
      <c r="Y247" s="92">
        <f t="shared" si="78"/>
        <v>-3.4911940799714658E-2</v>
      </c>
      <c r="Z247" s="92">
        <f t="shared" si="79"/>
        <v>7.6519322300744458E-3</v>
      </c>
      <c r="AA247" s="92">
        <f t="shared" si="105"/>
        <v>-3.4911940799714658E-2</v>
      </c>
      <c r="AB247" s="47" t="s">
        <v>81</v>
      </c>
      <c r="AC247" s="92">
        <f t="shared" si="103"/>
        <v>-7.2999999999999995E-2</v>
      </c>
      <c r="AD247" s="92" cm="1">
        <f t="array" ref="AD247">_xlfn.IFS(
AND(L247="marginal_effect",M247="level"),N247*AN247/BF247,
AND(L247="marginal_effect",M247="sd (Y)"),N247*BH247*AN247/BF247,
AND(L247="marginal_effect",M247="sd (X)"),N247/AQ247*AN247/BF247,
AND(L247="semi_elasticity",M247="level"),N247*AN247,
AND(L247="semi_elasticity",M247="sd (Y)"),N247*AN247*BH247,
AND(L247="semi_elasticity",M247="sd (X)"),N247*AN247/AQ247,
AND(L247="level-log",M247="level"),N247/BF247,
AND(L247="level-log",M247="sd (X)"),N247/BF247/AQ247,
AND(L247="level-log",M247="sd (Y)"),N247/BF247*BH247,
AND(L247="elasticity",M247="level"),N247,
AND(L247="elasticity",M247="sd (X)"),N247/AQ247,
AND(L247="elasticity",M247="sd (Y)"),N247*BH247,
AND(L247="marginal_effect",M247="percent_of_mean"),N247*AN247/BF247/10)</f>
        <v>-7.2999999999999995E-2</v>
      </c>
      <c r="AE247" s="51">
        <f t="shared" si="80"/>
        <v>1</v>
      </c>
      <c r="AF247" s="92">
        <f t="shared" si="104"/>
        <v>1.6E-2</v>
      </c>
      <c r="AG247" s="92" cm="1">
        <f t="array" ref="AG247">_xlfn.IFS(
AND(L247="marginal_effect",M247="level"),O247*AN247/BF247,
AND(L247="marginal_effect",M247="sd (Y)"),O247*BH247*AN247/BF247,
AND(L247="marginal_effect",M247="sd (X)"),O247/AQ247*AN247/BF247,
AND(L247="semi_elasticity",M247="level"),O247*AN247,
AND(L247="semi_elasticity",M247="sd (Y)"),O247*AN247*BH247,
AND(L247="semi_elasticity",M247="sd (X)"),O247*AN247/AQ247,
AND(L247="level-log",M247="level"),O247/BF247,
AND(L247="level-log",M247="sd (X)"),O247/BF247/AQ247,
AND(L247="level-log",M247="sd (Y)"),O247/BF247*BH247,
AND(L247="elasticity",M247="level"),O247,
AND(L247="elasticity",M247="sd (X)"),O247/AQ247,
AND(L247="elasticity",M247="sd (Y)"),O247*BH247,
AND(L247="marginal_effect",M247="percent_of_mean"),O247*AN247/BF247/10)</f>
        <v>1.6E-2</v>
      </c>
      <c r="AH247" s="51">
        <f t="shared" si="81"/>
        <v>1</v>
      </c>
      <c r="AI247" s="92">
        <f t="shared" si="106"/>
        <v>-7.2999999999999995E-2</v>
      </c>
      <c r="AJ247" s="47">
        <v>0</v>
      </c>
      <c r="AK247" s="47">
        <f t="shared" si="82"/>
        <v>1</v>
      </c>
      <c r="AL247" s="47" t="s">
        <v>106</v>
      </c>
      <c r="AM247" s="47" t="s">
        <v>1333</v>
      </c>
      <c r="AN247" s="47">
        <v>77.83</v>
      </c>
      <c r="AO247" s="47">
        <v>1</v>
      </c>
      <c r="AP247" s="47">
        <f t="shared" si="87"/>
        <v>77.83</v>
      </c>
      <c r="AQ247" s="47">
        <v>59.84</v>
      </c>
      <c r="AR247" s="47">
        <v>1</v>
      </c>
      <c r="AS247" s="47">
        <v>901</v>
      </c>
      <c r="AT247" s="47" t="s">
        <v>83</v>
      </c>
      <c r="AU247" s="47" t="s">
        <v>109</v>
      </c>
      <c r="AV247" s="47" t="s">
        <v>133</v>
      </c>
      <c r="AW247" s="47" t="s">
        <v>109</v>
      </c>
      <c r="AX247" s="47" t="s">
        <v>86</v>
      </c>
      <c r="AY247" s="47">
        <v>0</v>
      </c>
      <c r="AZ247" s="47">
        <v>0</v>
      </c>
      <c r="BA247" s="47" t="s">
        <v>2205</v>
      </c>
      <c r="BB247" s="47" t="s">
        <v>88</v>
      </c>
      <c r="BC247" s="47" t="s">
        <v>113</v>
      </c>
      <c r="BD247" s="47" t="s">
        <v>114</v>
      </c>
      <c r="BE247" s="47" t="s">
        <v>534</v>
      </c>
      <c r="BF247" s="47">
        <v>34.6</v>
      </c>
      <c r="BG247" s="47">
        <v>1</v>
      </c>
      <c r="BH247" s="47">
        <v>15.66</v>
      </c>
      <c r="BI247" s="47">
        <v>0</v>
      </c>
      <c r="BJ247" s="47">
        <v>156</v>
      </c>
      <c r="BK247" s="47" t="s">
        <v>91</v>
      </c>
      <c r="BL247" s="47" t="s">
        <v>84</v>
      </c>
      <c r="BM247" s="47">
        <v>1</v>
      </c>
      <c r="BN247" s="47" t="s">
        <v>539</v>
      </c>
      <c r="BO247" s="47" t="s">
        <v>540</v>
      </c>
      <c r="BP247" s="47" t="s">
        <v>540</v>
      </c>
      <c r="BQ247" s="47" t="s">
        <v>117</v>
      </c>
      <c r="BR247" s="47" t="s">
        <v>134</v>
      </c>
      <c r="BS247" s="47" t="s">
        <v>312</v>
      </c>
      <c r="BT247" s="47">
        <v>0</v>
      </c>
      <c r="BU247" s="47" t="s">
        <v>728</v>
      </c>
      <c r="BV247" s="47" t="s">
        <v>729</v>
      </c>
      <c r="BW247" s="47" t="s">
        <v>736</v>
      </c>
      <c r="BX247" s="47" t="s">
        <v>95</v>
      </c>
      <c r="BY247" s="47" t="s">
        <v>748</v>
      </c>
      <c r="BZ247" s="47">
        <v>1</v>
      </c>
      <c r="CA247" s="47">
        <v>1</v>
      </c>
      <c r="CB247" s="47" t="s">
        <v>749</v>
      </c>
      <c r="CC247" s="47" t="s">
        <v>739</v>
      </c>
      <c r="CD247" s="47">
        <v>1</v>
      </c>
      <c r="CE247" s="47" t="s">
        <v>738</v>
      </c>
      <c r="CF247" s="47">
        <v>1</v>
      </c>
      <c r="CG247" s="47" t="s">
        <v>148</v>
      </c>
      <c r="CH247" s="47">
        <v>1</v>
      </c>
      <c r="CI247" s="47" t="s">
        <v>509</v>
      </c>
      <c r="CJ247" s="47" t="s">
        <v>98</v>
      </c>
      <c r="CK247" s="47">
        <v>34</v>
      </c>
      <c r="CL247" s="47">
        <v>0</v>
      </c>
      <c r="CM247" s="47">
        <v>0</v>
      </c>
      <c r="CN247" s="47" t="s">
        <v>99</v>
      </c>
      <c r="CO247" s="47" t="s">
        <v>957</v>
      </c>
      <c r="CP247" s="47" t="s">
        <v>100</v>
      </c>
      <c r="CQ247" s="47" t="s">
        <v>126</v>
      </c>
      <c r="CR247" s="48">
        <v>46223</v>
      </c>
      <c r="CT247" s="47" t="s">
        <v>779</v>
      </c>
    </row>
    <row r="248" spans="1:98" s="47" customFormat="1" x14ac:dyDescent="0.35">
      <c r="A248" s="46" t="s">
        <v>730</v>
      </c>
      <c r="B248" s="46" t="s">
        <v>752</v>
      </c>
      <c r="C248" s="47" t="s">
        <v>731</v>
      </c>
      <c r="D248" s="47">
        <v>2024</v>
      </c>
      <c r="E248" s="46" t="s">
        <v>732</v>
      </c>
      <c r="F248" s="46" t="s">
        <v>733</v>
      </c>
      <c r="G248" s="47" t="s">
        <v>78</v>
      </c>
      <c r="H248" s="47">
        <v>1</v>
      </c>
      <c r="I248" s="47" t="s">
        <v>290</v>
      </c>
      <c r="J248" s="47" t="s">
        <v>79</v>
      </c>
      <c r="K248" s="47">
        <v>11</v>
      </c>
      <c r="L248" s="47" t="s">
        <v>80</v>
      </c>
      <c r="M248" s="47" t="s">
        <v>380</v>
      </c>
      <c r="N248" s="47">
        <v>-3.3000000000000002E-2</v>
      </c>
      <c r="O248" s="47">
        <v>1.7999999999999999E-2</v>
      </c>
      <c r="P248" s="92">
        <f t="shared" si="74"/>
        <v>-1.8333333333333335</v>
      </c>
      <c r="Q248" s="47" t="s">
        <v>312</v>
      </c>
      <c r="R248" s="92">
        <f t="shared" si="75"/>
        <v>-6.8280000000000007E-2</v>
      </c>
      <c r="S248" s="92">
        <f t="shared" si="76"/>
        <v>2.2799999999999973E-3</v>
      </c>
      <c r="T248" s="47">
        <v>1</v>
      </c>
      <c r="U248" s="59">
        <v>17073</v>
      </c>
      <c r="V248" s="47">
        <v>15</v>
      </c>
      <c r="W248" s="47">
        <v>1</v>
      </c>
      <c r="X248" s="47">
        <f t="shared" si="102"/>
        <v>17058</v>
      </c>
      <c r="Y248" s="92">
        <f t="shared" si="78"/>
        <v>-1.4035716812732406E-2</v>
      </c>
      <c r="Z248" s="92">
        <f t="shared" si="79"/>
        <v>7.6558455342176758E-3</v>
      </c>
      <c r="AA248" s="92">
        <f t="shared" si="105"/>
        <v>-1.4035716812732406E-2</v>
      </c>
      <c r="AB248" s="47" t="s">
        <v>81</v>
      </c>
      <c r="AC248" s="92">
        <f t="shared" si="103"/>
        <v>-3.3000000000000002E-2</v>
      </c>
      <c r="AD248" s="92" cm="1">
        <f t="array" ref="AD248">_xlfn.IFS(
AND(L248="marginal_effect",M248="level"),N248*AN248/BF248,
AND(L248="marginal_effect",M248="sd (Y)"),N248*BH248*AN248/BF248,
AND(L248="marginal_effect",M248="sd (X)"),N248/AQ248*AN248/BF248,
AND(L248="semi_elasticity",M248="level"),N248*AN248,
AND(L248="semi_elasticity",M248="sd (Y)"),N248*AN248*BH248,
AND(L248="semi_elasticity",M248="sd (X)"),N248*AN248/AQ248,
AND(L248="level-log",M248="level"),N248/BF248,
AND(L248="level-log",M248="sd (X)"),N248/BF248/AQ248,
AND(L248="level-log",M248="sd (Y)"),N248/BF248*BH248,
AND(L248="elasticity",M248="level"),N248,
AND(L248="elasticity",M248="sd (X)"),N248/AQ248,
AND(L248="elasticity",M248="sd (Y)"),N248*BH248,
AND(L248="marginal_effect",M248="percent_of_mean"),N248*AN248/BF248/10)</f>
        <v>-3.3000000000000002E-2</v>
      </c>
      <c r="AE248" s="51">
        <f t="shared" si="80"/>
        <v>1</v>
      </c>
      <c r="AF248" s="92">
        <f t="shared" si="104"/>
        <v>1.7999999999999999E-2</v>
      </c>
      <c r="AG248" s="92" cm="1">
        <f t="array" ref="AG248">_xlfn.IFS(
AND(L248="marginal_effect",M248="level"),O248*AN248/BF248,
AND(L248="marginal_effect",M248="sd (Y)"),O248*BH248*AN248/BF248,
AND(L248="marginal_effect",M248="sd (X)"),O248/AQ248*AN248/BF248,
AND(L248="semi_elasticity",M248="level"),O248*AN248,
AND(L248="semi_elasticity",M248="sd (Y)"),O248*AN248*BH248,
AND(L248="semi_elasticity",M248="sd (X)"),O248*AN248/AQ248,
AND(L248="level-log",M248="level"),O248/BF248,
AND(L248="level-log",M248="sd (X)"),O248/BF248/AQ248,
AND(L248="level-log",M248="sd (Y)"),O248/BF248*BH248,
AND(L248="elasticity",M248="level"),O248,
AND(L248="elasticity",M248="sd (X)"),O248/AQ248,
AND(L248="elasticity",M248="sd (Y)"),O248*BH248,
AND(L248="marginal_effect",M248="percent_of_mean"),O248*AN248/BF248/10)</f>
        <v>1.7999999999999999E-2</v>
      </c>
      <c r="AH248" s="51">
        <f t="shared" si="81"/>
        <v>1</v>
      </c>
      <c r="AI248" s="92">
        <f t="shared" si="106"/>
        <v>-3.3000000000000002E-2</v>
      </c>
      <c r="AJ248" s="47">
        <v>0</v>
      </c>
      <c r="AK248" s="47">
        <f t="shared" si="82"/>
        <v>1</v>
      </c>
      <c r="AL248" s="47" t="s">
        <v>148</v>
      </c>
      <c r="AM248" s="47" t="s">
        <v>1333</v>
      </c>
      <c r="AN248" s="47">
        <v>82.92</v>
      </c>
      <c r="AO248" s="47">
        <v>1</v>
      </c>
      <c r="AP248" s="47">
        <f t="shared" si="87"/>
        <v>82.92</v>
      </c>
      <c r="AQ248" s="47">
        <v>49.68</v>
      </c>
      <c r="AR248" s="47">
        <v>1</v>
      </c>
      <c r="AS248" s="47">
        <v>353</v>
      </c>
      <c r="AT248" s="47" t="s">
        <v>83</v>
      </c>
      <c r="AU248" s="47" t="s">
        <v>109</v>
      </c>
      <c r="AV248" s="47" t="s">
        <v>133</v>
      </c>
      <c r="AW248" s="47" t="s">
        <v>109</v>
      </c>
      <c r="AX248" s="47" t="s">
        <v>86</v>
      </c>
      <c r="AY248" s="47">
        <v>0</v>
      </c>
      <c r="AZ248" s="47">
        <v>0</v>
      </c>
      <c r="BA248" s="47" t="s">
        <v>2205</v>
      </c>
      <c r="BB248" s="47" t="s">
        <v>88</v>
      </c>
      <c r="BC248" s="47" t="s">
        <v>113</v>
      </c>
      <c r="BD248" s="47" t="s">
        <v>114</v>
      </c>
      <c r="BE248" s="47" t="s">
        <v>534</v>
      </c>
      <c r="BF248" s="47">
        <v>34.6</v>
      </c>
      <c r="BG248" s="47">
        <v>1</v>
      </c>
      <c r="BH248" s="47">
        <v>15.66</v>
      </c>
      <c r="BI248" s="47">
        <v>0</v>
      </c>
      <c r="BJ248" s="47">
        <v>156</v>
      </c>
      <c r="BK248" s="47" t="s">
        <v>91</v>
      </c>
      <c r="BL248" s="47" t="s">
        <v>84</v>
      </c>
      <c r="BM248" s="47">
        <v>1</v>
      </c>
      <c r="BN248" s="47" t="s">
        <v>539</v>
      </c>
      <c r="BO248" s="47" t="s">
        <v>540</v>
      </c>
      <c r="BP248" s="47" t="s">
        <v>540</v>
      </c>
      <c r="BQ248" s="47" t="s">
        <v>117</v>
      </c>
      <c r="BR248" s="47" t="s">
        <v>134</v>
      </c>
      <c r="BS248" s="47" t="s">
        <v>312</v>
      </c>
      <c r="BT248" s="47">
        <v>0</v>
      </c>
      <c r="BU248" s="47" t="s">
        <v>728</v>
      </c>
      <c r="BV248" s="47" t="s">
        <v>729</v>
      </c>
      <c r="BW248" s="47" t="s">
        <v>736</v>
      </c>
      <c r="BX248" s="47" t="s">
        <v>95</v>
      </c>
      <c r="BY248" s="47" t="s">
        <v>748</v>
      </c>
      <c r="BZ248" s="47">
        <v>1</v>
      </c>
      <c r="CA248" s="47">
        <v>1</v>
      </c>
      <c r="CB248" s="47" t="s">
        <v>749</v>
      </c>
      <c r="CC248" s="47" t="s">
        <v>739</v>
      </c>
      <c r="CD248" s="47">
        <v>1</v>
      </c>
      <c r="CE248" s="47" t="s">
        <v>738</v>
      </c>
      <c r="CF248" s="47">
        <v>1</v>
      </c>
      <c r="CG248" s="47" t="s">
        <v>82</v>
      </c>
      <c r="CH248" s="47">
        <v>1</v>
      </c>
      <c r="CI248" s="47" t="s">
        <v>509</v>
      </c>
      <c r="CJ248" s="47" t="s">
        <v>98</v>
      </c>
      <c r="CK248" s="47">
        <v>34</v>
      </c>
      <c r="CL248" s="47">
        <v>0</v>
      </c>
      <c r="CM248" s="47">
        <v>0</v>
      </c>
      <c r="CN248" s="47" t="s">
        <v>99</v>
      </c>
      <c r="CO248" s="47" t="s">
        <v>957</v>
      </c>
      <c r="CP248" s="47" t="s">
        <v>100</v>
      </c>
      <c r="CQ248" s="47" t="s">
        <v>126</v>
      </c>
      <c r="CR248" s="48">
        <v>46223</v>
      </c>
      <c r="CT248" s="47" t="s">
        <v>778</v>
      </c>
    </row>
    <row r="249" spans="1:98" s="47" customFormat="1" x14ac:dyDescent="0.35">
      <c r="A249" s="46" t="s">
        <v>730</v>
      </c>
      <c r="B249" s="46" t="s">
        <v>753</v>
      </c>
      <c r="C249" s="47" t="s">
        <v>731</v>
      </c>
      <c r="D249" s="47">
        <v>2024</v>
      </c>
      <c r="E249" s="46" t="s">
        <v>732</v>
      </c>
      <c r="F249" s="46" t="s">
        <v>733</v>
      </c>
      <c r="G249" s="47" t="s">
        <v>78</v>
      </c>
      <c r="H249" s="47">
        <v>1</v>
      </c>
      <c r="I249" s="47" t="s">
        <v>290</v>
      </c>
      <c r="J249" s="47" t="s">
        <v>79</v>
      </c>
      <c r="K249" s="47">
        <v>11</v>
      </c>
      <c r="L249" s="47" t="s">
        <v>80</v>
      </c>
      <c r="M249" s="47" t="s">
        <v>380</v>
      </c>
      <c r="N249" s="47">
        <v>-0.04</v>
      </c>
      <c r="O249" s="47">
        <v>1.7000000000000001E-2</v>
      </c>
      <c r="P249" s="92">
        <f t="shared" si="74"/>
        <v>-2.3529411764705883</v>
      </c>
      <c r="Q249" s="47" t="s">
        <v>312</v>
      </c>
      <c r="R249" s="92">
        <f t="shared" si="75"/>
        <v>-7.3319999999999996E-2</v>
      </c>
      <c r="S249" s="92">
        <f t="shared" si="76"/>
        <v>-6.6799999999999984E-3</v>
      </c>
      <c r="T249" s="47">
        <v>1</v>
      </c>
      <c r="U249" s="59">
        <v>17073</v>
      </c>
      <c r="V249" s="47">
        <v>15</v>
      </c>
      <c r="W249" s="47">
        <v>1</v>
      </c>
      <c r="X249" s="47">
        <f t="shared" si="102"/>
        <v>17058</v>
      </c>
      <c r="Y249" s="92">
        <f t="shared" si="78"/>
        <v>-1.8012605985217155E-2</v>
      </c>
      <c r="Z249" s="92">
        <f t="shared" si="79"/>
        <v>7.6553575437172897E-3</v>
      </c>
      <c r="AA249" s="92">
        <f t="shared" si="105"/>
        <v>-1.8012605985217155E-2</v>
      </c>
      <c r="AB249" s="47" t="s">
        <v>81</v>
      </c>
      <c r="AC249" s="92">
        <f t="shared" si="103"/>
        <v>-0.04</v>
      </c>
      <c r="AD249" s="92" cm="1">
        <f t="array" ref="AD249">_xlfn.IFS(
AND(L249="marginal_effect",M249="level"),N249*AN249/BF249,
AND(L249="marginal_effect",M249="sd (Y)"),N249*BH249*AN249/BF249,
AND(L249="marginal_effect",M249="sd (X)"),N249/AQ249*AN249/BF249,
AND(L249="semi_elasticity",M249="level"),N249*AN249,
AND(L249="semi_elasticity",M249="sd (Y)"),N249*AN249*BH249,
AND(L249="semi_elasticity",M249="sd (X)"),N249*AN249/AQ249,
AND(L249="level-log",M249="level"),N249/BF249,
AND(L249="level-log",M249="sd (X)"),N249/BF249/AQ249,
AND(L249="level-log",M249="sd (Y)"),N249/BF249*BH249,
AND(L249="elasticity",M249="level"),N249,
AND(L249="elasticity",M249="sd (X)"),N249/AQ249,
AND(L249="elasticity",M249="sd (Y)"),N249*BH249,
AND(L249="marginal_effect",M249="percent_of_mean"),N249*AN249/BF249/10)</f>
        <v>-0.04</v>
      </c>
      <c r="AE249" s="51">
        <f t="shared" si="80"/>
        <v>1</v>
      </c>
      <c r="AF249" s="92">
        <f t="shared" si="104"/>
        <v>1.7000000000000001E-2</v>
      </c>
      <c r="AG249" s="92" cm="1">
        <f t="array" ref="AG249">_xlfn.IFS(
AND(L249="marginal_effect",M249="level"),O249*AN249/BF249,
AND(L249="marginal_effect",M249="sd (Y)"),O249*BH249*AN249/BF249,
AND(L249="marginal_effect",M249="sd (X)"),O249/AQ249*AN249/BF249,
AND(L249="semi_elasticity",M249="level"),O249*AN249,
AND(L249="semi_elasticity",M249="sd (Y)"),O249*AN249*BH249,
AND(L249="semi_elasticity",M249="sd (X)"),O249*AN249/AQ249,
AND(L249="level-log",M249="level"),O249/BF249,
AND(L249="level-log",M249="sd (X)"),O249/BF249/AQ249,
AND(L249="level-log",M249="sd (Y)"),O249/BF249*BH249,
AND(L249="elasticity",M249="level"),O249,
AND(L249="elasticity",M249="sd (X)"),O249/AQ249,
AND(L249="elasticity",M249="sd (Y)"),O249*BH249,
AND(L249="marginal_effect",M249="percent_of_mean"),O249*AN249/BF249/10)</f>
        <v>1.7000000000000001E-2</v>
      </c>
      <c r="AH249" s="51">
        <f t="shared" si="81"/>
        <v>1</v>
      </c>
      <c r="AI249" s="92">
        <f t="shared" si="106"/>
        <v>-0.04</v>
      </c>
      <c r="AJ249" s="47">
        <v>0</v>
      </c>
      <c r="AK249" s="47">
        <f t="shared" si="82"/>
        <v>1</v>
      </c>
      <c r="AL249" s="47" t="s">
        <v>148</v>
      </c>
      <c r="AM249" s="47" t="s">
        <v>1333</v>
      </c>
      <c r="AN249" s="47">
        <v>82.92</v>
      </c>
      <c r="AO249" s="47">
        <v>1</v>
      </c>
      <c r="AP249" s="47">
        <f t="shared" si="87"/>
        <v>82.92</v>
      </c>
      <c r="AQ249" s="47">
        <v>49.68</v>
      </c>
      <c r="AR249" s="47">
        <v>1</v>
      </c>
      <c r="AS249" s="47">
        <v>353</v>
      </c>
      <c r="AT249" s="47" t="s">
        <v>83</v>
      </c>
      <c r="AU249" s="47" t="s">
        <v>109</v>
      </c>
      <c r="AV249" s="47" t="s">
        <v>133</v>
      </c>
      <c r="AW249" s="47" t="s">
        <v>109</v>
      </c>
      <c r="AX249" s="47" t="s">
        <v>86</v>
      </c>
      <c r="AY249" s="47">
        <v>0</v>
      </c>
      <c r="AZ249" s="47">
        <v>0</v>
      </c>
      <c r="BA249" s="47" t="s">
        <v>2205</v>
      </c>
      <c r="BB249" s="47" t="s">
        <v>88</v>
      </c>
      <c r="BC249" s="47" t="s">
        <v>113</v>
      </c>
      <c r="BD249" s="47" t="s">
        <v>114</v>
      </c>
      <c r="BE249" s="47" t="s">
        <v>534</v>
      </c>
      <c r="BF249" s="47">
        <v>34.6</v>
      </c>
      <c r="BG249" s="47">
        <v>1</v>
      </c>
      <c r="BH249" s="47">
        <v>15.66</v>
      </c>
      <c r="BI249" s="47">
        <v>0</v>
      </c>
      <c r="BJ249" s="47">
        <v>156</v>
      </c>
      <c r="BK249" s="47" t="s">
        <v>91</v>
      </c>
      <c r="BL249" s="47" t="s">
        <v>84</v>
      </c>
      <c r="BM249" s="47">
        <v>1</v>
      </c>
      <c r="BN249" s="47" t="s">
        <v>539</v>
      </c>
      <c r="BO249" s="47" t="s">
        <v>540</v>
      </c>
      <c r="BP249" s="47" t="s">
        <v>540</v>
      </c>
      <c r="BQ249" s="47" t="s">
        <v>117</v>
      </c>
      <c r="BR249" s="47" t="s">
        <v>134</v>
      </c>
      <c r="BS249" s="47" t="s">
        <v>312</v>
      </c>
      <c r="BT249" s="47">
        <v>0</v>
      </c>
      <c r="BU249" s="47" t="s">
        <v>728</v>
      </c>
      <c r="BV249" s="47" t="s">
        <v>729</v>
      </c>
      <c r="BW249" s="47" t="s">
        <v>736</v>
      </c>
      <c r="BX249" s="47" t="s">
        <v>95</v>
      </c>
      <c r="BY249" s="47" t="s">
        <v>748</v>
      </c>
      <c r="BZ249" s="47">
        <v>1</v>
      </c>
      <c r="CA249" s="47">
        <v>1</v>
      </c>
      <c r="CB249" s="47" t="s">
        <v>749</v>
      </c>
      <c r="CC249" s="47" t="s">
        <v>739</v>
      </c>
      <c r="CD249" s="47">
        <v>1</v>
      </c>
      <c r="CE249" s="47" t="s">
        <v>738</v>
      </c>
      <c r="CF249" s="47">
        <v>1</v>
      </c>
      <c r="CG249" s="47" t="s">
        <v>106</v>
      </c>
      <c r="CH249" s="47">
        <v>1</v>
      </c>
      <c r="CI249" s="47" t="s">
        <v>509</v>
      </c>
      <c r="CJ249" s="47" t="s">
        <v>98</v>
      </c>
      <c r="CK249" s="47">
        <v>34</v>
      </c>
      <c r="CL249" s="47">
        <v>0</v>
      </c>
      <c r="CM249" s="47">
        <v>0</v>
      </c>
      <c r="CN249" s="47" t="s">
        <v>99</v>
      </c>
      <c r="CO249" s="47" t="s">
        <v>957</v>
      </c>
      <c r="CP249" s="47" t="s">
        <v>100</v>
      </c>
      <c r="CQ249" s="47" t="s">
        <v>126</v>
      </c>
      <c r="CR249" s="48">
        <v>46223</v>
      </c>
      <c r="CT249" s="47" t="s">
        <v>779</v>
      </c>
    </row>
    <row r="250" spans="1:98" s="47" customFormat="1" x14ac:dyDescent="0.35">
      <c r="A250" s="46" t="s">
        <v>730</v>
      </c>
      <c r="B250" s="46" t="s">
        <v>754</v>
      </c>
      <c r="C250" s="47" t="s">
        <v>731</v>
      </c>
      <c r="D250" s="47">
        <v>2024</v>
      </c>
      <c r="E250" s="46" t="s">
        <v>732</v>
      </c>
      <c r="F250" s="46" t="s">
        <v>733</v>
      </c>
      <c r="G250" s="47" t="s">
        <v>78</v>
      </c>
      <c r="H250" s="47">
        <v>1</v>
      </c>
      <c r="I250" s="47" t="s">
        <v>290</v>
      </c>
      <c r="J250" s="47" t="s">
        <v>79</v>
      </c>
      <c r="K250" s="47">
        <v>11</v>
      </c>
      <c r="L250" s="47" t="s">
        <v>80</v>
      </c>
      <c r="M250" s="47" t="s">
        <v>380</v>
      </c>
      <c r="N250" s="47">
        <v>-0.10299999999999999</v>
      </c>
      <c r="O250" s="47">
        <v>2.1999999999999999E-2</v>
      </c>
      <c r="P250" s="92">
        <f t="shared" si="74"/>
        <v>-4.6818181818181817</v>
      </c>
      <c r="Q250" s="47" t="s">
        <v>312</v>
      </c>
      <c r="R250" s="92">
        <f t="shared" si="75"/>
        <v>-0.14612</v>
      </c>
      <c r="S250" s="92">
        <f t="shared" si="76"/>
        <v>-5.9879999999999996E-2</v>
      </c>
      <c r="T250" s="47">
        <v>1</v>
      </c>
      <c r="U250" s="59">
        <v>17073</v>
      </c>
      <c r="V250" s="47">
        <v>14</v>
      </c>
      <c r="W250" s="47">
        <v>1</v>
      </c>
      <c r="X250" s="47">
        <f t="shared" si="102"/>
        <v>17059</v>
      </c>
      <c r="Y250" s="92">
        <f t="shared" si="78"/>
        <v>-3.5822749975615464E-2</v>
      </c>
      <c r="Z250" s="92">
        <f t="shared" si="79"/>
        <v>7.6514611598401967E-3</v>
      </c>
      <c r="AA250" s="92">
        <f t="shared" si="105"/>
        <v>-3.5822749975615464E-2</v>
      </c>
      <c r="AB250" s="47" t="s">
        <v>81</v>
      </c>
      <c r="AC250" s="92">
        <f t="shared" si="103"/>
        <v>-0.10299999999999999</v>
      </c>
      <c r="AD250" s="92" cm="1">
        <f t="array" ref="AD250">_xlfn.IFS(
AND(L250="marginal_effect",M250="level"),N250*AN250/BF250,
AND(L250="marginal_effect",M250="sd (Y)"),N250*BH250*AN250/BF250,
AND(L250="marginal_effect",M250="sd (X)"),N250/AQ250*AN250/BF250,
AND(L250="semi_elasticity",M250="level"),N250*AN250,
AND(L250="semi_elasticity",M250="sd (Y)"),N250*AN250*BH250,
AND(L250="semi_elasticity",M250="sd (X)"),N250*AN250/AQ250,
AND(L250="level-log",M250="level"),N250/BF250,
AND(L250="level-log",M250="sd (X)"),N250/BF250/AQ250,
AND(L250="level-log",M250="sd (Y)"),N250/BF250*BH250,
AND(L250="elasticity",M250="level"),N250,
AND(L250="elasticity",M250="sd (X)"),N250/AQ250,
AND(L250="elasticity",M250="sd (Y)"),N250*BH250,
AND(L250="marginal_effect",M250="percent_of_mean"),N250*AN250/BF250/10)</f>
        <v>-0.10299999999999999</v>
      </c>
      <c r="AE250" s="51">
        <f t="shared" si="80"/>
        <v>1</v>
      </c>
      <c r="AF250" s="92">
        <f t="shared" si="104"/>
        <v>2.1999999999999999E-2</v>
      </c>
      <c r="AG250" s="92" cm="1">
        <f t="array" ref="AG250">_xlfn.IFS(
AND(L250="marginal_effect",M250="level"),O250*AN250/BF250,
AND(L250="marginal_effect",M250="sd (Y)"),O250*BH250*AN250/BF250,
AND(L250="marginal_effect",M250="sd (X)"),O250/AQ250*AN250/BF250,
AND(L250="semi_elasticity",M250="level"),O250*AN250,
AND(L250="semi_elasticity",M250="sd (Y)"),O250*AN250*BH250,
AND(L250="semi_elasticity",M250="sd (X)"),O250*AN250/AQ250,
AND(L250="level-log",M250="level"),O250/BF250,
AND(L250="level-log",M250="sd (X)"),O250/BF250/AQ250,
AND(L250="level-log",M250="sd (Y)"),O250/BF250*BH250,
AND(L250="elasticity",M250="level"),O250,
AND(L250="elasticity",M250="sd (X)"),O250/AQ250,
AND(L250="elasticity",M250="sd (Y)"),O250*BH250,
AND(L250="marginal_effect",M250="percent_of_mean"),O250*AN250/BF250/10)</f>
        <v>2.1999999999999999E-2</v>
      </c>
      <c r="AH250" s="51">
        <f t="shared" si="81"/>
        <v>1</v>
      </c>
      <c r="AI250" s="92">
        <f t="shared" si="106"/>
        <v>-0.10299999999999999</v>
      </c>
      <c r="AJ250" s="47">
        <v>0</v>
      </c>
      <c r="AK250" s="47">
        <f t="shared" si="82"/>
        <v>1</v>
      </c>
      <c r="AL250" s="47" t="s">
        <v>735</v>
      </c>
      <c r="AM250" s="47" t="s">
        <v>737</v>
      </c>
      <c r="AN250" s="47">
        <v>71.41</v>
      </c>
      <c r="AO250" s="47">
        <v>1</v>
      </c>
      <c r="AP250" s="47">
        <f t="shared" si="87"/>
        <v>71.41</v>
      </c>
      <c r="AQ250" s="47">
        <v>44.91</v>
      </c>
      <c r="AR250" s="47">
        <v>14</v>
      </c>
      <c r="AS250" s="47">
        <v>500</v>
      </c>
      <c r="AT250" s="47" t="s">
        <v>83</v>
      </c>
      <c r="AU250" s="47" t="s">
        <v>109</v>
      </c>
      <c r="AV250" s="47" t="s">
        <v>133</v>
      </c>
      <c r="AW250" s="47" t="s">
        <v>109</v>
      </c>
      <c r="AX250" s="47" t="s">
        <v>86</v>
      </c>
      <c r="AY250" s="47">
        <v>0</v>
      </c>
      <c r="AZ250" s="47">
        <v>0</v>
      </c>
      <c r="BA250" s="47" t="s">
        <v>2205</v>
      </c>
      <c r="BB250" s="47" t="s">
        <v>88</v>
      </c>
      <c r="BC250" s="47" t="s">
        <v>113</v>
      </c>
      <c r="BD250" s="47" t="s">
        <v>114</v>
      </c>
      <c r="BE250" s="47" t="s">
        <v>764</v>
      </c>
      <c r="BF250" s="47">
        <v>27.5</v>
      </c>
      <c r="BG250" s="47">
        <v>1</v>
      </c>
      <c r="BH250" s="47">
        <v>14.38</v>
      </c>
      <c r="BI250" s="47">
        <v>0</v>
      </c>
      <c r="BJ250" s="47">
        <v>12</v>
      </c>
      <c r="BK250" s="47" t="s">
        <v>91</v>
      </c>
      <c r="BL250" s="47" t="s">
        <v>84</v>
      </c>
      <c r="BM250" s="47">
        <v>1</v>
      </c>
      <c r="BN250" s="47" t="s">
        <v>539</v>
      </c>
      <c r="BO250" s="47" t="s">
        <v>540</v>
      </c>
      <c r="BP250" s="47" t="s">
        <v>540</v>
      </c>
      <c r="BQ250" s="47" t="s">
        <v>117</v>
      </c>
      <c r="BR250" s="47" t="s">
        <v>134</v>
      </c>
      <c r="BS250" s="47" t="s">
        <v>312</v>
      </c>
      <c r="BT250" s="47">
        <v>0</v>
      </c>
      <c r="BU250" s="47" t="s">
        <v>728</v>
      </c>
      <c r="BV250" s="47" t="s">
        <v>729</v>
      </c>
      <c r="BW250" s="47" t="s">
        <v>736</v>
      </c>
      <c r="BX250" s="47" t="s">
        <v>95</v>
      </c>
      <c r="BY250" s="47" t="s">
        <v>748</v>
      </c>
      <c r="BZ250" s="47">
        <v>1</v>
      </c>
      <c r="CA250" s="47">
        <v>1</v>
      </c>
      <c r="CB250" s="47" t="s">
        <v>749</v>
      </c>
      <c r="CC250" s="47" t="s">
        <v>739</v>
      </c>
      <c r="CD250" s="47">
        <v>1</v>
      </c>
      <c r="CE250" s="47" t="s">
        <v>738</v>
      </c>
      <c r="CF250" s="47">
        <v>0</v>
      </c>
      <c r="CG250" s="47" t="s">
        <v>97</v>
      </c>
      <c r="CH250" s="47">
        <v>1</v>
      </c>
      <c r="CI250" s="47" t="s">
        <v>509</v>
      </c>
      <c r="CJ250" s="47" t="s">
        <v>98</v>
      </c>
      <c r="CK250" s="47">
        <v>34</v>
      </c>
      <c r="CL250" s="47">
        <v>0</v>
      </c>
      <c r="CM250" s="47">
        <v>0</v>
      </c>
      <c r="CN250" s="47" t="s">
        <v>99</v>
      </c>
      <c r="CO250" s="47" t="s">
        <v>957</v>
      </c>
      <c r="CP250" s="47" t="s">
        <v>100</v>
      </c>
      <c r="CQ250" s="47" t="s">
        <v>126</v>
      </c>
      <c r="CR250" s="48">
        <v>46223</v>
      </c>
      <c r="CT250" s="47" t="s">
        <v>449</v>
      </c>
    </row>
    <row r="251" spans="1:98" s="47" customFormat="1" x14ac:dyDescent="0.35">
      <c r="A251" s="46" t="s">
        <v>730</v>
      </c>
      <c r="B251" s="46" t="s">
        <v>755</v>
      </c>
      <c r="C251" s="47" t="s">
        <v>731</v>
      </c>
      <c r="D251" s="47">
        <v>2024</v>
      </c>
      <c r="E251" s="46" t="s">
        <v>732</v>
      </c>
      <c r="F251" s="46" t="s">
        <v>733</v>
      </c>
      <c r="G251" s="47" t="s">
        <v>78</v>
      </c>
      <c r="H251" s="47">
        <v>1</v>
      </c>
      <c r="I251" s="47" t="s">
        <v>290</v>
      </c>
      <c r="J251" s="47" t="s">
        <v>79</v>
      </c>
      <c r="K251" s="47">
        <v>11</v>
      </c>
      <c r="L251" s="47" t="s">
        <v>80</v>
      </c>
      <c r="M251" s="47" t="s">
        <v>380</v>
      </c>
      <c r="N251" s="47">
        <v>-4.8000000000000001E-2</v>
      </c>
      <c r="O251" s="47">
        <v>1.0999999999999999E-2</v>
      </c>
      <c r="P251" s="92">
        <f t="shared" si="74"/>
        <v>-4.3636363636363642</v>
      </c>
      <c r="Q251" s="47" t="s">
        <v>312</v>
      </c>
      <c r="R251" s="92">
        <f t="shared" si="75"/>
        <v>-6.9559999999999997E-2</v>
      </c>
      <c r="S251" s="92">
        <f t="shared" si="76"/>
        <v>-2.6440000000000002E-2</v>
      </c>
      <c r="T251" s="47">
        <v>1</v>
      </c>
      <c r="U251" s="59">
        <v>17073</v>
      </c>
      <c r="V251" s="47">
        <v>15</v>
      </c>
      <c r="W251" s="47">
        <v>1</v>
      </c>
      <c r="X251" s="47">
        <f t="shared" si="102"/>
        <v>17058</v>
      </c>
      <c r="Y251" s="92">
        <f t="shared" si="78"/>
        <v>-3.3391985071526492E-2</v>
      </c>
      <c r="Z251" s="92">
        <f t="shared" si="79"/>
        <v>7.6523299122248194E-3</v>
      </c>
      <c r="AA251" s="92">
        <f t="shared" si="105"/>
        <v>-3.3391985071526492E-2</v>
      </c>
      <c r="AB251" s="47" t="s">
        <v>81</v>
      </c>
      <c r="AC251" s="92">
        <f t="shared" si="103"/>
        <v>-4.8000000000000001E-2</v>
      </c>
      <c r="AD251" s="92" cm="1">
        <f t="array" ref="AD251">_xlfn.IFS(
AND(L251="marginal_effect",M251="level"),N251*AN251/BF251,
AND(L251="marginal_effect",M251="sd (Y)"),N251*BH251*AN251/BF251,
AND(L251="marginal_effect",M251="sd (X)"),N251/AQ251*AN251/BF251,
AND(L251="semi_elasticity",M251="level"),N251*AN251,
AND(L251="semi_elasticity",M251="sd (Y)"),N251*AN251*BH251,
AND(L251="semi_elasticity",M251="sd (X)"),N251*AN251/AQ251,
AND(L251="level-log",M251="level"),N251/BF251,
AND(L251="level-log",M251="sd (X)"),N251/BF251/AQ251,
AND(L251="level-log",M251="sd (Y)"),N251/BF251*BH251,
AND(L251="elasticity",M251="level"),N251,
AND(L251="elasticity",M251="sd (X)"),N251/AQ251,
AND(L251="elasticity",M251="sd (Y)"),N251*BH251,
AND(L251="marginal_effect",M251="percent_of_mean"),N251*AN251/BF251/10)</f>
        <v>-4.8000000000000001E-2</v>
      </c>
      <c r="AE251" s="51">
        <f t="shared" si="80"/>
        <v>1</v>
      </c>
      <c r="AF251" s="92">
        <f t="shared" si="104"/>
        <v>1.0999999999999999E-2</v>
      </c>
      <c r="AG251" s="92" cm="1">
        <f t="array" ref="AG251">_xlfn.IFS(
AND(L251="marginal_effect",M251="level"),O251*AN251/BF251,
AND(L251="marginal_effect",M251="sd (Y)"),O251*BH251*AN251/BF251,
AND(L251="marginal_effect",M251="sd (X)"),O251/AQ251*AN251/BF251,
AND(L251="semi_elasticity",M251="level"),O251*AN251,
AND(L251="semi_elasticity",M251="sd (Y)"),O251*AN251*BH251,
AND(L251="semi_elasticity",M251="sd (X)"),O251*AN251/AQ251,
AND(L251="level-log",M251="level"),O251/BF251,
AND(L251="level-log",M251="sd (X)"),O251/BF251/AQ251,
AND(L251="level-log",M251="sd (Y)"),O251/BF251*BH251,
AND(L251="elasticity",M251="level"),O251,
AND(L251="elasticity",M251="sd (X)"),O251/AQ251,
AND(L251="elasticity",M251="sd (Y)"),O251*BH251,
AND(L251="marginal_effect",M251="percent_of_mean"),O251*AN251/BF251/10)</f>
        <v>1.0999999999999999E-2</v>
      </c>
      <c r="AH251" s="51">
        <f t="shared" si="81"/>
        <v>1</v>
      </c>
      <c r="AI251" s="92">
        <f t="shared" si="106"/>
        <v>-4.8000000000000001E-2</v>
      </c>
      <c r="AJ251" s="47">
        <v>0</v>
      </c>
      <c r="AK251" s="47">
        <f t="shared" si="82"/>
        <v>1</v>
      </c>
      <c r="AL251" s="47" t="s">
        <v>82</v>
      </c>
      <c r="AM251" s="47" t="s">
        <v>1333</v>
      </c>
      <c r="AN251" s="47">
        <v>43.08</v>
      </c>
      <c r="AO251" s="47">
        <v>1</v>
      </c>
      <c r="AP251" s="47">
        <f t="shared" si="87"/>
        <v>43.08</v>
      </c>
      <c r="AQ251" s="47">
        <v>35.29</v>
      </c>
      <c r="AR251" s="47">
        <v>1</v>
      </c>
      <c r="AS251" s="47">
        <v>366</v>
      </c>
      <c r="AT251" s="47" t="s">
        <v>83</v>
      </c>
      <c r="AU251" s="47" t="s">
        <v>109</v>
      </c>
      <c r="AV251" s="47" t="s">
        <v>133</v>
      </c>
      <c r="AW251" s="47" t="s">
        <v>109</v>
      </c>
      <c r="AX251" s="47" t="s">
        <v>86</v>
      </c>
      <c r="AY251" s="47">
        <v>0</v>
      </c>
      <c r="AZ251" s="47">
        <v>0</v>
      </c>
      <c r="BA251" s="47" t="s">
        <v>2205</v>
      </c>
      <c r="BB251" s="47" t="s">
        <v>88</v>
      </c>
      <c r="BC251" s="47" t="s">
        <v>113</v>
      </c>
      <c r="BD251" s="47" t="s">
        <v>114</v>
      </c>
      <c r="BE251" s="47" t="s">
        <v>764</v>
      </c>
      <c r="BF251" s="47">
        <v>27.5</v>
      </c>
      <c r="BG251" s="47">
        <v>1</v>
      </c>
      <c r="BH251" s="47">
        <v>14.38</v>
      </c>
      <c r="BI251" s="47">
        <v>0</v>
      </c>
      <c r="BJ251" s="47">
        <v>12</v>
      </c>
      <c r="BK251" s="47" t="s">
        <v>91</v>
      </c>
      <c r="BL251" s="47" t="s">
        <v>84</v>
      </c>
      <c r="BM251" s="47">
        <v>1</v>
      </c>
      <c r="BN251" s="47" t="s">
        <v>539</v>
      </c>
      <c r="BO251" s="47" t="s">
        <v>540</v>
      </c>
      <c r="BP251" s="47" t="s">
        <v>540</v>
      </c>
      <c r="BQ251" s="47" t="s">
        <v>117</v>
      </c>
      <c r="BR251" s="47" t="s">
        <v>134</v>
      </c>
      <c r="BS251" s="47" t="s">
        <v>312</v>
      </c>
      <c r="BT251" s="47">
        <v>0</v>
      </c>
      <c r="BU251" s="47" t="s">
        <v>728</v>
      </c>
      <c r="BV251" s="47" t="s">
        <v>729</v>
      </c>
      <c r="BW251" s="47" t="s">
        <v>736</v>
      </c>
      <c r="BX251" s="47" t="s">
        <v>95</v>
      </c>
      <c r="BY251" s="47" t="s">
        <v>748</v>
      </c>
      <c r="BZ251" s="47">
        <v>1</v>
      </c>
      <c r="CA251" s="47">
        <v>1</v>
      </c>
      <c r="CB251" s="47" t="s">
        <v>749</v>
      </c>
      <c r="CC251" s="47" t="s">
        <v>739</v>
      </c>
      <c r="CD251" s="47">
        <v>1</v>
      </c>
      <c r="CE251" s="47" t="s">
        <v>738</v>
      </c>
      <c r="CF251" s="47">
        <v>1</v>
      </c>
      <c r="CG251" s="47" t="s">
        <v>148</v>
      </c>
      <c r="CH251" s="47">
        <v>1</v>
      </c>
      <c r="CI251" s="47" t="s">
        <v>509</v>
      </c>
      <c r="CJ251" s="47" t="s">
        <v>98</v>
      </c>
      <c r="CK251" s="47">
        <v>34</v>
      </c>
      <c r="CL251" s="47">
        <v>0</v>
      </c>
      <c r="CM251" s="47">
        <v>0</v>
      </c>
      <c r="CN251" s="47" t="s">
        <v>99</v>
      </c>
      <c r="CO251" s="47" t="s">
        <v>957</v>
      </c>
      <c r="CP251" s="47" t="s">
        <v>100</v>
      </c>
      <c r="CQ251" s="47" t="s">
        <v>126</v>
      </c>
      <c r="CR251" s="48">
        <v>46223</v>
      </c>
      <c r="CT251" s="47" t="s">
        <v>450</v>
      </c>
    </row>
    <row r="252" spans="1:98" s="47" customFormat="1" x14ac:dyDescent="0.35">
      <c r="A252" s="46" t="s">
        <v>730</v>
      </c>
      <c r="B252" s="46" t="s">
        <v>756</v>
      </c>
      <c r="C252" s="47" t="s">
        <v>731</v>
      </c>
      <c r="D252" s="47">
        <v>2024</v>
      </c>
      <c r="E252" s="46" t="s">
        <v>732</v>
      </c>
      <c r="F252" s="46" t="s">
        <v>733</v>
      </c>
      <c r="G252" s="47" t="s">
        <v>78</v>
      </c>
      <c r="H252" s="47">
        <v>1</v>
      </c>
      <c r="I252" s="47" t="s">
        <v>290</v>
      </c>
      <c r="J252" s="47" t="s">
        <v>79</v>
      </c>
      <c r="K252" s="47">
        <v>11</v>
      </c>
      <c r="L252" s="47" t="s">
        <v>80</v>
      </c>
      <c r="M252" s="47" t="s">
        <v>380</v>
      </c>
      <c r="N252" s="47">
        <v>-7.3999999999999996E-2</v>
      </c>
      <c r="O252" s="47">
        <v>1.7999999999999999E-2</v>
      </c>
      <c r="P252" s="92">
        <f t="shared" si="74"/>
        <v>-4.1111111111111116</v>
      </c>
      <c r="Q252" s="47" t="s">
        <v>312</v>
      </c>
      <c r="R252" s="92">
        <f t="shared" si="75"/>
        <v>-0.10927999999999999</v>
      </c>
      <c r="S252" s="92">
        <f t="shared" si="76"/>
        <v>-3.8719999999999997E-2</v>
      </c>
      <c r="T252" s="47">
        <v>1</v>
      </c>
      <c r="U252" s="59">
        <v>17073</v>
      </c>
      <c r="V252" s="47">
        <v>15</v>
      </c>
      <c r="W252" s="47">
        <v>1</v>
      </c>
      <c r="X252" s="47">
        <f t="shared" si="102"/>
        <v>17058</v>
      </c>
      <c r="Y252" s="92">
        <f t="shared" si="78"/>
        <v>-3.1461549964008129E-2</v>
      </c>
      <c r="Z252" s="92">
        <f t="shared" si="79"/>
        <v>7.6528094507046776E-3</v>
      </c>
      <c r="AA252" s="92">
        <f t="shared" si="105"/>
        <v>-3.1461549964008129E-2</v>
      </c>
      <c r="AB252" s="47" t="s">
        <v>81</v>
      </c>
      <c r="AC252" s="92">
        <f t="shared" si="103"/>
        <v>-7.3999999999999996E-2</v>
      </c>
      <c r="AD252" s="92" cm="1">
        <f t="array" ref="AD252">_xlfn.IFS(
AND(L252="marginal_effect",M252="level"),N252*AN252/BF252,
AND(L252="marginal_effect",M252="sd (Y)"),N252*BH252*AN252/BF252,
AND(L252="marginal_effect",M252="sd (X)"),N252/AQ252*AN252/BF252,
AND(L252="semi_elasticity",M252="level"),N252*AN252,
AND(L252="semi_elasticity",M252="sd (Y)"),N252*AN252*BH252,
AND(L252="semi_elasticity",M252="sd (X)"),N252*AN252/AQ252,
AND(L252="level-log",M252="level"),N252/BF252,
AND(L252="level-log",M252="sd (X)"),N252/BF252/AQ252,
AND(L252="level-log",M252="sd (Y)"),N252/BF252*BH252,
AND(L252="elasticity",M252="level"),N252,
AND(L252="elasticity",M252="sd (X)"),N252/AQ252,
AND(L252="elasticity",M252="sd (Y)"),N252*BH252,
AND(L252="marginal_effect",M252="percent_of_mean"),N252*AN252/BF252/10)</f>
        <v>-7.3999999999999996E-2</v>
      </c>
      <c r="AE252" s="51">
        <f t="shared" si="80"/>
        <v>1</v>
      </c>
      <c r="AF252" s="92">
        <f t="shared" si="104"/>
        <v>1.7999999999999999E-2</v>
      </c>
      <c r="AG252" s="92" cm="1">
        <f t="array" ref="AG252">_xlfn.IFS(
AND(L252="marginal_effect",M252="level"),O252*AN252/BF252,
AND(L252="marginal_effect",M252="sd (Y)"),O252*BH252*AN252/BF252,
AND(L252="marginal_effect",M252="sd (X)"),O252/AQ252*AN252/BF252,
AND(L252="semi_elasticity",M252="level"),O252*AN252,
AND(L252="semi_elasticity",M252="sd (Y)"),O252*AN252*BH252,
AND(L252="semi_elasticity",M252="sd (X)"),O252*AN252/AQ252,
AND(L252="level-log",M252="level"),O252/BF252,
AND(L252="level-log",M252="sd (X)"),O252/BF252/AQ252,
AND(L252="level-log",M252="sd (Y)"),O252/BF252*BH252,
AND(L252="elasticity",M252="level"),O252,
AND(L252="elasticity",M252="sd (X)"),O252/AQ252,
AND(L252="elasticity",M252="sd (Y)"),O252*BH252,
AND(L252="marginal_effect",M252="percent_of_mean"),O252*AN252/BF252/10)</f>
        <v>1.7999999999999999E-2</v>
      </c>
      <c r="AH252" s="51">
        <f t="shared" si="81"/>
        <v>1</v>
      </c>
      <c r="AI252" s="92">
        <f t="shared" si="106"/>
        <v>-7.3999999999999996E-2</v>
      </c>
      <c r="AJ252" s="47">
        <v>0</v>
      </c>
      <c r="AK252" s="47">
        <f t="shared" si="82"/>
        <v>1</v>
      </c>
      <c r="AL252" s="47" t="s">
        <v>106</v>
      </c>
      <c r="AM252" s="47" t="s">
        <v>1333</v>
      </c>
      <c r="AN252" s="47">
        <v>77.83</v>
      </c>
      <c r="AO252" s="47">
        <v>1</v>
      </c>
      <c r="AP252" s="47">
        <f t="shared" si="87"/>
        <v>77.83</v>
      </c>
      <c r="AQ252" s="47">
        <v>59.84</v>
      </c>
      <c r="AR252" s="47">
        <v>1</v>
      </c>
      <c r="AS252" s="47">
        <v>901</v>
      </c>
      <c r="AT252" s="47" t="s">
        <v>83</v>
      </c>
      <c r="AU252" s="47" t="s">
        <v>109</v>
      </c>
      <c r="AV252" s="47" t="s">
        <v>133</v>
      </c>
      <c r="AW252" s="47" t="s">
        <v>109</v>
      </c>
      <c r="AX252" s="47" t="s">
        <v>86</v>
      </c>
      <c r="AY252" s="47">
        <v>0</v>
      </c>
      <c r="AZ252" s="47">
        <v>0</v>
      </c>
      <c r="BA252" s="47" t="s">
        <v>2205</v>
      </c>
      <c r="BB252" s="47" t="s">
        <v>88</v>
      </c>
      <c r="BC252" s="47" t="s">
        <v>113</v>
      </c>
      <c r="BD252" s="47" t="s">
        <v>114</v>
      </c>
      <c r="BE252" s="47" t="s">
        <v>764</v>
      </c>
      <c r="BF252" s="47">
        <v>27.5</v>
      </c>
      <c r="BG252" s="47">
        <v>1</v>
      </c>
      <c r="BH252" s="47">
        <v>14.38</v>
      </c>
      <c r="BI252" s="47">
        <v>0</v>
      </c>
      <c r="BJ252" s="47">
        <v>12</v>
      </c>
      <c r="BK252" s="47" t="s">
        <v>91</v>
      </c>
      <c r="BL252" s="47" t="s">
        <v>84</v>
      </c>
      <c r="BM252" s="47">
        <v>1</v>
      </c>
      <c r="BN252" s="47" t="s">
        <v>539</v>
      </c>
      <c r="BO252" s="47" t="s">
        <v>540</v>
      </c>
      <c r="BP252" s="47" t="s">
        <v>540</v>
      </c>
      <c r="BQ252" s="47" t="s">
        <v>117</v>
      </c>
      <c r="BR252" s="47" t="s">
        <v>134</v>
      </c>
      <c r="BS252" s="47" t="s">
        <v>312</v>
      </c>
      <c r="BT252" s="47">
        <v>0</v>
      </c>
      <c r="BU252" s="47" t="s">
        <v>728</v>
      </c>
      <c r="BV252" s="47" t="s">
        <v>729</v>
      </c>
      <c r="BW252" s="47" t="s">
        <v>736</v>
      </c>
      <c r="BX252" s="47" t="s">
        <v>95</v>
      </c>
      <c r="BY252" s="47" t="s">
        <v>748</v>
      </c>
      <c r="BZ252" s="47">
        <v>1</v>
      </c>
      <c r="CA252" s="47">
        <v>1</v>
      </c>
      <c r="CB252" s="47" t="s">
        <v>749</v>
      </c>
      <c r="CC252" s="47" t="s">
        <v>739</v>
      </c>
      <c r="CD252" s="47">
        <v>1</v>
      </c>
      <c r="CE252" s="47" t="s">
        <v>738</v>
      </c>
      <c r="CF252" s="47">
        <v>1</v>
      </c>
      <c r="CG252" s="47" t="s">
        <v>148</v>
      </c>
      <c r="CH252" s="47">
        <v>1</v>
      </c>
      <c r="CI252" s="47" t="s">
        <v>509</v>
      </c>
      <c r="CJ252" s="47" t="s">
        <v>98</v>
      </c>
      <c r="CK252" s="47">
        <v>34</v>
      </c>
      <c r="CL252" s="47">
        <v>0</v>
      </c>
      <c r="CM252" s="47">
        <v>0</v>
      </c>
      <c r="CN252" s="47" t="s">
        <v>99</v>
      </c>
      <c r="CO252" s="47" t="s">
        <v>957</v>
      </c>
      <c r="CP252" s="47" t="s">
        <v>100</v>
      </c>
      <c r="CQ252" s="47" t="s">
        <v>126</v>
      </c>
      <c r="CR252" s="48">
        <v>46223</v>
      </c>
      <c r="CT252" s="47" t="s">
        <v>451</v>
      </c>
    </row>
    <row r="253" spans="1:98" s="47" customFormat="1" x14ac:dyDescent="0.35">
      <c r="A253" s="46" t="s">
        <v>730</v>
      </c>
      <c r="B253" s="46" t="s">
        <v>757</v>
      </c>
      <c r="C253" s="47" t="s">
        <v>731</v>
      </c>
      <c r="D253" s="47">
        <v>2024</v>
      </c>
      <c r="E253" s="46" t="s">
        <v>732</v>
      </c>
      <c r="F253" s="46" t="s">
        <v>733</v>
      </c>
      <c r="G253" s="47" t="s">
        <v>78</v>
      </c>
      <c r="H253" s="47">
        <v>1</v>
      </c>
      <c r="I253" s="47" t="s">
        <v>290</v>
      </c>
      <c r="J253" s="47" t="s">
        <v>79</v>
      </c>
      <c r="K253" s="47">
        <v>11</v>
      </c>
      <c r="L253" s="47" t="s">
        <v>80</v>
      </c>
      <c r="M253" s="47" t="s">
        <v>380</v>
      </c>
      <c r="N253" s="47">
        <v>-2.5000000000000001E-2</v>
      </c>
      <c r="O253" s="47">
        <v>0.02</v>
      </c>
      <c r="P253" s="92">
        <f t="shared" si="74"/>
        <v>-1.25</v>
      </c>
      <c r="Q253" s="47" t="s">
        <v>312</v>
      </c>
      <c r="R253" s="92">
        <f t="shared" si="75"/>
        <v>-6.4200000000000007E-2</v>
      </c>
      <c r="S253" s="92">
        <f t="shared" si="76"/>
        <v>1.4199999999999997E-2</v>
      </c>
      <c r="T253" s="47">
        <v>1</v>
      </c>
      <c r="U253" s="59">
        <v>17073</v>
      </c>
      <c r="V253" s="47">
        <v>15</v>
      </c>
      <c r="W253" s="47">
        <v>1</v>
      </c>
      <c r="X253" s="47">
        <f t="shared" si="102"/>
        <v>17058</v>
      </c>
      <c r="Y253" s="92">
        <f t="shared" si="78"/>
        <v>-9.5703113828601409E-3</v>
      </c>
      <c r="Z253" s="92">
        <f t="shared" si="79"/>
        <v>7.6562491062881124E-3</v>
      </c>
      <c r="AA253" s="92">
        <f t="shared" si="105"/>
        <v>-9.5703113828601409E-3</v>
      </c>
      <c r="AB253" s="47" t="s">
        <v>81</v>
      </c>
      <c r="AC253" s="92">
        <f t="shared" si="103"/>
        <v>-2.5000000000000001E-2</v>
      </c>
      <c r="AD253" s="92" cm="1">
        <f t="array" ref="AD253">_xlfn.IFS(
AND(L253="marginal_effect",M253="level"),N253*AN253/BF253,
AND(L253="marginal_effect",M253="sd (Y)"),N253*BH253*AN253/BF253,
AND(L253="marginal_effect",M253="sd (X)"),N253/AQ253*AN253/BF253,
AND(L253="semi_elasticity",M253="level"),N253*AN253,
AND(L253="semi_elasticity",M253="sd (Y)"),N253*AN253*BH253,
AND(L253="semi_elasticity",M253="sd (X)"),N253*AN253/AQ253,
AND(L253="level-log",M253="level"),N253/BF253,
AND(L253="level-log",M253="sd (X)"),N253/BF253/AQ253,
AND(L253="level-log",M253="sd (Y)"),N253/BF253*BH253,
AND(L253="elasticity",M253="level"),N253,
AND(L253="elasticity",M253="sd (X)"),N253/AQ253,
AND(L253="elasticity",M253="sd (Y)"),N253*BH253,
AND(L253="marginal_effect",M253="percent_of_mean"),N253*AN253/BF253/10)</f>
        <v>-2.5000000000000001E-2</v>
      </c>
      <c r="AE253" s="51">
        <f t="shared" si="80"/>
        <v>1</v>
      </c>
      <c r="AF253" s="92">
        <f t="shared" si="104"/>
        <v>0.02</v>
      </c>
      <c r="AG253" s="92" cm="1">
        <f t="array" ref="AG253">_xlfn.IFS(
AND(L253="marginal_effect",M253="level"),O253*AN253/BF253,
AND(L253="marginal_effect",M253="sd (Y)"),O253*BH253*AN253/BF253,
AND(L253="marginal_effect",M253="sd (X)"),O253/AQ253*AN253/BF253,
AND(L253="semi_elasticity",M253="level"),O253*AN253,
AND(L253="semi_elasticity",M253="sd (Y)"),O253*AN253*BH253,
AND(L253="semi_elasticity",M253="sd (X)"),O253*AN253/AQ253,
AND(L253="level-log",M253="level"),O253/BF253,
AND(L253="level-log",M253="sd (X)"),O253/BF253/AQ253,
AND(L253="level-log",M253="sd (Y)"),O253/BF253*BH253,
AND(L253="elasticity",M253="level"),O253,
AND(L253="elasticity",M253="sd (X)"),O253/AQ253,
AND(L253="elasticity",M253="sd (Y)"),O253*BH253,
AND(L253="marginal_effect",M253="percent_of_mean"),O253*AN253/BF253/10)</f>
        <v>0.02</v>
      </c>
      <c r="AH253" s="51">
        <f t="shared" si="81"/>
        <v>1</v>
      </c>
      <c r="AI253" s="92">
        <f t="shared" si="106"/>
        <v>-2.5000000000000001E-2</v>
      </c>
      <c r="AJ253" s="47">
        <v>0</v>
      </c>
      <c r="AK253" s="47">
        <f t="shared" si="82"/>
        <v>1</v>
      </c>
      <c r="AL253" s="47" t="s">
        <v>148</v>
      </c>
      <c r="AM253" s="47" t="s">
        <v>1333</v>
      </c>
      <c r="AN253" s="47">
        <v>82.92</v>
      </c>
      <c r="AO253" s="47">
        <v>1</v>
      </c>
      <c r="AP253" s="47">
        <f t="shared" si="87"/>
        <v>82.92</v>
      </c>
      <c r="AQ253" s="47">
        <v>49.68</v>
      </c>
      <c r="AR253" s="47">
        <v>1</v>
      </c>
      <c r="AS253" s="47">
        <v>353</v>
      </c>
      <c r="AT253" s="47" t="s">
        <v>83</v>
      </c>
      <c r="AU253" s="47" t="s">
        <v>109</v>
      </c>
      <c r="AV253" s="47" t="s">
        <v>133</v>
      </c>
      <c r="AW253" s="47" t="s">
        <v>109</v>
      </c>
      <c r="AX253" s="47" t="s">
        <v>86</v>
      </c>
      <c r="AY253" s="47">
        <v>0</v>
      </c>
      <c r="AZ253" s="47">
        <v>0</v>
      </c>
      <c r="BA253" s="47" t="s">
        <v>2205</v>
      </c>
      <c r="BB253" s="47" t="s">
        <v>88</v>
      </c>
      <c r="BC253" s="47" t="s">
        <v>113</v>
      </c>
      <c r="BD253" s="47" t="s">
        <v>114</v>
      </c>
      <c r="BE253" s="47" t="s">
        <v>764</v>
      </c>
      <c r="BF253" s="47">
        <v>27.5</v>
      </c>
      <c r="BG253" s="47">
        <v>1</v>
      </c>
      <c r="BH253" s="47">
        <v>14.38</v>
      </c>
      <c r="BI253" s="47">
        <v>0</v>
      </c>
      <c r="BJ253" s="47">
        <v>12</v>
      </c>
      <c r="BK253" s="47" t="s">
        <v>91</v>
      </c>
      <c r="BL253" s="47" t="s">
        <v>84</v>
      </c>
      <c r="BM253" s="47">
        <v>1</v>
      </c>
      <c r="BN253" s="47" t="s">
        <v>539</v>
      </c>
      <c r="BO253" s="47" t="s">
        <v>540</v>
      </c>
      <c r="BP253" s="47" t="s">
        <v>540</v>
      </c>
      <c r="BQ253" s="47" t="s">
        <v>117</v>
      </c>
      <c r="BR253" s="47" t="s">
        <v>134</v>
      </c>
      <c r="BS253" s="47" t="s">
        <v>312</v>
      </c>
      <c r="BT253" s="47">
        <v>0</v>
      </c>
      <c r="BU253" s="47" t="s">
        <v>728</v>
      </c>
      <c r="BV253" s="47" t="s">
        <v>729</v>
      </c>
      <c r="BW253" s="47" t="s">
        <v>736</v>
      </c>
      <c r="BX253" s="47" t="s">
        <v>95</v>
      </c>
      <c r="BY253" s="47" t="s">
        <v>748</v>
      </c>
      <c r="BZ253" s="47">
        <v>1</v>
      </c>
      <c r="CA253" s="47">
        <v>1</v>
      </c>
      <c r="CB253" s="47" t="s">
        <v>749</v>
      </c>
      <c r="CC253" s="47" t="s">
        <v>739</v>
      </c>
      <c r="CD253" s="47">
        <v>1</v>
      </c>
      <c r="CE253" s="47" t="s">
        <v>738</v>
      </c>
      <c r="CF253" s="47">
        <v>1</v>
      </c>
      <c r="CG253" s="47" t="s">
        <v>82</v>
      </c>
      <c r="CH253" s="47">
        <v>1</v>
      </c>
      <c r="CI253" s="47" t="s">
        <v>509</v>
      </c>
      <c r="CJ253" s="47" t="s">
        <v>98</v>
      </c>
      <c r="CK253" s="47">
        <v>34</v>
      </c>
      <c r="CL253" s="47">
        <v>0</v>
      </c>
      <c r="CM253" s="47">
        <v>0</v>
      </c>
      <c r="CN253" s="47" t="s">
        <v>99</v>
      </c>
      <c r="CO253" s="47" t="s">
        <v>957</v>
      </c>
      <c r="CP253" s="47" t="s">
        <v>100</v>
      </c>
      <c r="CQ253" s="47" t="s">
        <v>126</v>
      </c>
      <c r="CR253" s="48">
        <v>46223</v>
      </c>
      <c r="CT253" s="47" t="s">
        <v>450</v>
      </c>
    </row>
    <row r="254" spans="1:98" s="47" customFormat="1" x14ac:dyDescent="0.35">
      <c r="A254" s="46" t="s">
        <v>730</v>
      </c>
      <c r="B254" s="46" t="s">
        <v>758</v>
      </c>
      <c r="C254" s="47" t="s">
        <v>731</v>
      </c>
      <c r="D254" s="47">
        <v>2024</v>
      </c>
      <c r="E254" s="46" t="s">
        <v>732</v>
      </c>
      <c r="F254" s="46" t="s">
        <v>733</v>
      </c>
      <c r="G254" s="47" t="s">
        <v>78</v>
      </c>
      <c r="H254" s="47">
        <v>1</v>
      </c>
      <c r="I254" s="47" t="s">
        <v>290</v>
      </c>
      <c r="J254" s="47" t="s">
        <v>79</v>
      </c>
      <c r="K254" s="47">
        <v>11</v>
      </c>
      <c r="L254" s="47" t="s">
        <v>80</v>
      </c>
      <c r="M254" s="47" t="s">
        <v>380</v>
      </c>
      <c r="N254" s="47">
        <v>-3.3000000000000002E-2</v>
      </c>
      <c r="O254" s="47">
        <v>1.9E-2</v>
      </c>
      <c r="P254" s="92">
        <f t="shared" si="74"/>
        <v>-1.736842105263158</v>
      </c>
      <c r="Q254" s="47" t="s">
        <v>312</v>
      </c>
      <c r="R254" s="92">
        <f t="shared" si="75"/>
        <v>-7.0239999999999997E-2</v>
      </c>
      <c r="S254" s="92">
        <f t="shared" si="76"/>
        <v>4.2399999999999938E-3</v>
      </c>
      <c r="T254" s="47">
        <v>1</v>
      </c>
      <c r="U254" s="59">
        <v>17073</v>
      </c>
      <c r="V254" s="47">
        <v>15</v>
      </c>
      <c r="W254" s="47">
        <v>1</v>
      </c>
      <c r="X254" s="47">
        <f t="shared" si="102"/>
        <v>17058</v>
      </c>
      <c r="Y254" s="92">
        <f t="shared" si="78"/>
        <v>-1.3297129118884782E-2</v>
      </c>
      <c r="Z254" s="92">
        <f t="shared" si="79"/>
        <v>7.6559228260245716E-3</v>
      </c>
      <c r="AA254" s="92">
        <f t="shared" si="105"/>
        <v>-1.3297129118884782E-2</v>
      </c>
      <c r="AB254" s="47" t="s">
        <v>81</v>
      </c>
      <c r="AC254" s="92">
        <f t="shared" si="103"/>
        <v>-3.3000000000000002E-2</v>
      </c>
      <c r="AD254" s="92" cm="1">
        <f t="array" ref="AD254">_xlfn.IFS(
AND(L254="marginal_effect",M254="level"),N254*AN254/BF254,
AND(L254="marginal_effect",M254="sd (Y)"),N254*BH254*AN254/BF254,
AND(L254="marginal_effect",M254="sd (X)"),N254/AQ254*AN254/BF254,
AND(L254="semi_elasticity",M254="level"),N254*AN254,
AND(L254="semi_elasticity",M254="sd (Y)"),N254*AN254*BH254,
AND(L254="semi_elasticity",M254="sd (X)"),N254*AN254/AQ254,
AND(L254="level-log",M254="level"),N254/BF254,
AND(L254="level-log",M254="sd (X)"),N254/BF254/AQ254,
AND(L254="level-log",M254="sd (Y)"),N254/BF254*BH254,
AND(L254="elasticity",M254="level"),N254,
AND(L254="elasticity",M254="sd (X)"),N254/AQ254,
AND(L254="elasticity",M254="sd (Y)"),N254*BH254,
AND(L254="marginal_effect",M254="percent_of_mean"),N254*AN254/BF254/10)</f>
        <v>-3.3000000000000002E-2</v>
      </c>
      <c r="AE254" s="51">
        <f t="shared" si="80"/>
        <v>1</v>
      </c>
      <c r="AF254" s="92">
        <f t="shared" si="104"/>
        <v>1.9E-2</v>
      </c>
      <c r="AG254" s="92" cm="1">
        <f t="array" ref="AG254">_xlfn.IFS(
AND(L254="marginal_effect",M254="level"),O254*AN254/BF254,
AND(L254="marginal_effect",M254="sd (Y)"),O254*BH254*AN254/BF254,
AND(L254="marginal_effect",M254="sd (X)"),O254/AQ254*AN254/BF254,
AND(L254="semi_elasticity",M254="level"),O254*AN254,
AND(L254="semi_elasticity",M254="sd (Y)"),O254*AN254*BH254,
AND(L254="semi_elasticity",M254="sd (X)"),O254*AN254/AQ254,
AND(L254="level-log",M254="level"),O254/BF254,
AND(L254="level-log",M254="sd (X)"),O254/BF254/AQ254,
AND(L254="level-log",M254="sd (Y)"),O254/BF254*BH254,
AND(L254="elasticity",M254="level"),O254,
AND(L254="elasticity",M254="sd (X)"),O254/AQ254,
AND(L254="elasticity",M254="sd (Y)"),O254*BH254,
AND(L254="marginal_effect",M254="percent_of_mean"),O254*AN254/BF254/10)</f>
        <v>1.9E-2</v>
      </c>
      <c r="AH254" s="51">
        <f t="shared" si="81"/>
        <v>1</v>
      </c>
      <c r="AI254" s="92">
        <f t="shared" si="106"/>
        <v>-3.3000000000000002E-2</v>
      </c>
      <c r="AJ254" s="47">
        <v>0</v>
      </c>
      <c r="AK254" s="47">
        <f t="shared" si="82"/>
        <v>1</v>
      </c>
      <c r="AL254" s="47" t="s">
        <v>148</v>
      </c>
      <c r="AM254" s="47" t="s">
        <v>1333</v>
      </c>
      <c r="AN254" s="47">
        <v>82.92</v>
      </c>
      <c r="AO254" s="47">
        <v>1</v>
      </c>
      <c r="AP254" s="47">
        <f t="shared" si="87"/>
        <v>82.92</v>
      </c>
      <c r="AQ254" s="47">
        <v>49.68</v>
      </c>
      <c r="AR254" s="47">
        <v>1</v>
      </c>
      <c r="AS254" s="47">
        <v>353</v>
      </c>
      <c r="AT254" s="47" t="s">
        <v>83</v>
      </c>
      <c r="AU254" s="47" t="s">
        <v>109</v>
      </c>
      <c r="AV254" s="47" t="s">
        <v>133</v>
      </c>
      <c r="AW254" s="47" t="s">
        <v>109</v>
      </c>
      <c r="AX254" s="47" t="s">
        <v>86</v>
      </c>
      <c r="AY254" s="47">
        <v>0</v>
      </c>
      <c r="AZ254" s="47">
        <v>0</v>
      </c>
      <c r="BA254" s="47" t="s">
        <v>2205</v>
      </c>
      <c r="BB254" s="47" t="s">
        <v>88</v>
      </c>
      <c r="BC254" s="47" t="s">
        <v>113</v>
      </c>
      <c r="BD254" s="47" t="s">
        <v>114</v>
      </c>
      <c r="BE254" s="47" t="s">
        <v>764</v>
      </c>
      <c r="BF254" s="47">
        <v>27.5</v>
      </c>
      <c r="BG254" s="47">
        <v>1</v>
      </c>
      <c r="BH254" s="47">
        <v>14.38</v>
      </c>
      <c r="BI254" s="47">
        <v>0</v>
      </c>
      <c r="BJ254" s="47">
        <v>12</v>
      </c>
      <c r="BK254" s="47" t="s">
        <v>91</v>
      </c>
      <c r="BL254" s="47" t="s">
        <v>84</v>
      </c>
      <c r="BM254" s="47">
        <v>1</v>
      </c>
      <c r="BN254" s="47" t="s">
        <v>539</v>
      </c>
      <c r="BO254" s="47" t="s">
        <v>540</v>
      </c>
      <c r="BP254" s="47" t="s">
        <v>540</v>
      </c>
      <c r="BQ254" s="47" t="s">
        <v>117</v>
      </c>
      <c r="BR254" s="47" t="s">
        <v>134</v>
      </c>
      <c r="BS254" s="47" t="s">
        <v>312</v>
      </c>
      <c r="BT254" s="47">
        <v>0</v>
      </c>
      <c r="BU254" s="47" t="s">
        <v>728</v>
      </c>
      <c r="BV254" s="47" t="s">
        <v>729</v>
      </c>
      <c r="BW254" s="47" t="s">
        <v>736</v>
      </c>
      <c r="BX254" s="47" t="s">
        <v>95</v>
      </c>
      <c r="BY254" s="47" t="s">
        <v>748</v>
      </c>
      <c r="BZ254" s="47">
        <v>1</v>
      </c>
      <c r="CA254" s="47">
        <v>1</v>
      </c>
      <c r="CB254" s="47" t="s">
        <v>749</v>
      </c>
      <c r="CC254" s="47" t="s">
        <v>739</v>
      </c>
      <c r="CD254" s="47">
        <v>1</v>
      </c>
      <c r="CE254" s="47" t="s">
        <v>738</v>
      </c>
      <c r="CF254" s="47">
        <v>1</v>
      </c>
      <c r="CG254" s="47" t="s">
        <v>106</v>
      </c>
      <c r="CH254" s="47">
        <v>1</v>
      </c>
      <c r="CI254" s="47" t="s">
        <v>509</v>
      </c>
      <c r="CJ254" s="47" t="s">
        <v>98</v>
      </c>
      <c r="CK254" s="47">
        <v>34</v>
      </c>
      <c r="CL254" s="47">
        <v>0</v>
      </c>
      <c r="CM254" s="47">
        <v>0</v>
      </c>
      <c r="CN254" s="47" t="s">
        <v>99</v>
      </c>
      <c r="CO254" s="47" t="s">
        <v>957</v>
      </c>
      <c r="CP254" s="47" t="s">
        <v>100</v>
      </c>
      <c r="CQ254" s="47" t="s">
        <v>126</v>
      </c>
      <c r="CR254" s="48">
        <v>46223</v>
      </c>
      <c r="CT254" s="47" t="s">
        <v>451</v>
      </c>
    </row>
    <row r="255" spans="1:98" s="47" customFormat="1" x14ac:dyDescent="0.35">
      <c r="A255" s="46" t="s">
        <v>730</v>
      </c>
      <c r="B255" s="46" t="s">
        <v>759</v>
      </c>
      <c r="C255" s="47" t="s">
        <v>731</v>
      </c>
      <c r="D255" s="47">
        <v>2024</v>
      </c>
      <c r="E255" s="46" t="s">
        <v>732</v>
      </c>
      <c r="F255" s="46" t="s">
        <v>733</v>
      </c>
      <c r="G255" s="47" t="s">
        <v>78</v>
      </c>
      <c r="H255" s="47">
        <v>1</v>
      </c>
      <c r="I255" s="47" t="s">
        <v>290</v>
      </c>
      <c r="J255" s="47" t="s">
        <v>79</v>
      </c>
      <c r="K255" s="47">
        <v>11</v>
      </c>
      <c r="L255" s="47" t="s">
        <v>80</v>
      </c>
      <c r="M255" s="47" t="s">
        <v>380</v>
      </c>
      <c r="N255" s="47">
        <v>4.1000000000000002E-2</v>
      </c>
      <c r="O255" s="47">
        <v>3.4000000000000002E-2</v>
      </c>
      <c r="P255" s="92">
        <f t="shared" si="74"/>
        <v>1.2058823529411764</v>
      </c>
      <c r="Q255" s="47" t="s">
        <v>312</v>
      </c>
      <c r="R255" s="92">
        <f t="shared" si="75"/>
        <v>-2.5640000000000003E-2</v>
      </c>
      <c r="S255" s="92">
        <f t="shared" si="76"/>
        <v>0.10764000000000001</v>
      </c>
      <c r="T255" s="47">
        <v>1</v>
      </c>
      <c r="U255" s="59">
        <v>17073</v>
      </c>
      <c r="V255" s="47">
        <v>14</v>
      </c>
      <c r="W255" s="47">
        <v>1</v>
      </c>
      <c r="X255" s="47">
        <f t="shared" si="102"/>
        <v>17059</v>
      </c>
      <c r="Y255" s="92">
        <f t="shared" si="78"/>
        <v>9.2322944179549157E-3</v>
      </c>
      <c r="Z255" s="92">
        <f t="shared" si="79"/>
        <v>7.6560490295235891E-3</v>
      </c>
      <c r="AA255" s="92">
        <f t="shared" si="105"/>
        <v>9.2322944179549157E-3</v>
      </c>
      <c r="AB255" s="47" t="s">
        <v>81</v>
      </c>
      <c r="AC255" s="92">
        <f t="shared" si="103"/>
        <v>4.1000000000000002E-2</v>
      </c>
      <c r="AD255" s="92" cm="1">
        <f t="array" ref="AD255">_xlfn.IFS(
AND(L255="marginal_effect",M255="level"),N255*AN255/BF255,
AND(L255="marginal_effect",M255="sd (Y)"),N255*BH255*AN255/BF255,
AND(L255="marginal_effect",M255="sd (X)"),N255/AQ255*AN255/BF255,
AND(L255="semi_elasticity",M255="level"),N255*AN255,
AND(L255="semi_elasticity",M255="sd (Y)"),N255*AN255*BH255,
AND(L255="semi_elasticity",M255="sd (X)"),N255*AN255/AQ255,
AND(L255="level-log",M255="level"),N255/BF255,
AND(L255="level-log",M255="sd (X)"),N255/BF255/AQ255,
AND(L255="level-log",M255="sd (Y)"),N255/BF255*BH255,
AND(L255="elasticity",M255="level"),N255,
AND(L255="elasticity",M255="sd (X)"),N255/AQ255,
AND(L255="elasticity",M255="sd (Y)"),N255*BH255,
AND(L255="marginal_effect",M255="percent_of_mean"),N255*AN255/BF255/10)</f>
        <v>4.1000000000000002E-2</v>
      </c>
      <c r="AE255" s="51">
        <f t="shared" si="80"/>
        <v>1</v>
      </c>
      <c r="AF255" s="92">
        <f t="shared" si="104"/>
        <v>3.4000000000000002E-2</v>
      </c>
      <c r="AG255" s="92" cm="1">
        <f t="array" ref="AG255">_xlfn.IFS(
AND(L255="marginal_effect",M255="level"),O255*AN255/BF255,
AND(L255="marginal_effect",M255="sd (Y)"),O255*BH255*AN255/BF255,
AND(L255="marginal_effect",M255="sd (X)"),O255/AQ255*AN255/BF255,
AND(L255="semi_elasticity",M255="level"),O255*AN255,
AND(L255="semi_elasticity",M255="sd (Y)"),O255*AN255*BH255,
AND(L255="semi_elasticity",M255="sd (X)"),O255*AN255/AQ255,
AND(L255="level-log",M255="level"),O255/BF255,
AND(L255="level-log",M255="sd (X)"),O255/BF255/AQ255,
AND(L255="level-log",M255="sd (Y)"),O255/BF255*BH255,
AND(L255="elasticity",M255="level"),O255,
AND(L255="elasticity",M255="sd (X)"),O255/AQ255,
AND(L255="elasticity",M255="sd (Y)"),O255*BH255,
AND(L255="marginal_effect",M255="percent_of_mean"),O255*AN255/BF255/10)</f>
        <v>3.4000000000000002E-2</v>
      </c>
      <c r="AH255" s="51">
        <f t="shared" si="81"/>
        <v>1</v>
      </c>
      <c r="AI255" s="92">
        <f t="shared" si="106"/>
        <v>4.1000000000000002E-2</v>
      </c>
      <c r="AJ255" s="47">
        <v>0</v>
      </c>
      <c r="AK255" s="47">
        <f t="shared" si="82"/>
        <v>1</v>
      </c>
      <c r="AL255" s="47" t="s">
        <v>735</v>
      </c>
      <c r="AM255" s="47" t="s">
        <v>737</v>
      </c>
      <c r="AN255" s="47">
        <v>71.41</v>
      </c>
      <c r="AO255" s="47">
        <v>1</v>
      </c>
      <c r="AP255" s="47">
        <f t="shared" si="87"/>
        <v>71.41</v>
      </c>
      <c r="AQ255" s="47">
        <v>44.91</v>
      </c>
      <c r="AR255" s="47">
        <v>14</v>
      </c>
      <c r="AS255" s="47">
        <v>500</v>
      </c>
      <c r="AT255" s="47" t="s">
        <v>83</v>
      </c>
      <c r="AU255" s="47" t="s">
        <v>109</v>
      </c>
      <c r="AV255" s="47" t="s">
        <v>133</v>
      </c>
      <c r="AW255" s="47" t="s">
        <v>109</v>
      </c>
      <c r="AX255" s="47" t="s">
        <v>86</v>
      </c>
      <c r="AY255" s="47">
        <v>0</v>
      </c>
      <c r="AZ255" s="47">
        <v>0</v>
      </c>
      <c r="BA255" s="47" t="s">
        <v>2205</v>
      </c>
      <c r="BB255" s="47" t="s">
        <v>88</v>
      </c>
      <c r="BC255" s="47" t="s">
        <v>113</v>
      </c>
      <c r="BD255" s="47" t="s">
        <v>114</v>
      </c>
      <c r="BE255" s="47" t="s">
        <v>765</v>
      </c>
      <c r="BF255" s="47">
        <v>1.375</v>
      </c>
      <c r="BG255" s="47">
        <v>1</v>
      </c>
      <c r="BH255" s="47">
        <v>1.3620000000000001</v>
      </c>
      <c r="BI255" s="47">
        <v>0</v>
      </c>
      <c r="BJ255" s="47">
        <v>143</v>
      </c>
      <c r="BK255" s="47" t="s">
        <v>91</v>
      </c>
      <c r="BL255" s="47" t="s">
        <v>84</v>
      </c>
      <c r="BM255" s="47">
        <v>0</v>
      </c>
      <c r="BN255" s="47" t="s">
        <v>539</v>
      </c>
      <c r="BO255" s="47" t="s">
        <v>540</v>
      </c>
      <c r="BP255" s="47" t="s">
        <v>540</v>
      </c>
      <c r="BQ255" s="47" t="s">
        <v>117</v>
      </c>
      <c r="BR255" s="47" t="s">
        <v>134</v>
      </c>
      <c r="BS255" s="47" t="s">
        <v>312</v>
      </c>
      <c r="BT255" s="47">
        <v>0</v>
      </c>
      <c r="BU255" s="47" t="s">
        <v>728</v>
      </c>
      <c r="BV255" s="47" t="s">
        <v>729</v>
      </c>
      <c r="BW255" s="47" t="s">
        <v>736</v>
      </c>
      <c r="BX255" s="47" t="s">
        <v>95</v>
      </c>
      <c r="BY255" s="47" t="s">
        <v>748</v>
      </c>
      <c r="BZ255" s="47">
        <v>1</v>
      </c>
      <c r="CA255" s="47">
        <v>1</v>
      </c>
      <c r="CB255" s="47" t="s">
        <v>749</v>
      </c>
      <c r="CC255" s="47" t="s">
        <v>739</v>
      </c>
      <c r="CD255" s="47">
        <v>1</v>
      </c>
      <c r="CE255" s="47" t="s">
        <v>738</v>
      </c>
      <c r="CF255" s="47">
        <v>0</v>
      </c>
      <c r="CG255" s="47" t="s">
        <v>97</v>
      </c>
      <c r="CH255" s="47">
        <v>1</v>
      </c>
      <c r="CI255" s="47" t="s">
        <v>509</v>
      </c>
      <c r="CJ255" s="47" t="s">
        <v>98</v>
      </c>
      <c r="CK255" s="47">
        <v>34</v>
      </c>
      <c r="CL255" s="47">
        <v>0</v>
      </c>
      <c r="CM255" s="47">
        <v>0</v>
      </c>
      <c r="CN255" s="47" t="s">
        <v>99</v>
      </c>
      <c r="CO255" s="47" t="s">
        <v>957</v>
      </c>
      <c r="CP255" s="47" t="s">
        <v>100</v>
      </c>
      <c r="CQ255" s="47" t="s">
        <v>126</v>
      </c>
      <c r="CR255" s="48">
        <v>46223</v>
      </c>
      <c r="CT255" s="47" t="s">
        <v>452</v>
      </c>
    </row>
    <row r="256" spans="1:98" s="47" customFormat="1" x14ac:dyDescent="0.35">
      <c r="A256" s="46" t="s">
        <v>730</v>
      </c>
      <c r="B256" s="46" t="s">
        <v>760</v>
      </c>
      <c r="C256" s="47" t="s">
        <v>731</v>
      </c>
      <c r="D256" s="47">
        <v>2024</v>
      </c>
      <c r="E256" s="46" t="s">
        <v>732</v>
      </c>
      <c r="F256" s="46" t="s">
        <v>733</v>
      </c>
      <c r="G256" s="47" t="s">
        <v>78</v>
      </c>
      <c r="H256" s="47">
        <v>1</v>
      </c>
      <c r="I256" s="47" t="s">
        <v>290</v>
      </c>
      <c r="J256" s="47" t="s">
        <v>79</v>
      </c>
      <c r="K256" s="47">
        <v>11</v>
      </c>
      <c r="L256" s="47" t="s">
        <v>80</v>
      </c>
      <c r="M256" s="47" t="s">
        <v>380</v>
      </c>
      <c r="N256" s="47">
        <v>1.7000000000000001E-2</v>
      </c>
      <c r="O256" s="47">
        <v>1.7000000000000001E-2</v>
      </c>
      <c r="P256" s="92">
        <f t="shared" si="74"/>
        <v>1</v>
      </c>
      <c r="Q256" s="47" t="s">
        <v>312</v>
      </c>
      <c r="R256" s="92">
        <f t="shared" si="75"/>
        <v>-1.6320000000000001E-2</v>
      </c>
      <c r="S256" s="92">
        <f t="shared" si="76"/>
        <v>5.0320000000000004E-2</v>
      </c>
      <c r="T256" s="47">
        <v>1</v>
      </c>
      <c r="U256" s="59">
        <v>17073</v>
      </c>
      <c r="V256" s="47">
        <v>15</v>
      </c>
      <c r="W256" s="47">
        <v>1</v>
      </c>
      <c r="X256" s="47">
        <f t="shared" si="102"/>
        <v>17058</v>
      </c>
      <c r="Y256" s="92">
        <f t="shared" si="78"/>
        <v>7.6563753330488055E-3</v>
      </c>
      <c r="Z256" s="92">
        <f t="shared" si="79"/>
        <v>7.6563753330488055E-3</v>
      </c>
      <c r="AA256" s="92">
        <f t="shared" si="105"/>
        <v>7.6563753330488055E-3</v>
      </c>
      <c r="AB256" s="47" t="s">
        <v>81</v>
      </c>
      <c r="AC256" s="92">
        <f t="shared" si="103"/>
        <v>1.7000000000000001E-2</v>
      </c>
      <c r="AD256" s="92" cm="1">
        <f t="array" ref="AD256">_xlfn.IFS(
AND(L256="marginal_effect",M256="level"),N256*AN256/BF256,
AND(L256="marginal_effect",M256="sd (Y)"),N256*BH256*AN256/BF256,
AND(L256="marginal_effect",M256="sd (X)"),N256/AQ256*AN256/BF256,
AND(L256="semi_elasticity",M256="level"),N256*AN256,
AND(L256="semi_elasticity",M256="sd (Y)"),N256*AN256*BH256,
AND(L256="semi_elasticity",M256="sd (X)"),N256*AN256/AQ256,
AND(L256="level-log",M256="level"),N256/BF256,
AND(L256="level-log",M256="sd (X)"),N256/BF256/AQ256,
AND(L256="level-log",M256="sd (Y)"),N256/BF256*BH256,
AND(L256="elasticity",M256="level"),N256,
AND(L256="elasticity",M256="sd (X)"),N256/AQ256,
AND(L256="elasticity",M256="sd (Y)"),N256*BH256,
AND(L256="marginal_effect",M256="percent_of_mean"),N256*AN256/BF256/10)</f>
        <v>1.7000000000000001E-2</v>
      </c>
      <c r="AE256" s="51">
        <f t="shared" si="80"/>
        <v>1</v>
      </c>
      <c r="AF256" s="92">
        <f t="shared" si="104"/>
        <v>1.7000000000000001E-2</v>
      </c>
      <c r="AG256" s="92" cm="1">
        <f t="array" ref="AG256">_xlfn.IFS(
AND(L256="marginal_effect",M256="level"),O256*AN256/BF256,
AND(L256="marginal_effect",M256="sd (Y)"),O256*BH256*AN256/BF256,
AND(L256="marginal_effect",M256="sd (X)"),O256/AQ256*AN256/BF256,
AND(L256="semi_elasticity",M256="level"),O256*AN256,
AND(L256="semi_elasticity",M256="sd (Y)"),O256*AN256*BH256,
AND(L256="semi_elasticity",M256="sd (X)"),O256*AN256/AQ256,
AND(L256="level-log",M256="level"),O256/BF256,
AND(L256="level-log",M256="sd (X)"),O256/BF256/AQ256,
AND(L256="level-log",M256="sd (Y)"),O256/BF256*BH256,
AND(L256="elasticity",M256="level"),O256,
AND(L256="elasticity",M256="sd (X)"),O256/AQ256,
AND(L256="elasticity",M256="sd (Y)"),O256*BH256,
AND(L256="marginal_effect",M256="percent_of_mean"),O256*AN256/BF256/10)</f>
        <v>1.7000000000000001E-2</v>
      </c>
      <c r="AH256" s="51">
        <f t="shared" si="81"/>
        <v>1</v>
      </c>
      <c r="AI256" s="92">
        <f t="shared" si="106"/>
        <v>1.7000000000000001E-2</v>
      </c>
      <c r="AJ256" s="47">
        <v>0</v>
      </c>
      <c r="AK256" s="47">
        <f t="shared" si="82"/>
        <v>1</v>
      </c>
      <c r="AL256" s="47" t="s">
        <v>82</v>
      </c>
      <c r="AM256" s="47" t="s">
        <v>1333</v>
      </c>
      <c r="AN256" s="47">
        <v>43.08</v>
      </c>
      <c r="AO256" s="47">
        <v>1</v>
      </c>
      <c r="AP256" s="47">
        <f t="shared" si="87"/>
        <v>43.08</v>
      </c>
      <c r="AQ256" s="47">
        <v>35.29</v>
      </c>
      <c r="AR256" s="47">
        <v>1</v>
      </c>
      <c r="AS256" s="47">
        <v>366</v>
      </c>
      <c r="AT256" s="47" t="s">
        <v>83</v>
      </c>
      <c r="AU256" s="47" t="s">
        <v>109</v>
      </c>
      <c r="AV256" s="47" t="s">
        <v>133</v>
      </c>
      <c r="AW256" s="47" t="s">
        <v>109</v>
      </c>
      <c r="AX256" s="47" t="s">
        <v>86</v>
      </c>
      <c r="AY256" s="47">
        <v>0</v>
      </c>
      <c r="AZ256" s="47">
        <v>0</v>
      </c>
      <c r="BA256" s="47" t="s">
        <v>2205</v>
      </c>
      <c r="BB256" s="47" t="s">
        <v>88</v>
      </c>
      <c r="BC256" s="47" t="s">
        <v>113</v>
      </c>
      <c r="BD256" s="47" t="s">
        <v>114</v>
      </c>
      <c r="BE256" s="47" t="s">
        <v>765</v>
      </c>
      <c r="BF256" s="47">
        <v>1.375</v>
      </c>
      <c r="BG256" s="47">
        <v>1</v>
      </c>
      <c r="BH256" s="47">
        <v>1.3620000000000001</v>
      </c>
      <c r="BI256" s="47">
        <v>0</v>
      </c>
      <c r="BJ256" s="47">
        <v>143</v>
      </c>
      <c r="BK256" s="47" t="s">
        <v>91</v>
      </c>
      <c r="BL256" s="47" t="s">
        <v>84</v>
      </c>
      <c r="BM256" s="47">
        <v>0</v>
      </c>
      <c r="BN256" s="47" t="s">
        <v>539</v>
      </c>
      <c r="BO256" s="47" t="s">
        <v>540</v>
      </c>
      <c r="BP256" s="47" t="s">
        <v>540</v>
      </c>
      <c r="BQ256" s="47" t="s">
        <v>117</v>
      </c>
      <c r="BR256" s="47" t="s">
        <v>134</v>
      </c>
      <c r="BS256" s="47" t="s">
        <v>312</v>
      </c>
      <c r="BT256" s="47">
        <v>0</v>
      </c>
      <c r="BU256" s="47" t="s">
        <v>728</v>
      </c>
      <c r="BV256" s="47" t="s">
        <v>729</v>
      </c>
      <c r="BW256" s="47" t="s">
        <v>736</v>
      </c>
      <c r="BX256" s="47" t="s">
        <v>95</v>
      </c>
      <c r="BY256" s="47" t="s">
        <v>748</v>
      </c>
      <c r="BZ256" s="47">
        <v>1</v>
      </c>
      <c r="CA256" s="47">
        <v>1</v>
      </c>
      <c r="CB256" s="47" t="s">
        <v>749</v>
      </c>
      <c r="CC256" s="47" t="s">
        <v>739</v>
      </c>
      <c r="CD256" s="47">
        <v>1</v>
      </c>
      <c r="CE256" s="47" t="s">
        <v>738</v>
      </c>
      <c r="CF256" s="47">
        <v>1</v>
      </c>
      <c r="CG256" s="47" t="s">
        <v>148</v>
      </c>
      <c r="CH256" s="47">
        <v>1</v>
      </c>
      <c r="CI256" s="47" t="s">
        <v>509</v>
      </c>
      <c r="CJ256" s="47" t="s">
        <v>98</v>
      </c>
      <c r="CK256" s="47">
        <v>34</v>
      </c>
      <c r="CL256" s="47">
        <v>0</v>
      </c>
      <c r="CM256" s="47">
        <v>0</v>
      </c>
      <c r="CN256" s="47" t="s">
        <v>99</v>
      </c>
      <c r="CO256" s="47" t="s">
        <v>957</v>
      </c>
      <c r="CP256" s="47" t="s">
        <v>100</v>
      </c>
      <c r="CQ256" s="47" t="s">
        <v>126</v>
      </c>
      <c r="CR256" s="48">
        <v>46223</v>
      </c>
      <c r="CT256" s="47" t="s">
        <v>521</v>
      </c>
    </row>
    <row r="257" spans="1:98" s="47" customFormat="1" x14ac:dyDescent="0.35">
      <c r="A257" s="46" t="s">
        <v>730</v>
      </c>
      <c r="B257" s="46" t="s">
        <v>761</v>
      </c>
      <c r="C257" s="47" t="s">
        <v>731</v>
      </c>
      <c r="D257" s="47">
        <v>2024</v>
      </c>
      <c r="E257" s="46" t="s">
        <v>732</v>
      </c>
      <c r="F257" s="46" t="s">
        <v>733</v>
      </c>
      <c r="G257" s="47" t="s">
        <v>78</v>
      </c>
      <c r="H257" s="47">
        <v>1</v>
      </c>
      <c r="I257" s="47" t="s">
        <v>290</v>
      </c>
      <c r="J257" s="47" t="s">
        <v>79</v>
      </c>
      <c r="K257" s="47">
        <v>11</v>
      </c>
      <c r="L257" s="47" t="s">
        <v>80</v>
      </c>
      <c r="M257" s="47" t="s">
        <v>380</v>
      </c>
      <c r="N257" s="47">
        <v>3.3000000000000002E-2</v>
      </c>
      <c r="O257" s="47">
        <v>2.7E-2</v>
      </c>
      <c r="P257" s="92">
        <f t="shared" si="74"/>
        <v>1.2222222222222223</v>
      </c>
      <c r="Q257" s="47" t="s">
        <v>312</v>
      </c>
      <c r="R257" s="92">
        <f t="shared" si="75"/>
        <v>-1.992E-2</v>
      </c>
      <c r="S257" s="92">
        <f t="shared" si="76"/>
        <v>8.5919999999999996E-2</v>
      </c>
      <c r="T257" s="47">
        <v>1</v>
      </c>
      <c r="U257" s="59">
        <v>17073</v>
      </c>
      <c r="V257" s="47">
        <v>15</v>
      </c>
      <c r="W257" s="47">
        <v>1</v>
      </c>
      <c r="X257" s="47">
        <f t="shared" si="102"/>
        <v>17058</v>
      </c>
      <c r="Y257" s="92">
        <f t="shared" si="78"/>
        <v>9.3576566310989481E-3</v>
      </c>
      <c r="Z257" s="92">
        <f t="shared" si="79"/>
        <v>7.6562645163536841E-3</v>
      </c>
      <c r="AA257" s="92">
        <f t="shared" si="105"/>
        <v>9.3576566310989481E-3</v>
      </c>
      <c r="AB257" s="47" t="s">
        <v>81</v>
      </c>
      <c r="AC257" s="92">
        <f t="shared" si="103"/>
        <v>3.3000000000000002E-2</v>
      </c>
      <c r="AD257" s="92" cm="1">
        <f t="array" ref="AD257">_xlfn.IFS(
AND(L257="marginal_effect",M257="level"),N257*AN257/BF257,
AND(L257="marginal_effect",M257="sd (Y)"),N257*BH257*AN257/BF257,
AND(L257="marginal_effect",M257="sd (X)"),N257/AQ257*AN257/BF257,
AND(L257="semi_elasticity",M257="level"),N257*AN257,
AND(L257="semi_elasticity",M257="sd (Y)"),N257*AN257*BH257,
AND(L257="semi_elasticity",M257="sd (X)"),N257*AN257/AQ257,
AND(L257="level-log",M257="level"),N257/BF257,
AND(L257="level-log",M257="sd (X)"),N257/BF257/AQ257,
AND(L257="level-log",M257="sd (Y)"),N257/BF257*BH257,
AND(L257="elasticity",M257="level"),N257,
AND(L257="elasticity",M257="sd (X)"),N257/AQ257,
AND(L257="elasticity",M257="sd (Y)"),N257*BH257,
AND(L257="marginal_effect",M257="percent_of_mean"),N257*AN257/BF257/10)</f>
        <v>3.3000000000000002E-2</v>
      </c>
      <c r="AE257" s="51">
        <f t="shared" si="80"/>
        <v>1</v>
      </c>
      <c r="AF257" s="92">
        <f t="shared" si="104"/>
        <v>2.7E-2</v>
      </c>
      <c r="AG257" s="92" cm="1">
        <f t="array" ref="AG257">_xlfn.IFS(
AND(L257="marginal_effect",M257="level"),O257*AN257/BF257,
AND(L257="marginal_effect",M257="sd (Y)"),O257*BH257*AN257/BF257,
AND(L257="marginal_effect",M257="sd (X)"),O257/AQ257*AN257/BF257,
AND(L257="semi_elasticity",M257="level"),O257*AN257,
AND(L257="semi_elasticity",M257="sd (Y)"),O257*AN257*BH257,
AND(L257="semi_elasticity",M257="sd (X)"),O257*AN257/AQ257,
AND(L257="level-log",M257="level"),O257/BF257,
AND(L257="level-log",M257="sd (X)"),O257/BF257/AQ257,
AND(L257="level-log",M257="sd (Y)"),O257/BF257*BH257,
AND(L257="elasticity",M257="level"),O257,
AND(L257="elasticity",M257="sd (X)"),O257/AQ257,
AND(L257="elasticity",M257="sd (Y)"),O257*BH257,
AND(L257="marginal_effect",M257="percent_of_mean"),O257*AN257/BF257/10)</f>
        <v>2.7E-2</v>
      </c>
      <c r="AH257" s="51">
        <f t="shared" si="81"/>
        <v>1</v>
      </c>
      <c r="AI257" s="92">
        <f t="shared" si="106"/>
        <v>3.3000000000000002E-2</v>
      </c>
      <c r="AJ257" s="47">
        <v>0</v>
      </c>
      <c r="AK257" s="47">
        <f t="shared" si="82"/>
        <v>1</v>
      </c>
      <c r="AL257" s="47" t="s">
        <v>106</v>
      </c>
      <c r="AM257" s="47" t="s">
        <v>1333</v>
      </c>
      <c r="AN257" s="47">
        <v>77.83</v>
      </c>
      <c r="AO257" s="47">
        <v>1</v>
      </c>
      <c r="AP257" s="47">
        <f t="shared" si="87"/>
        <v>77.83</v>
      </c>
      <c r="AQ257" s="47">
        <v>59.84</v>
      </c>
      <c r="AR257" s="47">
        <v>1</v>
      </c>
      <c r="AS257" s="47">
        <v>901</v>
      </c>
      <c r="AT257" s="47" t="s">
        <v>83</v>
      </c>
      <c r="AU257" s="47" t="s">
        <v>109</v>
      </c>
      <c r="AV257" s="47" t="s">
        <v>133</v>
      </c>
      <c r="AW257" s="47" t="s">
        <v>109</v>
      </c>
      <c r="AX257" s="47" t="s">
        <v>86</v>
      </c>
      <c r="AY257" s="47">
        <v>0</v>
      </c>
      <c r="AZ257" s="47">
        <v>0</v>
      </c>
      <c r="BA257" s="47" t="s">
        <v>2205</v>
      </c>
      <c r="BB257" s="47" t="s">
        <v>88</v>
      </c>
      <c r="BC257" s="47" t="s">
        <v>113</v>
      </c>
      <c r="BD257" s="47" t="s">
        <v>114</v>
      </c>
      <c r="BE257" s="47" t="s">
        <v>765</v>
      </c>
      <c r="BF257" s="47">
        <v>1.375</v>
      </c>
      <c r="BG257" s="47">
        <v>1</v>
      </c>
      <c r="BH257" s="47">
        <v>1.3620000000000001</v>
      </c>
      <c r="BI257" s="47">
        <v>0</v>
      </c>
      <c r="BJ257" s="47">
        <v>143</v>
      </c>
      <c r="BK257" s="47" t="s">
        <v>91</v>
      </c>
      <c r="BL257" s="47" t="s">
        <v>84</v>
      </c>
      <c r="BM257" s="47">
        <v>0</v>
      </c>
      <c r="BN257" s="47" t="s">
        <v>539</v>
      </c>
      <c r="BO257" s="47" t="s">
        <v>540</v>
      </c>
      <c r="BP257" s="47" t="s">
        <v>540</v>
      </c>
      <c r="BQ257" s="47" t="s">
        <v>117</v>
      </c>
      <c r="BR257" s="47" t="s">
        <v>134</v>
      </c>
      <c r="BS257" s="47" t="s">
        <v>312</v>
      </c>
      <c r="BT257" s="47">
        <v>0</v>
      </c>
      <c r="BU257" s="47" t="s">
        <v>728</v>
      </c>
      <c r="BV257" s="47" t="s">
        <v>729</v>
      </c>
      <c r="BW257" s="47" t="s">
        <v>736</v>
      </c>
      <c r="BX257" s="47" t="s">
        <v>95</v>
      </c>
      <c r="BY257" s="47" t="s">
        <v>748</v>
      </c>
      <c r="BZ257" s="47">
        <v>1</v>
      </c>
      <c r="CA257" s="47">
        <v>1</v>
      </c>
      <c r="CB257" s="47" t="s">
        <v>749</v>
      </c>
      <c r="CC257" s="47" t="s">
        <v>739</v>
      </c>
      <c r="CD257" s="47">
        <v>1</v>
      </c>
      <c r="CE257" s="47" t="s">
        <v>738</v>
      </c>
      <c r="CF257" s="47">
        <v>1</v>
      </c>
      <c r="CG257" s="47" t="s">
        <v>148</v>
      </c>
      <c r="CH257" s="47">
        <v>1</v>
      </c>
      <c r="CI257" s="47" t="s">
        <v>509</v>
      </c>
      <c r="CJ257" s="47" t="s">
        <v>98</v>
      </c>
      <c r="CK257" s="47">
        <v>34</v>
      </c>
      <c r="CL257" s="47">
        <v>0</v>
      </c>
      <c r="CM257" s="47">
        <v>0</v>
      </c>
      <c r="CN257" s="47" t="s">
        <v>99</v>
      </c>
      <c r="CO257" s="47" t="s">
        <v>957</v>
      </c>
      <c r="CP257" s="47" t="s">
        <v>100</v>
      </c>
      <c r="CQ257" s="47" t="s">
        <v>126</v>
      </c>
      <c r="CR257" s="48">
        <v>46223</v>
      </c>
      <c r="CT257" s="47" t="s">
        <v>510</v>
      </c>
    </row>
    <row r="258" spans="1:98" s="47" customFormat="1" x14ac:dyDescent="0.35">
      <c r="A258" s="46" t="s">
        <v>730</v>
      </c>
      <c r="B258" s="46" t="s">
        <v>762</v>
      </c>
      <c r="C258" s="47" t="s">
        <v>731</v>
      </c>
      <c r="D258" s="47">
        <v>2024</v>
      </c>
      <c r="E258" s="46" t="s">
        <v>732</v>
      </c>
      <c r="F258" s="46" t="s">
        <v>733</v>
      </c>
      <c r="G258" s="47" t="s">
        <v>78</v>
      </c>
      <c r="H258" s="47">
        <v>1</v>
      </c>
      <c r="I258" s="47" t="s">
        <v>290</v>
      </c>
      <c r="J258" s="47" t="s">
        <v>79</v>
      </c>
      <c r="K258" s="47">
        <v>11</v>
      </c>
      <c r="L258" s="47" t="s">
        <v>80</v>
      </c>
      <c r="M258" s="47" t="s">
        <v>380</v>
      </c>
      <c r="N258" s="47">
        <v>1.4999999999999999E-2</v>
      </c>
      <c r="O258" s="47">
        <v>2.8000000000000001E-2</v>
      </c>
      <c r="P258" s="92">
        <f t="shared" si="74"/>
        <v>0.5357142857142857</v>
      </c>
      <c r="Q258" s="47" t="s">
        <v>312</v>
      </c>
      <c r="R258" s="92">
        <f t="shared" si="75"/>
        <v>-3.9879999999999999E-2</v>
      </c>
      <c r="S258" s="92">
        <f t="shared" si="76"/>
        <v>6.9879999999999998E-2</v>
      </c>
      <c r="T258" s="47">
        <v>1</v>
      </c>
      <c r="U258" s="59">
        <v>17073</v>
      </c>
      <c r="V258" s="47">
        <v>15</v>
      </c>
      <c r="W258" s="47">
        <v>1</v>
      </c>
      <c r="X258" s="47">
        <f t="shared" si="102"/>
        <v>17058</v>
      </c>
      <c r="Y258" s="92">
        <f t="shared" si="78"/>
        <v>4.1017153627196006E-3</v>
      </c>
      <c r="Z258" s="92">
        <f t="shared" si="79"/>
        <v>7.6565353437432543E-3</v>
      </c>
      <c r="AA258" s="92">
        <f t="shared" si="105"/>
        <v>4.1017153627196006E-3</v>
      </c>
      <c r="AB258" s="47" t="s">
        <v>81</v>
      </c>
      <c r="AC258" s="92">
        <f t="shared" si="103"/>
        <v>1.4999999999999999E-2</v>
      </c>
      <c r="AD258" s="92" cm="1">
        <f t="array" ref="AD258">_xlfn.IFS(
AND(L258="marginal_effect",M258="level"),N258*AN258/BF258,
AND(L258="marginal_effect",M258="sd (Y)"),N258*BH258*AN258/BF258,
AND(L258="marginal_effect",M258="sd (X)"),N258/AQ258*AN258/BF258,
AND(L258="semi_elasticity",M258="level"),N258*AN258,
AND(L258="semi_elasticity",M258="sd (Y)"),N258*AN258*BH258,
AND(L258="semi_elasticity",M258="sd (X)"),N258*AN258/AQ258,
AND(L258="level-log",M258="level"),N258/BF258,
AND(L258="level-log",M258="sd (X)"),N258/BF258/AQ258,
AND(L258="level-log",M258="sd (Y)"),N258/BF258*BH258,
AND(L258="elasticity",M258="level"),N258,
AND(L258="elasticity",M258="sd (X)"),N258/AQ258,
AND(L258="elasticity",M258="sd (Y)"),N258*BH258,
AND(L258="marginal_effect",M258="percent_of_mean"),N258*AN258/BF258/10)</f>
        <v>1.4999999999999999E-2</v>
      </c>
      <c r="AE258" s="51">
        <f t="shared" si="80"/>
        <v>1</v>
      </c>
      <c r="AF258" s="92">
        <f t="shared" si="104"/>
        <v>2.8000000000000001E-2</v>
      </c>
      <c r="AG258" s="92" cm="1">
        <f t="array" ref="AG258">_xlfn.IFS(
AND(L258="marginal_effect",M258="level"),O258*AN258/BF258,
AND(L258="marginal_effect",M258="sd (Y)"),O258*BH258*AN258/BF258,
AND(L258="marginal_effect",M258="sd (X)"),O258/AQ258*AN258/BF258,
AND(L258="semi_elasticity",M258="level"),O258*AN258,
AND(L258="semi_elasticity",M258="sd (Y)"),O258*AN258*BH258,
AND(L258="semi_elasticity",M258="sd (X)"),O258*AN258/AQ258,
AND(L258="level-log",M258="level"),O258/BF258,
AND(L258="level-log",M258="sd (X)"),O258/BF258/AQ258,
AND(L258="level-log",M258="sd (Y)"),O258/BF258*BH258,
AND(L258="elasticity",M258="level"),O258,
AND(L258="elasticity",M258="sd (X)"),O258/AQ258,
AND(L258="elasticity",M258="sd (Y)"),O258*BH258,
AND(L258="marginal_effect",M258="percent_of_mean"),O258*AN258/BF258/10)</f>
        <v>2.8000000000000001E-2</v>
      </c>
      <c r="AH258" s="51">
        <f t="shared" si="81"/>
        <v>1</v>
      </c>
      <c r="AI258" s="92">
        <f t="shared" si="106"/>
        <v>1.4999999999999999E-2</v>
      </c>
      <c r="AJ258" s="47">
        <v>0</v>
      </c>
      <c r="AK258" s="47">
        <f t="shared" si="82"/>
        <v>1</v>
      </c>
      <c r="AL258" s="47" t="s">
        <v>148</v>
      </c>
      <c r="AM258" s="47" t="s">
        <v>1333</v>
      </c>
      <c r="AN258" s="47">
        <v>82.92</v>
      </c>
      <c r="AO258" s="47">
        <v>1</v>
      </c>
      <c r="AP258" s="47">
        <f t="shared" si="87"/>
        <v>82.92</v>
      </c>
      <c r="AQ258" s="47">
        <v>49.68</v>
      </c>
      <c r="AR258" s="47">
        <v>1</v>
      </c>
      <c r="AS258" s="47">
        <v>353</v>
      </c>
      <c r="AT258" s="47" t="s">
        <v>83</v>
      </c>
      <c r="AU258" s="47" t="s">
        <v>109</v>
      </c>
      <c r="AV258" s="47" t="s">
        <v>133</v>
      </c>
      <c r="AW258" s="47" t="s">
        <v>109</v>
      </c>
      <c r="AX258" s="47" t="s">
        <v>86</v>
      </c>
      <c r="AY258" s="47">
        <v>0</v>
      </c>
      <c r="AZ258" s="47">
        <v>0</v>
      </c>
      <c r="BA258" s="47" t="s">
        <v>2205</v>
      </c>
      <c r="BB258" s="47" t="s">
        <v>88</v>
      </c>
      <c r="BC258" s="47" t="s">
        <v>113</v>
      </c>
      <c r="BD258" s="47" t="s">
        <v>114</v>
      </c>
      <c r="BE258" s="47" t="s">
        <v>765</v>
      </c>
      <c r="BF258" s="47">
        <v>1.375</v>
      </c>
      <c r="BG258" s="47">
        <v>1</v>
      </c>
      <c r="BH258" s="47">
        <v>1.3620000000000001</v>
      </c>
      <c r="BI258" s="47">
        <v>0</v>
      </c>
      <c r="BJ258" s="47">
        <v>143</v>
      </c>
      <c r="BK258" s="47" t="s">
        <v>91</v>
      </c>
      <c r="BL258" s="47" t="s">
        <v>84</v>
      </c>
      <c r="BM258" s="47">
        <v>0</v>
      </c>
      <c r="BN258" s="47" t="s">
        <v>539</v>
      </c>
      <c r="BO258" s="47" t="s">
        <v>540</v>
      </c>
      <c r="BP258" s="47" t="s">
        <v>540</v>
      </c>
      <c r="BQ258" s="47" t="s">
        <v>117</v>
      </c>
      <c r="BR258" s="47" t="s">
        <v>134</v>
      </c>
      <c r="BS258" s="47" t="s">
        <v>312</v>
      </c>
      <c r="BT258" s="47">
        <v>0</v>
      </c>
      <c r="BU258" s="47" t="s">
        <v>728</v>
      </c>
      <c r="BV258" s="47" t="s">
        <v>729</v>
      </c>
      <c r="BW258" s="47" t="s">
        <v>736</v>
      </c>
      <c r="BX258" s="47" t="s">
        <v>95</v>
      </c>
      <c r="BY258" s="47" t="s">
        <v>748</v>
      </c>
      <c r="BZ258" s="47">
        <v>1</v>
      </c>
      <c r="CA258" s="47">
        <v>1</v>
      </c>
      <c r="CB258" s="47" t="s">
        <v>749</v>
      </c>
      <c r="CC258" s="47" t="s">
        <v>739</v>
      </c>
      <c r="CD258" s="47">
        <v>1</v>
      </c>
      <c r="CE258" s="47" t="s">
        <v>738</v>
      </c>
      <c r="CF258" s="47">
        <v>1</v>
      </c>
      <c r="CG258" s="47" t="s">
        <v>82</v>
      </c>
      <c r="CH258" s="47">
        <v>1</v>
      </c>
      <c r="CI258" s="47" t="s">
        <v>509</v>
      </c>
      <c r="CJ258" s="47" t="s">
        <v>98</v>
      </c>
      <c r="CK258" s="47">
        <v>34</v>
      </c>
      <c r="CL258" s="47">
        <v>0</v>
      </c>
      <c r="CM258" s="47">
        <v>0</v>
      </c>
      <c r="CN258" s="47" t="s">
        <v>99</v>
      </c>
      <c r="CO258" s="47" t="s">
        <v>957</v>
      </c>
      <c r="CP258" s="47" t="s">
        <v>100</v>
      </c>
      <c r="CQ258" s="47" t="s">
        <v>126</v>
      </c>
      <c r="CR258" s="48">
        <v>46223</v>
      </c>
      <c r="CT258" s="47" t="s">
        <v>521</v>
      </c>
    </row>
    <row r="259" spans="1:98" s="47" customFormat="1" x14ac:dyDescent="0.35">
      <c r="A259" s="46" t="s">
        <v>730</v>
      </c>
      <c r="B259" s="46" t="s">
        <v>763</v>
      </c>
      <c r="C259" s="47" t="s">
        <v>731</v>
      </c>
      <c r="D259" s="47">
        <v>2024</v>
      </c>
      <c r="E259" s="46" t="s">
        <v>732</v>
      </c>
      <c r="F259" s="46" t="s">
        <v>733</v>
      </c>
      <c r="G259" s="47" t="s">
        <v>78</v>
      </c>
      <c r="H259" s="47">
        <v>1</v>
      </c>
      <c r="I259" s="47" t="s">
        <v>290</v>
      </c>
      <c r="J259" s="47" t="s">
        <v>79</v>
      </c>
      <c r="K259" s="47">
        <v>11</v>
      </c>
      <c r="L259" s="47" t="s">
        <v>80</v>
      </c>
      <c r="M259" s="47" t="s">
        <v>380</v>
      </c>
      <c r="N259" s="47">
        <v>1.4E-2</v>
      </c>
      <c r="O259" s="47">
        <v>2.5999999999999999E-2</v>
      </c>
      <c r="P259" s="92">
        <f t="shared" si="74"/>
        <v>0.53846153846153855</v>
      </c>
      <c r="Q259" s="47" t="s">
        <v>312</v>
      </c>
      <c r="R259" s="92">
        <f t="shared" si="75"/>
        <v>-3.696E-2</v>
      </c>
      <c r="S259" s="92">
        <f t="shared" si="76"/>
        <v>6.4960000000000004E-2</v>
      </c>
      <c r="T259" s="47">
        <v>1</v>
      </c>
      <c r="U259" s="59">
        <v>17073</v>
      </c>
      <c r="V259" s="47">
        <v>15</v>
      </c>
      <c r="W259" s="47">
        <v>1</v>
      </c>
      <c r="X259" s="47">
        <f t="shared" si="102"/>
        <v>17058</v>
      </c>
      <c r="Y259" s="92">
        <f t="shared" si="78"/>
        <v>4.1227494438655097E-3</v>
      </c>
      <c r="Z259" s="92">
        <f t="shared" si="79"/>
        <v>7.6565346814645155E-3</v>
      </c>
      <c r="AA259" s="92">
        <f t="shared" si="105"/>
        <v>4.1227494438655097E-3</v>
      </c>
      <c r="AB259" s="47" t="s">
        <v>81</v>
      </c>
      <c r="AC259" s="92">
        <f t="shared" si="103"/>
        <v>1.4E-2</v>
      </c>
      <c r="AD259" s="92" cm="1">
        <f t="array" ref="AD259">_xlfn.IFS(
AND(L259="marginal_effect",M259="level"),N259*AN259/BF259,
AND(L259="marginal_effect",M259="sd (Y)"),N259*BH259*AN259/BF259,
AND(L259="marginal_effect",M259="sd (X)"),N259/AQ259*AN259/BF259,
AND(L259="semi_elasticity",M259="level"),N259*AN259,
AND(L259="semi_elasticity",M259="sd (Y)"),N259*AN259*BH259,
AND(L259="semi_elasticity",M259="sd (X)"),N259*AN259/AQ259,
AND(L259="level-log",M259="level"),N259/BF259,
AND(L259="level-log",M259="sd (X)"),N259/BF259/AQ259,
AND(L259="level-log",M259="sd (Y)"),N259/BF259*BH259,
AND(L259="elasticity",M259="level"),N259,
AND(L259="elasticity",M259="sd (X)"),N259/AQ259,
AND(L259="elasticity",M259="sd (Y)"),N259*BH259,
AND(L259="marginal_effect",M259="percent_of_mean"),N259*AN259/BF259/10)</f>
        <v>1.4E-2</v>
      </c>
      <c r="AE259" s="51">
        <f t="shared" si="80"/>
        <v>1</v>
      </c>
      <c r="AF259" s="92">
        <f t="shared" si="104"/>
        <v>2.5999999999999999E-2</v>
      </c>
      <c r="AG259" s="92" cm="1">
        <f t="array" ref="AG259">_xlfn.IFS(
AND(L259="marginal_effect",M259="level"),O259*AN259/BF259,
AND(L259="marginal_effect",M259="sd (Y)"),O259*BH259*AN259/BF259,
AND(L259="marginal_effect",M259="sd (X)"),O259/AQ259*AN259/BF259,
AND(L259="semi_elasticity",M259="level"),O259*AN259,
AND(L259="semi_elasticity",M259="sd (Y)"),O259*AN259*BH259,
AND(L259="semi_elasticity",M259="sd (X)"),O259*AN259/AQ259,
AND(L259="level-log",M259="level"),O259/BF259,
AND(L259="level-log",M259="sd (X)"),O259/BF259/AQ259,
AND(L259="level-log",M259="sd (Y)"),O259/BF259*BH259,
AND(L259="elasticity",M259="level"),O259,
AND(L259="elasticity",M259="sd (X)"),O259/AQ259,
AND(L259="elasticity",M259="sd (Y)"),O259*BH259,
AND(L259="marginal_effect",M259="percent_of_mean"),O259*AN259/BF259/10)</f>
        <v>2.5999999999999999E-2</v>
      </c>
      <c r="AH259" s="51">
        <f t="shared" si="81"/>
        <v>1</v>
      </c>
      <c r="AI259" s="92">
        <f t="shared" si="106"/>
        <v>1.4E-2</v>
      </c>
      <c r="AJ259" s="47">
        <v>0</v>
      </c>
      <c r="AK259" s="47">
        <f t="shared" si="82"/>
        <v>1</v>
      </c>
      <c r="AL259" s="47" t="s">
        <v>148</v>
      </c>
      <c r="AM259" s="47" t="s">
        <v>1333</v>
      </c>
      <c r="AN259" s="47">
        <v>82.92</v>
      </c>
      <c r="AO259" s="47">
        <v>1</v>
      </c>
      <c r="AP259" s="47">
        <f t="shared" si="87"/>
        <v>82.92</v>
      </c>
      <c r="AQ259" s="47">
        <v>49.68</v>
      </c>
      <c r="AR259" s="47">
        <v>1</v>
      </c>
      <c r="AS259" s="47">
        <v>353</v>
      </c>
      <c r="AT259" s="47" t="s">
        <v>83</v>
      </c>
      <c r="AU259" s="47" t="s">
        <v>109</v>
      </c>
      <c r="AV259" s="47" t="s">
        <v>133</v>
      </c>
      <c r="AW259" s="47" t="s">
        <v>109</v>
      </c>
      <c r="AX259" s="47" t="s">
        <v>86</v>
      </c>
      <c r="AY259" s="47">
        <v>0</v>
      </c>
      <c r="AZ259" s="47">
        <v>0</v>
      </c>
      <c r="BA259" s="47" t="s">
        <v>2205</v>
      </c>
      <c r="BB259" s="47" t="s">
        <v>88</v>
      </c>
      <c r="BC259" s="47" t="s">
        <v>113</v>
      </c>
      <c r="BD259" s="47" t="s">
        <v>114</v>
      </c>
      <c r="BE259" s="47" t="s">
        <v>765</v>
      </c>
      <c r="BF259" s="47">
        <v>1.375</v>
      </c>
      <c r="BG259" s="47">
        <v>1</v>
      </c>
      <c r="BH259" s="47">
        <v>1.3620000000000001</v>
      </c>
      <c r="BI259" s="47">
        <v>0</v>
      </c>
      <c r="BJ259" s="47">
        <v>143</v>
      </c>
      <c r="BK259" s="47" t="s">
        <v>91</v>
      </c>
      <c r="BL259" s="47" t="s">
        <v>84</v>
      </c>
      <c r="BM259" s="47">
        <v>0</v>
      </c>
      <c r="BN259" s="47" t="s">
        <v>539</v>
      </c>
      <c r="BO259" s="47" t="s">
        <v>540</v>
      </c>
      <c r="BP259" s="47" t="s">
        <v>540</v>
      </c>
      <c r="BQ259" s="47" t="s">
        <v>117</v>
      </c>
      <c r="BR259" s="47" t="s">
        <v>134</v>
      </c>
      <c r="BS259" s="47" t="s">
        <v>312</v>
      </c>
      <c r="BT259" s="47">
        <v>0</v>
      </c>
      <c r="BU259" s="47" t="s">
        <v>728</v>
      </c>
      <c r="BV259" s="47" t="s">
        <v>729</v>
      </c>
      <c r="BW259" s="47" t="s">
        <v>736</v>
      </c>
      <c r="BX259" s="47" t="s">
        <v>95</v>
      </c>
      <c r="BY259" s="47" t="s">
        <v>748</v>
      </c>
      <c r="BZ259" s="47">
        <v>1</v>
      </c>
      <c r="CA259" s="47">
        <v>1</v>
      </c>
      <c r="CB259" s="47" t="s">
        <v>749</v>
      </c>
      <c r="CC259" s="47" t="s">
        <v>739</v>
      </c>
      <c r="CD259" s="47">
        <v>1</v>
      </c>
      <c r="CE259" s="47" t="s">
        <v>738</v>
      </c>
      <c r="CF259" s="47">
        <v>1</v>
      </c>
      <c r="CG259" s="47" t="s">
        <v>106</v>
      </c>
      <c r="CH259" s="47">
        <v>1</v>
      </c>
      <c r="CI259" s="47" t="s">
        <v>509</v>
      </c>
      <c r="CJ259" s="47" t="s">
        <v>98</v>
      </c>
      <c r="CK259" s="47">
        <v>34</v>
      </c>
      <c r="CL259" s="47">
        <v>0</v>
      </c>
      <c r="CM259" s="47">
        <v>0</v>
      </c>
      <c r="CN259" s="47" t="s">
        <v>99</v>
      </c>
      <c r="CO259" s="47" t="s">
        <v>957</v>
      </c>
      <c r="CP259" s="47" t="s">
        <v>100</v>
      </c>
      <c r="CQ259" s="47" t="s">
        <v>126</v>
      </c>
      <c r="CR259" s="48">
        <v>46223</v>
      </c>
      <c r="CT259" s="47" t="s">
        <v>510</v>
      </c>
    </row>
    <row r="260" spans="1:98" s="47" customFormat="1" x14ac:dyDescent="0.35">
      <c r="A260" s="46" t="s">
        <v>730</v>
      </c>
      <c r="B260" s="46" t="s">
        <v>767</v>
      </c>
      <c r="C260" s="47" t="s">
        <v>731</v>
      </c>
      <c r="D260" s="47">
        <v>2024</v>
      </c>
      <c r="E260" s="46" t="s">
        <v>732</v>
      </c>
      <c r="F260" s="46" t="s">
        <v>733</v>
      </c>
      <c r="G260" s="47" t="s">
        <v>78</v>
      </c>
      <c r="H260" s="47">
        <v>1</v>
      </c>
      <c r="I260" s="47" t="s">
        <v>290</v>
      </c>
      <c r="J260" s="47" t="s">
        <v>79</v>
      </c>
      <c r="K260" s="47">
        <v>11</v>
      </c>
      <c r="L260" s="47" t="s">
        <v>80</v>
      </c>
      <c r="M260" s="47" t="s">
        <v>380</v>
      </c>
      <c r="N260" s="47">
        <v>-0.125</v>
      </c>
      <c r="O260" s="47">
        <v>2.5999999999999999E-2</v>
      </c>
      <c r="P260" s="92">
        <f t="shared" si="74"/>
        <v>-4.8076923076923075</v>
      </c>
      <c r="Q260" s="47" t="s">
        <v>312</v>
      </c>
      <c r="R260" s="92">
        <f t="shared" si="75"/>
        <v>-0.17596000000000001</v>
      </c>
      <c r="S260" s="92">
        <f t="shared" si="76"/>
        <v>-7.4039999999999995E-2</v>
      </c>
      <c r="T260" s="47">
        <v>1</v>
      </c>
      <c r="U260" s="59">
        <v>8459</v>
      </c>
      <c r="V260" s="47">
        <v>14</v>
      </c>
      <c r="W260" s="47">
        <v>1</v>
      </c>
      <c r="X260" s="47">
        <f t="shared" si="102"/>
        <v>8445</v>
      </c>
      <c r="Y260" s="92">
        <f t="shared" si="78"/>
        <v>-5.2244829893767122E-2</v>
      </c>
      <c r="Z260" s="92">
        <f t="shared" si="79"/>
        <v>1.0866924617903563E-2</v>
      </c>
      <c r="AA260" s="92">
        <f t="shared" si="105"/>
        <v>-5.2244829893767122E-2</v>
      </c>
      <c r="AB260" s="47" t="s">
        <v>81</v>
      </c>
      <c r="AC260" s="92">
        <f t="shared" si="103"/>
        <v>-0.125</v>
      </c>
      <c r="AD260" s="92" cm="1">
        <f t="array" ref="AD260">_xlfn.IFS(
AND(L260="marginal_effect",M260="level"),N260*AN260/BF260,
AND(L260="marginal_effect",M260="sd (Y)"),N260*BH260*AN260/BF260,
AND(L260="marginal_effect",M260="sd (X)"),N260/AQ260*AN260/BF260,
AND(L260="semi_elasticity",M260="level"),N260*AN260,
AND(L260="semi_elasticity",M260="sd (Y)"),N260*AN260*BH260,
AND(L260="semi_elasticity",M260="sd (X)"),N260*AN260/AQ260,
AND(L260="level-log",M260="level"),N260/BF260,
AND(L260="level-log",M260="sd (X)"),N260/BF260/AQ260,
AND(L260="level-log",M260="sd (Y)"),N260/BF260*BH260,
AND(L260="elasticity",M260="level"),N260,
AND(L260="elasticity",M260="sd (X)"),N260/AQ260,
AND(L260="elasticity",M260="sd (Y)"),N260*BH260,
AND(L260="marginal_effect",M260="percent_of_mean"),N260*AN260/BF260/10)</f>
        <v>-0.125</v>
      </c>
      <c r="AE260" s="51">
        <f t="shared" si="80"/>
        <v>1</v>
      </c>
      <c r="AF260" s="92">
        <f t="shared" si="104"/>
        <v>2.5999999999999999E-2</v>
      </c>
      <c r="AG260" s="92" cm="1">
        <f t="array" ref="AG260">_xlfn.IFS(
AND(L260="marginal_effect",M260="level"),O260*AN260/BF260,
AND(L260="marginal_effect",M260="sd (Y)"),O260*BH260*AN260/BF260,
AND(L260="marginal_effect",M260="sd (X)"),O260/AQ260*AN260/BF260,
AND(L260="semi_elasticity",M260="level"),O260*AN260,
AND(L260="semi_elasticity",M260="sd (Y)"),O260*AN260*BH260,
AND(L260="semi_elasticity",M260="sd (X)"),O260*AN260/AQ260,
AND(L260="level-log",M260="level"),O260/BF260,
AND(L260="level-log",M260="sd (X)"),O260/BF260/AQ260,
AND(L260="level-log",M260="sd (Y)"),O260/BF260*BH260,
AND(L260="elasticity",M260="level"),O260,
AND(L260="elasticity",M260="sd (X)"),O260/AQ260,
AND(L260="elasticity",M260="sd (Y)"),O260*BH260,
AND(L260="marginal_effect",M260="percent_of_mean"),O260*AN260/BF260/10)</f>
        <v>2.5999999999999999E-2</v>
      </c>
      <c r="AH260" s="51">
        <f t="shared" si="81"/>
        <v>1</v>
      </c>
      <c r="AI260" s="92">
        <f t="shared" si="106"/>
        <v>-0.125</v>
      </c>
      <c r="AJ260" s="47">
        <v>0</v>
      </c>
      <c r="AK260" s="47">
        <f t="shared" si="82"/>
        <v>1</v>
      </c>
      <c r="AL260" s="47" t="s">
        <v>735</v>
      </c>
      <c r="AM260" s="47" t="s">
        <v>737</v>
      </c>
      <c r="AN260" s="47">
        <v>71.41</v>
      </c>
      <c r="AO260" s="47">
        <v>1</v>
      </c>
      <c r="AP260" s="47">
        <f t="shared" si="87"/>
        <v>71.41</v>
      </c>
      <c r="AQ260" s="47">
        <v>44.91</v>
      </c>
      <c r="AR260" s="47">
        <v>14</v>
      </c>
      <c r="AS260" s="47">
        <v>500</v>
      </c>
      <c r="AT260" s="47" t="s">
        <v>83</v>
      </c>
      <c r="AU260" s="47" t="s">
        <v>109</v>
      </c>
      <c r="AV260" s="47" t="s">
        <v>133</v>
      </c>
      <c r="AW260" s="47" t="s">
        <v>109</v>
      </c>
      <c r="AX260" s="47" t="s">
        <v>86</v>
      </c>
      <c r="AY260" s="47">
        <v>0</v>
      </c>
      <c r="AZ260" s="47">
        <v>0</v>
      </c>
      <c r="BA260" s="47" t="s">
        <v>2205</v>
      </c>
      <c r="BB260" s="47" t="s">
        <v>88</v>
      </c>
      <c r="BC260" s="47" t="s">
        <v>113</v>
      </c>
      <c r="BD260" s="47" t="s">
        <v>114</v>
      </c>
      <c r="BE260" s="47" t="s">
        <v>534</v>
      </c>
      <c r="BF260" s="47">
        <v>34.6</v>
      </c>
      <c r="BG260" s="47">
        <v>1</v>
      </c>
      <c r="BH260" s="47">
        <v>15.66</v>
      </c>
      <c r="BI260" s="47">
        <v>0</v>
      </c>
      <c r="BJ260" s="47">
        <v>156</v>
      </c>
      <c r="BK260" s="47" t="s">
        <v>91</v>
      </c>
      <c r="BL260" s="47" t="s">
        <v>84</v>
      </c>
      <c r="BM260" s="47">
        <v>1</v>
      </c>
      <c r="BN260" s="47" t="s">
        <v>539</v>
      </c>
      <c r="BO260" s="47" t="s">
        <v>540</v>
      </c>
      <c r="BP260" s="47" t="s">
        <v>540</v>
      </c>
      <c r="BQ260" s="47" t="s">
        <v>117</v>
      </c>
      <c r="BR260" s="47" t="s">
        <v>134</v>
      </c>
      <c r="BS260" s="47" t="s">
        <v>312</v>
      </c>
      <c r="BT260" s="47">
        <v>0</v>
      </c>
      <c r="BU260" s="47" t="s">
        <v>728</v>
      </c>
      <c r="BV260" s="47" t="s">
        <v>729</v>
      </c>
      <c r="BW260" s="47" t="s">
        <v>736</v>
      </c>
      <c r="BX260" s="47" t="s">
        <v>95</v>
      </c>
      <c r="BY260" s="47" t="s">
        <v>748</v>
      </c>
      <c r="BZ260" s="47">
        <v>1</v>
      </c>
      <c r="CA260" s="47">
        <v>1</v>
      </c>
      <c r="CB260" s="47" t="s">
        <v>749</v>
      </c>
      <c r="CC260" s="47" t="s">
        <v>739</v>
      </c>
      <c r="CD260" s="47">
        <v>1</v>
      </c>
      <c r="CE260" s="47" t="s">
        <v>738</v>
      </c>
      <c r="CF260" s="47">
        <v>0</v>
      </c>
      <c r="CG260" s="47" t="s">
        <v>97</v>
      </c>
      <c r="CH260" s="47">
        <v>1</v>
      </c>
      <c r="CI260" s="47" t="s">
        <v>509</v>
      </c>
      <c r="CJ260" s="47" t="s">
        <v>98</v>
      </c>
      <c r="CK260" s="47">
        <v>34</v>
      </c>
      <c r="CL260" s="47">
        <v>0</v>
      </c>
      <c r="CM260" s="47">
        <v>0</v>
      </c>
      <c r="CN260" s="47" t="s">
        <v>124</v>
      </c>
      <c r="CO260" s="47" t="s">
        <v>943</v>
      </c>
      <c r="CP260" s="47" t="s">
        <v>100</v>
      </c>
      <c r="CQ260" s="47" t="s">
        <v>126</v>
      </c>
      <c r="CR260" s="48">
        <v>46223</v>
      </c>
      <c r="CT260" s="47" t="s">
        <v>780</v>
      </c>
    </row>
    <row r="261" spans="1:98" s="47" customFormat="1" x14ac:dyDescent="0.35">
      <c r="A261" s="46" t="s">
        <v>730</v>
      </c>
      <c r="B261" s="46" t="s">
        <v>766</v>
      </c>
      <c r="C261" s="47" t="s">
        <v>731</v>
      </c>
      <c r="D261" s="47">
        <v>2024</v>
      </c>
      <c r="E261" s="46" t="s">
        <v>732</v>
      </c>
      <c r="F261" s="46" t="s">
        <v>733</v>
      </c>
      <c r="G261" s="47" t="s">
        <v>78</v>
      </c>
      <c r="H261" s="47">
        <v>1</v>
      </c>
      <c r="I261" s="47" t="s">
        <v>290</v>
      </c>
      <c r="J261" s="47" t="s">
        <v>79</v>
      </c>
      <c r="K261" s="47">
        <v>11</v>
      </c>
      <c r="L261" s="47" t="s">
        <v>80</v>
      </c>
      <c r="M261" s="47" t="s">
        <v>380</v>
      </c>
      <c r="N261" s="47">
        <v>-5.5E-2</v>
      </c>
      <c r="O261" s="47">
        <v>2.5000000000000001E-2</v>
      </c>
      <c r="P261" s="92">
        <f t="shared" si="74"/>
        <v>-2.1999999999999997</v>
      </c>
      <c r="Q261" s="47" t="s">
        <v>312</v>
      </c>
      <c r="R261" s="92">
        <f t="shared" si="75"/>
        <v>-0.10400000000000001</v>
      </c>
      <c r="S261" s="92">
        <f t="shared" si="76"/>
        <v>-5.9999999999999984E-3</v>
      </c>
      <c r="T261" s="47">
        <v>1</v>
      </c>
      <c r="U261" s="59">
        <v>8491</v>
      </c>
      <c r="V261" s="47">
        <v>14</v>
      </c>
      <c r="W261" s="47">
        <v>1</v>
      </c>
      <c r="X261" s="47">
        <f t="shared" si="102"/>
        <v>8477</v>
      </c>
      <c r="Y261" s="92">
        <f t="shared" si="78"/>
        <v>-2.3887881882709273E-2</v>
      </c>
      <c r="Z261" s="92">
        <f t="shared" si="79"/>
        <v>1.0858128128504216E-2</v>
      </c>
      <c r="AA261" s="92">
        <f t="shared" si="105"/>
        <v>-2.3887881882709273E-2</v>
      </c>
      <c r="AB261" s="47" t="s">
        <v>81</v>
      </c>
      <c r="AC261" s="92">
        <f t="shared" si="103"/>
        <v>-5.5E-2</v>
      </c>
      <c r="AD261" s="92" cm="1">
        <f t="array" ref="AD261">_xlfn.IFS(
AND(L261="marginal_effect",M261="level"),N261*AN261/BF261,
AND(L261="marginal_effect",M261="sd (Y)"),N261*BH261*AN261/BF261,
AND(L261="marginal_effect",M261="sd (X)"),N261/AQ261*AN261/BF261,
AND(L261="semi_elasticity",M261="level"),N261*AN261,
AND(L261="semi_elasticity",M261="sd (Y)"),N261*AN261*BH261,
AND(L261="semi_elasticity",M261="sd (X)"),N261*AN261/AQ261,
AND(L261="level-log",M261="level"),N261/BF261,
AND(L261="level-log",M261="sd (X)"),N261/BF261/AQ261,
AND(L261="level-log",M261="sd (Y)"),N261/BF261*BH261,
AND(L261="elasticity",M261="level"),N261,
AND(L261="elasticity",M261="sd (X)"),N261/AQ261,
AND(L261="elasticity",M261="sd (Y)"),N261*BH261,
AND(L261="marginal_effect",M261="percent_of_mean"),N261*AN261/BF261/10)</f>
        <v>-5.5E-2</v>
      </c>
      <c r="AE261" s="51">
        <f t="shared" si="80"/>
        <v>1</v>
      </c>
      <c r="AF261" s="92">
        <f t="shared" si="104"/>
        <v>2.5000000000000001E-2</v>
      </c>
      <c r="AG261" s="92" cm="1">
        <f t="array" ref="AG261">_xlfn.IFS(
AND(L261="marginal_effect",M261="level"),O261*AN261/BF261,
AND(L261="marginal_effect",M261="sd (Y)"),O261*BH261*AN261/BF261,
AND(L261="marginal_effect",M261="sd (X)"),O261/AQ261*AN261/BF261,
AND(L261="semi_elasticity",M261="level"),O261*AN261,
AND(L261="semi_elasticity",M261="sd (Y)"),O261*AN261*BH261,
AND(L261="semi_elasticity",M261="sd (X)"),O261*AN261/AQ261,
AND(L261="level-log",M261="level"),O261/BF261,
AND(L261="level-log",M261="sd (X)"),O261/BF261/AQ261,
AND(L261="level-log",M261="sd (Y)"),O261/BF261*BH261,
AND(L261="elasticity",M261="level"),O261,
AND(L261="elasticity",M261="sd (X)"),O261/AQ261,
AND(L261="elasticity",M261="sd (Y)"),O261*BH261,
AND(L261="marginal_effect",M261="percent_of_mean"),O261*AN261/BF261/10)</f>
        <v>2.5000000000000001E-2</v>
      </c>
      <c r="AH261" s="51">
        <f t="shared" si="81"/>
        <v>1</v>
      </c>
      <c r="AI261" s="92">
        <f t="shared" si="106"/>
        <v>-5.5E-2</v>
      </c>
      <c r="AJ261" s="47">
        <v>0</v>
      </c>
      <c r="AK261" s="47">
        <f t="shared" si="82"/>
        <v>1</v>
      </c>
      <c r="AL261" s="47" t="s">
        <v>735</v>
      </c>
      <c r="AM261" s="47" t="s">
        <v>737</v>
      </c>
      <c r="AN261" s="47">
        <v>71.41</v>
      </c>
      <c r="AO261" s="47">
        <v>1</v>
      </c>
      <c r="AP261" s="47">
        <f t="shared" si="87"/>
        <v>71.41</v>
      </c>
      <c r="AQ261" s="47">
        <v>44.91</v>
      </c>
      <c r="AR261" s="47">
        <v>14</v>
      </c>
      <c r="AS261" s="47">
        <v>500</v>
      </c>
      <c r="AT261" s="47" t="s">
        <v>83</v>
      </c>
      <c r="AU261" s="47" t="s">
        <v>109</v>
      </c>
      <c r="AV261" s="47" t="s">
        <v>133</v>
      </c>
      <c r="AW261" s="47" t="s">
        <v>109</v>
      </c>
      <c r="AX261" s="47" t="s">
        <v>86</v>
      </c>
      <c r="AY261" s="47">
        <v>0</v>
      </c>
      <c r="AZ261" s="47">
        <v>0</v>
      </c>
      <c r="BA261" s="47" t="s">
        <v>2205</v>
      </c>
      <c r="BB261" s="47" t="s">
        <v>88</v>
      </c>
      <c r="BC261" s="47" t="s">
        <v>113</v>
      </c>
      <c r="BD261" s="47" t="s">
        <v>114</v>
      </c>
      <c r="BE261" s="47" t="s">
        <v>534</v>
      </c>
      <c r="BF261" s="47">
        <v>34.6</v>
      </c>
      <c r="BG261" s="47">
        <v>1</v>
      </c>
      <c r="BH261" s="47">
        <v>15.66</v>
      </c>
      <c r="BI261" s="47">
        <v>0</v>
      </c>
      <c r="BJ261" s="47">
        <v>156</v>
      </c>
      <c r="BK261" s="47" t="s">
        <v>91</v>
      </c>
      <c r="BL261" s="47" t="s">
        <v>84</v>
      </c>
      <c r="BM261" s="47">
        <v>1</v>
      </c>
      <c r="BN261" s="47" t="s">
        <v>539</v>
      </c>
      <c r="BO261" s="47" t="s">
        <v>540</v>
      </c>
      <c r="BP261" s="47" t="s">
        <v>540</v>
      </c>
      <c r="BQ261" s="47" t="s">
        <v>117</v>
      </c>
      <c r="BR261" s="47" t="s">
        <v>134</v>
      </c>
      <c r="BS261" s="47" t="s">
        <v>312</v>
      </c>
      <c r="BT261" s="47">
        <v>0</v>
      </c>
      <c r="BU261" s="47" t="s">
        <v>728</v>
      </c>
      <c r="BV261" s="47" t="s">
        <v>729</v>
      </c>
      <c r="BW261" s="47" t="s">
        <v>736</v>
      </c>
      <c r="BX261" s="47" t="s">
        <v>95</v>
      </c>
      <c r="BY261" s="47" t="s">
        <v>748</v>
      </c>
      <c r="BZ261" s="47">
        <v>1</v>
      </c>
      <c r="CA261" s="47">
        <v>1</v>
      </c>
      <c r="CB261" s="47" t="s">
        <v>749</v>
      </c>
      <c r="CC261" s="47" t="s">
        <v>739</v>
      </c>
      <c r="CD261" s="47">
        <v>1</v>
      </c>
      <c r="CE261" s="47" t="s">
        <v>738</v>
      </c>
      <c r="CF261" s="47">
        <v>0</v>
      </c>
      <c r="CG261" s="47" t="s">
        <v>97</v>
      </c>
      <c r="CH261" s="47">
        <v>1</v>
      </c>
      <c r="CI261" s="47" t="s">
        <v>509</v>
      </c>
      <c r="CJ261" s="47" t="s">
        <v>98</v>
      </c>
      <c r="CK261" s="47">
        <v>34</v>
      </c>
      <c r="CL261" s="47">
        <v>0</v>
      </c>
      <c r="CM261" s="47">
        <v>0</v>
      </c>
      <c r="CN261" s="47" t="s">
        <v>124</v>
      </c>
      <c r="CO261" s="47" t="s">
        <v>943</v>
      </c>
      <c r="CP261" s="47" t="s">
        <v>100</v>
      </c>
      <c r="CQ261" s="47" t="s">
        <v>126</v>
      </c>
      <c r="CR261" s="48">
        <v>46223</v>
      </c>
      <c r="CT261" s="47" t="s">
        <v>673</v>
      </c>
    </row>
    <row r="262" spans="1:98" s="47" customFormat="1" x14ac:dyDescent="0.35">
      <c r="A262" s="46" t="s">
        <v>730</v>
      </c>
      <c r="B262" s="46" t="s">
        <v>768</v>
      </c>
      <c r="C262" s="47" t="s">
        <v>731</v>
      </c>
      <c r="D262" s="47">
        <v>2024</v>
      </c>
      <c r="E262" s="46" t="s">
        <v>732</v>
      </c>
      <c r="F262" s="46" t="s">
        <v>733</v>
      </c>
      <c r="G262" s="47" t="s">
        <v>78</v>
      </c>
      <c r="H262" s="47">
        <v>1</v>
      </c>
      <c r="I262" s="47" t="s">
        <v>290</v>
      </c>
      <c r="J262" s="47" t="s">
        <v>79</v>
      </c>
      <c r="K262" s="47">
        <v>11</v>
      </c>
      <c r="L262" s="47" t="s">
        <v>80</v>
      </c>
      <c r="M262" s="47" t="s">
        <v>380</v>
      </c>
      <c r="N262" s="47">
        <v>-0.124</v>
      </c>
      <c r="O262" s="47">
        <v>2.4E-2</v>
      </c>
      <c r="P262" s="92">
        <f t="shared" si="74"/>
        <v>-5.166666666666667</v>
      </c>
      <c r="Q262" s="47" t="s">
        <v>312</v>
      </c>
      <c r="R262" s="92">
        <f t="shared" si="75"/>
        <v>-0.17104</v>
      </c>
      <c r="S262" s="92">
        <f t="shared" si="76"/>
        <v>-7.6960000000000001E-2</v>
      </c>
      <c r="T262" s="47">
        <v>1</v>
      </c>
      <c r="U262" s="59">
        <v>11609</v>
      </c>
      <c r="V262" s="47">
        <v>14</v>
      </c>
      <c r="W262" s="47">
        <v>1</v>
      </c>
      <c r="X262" s="47">
        <f t="shared" si="102"/>
        <v>11595</v>
      </c>
      <c r="Y262" s="92">
        <f t="shared" si="78"/>
        <v>-4.7926500302651186E-2</v>
      </c>
      <c r="Z262" s="92">
        <f t="shared" si="79"/>
        <v>9.2760968327711968E-3</v>
      </c>
      <c r="AA262" s="92">
        <f t="shared" si="105"/>
        <v>-4.7926500302651186E-2</v>
      </c>
      <c r="AB262" s="47" t="s">
        <v>81</v>
      </c>
      <c r="AC262" s="92">
        <f t="shared" si="103"/>
        <v>-0.124</v>
      </c>
      <c r="AD262" s="92" cm="1">
        <f t="array" ref="AD262">_xlfn.IFS(
AND(L262="marginal_effect",M262="level"),N262*AN262/BF262,
AND(L262="marginal_effect",M262="sd (Y)"),N262*BH262*AN262/BF262,
AND(L262="marginal_effect",M262="sd (X)"),N262/AQ262*AN262/BF262,
AND(L262="semi_elasticity",M262="level"),N262*AN262,
AND(L262="semi_elasticity",M262="sd (Y)"),N262*AN262*BH262,
AND(L262="semi_elasticity",M262="sd (X)"),N262*AN262/AQ262,
AND(L262="level-log",M262="level"),N262/BF262,
AND(L262="level-log",M262="sd (X)"),N262/BF262/AQ262,
AND(L262="level-log",M262="sd (Y)"),N262/BF262*BH262,
AND(L262="elasticity",M262="level"),N262,
AND(L262="elasticity",M262="sd (X)"),N262/AQ262,
AND(L262="elasticity",M262="sd (Y)"),N262*BH262,
AND(L262="marginal_effect",M262="percent_of_mean"),N262*AN262/BF262/10)</f>
        <v>-0.124</v>
      </c>
      <c r="AE262" s="51">
        <f t="shared" si="80"/>
        <v>1</v>
      </c>
      <c r="AF262" s="92">
        <f t="shared" si="104"/>
        <v>2.4E-2</v>
      </c>
      <c r="AG262" s="92" cm="1">
        <f t="array" ref="AG262">_xlfn.IFS(
AND(L262="marginal_effect",M262="level"),O262*AN262/BF262,
AND(L262="marginal_effect",M262="sd (Y)"),O262*BH262*AN262/BF262,
AND(L262="marginal_effect",M262="sd (X)"),O262/AQ262*AN262/BF262,
AND(L262="semi_elasticity",M262="level"),O262*AN262,
AND(L262="semi_elasticity",M262="sd (Y)"),O262*AN262*BH262,
AND(L262="semi_elasticity",M262="sd (X)"),O262*AN262/AQ262,
AND(L262="level-log",M262="level"),O262/BF262,
AND(L262="level-log",M262="sd (X)"),O262/BF262/AQ262,
AND(L262="level-log",M262="sd (Y)"),O262/BF262*BH262,
AND(L262="elasticity",M262="level"),O262,
AND(L262="elasticity",M262="sd (X)"),O262/AQ262,
AND(L262="elasticity",M262="sd (Y)"),O262*BH262,
AND(L262="marginal_effect",M262="percent_of_mean"),O262*AN262/BF262/10)</f>
        <v>2.4E-2</v>
      </c>
      <c r="AH262" s="51">
        <f t="shared" si="81"/>
        <v>1</v>
      </c>
      <c r="AI262" s="92">
        <f t="shared" si="106"/>
        <v>-0.124</v>
      </c>
      <c r="AJ262" s="47">
        <v>0</v>
      </c>
      <c r="AK262" s="47">
        <f t="shared" si="82"/>
        <v>1</v>
      </c>
      <c r="AL262" s="47" t="s">
        <v>735</v>
      </c>
      <c r="AM262" s="47" t="s">
        <v>737</v>
      </c>
      <c r="AN262" s="47">
        <v>71.41</v>
      </c>
      <c r="AO262" s="47">
        <v>1</v>
      </c>
      <c r="AP262" s="47">
        <f t="shared" si="87"/>
        <v>71.41</v>
      </c>
      <c r="AQ262" s="47">
        <v>44.91</v>
      </c>
      <c r="AR262" s="47">
        <v>14</v>
      </c>
      <c r="AS262" s="47">
        <v>500</v>
      </c>
      <c r="AT262" s="47" t="s">
        <v>83</v>
      </c>
      <c r="AU262" s="47" t="s">
        <v>109</v>
      </c>
      <c r="AV262" s="47" t="s">
        <v>133</v>
      </c>
      <c r="AW262" s="47" t="s">
        <v>109</v>
      </c>
      <c r="AX262" s="47" t="s">
        <v>86</v>
      </c>
      <c r="AY262" s="47">
        <v>0</v>
      </c>
      <c r="AZ262" s="47">
        <v>0</v>
      </c>
      <c r="BA262" s="47" t="s">
        <v>2205</v>
      </c>
      <c r="BB262" s="47" t="s">
        <v>88</v>
      </c>
      <c r="BC262" s="47" t="s">
        <v>113</v>
      </c>
      <c r="BD262" s="47" t="s">
        <v>114</v>
      </c>
      <c r="BE262" s="47" t="s">
        <v>534</v>
      </c>
      <c r="BF262" s="47">
        <v>34.6</v>
      </c>
      <c r="BG262" s="47">
        <v>1</v>
      </c>
      <c r="BH262" s="47">
        <v>15.66</v>
      </c>
      <c r="BI262" s="47">
        <v>0</v>
      </c>
      <c r="BJ262" s="47">
        <v>156</v>
      </c>
      <c r="BK262" s="47" t="s">
        <v>91</v>
      </c>
      <c r="BL262" s="47" t="s">
        <v>84</v>
      </c>
      <c r="BM262" s="47">
        <v>1</v>
      </c>
      <c r="BN262" s="47" t="s">
        <v>539</v>
      </c>
      <c r="BO262" s="47" t="s">
        <v>540</v>
      </c>
      <c r="BP262" s="47" t="s">
        <v>540</v>
      </c>
      <c r="BQ262" s="47" t="s">
        <v>117</v>
      </c>
      <c r="BR262" s="47" t="s">
        <v>134</v>
      </c>
      <c r="BS262" s="47" t="s">
        <v>312</v>
      </c>
      <c r="BT262" s="47">
        <v>0</v>
      </c>
      <c r="BU262" s="47" t="s">
        <v>728</v>
      </c>
      <c r="BV262" s="47" t="s">
        <v>729</v>
      </c>
      <c r="BW262" s="47" t="s">
        <v>736</v>
      </c>
      <c r="BX262" s="47" t="s">
        <v>95</v>
      </c>
      <c r="BY262" s="47" t="s">
        <v>748</v>
      </c>
      <c r="BZ262" s="47">
        <v>1</v>
      </c>
      <c r="CA262" s="47">
        <v>1</v>
      </c>
      <c r="CB262" s="47" t="s">
        <v>749</v>
      </c>
      <c r="CC262" s="47" t="s">
        <v>739</v>
      </c>
      <c r="CD262" s="47">
        <v>1</v>
      </c>
      <c r="CE262" s="47" t="s">
        <v>738</v>
      </c>
      <c r="CF262" s="47">
        <v>0</v>
      </c>
      <c r="CG262" s="47" t="s">
        <v>97</v>
      </c>
      <c r="CH262" s="47">
        <v>1</v>
      </c>
      <c r="CI262" s="47" t="s">
        <v>509</v>
      </c>
      <c r="CJ262" s="47" t="s">
        <v>98</v>
      </c>
      <c r="CK262" s="47">
        <v>34</v>
      </c>
      <c r="CL262" s="47">
        <v>0</v>
      </c>
      <c r="CM262" s="47">
        <v>0</v>
      </c>
      <c r="CN262" s="47" t="s">
        <v>124</v>
      </c>
      <c r="CO262" s="47" t="s">
        <v>947</v>
      </c>
      <c r="CP262" s="47" t="s">
        <v>100</v>
      </c>
      <c r="CQ262" s="47" t="s">
        <v>126</v>
      </c>
      <c r="CR262" s="48">
        <v>46223</v>
      </c>
      <c r="CT262" s="47" t="s">
        <v>672</v>
      </c>
    </row>
    <row r="263" spans="1:98" s="47" customFormat="1" x14ac:dyDescent="0.35">
      <c r="A263" s="46" t="s">
        <v>730</v>
      </c>
      <c r="B263" s="46" t="s">
        <v>769</v>
      </c>
      <c r="C263" s="47" t="s">
        <v>731</v>
      </c>
      <c r="D263" s="47">
        <v>2024</v>
      </c>
      <c r="E263" s="46" t="s">
        <v>732</v>
      </c>
      <c r="F263" s="46" t="s">
        <v>733</v>
      </c>
      <c r="G263" s="47" t="s">
        <v>78</v>
      </c>
      <c r="H263" s="47">
        <v>1</v>
      </c>
      <c r="I263" s="47" t="s">
        <v>290</v>
      </c>
      <c r="J263" s="47" t="s">
        <v>79</v>
      </c>
      <c r="K263" s="47">
        <v>11</v>
      </c>
      <c r="L263" s="47" t="s">
        <v>80</v>
      </c>
      <c r="M263" s="47" t="s">
        <v>380</v>
      </c>
      <c r="N263" s="47">
        <v>-5.2999999999999999E-2</v>
      </c>
      <c r="O263" s="47">
        <v>3.2000000000000001E-2</v>
      </c>
      <c r="P263" s="92">
        <f t="shared" si="74"/>
        <v>-1.65625</v>
      </c>
      <c r="Q263" s="47" t="s">
        <v>312</v>
      </c>
      <c r="R263" s="92">
        <f t="shared" si="75"/>
        <v>-0.11571999999999999</v>
      </c>
      <c r="S263" s="92">
        <f t="shared" si="76"/>
        <v>9.7199999999999995E-3</v>
      </c>
      <c r="T263" s="47">
        <v>1</v>
      </c>
      <c r="U263" s="59">
        <v>5464</v>
      </c>
      <c r="V263" s="47">
        <v>14</v>
      </c>
      <c r="W263" s="47">
        <v>1</v>
      </c>
      <c r="X263" s="47">
        <f t="shared" si="102"/>
        <v>5450</v>
      </c>
      <c r="Y263" s="92">
        <f t="shared" si="78"/>
        <v>-2.2429436885337679E-2</v>
      </c>
      <c r="Z263" s="92">
        <f t="shared" si="79"/>
        <v>1.354230151567558E-2</v>
      </c>
      <c r="AA263" s="92">
        <f t="shared" si="105"/>
        <v>-2.2429436885337679E-2</v>
      </c>
      <c r="AB263" s="47" t="s">
        <v>81</v>
      </c>
      <c r="AC263" s="92">
        <f t="shared" si="103"/>
        <v>-5.2999999999999999E-2</v>
      </c>
      <c r="AD263" s="92" cm="1">
        <f t="array" ref="AD263">_xlfn.IFS(
AND(L263="marginal_effect",M263="level"),N263*AN263/BF263,
AND(L263="marginal_effect",M263="sd (Y)"),N263*BH263*AN263/BF263,
AND(L263="marginal_effect",M263="sd (X)"),N263/AQ263*AN263/BF263,
AND(L263="semi_elasticity",M263="level"),N263*AN263,
AND(L263="semi_elasticity",M263="sd (Y)"),N263*AN263*BH263,
AND(L263="semi_elasticity",M263="sd (X)"),N263*AN263/AQ263,
AND(L263="level-log",M263="level"),N263/BF263,
AND(L263="level-log",M263="sd (X)"),N263/BF263/AQ263,
AND(L263="level-log",M263="sd (Y)"),N263/BF263*BH263,
AND(L263="elasticity",M263="level"),N263,
AND(L263="elasticity",M263="sd (X)"),N263/AQ263,
AND(L263="elasticity",M263="sd (Y)"),N263*BH263,
AND(L263="marginal_effect",M263="percent_of_mean"),N263*AN263/BF263/10)</f>
        <v>-5.2999999999999999E-2</v>
      </c>
      <c r="AE263" s="51">
        <f t="shared" si="80"/>
        <v>1</v>
      </c>
      <c r="AF263" s="92">
        <f t="shared" si="104"/>
        <v>3.2000000000000001E-2</v>
      </c>
      <c r="AG263" s="92" cm="1">
        <f t="array" ref="AG263">_xlfn.IFS(
AND(L263="marginal_effect",M263="level"),O263*AN263/BF263,
AND(L263="marginal_effect",M263="sd (Y)"),O263*BH263*AN263/BF263,
AND(L263="marginal_effect",M263="sd (X)"),O263/AQ263*AN263/BF263,
AND(L263="semi_elasticity",M263="level"),O263*AN263,
AND(L263="semi_elasticity",M263="sd (Y)"),O263*AN263*BH263,
AND(L263="semi_elasticity",M263="sd (X)"),O263*AN263/AQ263,
AND(L263="level-log",M263="level"),O263/BF263,
AND(L263="level-log",M263="sd (X)"),O263/BF263/AQ263,
AND(L263="level-log",M263="sd (Y)"),O263/BF263*BH263,
AND(L263="elasticity",M263="level"),O263,
AND(L263="elasticity",M263="sd (X)"),O263/AQ263,
AND(L263="elasticity",M263="sd (Y)"),O263*BH263,
AND(L263="marginal_effect",M263="percent_of_mean"),O263*AN263/BF263/10)</f>
        <v>3.2000000000000001E-2</v>
      </c>
      <c r="AH263" s="51">
        <f t="shared" si="81"/>
        <v>1</v>
      </c>
      <c r="AI263" s="92">
        <f t="shared" si="106"/>
        <v>-5.2999999999999999E-2</v>
      </c>
      <c r="AJ263" s="47">
        <v>0</v>
      </c>
      <c r="AK263" s="47">
        <f t="shared" si="82"/>
        <v>1</v>
      </c>
      <c r="AL263" s="47" t="s">
        <v>735</v>
      </c>
      <c r="AM263" s="47" t="s">
        <v>737</v>
      </c>
      <c r="AN263" s="47">
        <v>71.41</v>
      </c>
      <c r="AO263" s="47">
        <v>1</v>
      </c>
      <c r="AP263" s="47">
        <f t="shared" si="87"/>
        <v>71.41</v>
      </c>
      <c r="AQ263" s="47">
        <v>44.91</v>
      </c>
      <c r="AR263" s="47">
        <v>14</v>
      </c>
      <c r="AS263" s="47">
        <v>500</v>
      </c>
      <c r="AT263" s="47" t="s">
        <v>83</v>
      </c>
      <c r="AU263" s="47" t="s">
        <v>109</v>
      </c>
      <c r="AV263" s="47" t="s">
        <v>133</v>
      </c>
      <c r="AW263" s="47" t="s">
        <v>109</v>
      </c>
      <c r="AX263" s="47" t="s">
        <v>86</v>
      </c>
      <c r="AY263" s="47">
        <v>0</v>
      </c>
      <c r="AZ263" s="47">
        <v>0</v>
      </c>
      <c r="BA263" s="47" t="s">
        <v>2205</v>
      </c>
      <c r="BB263" s="47" t="s">
        <v>88</v>
      </c>
      <c r="BC263" s="47" t="s">
        <v>113</v>
      </c>
      <c r="BD263" s="47" t="s">
        <v>114</v>
      </c>
      <c r="BE263" s="47" t="s">
        <v>534</v>
      </c>
      <c r="BF263" s="47">
        <v>34.6</v>
      </c>
      <c r="BG263" s="47">
        <v>1</v>
      </c>
      <c r="BH263" s="47">
        <v>15.66</v>
      </c>
      <c r="BI263" s="47">
        <v>0</v>
      </c>
      <c r="BJ263" s="47">
        <v>156</v>
      </c>
      <c r="BK263" s="47" t="s">
        <v>91</v>
      </c>
      <c r="BL263" s="47" t="s">
        <v>84</v>
      </c>
      <c r="BM263" s="47">
        <v>1</v>
      </c>
      <c r="BN263" s="47" t="s">
        <v>539</v>
      </c>
      <c r="BO263" s="47" t="s">
        <v>540</v>
      </c>
      <c r="BP263" s="47" t="s">
        <v>540</v>
      </c>
      <c r="BQ263" s="47" t="s">
        <v>117</v>
      </c>
      <c r="BR263" s="47" t="s">
        <v>134</v>
      </c>
      <c r="BS263" s="47" t="s">
        <v>312</v>
      </c>
      <c r="BT263" s="47">
        <v>0</v>
      </c>
      <c r="BU263" s="47" t="s">
        <v>728</v>
      </c>
      <c r="BV263" s="47" t="s">
        <v>729</v>
      </c>
      <c r="BW263" s="47" t="s">
        <v>736</v>
      </c>
      <c r="BX263" s="47" t="s">
        <v>95</v>
      </c>
      <c r="BY263" s="47" t="s">
        <v>748</v>
      </c>
      <c r="BZ263" s="47">
        <v>1</v>
      </c>
      <c r="CA263" s="47">
        <v>1</v>
      </c>
      <c r="CB263" s="47" t="s">
        <v>749</v>
      </c>
      <c r="CC263" s="47" t="s">
        <v>739</v>
      </c>
      <c r="CD263" s="47">
        <v>1</v>
      </c>
      <c r="CE263" s="47" t="s">
        <v>738</v>
      </c>
      <c r="CF263" s="47">
        <v>0</v>
      </c>
      <c r="CG263" s="47" t="s">
        <v>97</v>
      </c>
      <c r="CH263" s="47">
        <v>1</v>
      </c>
      <c r="CI263" s="47" t="s">
        <v>509</v>
      </c>
      <c r="CJ263" s="47" t="s">
        <v>98</v>
      </c>
      <c r="CK263" s="47">
        <v>34</v>
      </c>
      <c r="CL263" s="47">
        <v>0</v>
      </c>
      <c r="CM263" s="47">
        <v>0</v>
      </c>
      <c r="CN263" s="47" t="s">
        <v>124</v>
      </c>
      <c r="CO263" s="47" t="s">
        <v>947</v>
      </c>
      <c r="CP263" s="47" t="s">
        <v>100</v>
      </c>
      <c r="CQ263" s="47" t="s">
        <v>126</v>
      </c>
      <c r="CR263" s="48">
        <v>46223</v>
      </c>
      <c r="CT263" s="47" t="s">
        <v>671</v>
      </c>
    </row>
    <row r="264" spans="1:98" s="47" customFormat="1" x14ac:dyDescent="0.35">
      <c r="A264" s="46" t="s">
        <v>730</v>
      </c>
      <c r="B264" s="46" t="s">
        <v>770</v>
      </c>
      <c r="C264" s="47" t="s">
        <v>731</v>
      </c>
      <c r="D264" s="47">
        <v>2024</v>
      </c>
      <c r="E264" s="46" t="s">
        <v>732</v>
      </c>
      <c r="F264" s="46" t="s">
        <v>733</v>
      </c>
      <c r="G264" s="47" t="s">
        <v>78</v>
      </c>
      <c r="H264" s="47">
        <v>1</v>
      </c>
      <c r="I264" s="47" t="s">
        <v>290</v>
      </c>
      <c r="J264" s="47" t="s">
        <v>79</v>
      </c>
      <c r="K264" s="47">
        <v>11</v>
      </c>
      <c r="L264" s="47" t="s">
        <v>80</v>
      </c>
      <c r="M264" s="47" t="s">
        <v>380</v>
      </c>
      <c r="N264" s="47">
        <v>-5.3999999999999999E-2</v>
      </c>
      <c r="O264" s="47">
        <v>2.5999999999999999E-2</v>
      </c>
      <c r="P264" s="92">
        <f t="shared" si="74"/>
        <v>-2.0769230769230771</v>
      </c>
      <c r="Q264" s="47" t="s">
        <v>312</v>
      </c>
      <c r="R264" s="92">
        <f t="shared" si="75"/>
        <v>-0.10496</v>
      </c>
      <c r="S264" s="92">
        <f t="shared" si="76"/>
        <v>-3.040000000000001E-3</v>
      </c>
      <c r="T264" s="47">
        <v>1</v>
      </c>
      <c r="U264" s="59">
        <v>8465</v>
      </c>
      <c r="V264" s="47">
        <v>14</v>
      </c>
      <c r="W264" s="47">
        <v>1</v>
      </c>
      <c r="X264" s="47">
        <f t="shared" si="102"/>
        <v>8451</v>
      </c>
      <c r="Y264" s="92">
        <f t="shared" si="78"/>
        <v>-2.2586843966540145E-2</v>
      </c>
      <c r="Z264" s="92">
        <f t="shared" si="79"/>
        <v>1.0875147095000809E-2</v>
      </c>
      <c r="AA264" s="92">
        <f t="shared" si="105"/>
        <v>-2.2586843966540145E-2</v>
      </c>
      <c r="AB264" s="47" t="s">
        <v>81</v>
      </c>
      <c r="AC264" s="92">
        <f t="shared" si="103"/>
        <v>-5.3999999999999999E-2</v>
      </c>
      <c r="AD264" s="92" cm="1">
        <f t="array" ref="AD264">_xlfn.IFS(
AND(L264="marginal_effect",M264="level"),N264*AN264/BF264,
AND(L264="marginal_effect",M264="sd (Y)"),N264*BH264*AN264/BF264,
AND(L264="marginal_effect",M264="sd (X)"),N264/AQ264*AN264/BF264,
AND(L264="semi_elasticity",M264="level"),N264*AN264,
AND(L264="semi_elasticity",M264="sd (Y)"),N264*AN264*BH264,
AND(L264="semi_elasticity",M264="sd (X)"),N264*AN264/AQ264,
AND(L264="level-log",M264="level"),N264/BF264,
AND(L264="level-log",M264="sd (X)"),N264/BF264/AQ264,
AND(L264="level-log",M264="sd (Y)"),N264/BF264*BH264,
AND(L264="elasticity",M264="level"),N264,
AND(L264="elasticity",M264="sd (X)"),N264/AQ264,
AND(L264="elasticity",M264="sd (Y)"),N264*BH264,
AND(L264="marginal_effect",M264="percent_of_mean"),N264*AN264/BF264/10)</f>
        <v>-5.3999999999999999E-2</v>
      </c>
      <c r="AE264" s="51">
        <f t="shared" si="80"/>
        <v>1</v>
      </c>
      <c r="AF264" s="92">
        <f t="shared" si="104"/>
        <v>2.5999999999999999E-2</v>
      </c>
      <c r="AG264" s="92" cm="1">
        <f t="array" ref="AG264">_xlfn.IFS(
AND(L264="marginal_effect",M264="level"),O264*AN264/BF264,
AND(L264="marginal_effect",M264="sd (Y)"),O264*BH264*AN264/BF264,
AND(L264="marginal_effect",M264="sd (X)"),O264/AQ264*AN264/BF264,
AND(L264="semi_elasticity",M264="level"),O264*AN264,
AND(L264="semi_elasticity",M264="sd (Y)"),O264*AN264*BH264,
AND(L264="semi_elasticity",M264="sd (X)"),O264*AN264/AQ264,
AND(L264="level-log",M264="level"),O264/BF264,
AND(L264="level-log",M264="sd (X)"),O264/BF264/AQ264,
AND(L264="level-log",M264="sd (Y)"),O264/BF264*BH264,
AND(L264="elasticity",M264="level"),O264,
AND(L264="elasticity",M264="sd (X)"),O264/AQ264,
AND(L264="elasticity",M264="sd (Y)"),O264*BH264,
AND(L264="marginal_effect",M264="percent_of_mean"),O264*AN264/BF264/10)</f>
        <v>2.5999999999999999E-2</v>
      </c>
      <c r="AH264" s="51">
        <f t="shared" si="81"/>
        <v>1</v>
      </c>
      <c r="AI264" s="92">
        <f t="shared" si="106"/>
        <v>-5.3999999999999999E-2</v>
      </c>
      <c r="AJ264" s="47">
        <v>0</v>
      </c>
      <c r="AK264" s="47">
        <f t="shared" si="82"/>
        <v>1</v>
      </c>
      <c r="AL264" s="47" t="s">
        <v>735</v>
      </c>
      <c r="AM264" s="47" t="s">
        <v>737</v>
      </c>
      <c r="AN264" s="47">
        <v>71.41</v>
      </c>
      <c r="AO264" s="47">
        <v>1</v>
      </c>
      <c r="AP264" s="47">
        <f t="shared" si="87"/>
        <v>71.41</v>
      </c>
      <c r="AQ264" s="47">
        <v>44.91</v>
      </c>
      <c r="AR264" s="47">
        <v>14</v>
      </c>
      <c r="AS264" s="47">
        <v>500</v>
      </c>
      <c r="AT264" s="47" t="s">
        <v>83</v>
      </c>
      <c r="AU264" s="47" t="s">
        <v>109</v>
      </c>
      <c r="AV264" s="47" t="s">
        <v>133</v>
      </c>
      <c r="AW264" s="47" t="s">
        <v>109</v>
      </c>
      <c r="AX264" s="47" t="s">
        <v>86</v>
      </c>
      <c r="AY264" s="47">
        <v>0</v>
      </c>
      <c r="AZ264" s="47">
        <v>0</v>
      </c>
      <c r="BA264" s="47" t="s">
        <v>2205</v>
      </c>
      <c r="BB264" s="47" t="s">
        <v>88</v>
      </c>
      <c r="BC264" s="47" t="s">
        <v>113</v>
      </c>
      <c r="BD264" s="47" t="s">
        <v>114</v>
      </c>
      <c r="BE264" s="47" t="s">
        <v>534</v>
      </c>
      <c r="BF264" s="47">
        <v>34.6</v>
      </c>
      <c r="BG264" s="47">
        <v>1</v>
      </c>
      <c r="BH264" s="47">
        <v>15.66</v>
      </c>
      <c r="BI264" s="47">
        <v>0</v>
      </c>
      <c r="BJ264" s="47">
        <v>156</v>
      </c>
      <c r="BK264" s="47" t="s">
        <v>91</v>
      </c>
      <c r="BL264" s="47" t="s">
        <v>84</v>
      </c>
      <c r="BM264" s="47">
        <v>1</v>
      </c>
      <c r="BN264" s="47" t="s">
        <v>539</v>
      </c>
      <c r="BO264" s="47" t="s">
        <v>540</v>
      </c>
      <c r="BP264" s="47" t="s">
        <v>540</v>
      </c>
      <c r="BQ264" s="47" t="s">
        <v>117</v>
      </c>
      <c r="BR264" s="47" t="s">
        <v>134</v>
      </c>
      <c r="BS264" s="47" t="s">
        <v>312</v>
      </c>
      <c r="BT264" s="47">
        <v>0</v>
      </c>
      <c r="BU264" s="47" t="s">
        <v>728</v>
      </c>
      <c r="BV264" s="47" t="s">
        <v>729</v>
      </c>
      <c r="BW264" s="47" t="s">
        <v>736</v>
      </c>
      <c r="BX264" s="47" t="s">
        <v>95</v>
      </c>
      <c r="BY264" s="47" t="s">
        <v>748</v>
      </c>
      <c r="BZ264" s="47">
        <v>1</v>
      </c>
      <c r="CA264" s="47">
        <v>1</v>
      </c>
      <c r="CB264" s="47" t="s">
        <v>749</v>
      </c>
      <c r="CC264" s="47" t="s">
        <v>739</v>
      </c>
      <c r="CD264" s="47">
        <v>1</v>
      </c>
      <c r="CE264" s="47" t="s">
        <v>738</v>
      </c>
      <c r="CF264" s="47">
        <v>0</v>
      </c>
      <c r="CG264" s="47" t="s">
        <v>97</v>
      </c>
      <c r="CH264" s="47">
        <v>1</v>
      </c>
      <c r="CI264" s="47" t="s">
        <v>509</v>
      </c>
      <c r="CJ264" s="47" t="s">
        <v>98</v>
      </c>
      <c r="CK264" s="47">
        <v>34</v>
      </c>
      <c r="CL264" s="47">
        <v>0</v>
      </c>
      <c r="CM264" s="47">
        <v>0</v>
      </c>
      <c r="CN264" s="47" t="s">
        <v>124</v>
      </c>
      <c r="CO264" s="47" t="s">
        <v>380</v>
      </c>
      <c r="CP264" s="47" t="s">
        <v>100</v>
      </c>
      <c r="CQ264" s="47" t="s">
        <v>126</v>
      </c>
      <c r="CR264" s="48">
        <v>46223</v>
      </c>
      <c r="CT264" s="47" t="s">
        <v>670</v>
      </c>
    </row>
    <row r="265" spans="1:98" s="47" customFormat="1" x14ac:dyDescent="0.35">
      <c r="A265" s="46" t="s">
        <v>730</v>
      </c>
      <c r="B265" s="46" t="s">
        <v>771</v>
      </c>
      <c r="C265" s="47" t="s">
        <v>731</v>
      </c>
      <c r="D265" s="47">
        <v>2024</v>
      </c>
      <c r="E265" s="46" t="s">
        <v>732</v>
      </c>
      <c r="F265" s="46" t="s">
        <v>733</v>
      </c>
      <c r="G265" s="47" t="s">
        <v>78</v>
      </c>
      <c r="H265" s="47">
        <v>1</v>
      </c>
      <c r="I265" s="47" t="s">
        <v>290</v>
      </c>
      <c r="J265" s="47" t="s">
        <v>79</v>
      </c>
      <c r="K265" s="47">
        <v>11</v>
      </c>
      <c r="L265" s="47" t="s">
        <v>80</v>
      </c>
      <c r="M265" s="47" t="s">
        <v>380</v>
      </c>
      <c r="N265" s="47">
        <v>-0.125</v>
      </c>
      <c r="O265" s="47">
        <v>2.7E-2</v>
      </c>
      <c r="P265" s="92">
        <f t="shared" si="74"/>
        <v>-4.6296296296296298</v>
      </c>
      <c r="Q265" s="47" t="s">
        <v>312</v>
      </c>
      <c r="R265" s="92">
        <f t="shared" si="75"/>
        <v>-0.17791999999999999</v>
      </c>
      <c r="S265" s="92">
        <f t="shared" si="76"/>
        <v>-7.2080000000000005E-2</v>
      </c>
      <c r="T265" s="47">
        <v>1</v>
      </c>
      <c r="U265" s="59">
        <v>8494</v>
      </c>
      <c r="V265" s="47">
        <v>14</v>
      </c>
      <c r="W265" s="47">
        <v>1</v>
      </c>
      <c r="X265" s="47">
        <f t="shared" si="102"/>
        <v>8480</v>
      </c>
      <c r="Y265" s="92">
        <f t="shared" si="78"/>
        <v>-5.021115003853005E-2</v>
      </c>
      <c r="Z265" s="92">
        <f t="shared" si="79"/>
        <v>1.084560840832249E-2</v>
      </c>
      <c r="AA265" s="92">
        <f t="shared" si="105"/>
        <v>-5.021115003853005E-2</v>
      </c>
      <c r="AB265" s="47" t="s">
        <v>81</v>
      </c>
      <c r="AC265" s="92">
        <f t="shared" si="103"/>
        <v>-0.125</v>
      </c>
      <c r="AD265" s="92" cm="1">
        <f t="array" ref="AD265">_xlfn.IFS(
AND(L265="marginal_effect",M265="level"),N265*AN265/BF265,
AND(L265="marginal_effect",M265="sd (Y)"),N265*BH265*AN265/BF265,
AND(L265="marginal_effect",M265="sd (X)"),N265/AQ265*AN265/BF265,
AND(L265="semi_elasticity",M265="level"),N265*AN265,
AND(L265="semi_elasticity",M265="sd (Y)"),N265*AN265*BH265,
AND(L265="semi_elasticity",M265="sd (X)"),N265*AN265/AQ265,
AND(L265="level-log",M265="level"),N265/BF265,
AND(L265="level-log",M265="sd (X)"),N265/BF265/AQ265,
AND(L265="level-log",M265="sd (Y)"),N265/BF265*BH265,
AND(L265="elasticity",M265="level"),N265,
AND(L265="elasticity",M265="sd (X)"),N265/AQ265,
AND(L265="elasticity",M265="sd (Y)"),N265*BH265,
AND(L265="marginal_effect",M265="percent_of_mean"),N265*AN265/BF265/10)</f>
        <v>-0.125</v>
      </c>
      <c r="AE265" s="51">
        <f t="shared" si="80"/>
        <v>1</v>
      </c>
      <c r="AF265" s="92">
        <f t="shared" si="104"/>
        <v>2.7E-2</v>
      </c>
      <c r="AG265" s="92" cm="1">
        <f t="array" ref="AG265">_xlfn.IFS(
AND(L265="marginal_effect",M265="level"),O265*AN265/BF265,
AND(L265="marginal_effect",M265="sd (Y)"),O265*BH265*AN265/BF265,
AND(L265="marginal_effect",M265="sd (X)"),O265/AQ265*AN265/BF265,
AND(L265="semi_elasticity",M265="level"),O265*AN265,
AND(L265="semi_elasticity",M265="sd (Y)"),O265*AN265*BH265,
AND(L265="semi_elasticity",M265="sd (X)"),O265*AN265/AQ265,
AND(L265="level-log",M265="level"),O265/BF265,
AND(L265="level-log",M265="sd (X)"),O265/BF265/AQ265,
AND(L265="level-log",M265="sd (Y)"),O265/BF265*BH265,
AND(L265="elasticity",M265="level"),O265,
AND(L265="elasticity",M265="sd (X)"),O265/AQ265,
AND(L265="elasticity",M265="sd (Y)"),O265*BH265,
AND(L265="marginal_effect",M265="percent_of_mean"),O265*AN265/BF265/10)</f>
        <v>2.7E-2</v>
      </c>
      <c r="AH265" s="51">
        <f t="shared" si="81"/>
        <v>1</v>
      </c>
      <c r="AI265" s="92">
        <f t="shared" si="106"/>
        <v>-0.125</v>
      </c>
      <c r="AJ265" s="47">
        <v>0</v>
      </c>
      <c r="AK265" s="47">
        <f t="shared" si="82"/>
        <v>1</v>
      </c>
      <c r="AL265" s="47" t="s">
        <v>735</v>
      </c>
      <c r="AM265" s="47" t="s">
        <v>737</v>
      </c>
      <c r="AN265" s="47">
        <v>71.41</v>
      </c>
      <c r="AO265" s="47">
        <v>1</v>
      </c>
      <c r="AP265" s="47">
        <f t="shared" si="87"/>
        <v>71.41</v>
      </c>
      <c r="AQ265" s="47">
        <v>44.91</v>
      </c>
      <c r="AR265" s="47">
        <v>14</v>
      </c>
      <c r="AS265" s="47">
        <v>500</v>
      </c>
      <c r="AT265" s="47" t="s">
        <v>83</v>
      </c>
      <c r="AU265" s="47" t="s">
        <v>109</v>
      </c>
      <c r="AV265" s="47" t="s">
        <v>133</v>
      </c>
      <c r="AW265" s="47" t="s">
        <v>109</v>
      </c>
      <c r="AX265" s="47" t="s">
        <v>86</v>
      </c>
      <c r="AY265" s="47">
        <v>0</v>
      </c>
      <c r="AZ265" s="47">
        <v>0</v>
      </c>
      <c r="BA265" s="47" t="s">
        <v>2205</v>
      </c>
      <c r="BB265" s="47" t="s">
        <v>88</v>
      </c>
      <c r="BC265" s="47" t="s">
        <v>113</v>
      </c>
      <c r="BD265" s="47" t="s">
        <v>114</v>
      </c>
      <c r="BE265" s="47" t="s">
        <v>534</v>
      </c>
      <c r="BF265" s="47">
        <v>34.6</v>
      </c>
      <c r="BG265" s="47">
        <v>1</v>
      </c>
      <c r="BH265" s="47">
        <v>15.66</v>
      </c>
      <c r="BI265" s="47">
        <v>0</v>
      </c>
      <c r="BJ265" s="47">
        <v>156</v>
      </c>
      <c r="BK265" s="47" t="s">
        <v>91</v>
      </c>
      <c r="BL265" s="47" t="s">
        <v>84</v>
      </c>
      <c r="BM265" s="47">
        <v>1</v>
      </c>
      <c r="BN265" s="47" t="s">
        <v>539</v>
      </c>
      <c r="BO265" s="47" t="s">
        <v>540</v>
      </c>
      <c r="BP265" s="47" t="s">
        <v>540</v>
      </c>
      <c r="BQ265" s="47" t="s">
        <v>117</v>
      </c>
      <c r="BR265" s="47" t="s">
        <v>134</v>
      </c>
      <c r="BS265" s="47" t="s">
        <v>312</v>
      </c>
      <c r="BT265" s="47">
        <v>0</v>
      </c>
      <c r="BU265" s="47" t="s">
        <v>728</v>
      </c>
      <c r="BV265" s="47" t="s">
        <v>729</v>
      </c>
      <c r="BW265" s="47" t="s">
        <v>736</v>
      </c>
      <c r="BX265" s="47" t="s">
        <v>95</v>
      </c>
      <c r="BY265" s="47" t="s">
        <v>748</v>
      </c>
      <c r="BZ265" s="47">
        <v>1</v>
      </c>
      <c r="CA265" s="47">
        <v>1</v>
      </c>
      <c r="CB265" s="47" t="s">
        <v>749</v>
      </c>
      <c r="CC265" s="47" t="s">
        <v>739</v>
      </c>
      <c r="CD265" s="47">
        <v>1</v>
      </c>
      <c r="CE265" s="47" t="s">
        <v>738</v>
      </c>
      <c r="CF265" s="47">
        <v>0</v>
      </c>
      <c r="CG265" s="47" t="s">
        <v>97</v>
      </c>
      <c r="CH265" s="47">
        <v>1</v>
      </c>
      <c r="CI265" s="47" t="s">
        <v>509</v>
      </c>
      <c r="CJ265" s="47" t="s">
        <v>98</v>
      </c>
      <c r="CK265" s="47">
        <v>34</v>
      </c>
      <c r="CL265" s="47">
        <v>0</v>
      </c>
      <c r="CM265" s="47">
        <v>0</v>
      </c>
      <c r="CN265" s="47" t="s">
        <v>124</v>
      </c>
      <c r="CO265" s="47" t="s">
        <v>380</v>
      </c>
      <c r="CP265" s="47" t="s">
        <v>100</v>
      </c>
      <c r="CQ265" s="47" t="s">
        <v>126</v>
      </c>
      <c r="CR265" s="48">
        <v>46223</v>
      </c>
      <c r="CT265" s="47" t="s">
        <v>781</v>
      </c>
    </row>
    <row r="266" spans="1:98" s="47" customFormat="1" x14ac:dyDescent="0.35">
      <c r="A266" s="46" t="s">
        <v>730</v>
      </c>
      <c r="B266" s="46" t="s">
        <v>772</v>
      </c>
      <c r="C266" s="47" t="s">
        <v>731</v>
      </c>
      <c r="D266" s="47">
        <v>2024</v>
      </c>
      <c r="E266" s="46" t="s">
        <v>732</v>
      </c>
      <c r="F266" s="46" t="s">
        <v>733</v>
      </c>
      <c r="G266" s="47" t="s">
        <v>78</v>
      </c>
      <c r="H266" s="47">
        <v>1</v>
      </c>
      <c r="I266" s="47" t="s">
        <v>290</v>
      </c>
      <c r="J266" s="47" t="s">
        <v>79</v>
      </c>
      <c r="K266" s="47">
        <v>11</v>
      </c>
      <c r="L266" s="47" t="s">
        <v>80</v>
      </c>
      <c r="M266" s="47" t="s">
        <v>380</v>
      </c>
      <c r="N266" s="47">
        <v>-5.1999999999999998E-2</v>
      </c>
      <c r="O266" s="47">
        <v>4.2000000000000003E-2</v>
      </c>
      <c r="P266" s="92">
        <f t="shared" si="74"/>
        <v>-1.2380952380952379</v>
      </c>
      <c r="Q266" s="47" t="s">
        <v>312</v>
      </c>
      <c r="R266" s="92">
        <f t="shared" si="75"/>
        <v>-0.13431999999999999</v>
      </c>
      <c r="S266" s="92">
        <f t="shared" si="76"/>
        <v>3.0320000000000007E-2</v>
      </c>
      <c r="T266" s="47">
        <v>1</v>
      </c>
      <c r="U266" s="59">
        <v>10564</v>
      </c>
      <c r="V266" s="47">
        <v>14</v>
      </c>
      <c r="W266" s="47">
        <v>1</v>
      </c>
      <c r="X266" s="47">
        <f t="shared" si="102"/>
        <v>10550</v>
      </c>
      <c r="Y266" s="92">
        <f t="shared" si="78"/>
        <v>-1.2053031038521999E-2</v>
      </c>
      <c r="Z266" s="92">
        <f t="shared" si="79"/>
        <v>9.7351404541908479E-3</v>
      </c>
      <c r="AA266" s="92">
        <f t="shared" si="105"/>
        <v>-1.2053031038521999E-2</v>
      </c>
      <c r="AB266" s="47" t="s">
        <v>81</v>
      </c>
      <c r="AC266" s="92">
        <f t="shared" si="103"/>
        <v>-5.1999999999999998E-2</v>
      </c>
      <c r="AD266" s="92" cm="1">
        <f t="array" ref="AD266">_xlfn.IFS(
AND(L266="marginal_effect",M266="level"),N266*AN266/BF266,
AND(L266="marginal_effect",M266="sd (Y)"),N266*BH266*AN266/BF266,
AND(L266="marginal_effect",M266="sd (X)"),N266/AQ266*AN266/BF266,
AND(L266="semi_elasticity",M266="level"),N266*AN266,
AND(L266="semi_elasticity",M266="sd (Y)"),N266*AN266*BH266,
AND(L266="semi_elasticity",M266="sd (X)"),N266*AN266/AQ266,
AND(L266="level-log",M266="level"),N266/BF266,
AND(L266="level-log",M266="sd (X)"),N266/BF266/AQ266,
AND(L266="level-log",M266="sd (Y)"),N266/BF266*BH266,
AND(L266="elasticity",M266="level"),N266,
AND(L266="elasticity",M266="sd (X)"),N266/AQ266,
AND(L266="elasticity",M266="sd (Y)"),N266*BH266,
AND(L266="marginal_effect",M266="percent_of_mean"),N266*AN266/BF266/10)</f>
        <v>-5.1999999999999998E-2</v>
      </c>
      <c r="AE266" s="51">
        <f t="shared" si="80"/>
        <v>1</v>
      </c>
      <c r="AF266" s="92">
        <f t="shared" si="104"/>
        <v>4.2000000000000003E-2</v>
      </c>
      <c r="AG266" s="92" cm="1">
        <f t="array" ref="AG266">_xlfn.IFS(
AND(L266="marginal_effect",M266="level"),O266*AN266/BF266,
AND(L266="marginal_effect",M266="sd (Y)"),O266*BH266*AN266/BF266,
AND(L266="marginal_effect",M266="sd (X)"),O266/AQ266*AN266/BF266,
AND(L266="semi_elasticity",M266="level"),O266*AN266,
AND(L266="semi_elasticity",M266="sd (Y)"),O266*AN266*BH266,
AND(L266="semi_elasticity",M266="sd (X)"),O266*AN266/AQ266,
AND(L266="level-log",M266="level"),O266/BF266,
AND(L266="level-log",M266="sd (X)"),O266/BF266/AQ266,
AND(L266="level-log",M266="sd (Y)"),O266/BF266*BH266,
AND(L266="elasticity",M266="level"),O266,
AND(L266="elasticity",M266="sd (X)"),O266/AQ266,
AND(L266="elasticity",M266="sd (Y)"),O266*BH266,
AND(L266="marginal_effect",M266="percent_of_mean"),O266*AN266/BF266/10)</f>
        <v>4.2000000000000003E-2</v>
      </c>
      <c r="AH266" s="51">
        <f t="shared" si="81"/>
        <v>1</v>
      </c>
      <c r="AI266" s="92">
        <f t="shared" si="106"/>
        <v>-5.1999999999999998E-2</v>
      </c>
      <c r="AJ266" s="47">
        <v>0</v>
      </c>
      <c r="AK266" s="47">
        <f t="shared" si="82"/>
        <v>1</v>
      </c>
      <c r="AL266" s="47" t="s">
        <v>735</v>
      </c>
      <c r="AM266" s="47" t="s">
        <v>737</v>
      </c>
      <c r="AN266" s="47">
        <v>71.41</v>
      </c>
      <c r="AO266" s="47">
        <v>1</v>
      </c>
      <c r="AP266" s="47">
        <f t="shared" si="87"/>
        <v>71.41</v>
      </c>
      <c r="AQ266" s="47">
        <v>44.91</v>
      </c>
      <c r="AR266" s="47">
        <v>14</v>
      </c>
      <c r="AS266" s="47">
        <v>500</v>
      </c>
      <c r="AT266" s="47" t="s">
        <v>83</v>
      </c>
      <c r="AU266" s="47" t="s">
        <v>109</v>
      </c>
      <c r="AV266" s="47" t="s">
        <v>133</v>
      </c>
      <c r="AW266" s="47" t="s">
        <v>109</v>
      </c>
      <c r="AX266" s="47" t="s">
        <v>86</v>
      </c>
      <c r="AY266" s="47">
        <v>0</v>
      </c>
      <c r="AZ266" s="47">
        <v>0</v>
      </c>
      <c r="BA266" s="47" t="s">
        <v>2205</v>
      </c>
      <c r="BB266" s="47" t="s">
        <v>88</v>
      </c>
      <c r="BC266" s="47" t="s">
        <v>113</v>
      </c>
      <c r="BD266" s="47" t="s">
        <v>114</v>
      </c>
      <c r="BE266" s="47" t="s">
        <v>954</v>
      </c>
      <c r="BF266" s="47">
        <v>34.6</v>
      </c>
      <c r="BG266" s="47">
        <v>1</v>
      </c>
      <c r="BH266" s="47">
        <v>15.66</v>
      </c>
      <c r="BI266" s="47">
        <v>0</v>
      </c>
      <c r="BJ266" s="47">
        <v>156</v>
      </c>
      <c r="BK266" s="47" t="s">
        <v>91</v>
      </c>
      <c r="BL266" s="47" t="s">
        <v>84</v>
      </c>
      <c r="BM266" s="47">
        <v>1</v>
      </c>
      <c r="BN266" s="47" t="s">
        <v>539</v>
      </c>
      <c r="BO266" s="47" t="s">
        <v>540</v>
      </c>
      <c r="BP266" s="47" t="s">
        <v>540</v>
      </c>
      <c r="BQ266" s="47" t="s">
        <v>117</v>
      </c>
      <c r="BR266" s="47" t="s">
        <v>134</v>
      </c>
      <c r="BS266" s="47" t="s">
        <v>312</v>
      </c>
      <c r="BT266" s="47">
        <v>0</v>
      </c>
      <c r="BU266" s="47" t="s">
        <v>728</v>
      </c>
      <c r="BV266" s="47" t="s">
        <v>729</v>
      </c>
      <c r="BW266" s="47" t="s">
        <v>736</v>
      </c>
      <c r="BX266" s="47" t="s">
        <v>95</v>
      </c>
      <c r="BY266" s="47" t="s">
        <v>748</v>
      </c>
      <c r="BZ266" s="47">
        <v>1</v>
      </c>
      <c r="CA266" s="47">
        <v>1</v>
      </c>
      <c r="CB266" s="47" t="s">
        <v>749</v>
      </c>
      <c r="CC266" s="47" t="s">
        <v>739</v>
      </c>
      <c r="CD266" s="47">
        <v>1</v>
      </c>
      <c r="CE266" s="47" t="s">
        <v>738</v>
      </c>
      <c r="CF266" s="47">
        <v>0</v>
      </c>
      <c r="CG266" s="47" t="s">
        <v>97</v>
      </c>
      <c r="CH266" s="47">
        <v>1</v>
      </c>
      <c r="CI266" s="47" t="s">
        <v>509</v>
      </c>
      <c r="CJ266" s="47" t="s">
        <v>98</v>
      </c>
      <c r="CK266" s="47">
        <v>34</v>
      </c>
      <c r="CL266" s="47">
        <v>0</v>
      </c>
      <c r="CM266" s="47">
        <v>0</v>
      </c>
      <c r="CN266" s="47" t="s">
        <v>124</v>
      </c>
      <c r="CO266" s="47" t="s">
        <v>948</v>
      </c>
      <c r="CP266" s="47" t="s">
        <v>100</v>
      </c>
      <c r="CQ266" s="47" t="s">
        <v>126</v>
      </c>
      <c r="CR266" s="48">
        <v>46223</v>
      </c>
      <c r="CT266" s="47" t="s">
        <v>782</v>
      </c>
    </row>
    <row r="267" spans="1:98" s="47" customFormat="1" x14ac:dyDescent="0.35">
      <c r="A267" s="46" t="s">
        <v>730</v>
      </c>
      <c r="B267" s="46" t="s">
        <v>773</v>
      </c>
      <c r="C267" s="47" t="s">
        <v>731</v>
      </c>
      <c r="D267" s="47">
        <v>2024</v>
      </c>
      <c r="E267" s="46" t="s">
        <v>732</v>
      </c>
      <c r="F267" s="46" t="s">
        <v>733</v>
      </c>
      <c r="G267" s="47" t="s">
        <v>78</v>
      </c>
      <c r="H267" s="47">
        <v>1</v>
      </c>
      <c r="I267" s="47" t="s">
        <v>290</v>
      </c>
      <c r="J267" s="47" t="s">
        <v>79</v>
      </c>
      <c r="K267" s="47">
        <v>11</v>
      </c>
      <c r="L267" s="47" t="s">
        <v>80</v>
      </c>
      <c r="M267" s="47" t="s">
        <v>380</v>
      </c>
      <c r="N267" s="47">
        <v>-8.1000000000000003E-2</v>
      </c>
      <c r="O267" s="47">
        <v>2.7E-2</v>
      </c>
      <c r="P267" s="92">
        <f t="shared" si="74"/>
        <v>-3</v>
      </c>
      <c r="Q267" s="47" t="s">
        <v>312</v>
      </c>
      <c r="R267" s="92">
        <f t="shared" si="75"/>
        <v>-0.13392000000000001</v>
      </c>
      <c r="S267" s="92">
        <f t="shared" si="76"/>
        <v>-2.8080000000000001E-2</v>
      </c>
      <c r="T267" s="47">
        <v>1</v>
      </c>
      <c r="U267" s="59">
        <v>10564</v>
      </c>
      <c r="V267" s="47">
        <v>14</v>
      </c>
      <c r="W267" s="47">
        <v>1</v>
      </c>
      <c r="X267" s="47">
        <f t="shared" si="102"/>
        <v>10550</v>
      </c>
      <c r="Y267" s="92">
        <f t="shared" si="78"/>
        <v>-2.9195092782192841E-2</v>
      </c>
      <c r="Z267" s="92">
        <f t="shared" si="79"/>
        <v>9.7316975940642814E-3</v>
      </c>
      <c r="AA267" s="92">
        <f t="shared" si="105"/>
        <v>-2.9195092782192841E-2</v>
      </c>
      <c r="AB267" s="47" t="s">
        <v>81</v>
      </c>
      <c r="AC267" s="92">
        <f t="shared" si="103"/>
        <v>-8.1000000000000003E-2</v>
      </c>
      <c r="AD267" s="92" cm="1">
        <f t="array" ref="AD267">_xlfn.IFS(
AND(L267="marginal_effect",M267="level"),N267*AN267/BF267,
AND(L267="marginal_effect",M267="sd (Y)"),N267*BH267*AN267/BF267,
AND(L267="marginal_effect",M267="sd (X)"),N267/AQ267*AN267/BF267,
AND(L267="semi_elasticity",M267="level"),N267*AN267,
AND(L267="semi_elasticity",M267="sd (Y)"),N267*AN267*BH267,
AND(L267="semi_elasticity",M267="sd (X)"),N267*AN267/AQ267,
AND(L267="level-log",M267="level"),N267/BF267,
AND(L267="level-log",M267="sd (X)"),N267/BF267/AQ267,
AND(L267="level-log",M267="sd (Y)"),N267/BF267*BH267,
AND(L267="elasticity",M267="level"),N267,
AND(L267="elasticity",M267="sd (X)"),N267/AQ267,
AND(L267="elasticity",M267="sd (Y)"),N267*BH267,
AND(L267="marginal_effect",M267="percent_of_mean"),N267*AN267/BF267/10)</f>
        <v>-8.1000000000000003E-2</v>
      </c>
      <c r="AE267" s="51">
        <f t="shared" si="80"/>
        <v>1</v>
      </c>
      <c r="AF267" s="92">
        <f t="shared" si="104"/>
        <v>2.7E-2</v>
      </c>
      <c r="AG267" s="92" cm="1">
        <f t="array" ref="AG267">_xlfn.IFS(
AND(L267="marginal_effect",M267="level"),O267*AN267/BF267,
AND(L267="marginal_effect",M267="sd (Y)"),O267*BH267*AN267/BF267,
AND(L267="marginal_effect",M267="sd (X)"),O267/AQ267*AN267/BF267,
AND(L267="semi_elasticity",M267="level"),O267*AN267,
AND(L267="semi_elasticity",M267="sd (Y)"),O267*AN267*BH267,
AND(L267="semi_elasticity",M267="sd (X)"),O267*AN267/AQ267,
AND(L267="level-log",M267="level"),O267/BF267,
AND(L267="level-log",M267="sd (X)"),O267/BF267/AQ267,
AND(L267="level-log",M267="sd (Y)"),O267/BF267*BH267,
AND(L267="elasticity",M267="level"),O267,
AND(L267="elasticity",M267="sd (X)"),O267/AQ267,
AND(L267="elasticity",M267="sd (Y)"),O267*BH267,
AND(L267="marginal_effect",M267="percent_of_mean"),O267*AN267/BF267/10)</f>
        <v>2.7E-2</v>
      </c>
      <c r="AH267" s="51">
        <f t="shared" si="81"/>
        <v>1</v>
      </c>
      <c r="AI267" s="92">
        <f t="shared" si="106"/>
        <v>-8.1000000000000003E-2</v>
      </c>
      <c r="AJ267" s="47">
        <v>0</v>
      </c>
      <c r="AK267" s="47">
        <f t="shared" si="82"/>
        <v>1</v>
      </c>
      <c r="AL267" s="47" t="s">
        <v>735</v>
      </c>
      <c r="AM267" s="47" t="s">
        <v>737</v>
      </c>
      <c r="AN267" s="47">
        <v>71.41</v>
      </c>
      <c r="AO267" s="47">
        <v>1</v>
      </c>
      <c r="AP267" s="47">
        <f t="shared" si="87"/>
        <v>71.41</v>
      </c>
      <c r="AQ267" s="47">
        <v>44.91</v>
      </c>
      <c r="AR267" s="47">
        <v>14</v>
      </c>
      <c r="AS267" s="47">
        <v>500</v>
      </c>
      <c r="AT267" s="47" t="s">
        <v>83</v>
      </c>
      <c r="AU267" s="47" t="s">
        <v>109</v>
      </c>
      <c r="AV267" s="47" t="s">
        <v>133</v>
      </c>
      <c r="AW267" s="47" t="s">
        <v>109</v>
      </c>
      <c r="AX267" s="47" t="s">
        <v>86</v>
      </c>
      <c r="AY267" s="47">
        <v>0</v>
      </c>
      <c r="AZ267" s="47">
        <v>0</v>
      </c>
      <c r="BA267" s="47" t="s">
        <v>2205</v>
      </c>
      <c r="BB267" s="47" t="s">
        <v>88</v>
      </c>
      <c r="BC267" s="47" t="s">
        <v>113</v>
      </c>
      <c r="BD267" s="47" t="s">
        <v>114</v>
      </c>
      <c r="BE267" s="47" t="s">
        <v>953</v>
      </c>
      <c r="BF267" s="47">
        <v>34.6</v>
      </c>
      <c r="BG267" s="47">
        <v>1</v>
      </c>
      <c r="BH267" s="47">
        <v>15.66</v>
      </c>
      <c r="BI267" s="47">
        <v>0</v>
      </c>
      <c r="BJ267" s="47">
        <v>156</v>
      </c>
      <c r="BK267" s="47" t="s">
        <v>91</v>
      </c>
      <c r="BL267" s="47" t="s">
        <v>84</v>
      </c>
      <c r="BM267" s="47">
        <v>1</v>
      </c>
      <c r="BN267" s="47" t="s">
        <v>539</v>
      </c>
      <c r="BO267" s="47" t="s">
        <v>540</v>
      </c>
      <c r="BP267" s="47" t="s">
        <v>540</v>
      </c>
      <c r="BQ267" s="47" t="s">
        <v>117</v>
      </c>
      <c r="BR267" s="47" t="s">
        <v>134</v>
      </c>
      <c r="BS267" s="47" t="s">
        <v>312</v>
      </c>
      <c r="BT267" s="47">
        <v>0</v>
      </c>
      <c r="BU267" s="47" t="s">
        <v>728</v>
      </c>
      <c r="BV267" s="47" t="s">
        <v>729</v>
      </c>
      <c r="BW267" s="47" t="s">
        <v>736</v>
      </c>
      <c r="BX267" s="47" t="s">
        <v>95</v>
      </c>
      <c r="BY267" s="47" t="s">
        <v>748</v>
      </c>
      <c r="BZ267" s="47">
        <v>1</v>
      </c>
      <c r="CA267" s="47">
        <v>1</v>
      </c>
      <c r="CB267" s="47" t="s">
        <v>749</v>
      </c>
      <c r="CC267" s="47" t="s">
        <v>739</v>
      </c>
      <c r="CD267" s="47">
        <v>1</v>
      </c>
      <c r="CE267" s="47" t="s">
        <v>738</v>
      </c>
      <c r="CF267" s="47">
        <v>0</v>
      </c>
      <c r="CG267" s="47" t="s">
        <v>97</v>
      </c>
      <c r="CH267" s="47">
        <v>1</v>
      </c>
      <c r="CI267" s="47" t="s">
        <v>509</v>
      </c>
      <c r="CJ267" s="47" t="s">
        <v>98</v>
      </c>
      <c r="CK267" s="47">
        <v>34</v>
      </c>
      <c r="CL267" s="47">
        <v>0</v>
      </c>
      <c r="CM267" s="47">
        <v>0</v>
      </c>
      <c r="CN267" s="47" t="s">
        <v>124</v>
      </c>
      <c r="CO267" s="47" t="s">
        <v>948</v>
      </c>
      <c r="CP267" s="47" t="s">
        <v>100</v>
      </c>
      <c r="CQ267" s="47" t="s">
        <v>126</v>
      </c>
      <c r="CR267" s="48">
        <v>46223</v>
      </c>
      <c r="CT267" s="47" t="s">
        <v>783</v>
      </c>
    </row>
    <row r="268" spans="1:98" s="47" customFormat="1" x14ac:dyDescent="0.35">
      <c r="A268" s="46" t="s">
        <v>730</v>
      </c>
      <c r="B268" s="46" t="s">
        <v>774</v>
      </c>
      <c r="C268" s="47" t="s">
        <v>731</v>
      </c>
      <c r="D268" s="47">
        <v>2024</v>
      </c>
      <c r="E268" s="46" t="s">
        <v>732</v>
      </c>
      <c r="F268" s="46" t="s">
        <v>733</v>
      </c>
      <c r="G268" s="47" t="s">
        <v>78</v>
      </c>
      <c r="H268" s="47">
        <v>1</v>
      </c>
      <c r="I268" s="47" t="s">
        <v>290</v>
      </c>
      <c r="J268" s="47" t="s">
        <v>79</v>
      </c>
      <c r="K268" s="47">
        <v>11</v>
      </c>
      <c r="L268" s="47" t="s">
        <v>80</v>
      </c>
      <c r="M268" s="47" t="s">
        <v>380</v>
      </c>
      <c r="N268" s="47">
        <v>-9.0999999999999998E-2</v>
      </c>
      <c r="O268" s="47">
        <v>4.3999999999999997E-2</v>
      </c>
      <c r="P268" s="92">
        <f t="shared" si="74"/>
        <v>-2.0681818181818183</v>
      </c>
      <c r="Q268" s="47" t="s">
        <v>312</v>
      </c>
      <c r="R268" s="92">
        <f t="shared" si="75"/>
        <v>-0.17724000000000001</v>
      </c>
      <c r="S268" s="92">
        <f t="shared" si="76"/>
        <v>-4.7600000000000003E-3</v>
      </c>
      <c r="T268" s="47">
        <v>1</v>
      </c>
      <c r="U268" s="59">
        <v>10564</v>
      </c>
      <c r="V268" s="47">
        <v>14</v>
      </c>
      <c r="W268" s="47">
        <v>1</v>
      </c>
      <c r="X268" s="47">
        <f t="shared" si="102"/>
        <v>10550</v>
      </c>
      <c r="Y268" s="92">
        <f t="shared" si="78"/>
        <v>-2.0131422522974188E-2</v>
      </c>
      <c r="Z268" s="92">
        <f t="shared" si="79"/>
        <v>9.7338746264930137E-3</v>
      </c>
      <c r="AA268" s="92">
        <f t="shared" si="105"/>
        <v>-2.0131422522974188E-2</v>
      </c>
      <c r="AB268" s="47" t="s">
        <v>81</v>
      </c>
      <c r="AC268" s="92">
        <f t="shared" si="103"/>
        <v>-9.0999999999999998E-2</v>
      </c>
      <c r="AD268" s="92" cm="1">
        <f t="array" ref="AD268">_xlfn.IFS(
AND(L268="marginal_effect",M268="level"),N268*AN268/BF268,
AND(L268="marginal_effect",M268="sd (Y)"),N268*BH268*AN268/BF268,
AND(L268="marginal_effect",M268="sd (X)"),N268/AQ268*AN268/BF268,
AND(L268="semi_elasticity",M268="level"),N268*AN268,
AND(L268="semi_elasticity",M268="sd (Y)"),N268*AN268*BH268,
AND(L268="semi_elasticity",M268="sd (X)"),N268*AN268/AQ268,
AND(L268="level-log",M268="level"),N268/BF268,
AND(L268="level-log",M268="sd (X)"),N268/BF268/AQ268,
AND(L268="level-log",M268="sd (Y)"),N268/BF268*BH268,
AND(L268="elasticity",M268="level"),N268,
AND(L268="elasticity",M268="sd (X)"),N268/AQ268,
AND(L268="elasticity",M268="sd (Y)"),N268*BH268,
AND(L268="marginal_effect",M268="percent_of_mean"),N268*AN268/BF268/10)</f>
        <v>-9.0999999999999998E-2</v>
      </c>
      <c r="AE268" s="51">
        <f t="shared" si="80"/>
        <v>1</v>
      </c>
      <c r="AF268" s="92">
        <f t="shared" si="104"/>
        <v>4.3999999999999997E-2</v>
      </c>
      <c r="AG268" s="92" cm="1">
        <f t="array" ref="AG268">_xlfn.IFS(
AND(L268="marginal_effect",M268="level"),O268*AN268/BF268,
AND(L268="marginal_effect",M268="sd (Y)"),O268*BH268*AN268/BF268,
AND(L268="marginal_effect",M268="sd (X)"),O268/AQ268*AN268/BF268,
AND(L268="semi_elasticity",M268="level"),O268*AN268,
AND(L268="semi_elasticity",M268="sd (Y)"),O268*AN268*BH268,
AND(L268="semi_elasticity",M268="sd (X)"),O268*AN268/AQ268,
AND(L268="level-log",M268="level"),O268/BF268,
AND(L268="level-log",M268="sd (X)"),O268/BF268/AQ268,
AND(L268="level-log",M268="sd (Y)"),O268/BF268*BH268,
AND(L268="elasticity",M268="level"),O268,
AND(L268="elasticity",M268="sd (X)"),O268/AQ268,
AND(L268="elasticity",M268="sd (Y)"),O268*BH268,
AND(L268="marginal_effect",M268="percent_of_mean"),O268*AN268/BF268/10)</f>
        <v>4.3999999999999997E-2</v>
      </c>
      <c r="AH268" s="51">
        <f t="shared" si="81"/>
        <v>1</v>
      </c>
      <c r="AI268" s="92">
        <f t="shared" si="106"/>
        <v>-9.0999999999999998E-2</v>
      </c>
      <c r="AJ268" s="47">
        <v>0</v>
      </c>
      <c r="AK268" s="47">
        <f t="shared" si="82"/>
        <v>1</v>
      </c>
      <c r="AL268" s="47" t="s">
        <v>735</v>
      </c>
      <c r="AM268" s="47" t="s">
        <v>737</v>
      </c>
      <c r="AN268" s="47">
        <v>71.41</v>
      </c>
      <c r="AO268" s="47">
        <v>1</v>
      </c>
      <c r="AP268" s="47">
        <f t="shared" si="87"/>
        <v>71.41</v>
      </c>
      <c r="AQ268" s="47">
        <v>44.91</v>
      </c>
      <c r="AR268" s="47">
        <v>14</v>
      </c>
      <c r="AS268" s="47">
        <v>500</v>
      </c>
      <c r="AT268" s="47" t="s">
        <v>83</v>
      </c>
      <c r="AU268" s="47" t="s">
        <v>109</v>
      </c>
      <c r="AV268" s="47" t="s">
        <v>133</v>
      </c>
      <c r="AW268" s="47" t="s">
        <v>109</v>
      </c>
      <c r="AX268" s="47" t="s">
        <v>86</v>
      </c>
      <c r="AY268" s="47">
        <v>0</v>
      </c>
      <c r="AZ268" s="47">
        <v>0</v>
      </c>
      <c r="BA268" s="47" t="s">
        <v>2205</v>
      </c>
      <c r="BB268" s="47" t="s">
        <v>88</v>
      </c>
      <c r="BC268" s="47" t="s">
        <v>113</v>
      </c>
      <c r="BD268" s="47" t="s">
        <v>114</v>
      </c>
      <c r="BE268" s="47" t="s">
        <v>952</v>
      </c>
      <c r="BF268" s="47">
        <v>34.6</v>
      </c>
      <c r="BG268" s="47">
        <v>1</v>
      </c>
      <c r="BH268" s="47">
        <v>15.66</v>
      </c>
      <c r="BI268" s="47">
        <v>0</v>
      </c>
      <c r="BJ268" s="47">
        <v>156</v>
      </c>
      <c r="BK268" s="47" t="s">
        <v>91</v>
      </c>
      <c r="BL268" s="47" t="s">
        <v>84</v>
      </c>
      <c r="BM268" s="47">
        <v>1</v>
      </c>
      <c r="BN268" s="47" t="s">
        <v>539</v>
      </c>
      <c r="BO268" s="47" t="s">
        <v>540</v>
      </c>
      <c r="BP268" s="47" t="s">
        <v>540</v>
      </c>
      <c r="BQ268" s="47" t="s">
        <v>117</v>
      </c>
      <c r="BR268" s="47" t="s">
        <v>134</v>
      </c>
      <c r="BS268" s="47" t="s">
        <v>312</v>
      </c>
      <c r="BT268" s="47">
        <v>0</v>
      </c>
      <c r="BU268" s="47" t="s">
        <v>728</v>
      </c>
      <c r="BV268" s="47" t="s">
        <v>729</v>
      </c>
      <c r="BW268" s="47" t="s">
        <v>736</v>
      </c>
      <c r="BX268" s="47" t="s">
        <v>95</v>
      </c>
      <c r="BY268" s="47" t="s">
        <v>748</v>
      </c>
      <c r="BZ268" s="47">
        <v>1</v>
      </c>
      <c r="CA268" s="47">
        <v>1</v>
      </c>
      <c r="CB268" s="47" t="s">
        <v>749</v>
      </c>
      <c r="CC268" s="47" t="s">
        <v>739</v>
      </c>
      <c r="CD268" s="47">
        <v>1</v>
      </c>
      <c r="CE268" s="47" t="s">
        <v>738</v>
      </c>
      <c r="CF268" s="47">
        <v>0</v>
      </c>
      <c r="CG268" s="47" t="s">
        <v>97</v>
      </c>
      <c r="CH268" s="47">
        <v>1</v>
      </c>
      <c r="CI268" s="47" t="s">
        <v>509</v>
      </c>
      <c r="CJ268" s="47" t="s">
        <v>98</v>
      </c>
      <c r="CK268" s="47">
        <v>34</v>
      </c>
      <c r="CL268" s="47">
        <v>0</v>
      </c>
      <c r="CM268" s="47">
        <v>0</v>
      </c>
      <c r="CN268" s="47" t="s">
        <v>124</v>
      </c>
      <c r="CO268" s="47" t="s">
        <v>948</v>
      </c>
      <c r="CP268" s="47" t="s">
        <v>100</v>
      </c>
      <c r="CQ268" s="47" t="s">
        <v>126</v>
      </c>
      <c r="CR268" s="48">
        <v>46223</v>
      </c>
      <c r="CT268" s="47" t="s">
        <v>784</v>
      </c>
    </row>
    <row r="269" spans="1:98" s="47" customFormat="1" x14ac:dyDescent="0.35">
      <c r="A269" s="46" t="s">
        <v>730</v>
      </c>
      <c r="B269" s="46" t="s">
        <v>775</v>
      </c>
      <c r="C269" s="47" t="s">
        <v>731</v>
      </c>
      <c r="D269" s="47">
        <v>2024</v>
      </c>
      <c r="E269" s="46" t="s">
        <v>732</v>
      </c>
      <c r="F269" s="46" t="s">
        <v>733</v>
      </c>
      <c r="G269" s="47" t="s">
        <v>78</v>
      </c>
      <c r="H269" s="47">
        <v>1</v>
      </c>
      <c r="I269" s="47" t="s">
        <v>290</v>
      </c>
      <c r="J269" s="47" t="s">
        <v>79</v>
      </c>
      <c r="K269" s="47">
        <v>11</v>
      </c>
      <c r="L269" s="47" t="s">
        <v>80</v>
      </c>
      <c r="M269" s="47" t="s">
        <v>380</v>
      </c>
      <c r="N269" s="47">
        <v>-8.0000000000000002E-3</v>
      </c>
      <c r="O269" s="47">
        <v>0.04</v>
      </c>
      <c r="P269" s="92">
        <f t="shared" si="74"/>
        <v>-0.2</v>
      </c>
      <c r="Q269" s="47" t="s">
        <v>312</v>
      </c>
      <c r="R269" s="92">
        <f t="shared" si="75"/>
        <v>-8.6400000000000005E-2</v>
      </c>
      <c r="S269" s="92">
        <f t="shared" si="76"/>
        <v>7.039999999999999E-2</v>
      </c>
      <c r="T269" s="47">
        <v>1</v>
      </c>
      <c r="U269" s="59">
        <v>10564</v>
      </c>
      <c r="V269" s="47">
        <v>14</v>
      </c>
      <c r="W269" s="47">
        <v>1</v>
      </c>
      <c r="X269" s="47">
        <f t="shared" si="102"/>
        <v>10550</v>
      </c>
      <c r="Y269" s="92">
        <f t="shared" si="78"/>
        <v>-1.9471658427387864E-3</v>
      </c>
      <c r="Z269" s="92">
        <f t="shared" si="79"/>
        <v>9.735829213693932E-3</v>
      </c>
      <c r="AA269" s="92">
        <f t="shared" si="105"/>
        <v>-1.9471658427387864E-3</v>
      </c>
      <c r="AB269" s="47" t="s">
        <v>81</v>
      </c>
      <c r="AC269" s="92">
        <f t="shared" si="103"/>
        <v>-8.0000000000000002E-3</v>
      </c>
      <c r="AD269" s="92" cm="1">
        <f t="array" ref="AD269">_xlfn.IFS(
AND(L269="marginal_effect",M269="level"),N269*AN269/BF269,
AND(L269="marginal_effect",M269="sd (Y)"),N269*BH269*AN269/BF269,
AND(L269="marginal_effect",M269="sd (X)"),N269/AQ269*AN269/BF269,
AND(L269="semi_elasticity",M269="level"),N269*AN269,
AND(L269="semi_elasticity",M269="sd (Y)"),N269*AN269*BH269,
AND(L269="semi_elasticity",M269="sd (X)"),N269*AN269/AQ269,
AND(L269="level-log",M269="level"),N269/BF269,
AND(L269="level-log",M269="sd (X)"),N269/BF269/AQ269,
AND(L269="level-log",M269="sd (Y)"),N269/BF269*BH269,
AND(L269="elasticity",M269="level"),N269,
AND(L269="elasticity",M269="sd (X)"),N269/AQ269,
AND(L269="elasticity",M269="sd (Y)"),N269*BH269,
AND(L269="marginal_effect",M269="percent_of_mean"),N269*AN269/BF269/10)</f>
        <v>-8.0000000000000002E-3</v>
      </c>
      <c r="AE269" s="51">
        <f t="shared" si="80"/>
        <v>1</v>
      </c>
      <c r="AF269" s="92">
        <f t="shared" si="104"/>
        <v>0.04</v>
      </c>
      <c r="AG269" s="92" cm="1">
        <f t="array" ref="AG269">_xlfn.IFS(
AND(L269="marginal_effect",M269="level"),O269*AN269/BF269,
AND(L269="marginal_effect",M269="sd (Y)"),O269*BH269*AN269/BF269,
AND(L269="marginal_effect",M269="sd (X)"),O269/AQ269*AN269/BF269,
AND(L269="semi_elasticity",M269="level"),O269*AN269,
AND(L269="semi_elasticity",M269="sd (Y)"),O269*AN269*BH269,
AND(L269="semi_elasticity",M269="sd (X)"),O269*AN269/AQ269,
AND(L269="level-log",M269="level"),O269/BF269,
AND(L269="level-log",M269="sd (X)"),O269/BF269/AQ269,
AND(L269="level-log",M269="sd (Y)"),O269/BF269*BH269,
AND(L269="elasticity",M269="level"),O269,
AND(L269="elasticity",M269="sd (X)"),O269/AQ269,
AND(L269="elasticity",M269="sd (Y)"),O269*BH269,
AND(L269="marginal_effect",M269="percent_of_mean"),O269*AN269/BF269/10)</f>
        <v>0.04</v>
      </c>
      <c r="AH269" s="51">
        <f t="shared" si="81"/>
        <v>1</v>
      </c>
      <c r="AI269" s="92">
        <f t="shared" si="106"/>
        <v>-8.0000000000000002E-3</v>
      </c>
      <c r="AJ269" s="47">
        <v>0</v>
      </c>
      <c r="AK269" s="47">
        <f t="shared" si="82"/>
        <v>1</v>
      </c>
      <c r="AL269" s="47" t="s">
        <v>735</v>
      </c>
      <c r="AM269" s="47" t="s">
        <v>737</v>
      </c>
      <c r="AN269" s="47">
        <v>71.41</v>
      </c>
      <c r="AO269" s="47">
        <v>1</v>
      </c>
      <c r="AP269" s="47">
        <f t="shared" si="87"/>
        <v>71.41</v>
      </c>
      <c r="AQ269" s="47">
        <v>44.91</v>
      </c>
      <c r="AR269" s="47">
        <v>14</v>
      </c>
      <c r="AS269" s="47">
        <v>500</v>
      </c>
      <c r="AT269" s="47" t="s">
        <v>83</v>
      </c>
      <c r="AU269" s="47" t="s">
        <v>109</v>
      </c>
      <c r="AV269" s="47" t="s">
        <v>133</v>
      </c>
      <c r="AW269" s="47" t="s">
        <v>109</v>
      </c>
      <c r="AX269" s="47" t="s">
        <v>86</v>
      </c>
      <c r="AY269" s="47">
        <v>0</v>
      </c>
      <c r="AZ269" s="47">
        <v>0</v>
      </c>
      <c r="BA269" s="47" t="s">
        <v>2205</v>
      </c>
      <c r="BB269" s="47" t="s">
        <v>88</v>
      </c>
      <c r="BC269" s="47" t="s">
        <v>113</v>
      </c>
      <c r="BD269" s="47" t="s">
        <v>114</v>
      </c>
      <c r="BE269" s="47" t="s">
        <v>951</v>
      </c>
      <c r="BF269" s="47">
        <v>34.6</v>
      </c>
      <c r="BG269" s="47">
        <v>1</v>
      </c>
      <c r="BH269" s="47">
        <v>15.66</v>
      </c>
      <c r="BI269" s="47">
        <v>0</v>
      </c>
      <c r="BJ269" s="47">
        <v>156</v>
      </c>
      <c r="BK269" s="47" t="s">
        <v>91</v>
      </c>
      <c r="BL269" s="47" t="s">
        <v>84</v>
      </c>
      <c r="BM269" s="47">
        <v>0</v>
      </c>
      <c r="BN269" s="47" t="s">
        <v>539</v>
      </c>
      <c r="BO269" s="47" t="s">
        <v>540</v>
      </c>
      <c r="BP269" s="47" t="s">
        <v>540</v>
      </c>
      <c r="BQ269" s="47" t="s">
        <v>117</v>
      </c>
      <c r="BR269" s="47" t="s">
        <v>134</v>
      </c>
      <c r="BS269" s="47" t="s">
        <v>312</v>
      </c>
      <c r="BT269" s="47">
        <v>0</v>
      </c>
      <c r="BU269" s="47" t="s">
        <v>728</v>
      </c>
      <c r="BV269" s="47" t="s">
        <v>729</v>
      </c>
      <c r="BW269" s="47" t="s">
        <v>736</v>
      </c>
      <c r="BX269" s="47" t="s">
        <v>95</v>
      </c>
      <c r="BY269" s="47" t="s">
        <v>748</v>
      </c>
      <c r="BZ269" s="47">
        <v>1</v>
      </c>
      <c r="CA269" s="47">
        <v>1</v>
      </c>
      <c r="CB269" s="47" t="s">
        <v>749</v>
      </c>
      <c r="CC269" s="47" t="s">
        <v>739</v>
      </c>
      <c r="CD269" s="47">
        <v>1</v>
      </c>
      <c r="CE269" s="47" t="s">
        <v>738</v>
      </c>
      <c r="CF269" s="47">
        <v>0</v>
      </c>
      <c r="CG269" s="47" t="s">
        <v>97</v>
      </c>
      <c r="CH269" s="47">
        <v>1</v>
      </c>
      <c r="CI269" s="47" t="s">
        <v>509</v>
      </c>
      <c r="CJ269" s="47" t="s">
        <v>98</v>
      </c>
      <c r="CK269" s="47">
        <v>34</v>
      </c>
      <c r="CL269" s="47">
        <v>0</v>
      </c>
      <c r="CM269" s="47">
        <v>0</v>
      </c>
      <c r="CN269" s="47" t="s">
        <v>124</v>
      </c>
      <c r="CO269" s="47" t="s">
        <v>948</v>
      </c>
      <c r="CP269" s="47" t="s">
        <v>100</v>
      </c>
      <c r="CQ269" s="47" t="s">
        <v>126</v>
      </c>
      <c r="CR269" s="48">
        <v>46223</v>
      </c>
      <c r="CT269" s="47" t="s">
        <v>785</v>
      </c>
    </row>
    <row r="270" spans="1:98" s="47" customFormat="1" x14ac:dyDescent="0.35">
      <c r="A270" s="46" t="s">
        <v>730</v>
      </c>
      <c r="B270" s="46" t="s">
        <v>776</v>
      </c>
      <c r="C270" s="47" t="s">
        <v>731</v>
      </c>
      <c r="D270" s="47">
        <v>2024</v>
      </c>
      <c r="E270" s="46" t="s">
        <v>732</v>
      </c>
      <c r="F270" s="46" t="s">
        <v>733</v>
      </c>
      <c r="G270" s="47" t="s">
        <v>78</v>
      </c>
      <c r="H270" s="47">
        <v>1</v>
      </c>
      <c r="I270" s="47" t="s">
        <v>290</v>
      </c>
      <c r="J270" s="47" t="s">
        <v>79</v>
      </c>
      <c r="K270" s="47">
        <v>11</v>
      </c>
      <c r="L270" s="47" t="s">
        <v>80</v>
      </c>
      <c r="M270" s="47" t="s">
        <v>380</v>
      </c>
      <c r="N270" s="47">
        <v>1.8E-3</v>
      </c>
      <c r="O270" s="47">
        <v>1.7000000000000001E-2</v>
      </c>
      <c r="P270" s="92">
        <f t="shared" si="74"/>
        <v>0.10588235294117646</v>
      </c>
      <c r="Q270" s="47" t="s">
        <v>312</v>
      </c>
      <c r="R270" s="92">
        <f t="shared" si="75"/>
        <v>-3.1519999999999999E-2</v>
      </c>
      <c r="S270" s="92">
        <f t="shared" si="76"/>
        <v>3.5120000000000005E-2</v>
      </c>
      <c r="T270" s="47">
        <v>1</v>
      </c>
      <c r="U270" s="59">
        <v>10564</v>
      </c>
      <c r="V270" s="47">
        <v>14</v>
      </c>
      <c r="W270" s="47">
        <v>1</v>
      </c>
      <c r="X270" s="47">
        <f t="shared" ref="X270:X304" si="107">U270-V270</f>
        <v>10550</v>
      </c>
      <c r="Y270" s="92">
        <f t="shared" si="78"/>
        <v>1.0308539114763278E-3</v>
      </c>
      <c r="Z270" s="92">
        <f t="shared" si="79"/>
        <v>9.7358424972764299E-3</v>
      </c>
      <c r="AA270" s="92">
        <f t="shared" si="105"/>
        <v>1.0308539114763278E-3</v>
      </c>
      <c r="AB270" s="47" t="s">
        <v>81</v>
      </c>
      <c r="AC270" s="92">
        <f t="shared" si="103"/>
        <v>1.8E-3</v>
      </c>
      <c r="AD270" s="92" cm="1">
        <f t="array" ref="AD270">_xlfn.IFS(
AND(L270="marginal_effect",M270="level"),N270*AN270/BF270,
AND(L270="marginal_effect",M270="sd (Y)"),N270*BH270*AN270/BF270,
AND(L270="marginal_effect",M270="sd (X)"),N270/AQ270*AN270/BF270,
AND(L270="semi_elasticity",M270="level"),N270*AN270,
AND(L270="semi_elasticity",M270="sd (Y)"),N270*AN270*BH270,
AND(L270="semi_elasticity",M270="sd (X)"),N270*AN270/AQ270,
AND(L270="level-log",M270="level"),N270/BF270,
AND(L270="level-log",M270="sd (X)"),N270/BF270/AQ270,
AND(L270="level-log",M270="sd (Y)"),N270/BF270*BH270,
AND(L270="elasticity",M270="level"),N270,
AND(L270="elasticity",M270="sd (X)"),N270/AQ270,
AND(L270="elasticity",M270="sd (Y)"),N270*BH270,
AND(L270="marginal_effect",M270="percent_of_mean"),N270*AN270/BF270/10)</f>
        <v>1.8E-3</v>
      </c>
      <c r="AE270" s="51">
        <f t="shared" si="80"/>
        <v>1</v>
      </c>
      <c r="AF270" s="92">
        <f t="shared" si="104"/>
        <v>1.7000000000000001E-2</v>
      </c>
      <c r="AG270" s="92" cm="1">
        <f t="array" ref="AG270">_xlfn.IFS(
AND(L270="marginal_effect",M270="level"),O270*AN270/BF270,
AND(L270="marginal_effect",M270="sd (Y)"),O270*BH270*AN270/BF270,
AND(L270="marginal_effect",M270="sd (X)"),O270/AQ270*AN270/BF270,
AND(L270="semi_elasticity",M270="level"),O270*AN270,
AND(L270="semi_elasticity",M270="sd (Y)"),O270*AN270*BH270,
AND(L270="semi_elasticity",M270="sd (X)"),O270*AN270/AQ270,
AND(L270="level-log",M270="level"),O270/BF270,
AND(L270="level-log",M270="sd (X)"),O270/BF270/AQ270,
AND(L270="level-log",M270="sd (Y)"),O270/BF270*BH270,
AND(L270="elasticity",M270="level"),O270,
AND(L270="elasticity",M270="sd (X)"),O270/AQ270,
AND(L270="elasticity",M270="sd (Y)"),O270*BH270,
AND(L270="marginal_effect",M270="percent_of_mean"),O270*AN270/BF270/10)</f>
        <v>1.7000000000000001E-2</v>
      </c>
      <c r="AH270" s="51">
        <f t="shared" si="81"/>
        <v>1</v>
      </c>
      <c r="AI270" s="92">
        <f t="shared" si="106"/>
        <v>1.8E-3</v>
      </c>
      <c r="AJ270" s="47">
        <v>0</v>
      </c>
      <c r="AK270" s="47">
        <f t="shared" si="82"/>
        <v>1</v>
      </c>
      <c r="AL270" s="47" t="s">
        <v>735</v>
      </c>
      <c r="AM270" s="47" t="s">
        <v>737</v>
      </c>
      <c r="AN270" s="47">
        <v>71.41</v>
      </c>
      <c r="AO270" s="47">
        <v>1</v>
      </c>
      <c r="AP270" s="47">
        <f t="shared" si="87"/>
        <v>71.41</v>
      </c>
      <c r="AQ270" s="47">
        <v>44.91</v>
      </c>
      <c r="AR270" s="47">
        <v>14</v>
      </c>
      <c r="AS270" s="47">
        <v>500</v>
      </c>
      <c r="AT270" s="47" t="s">
        <v>83</v>
      </c>
      <c r="AU270" s="47" t="s">
        <v>109</v>
      </c>
      <c r="AV270" s="47" t="s">
        <v>133</v>
      </c>
      <c r="AW270" s="47" t="s">
        <v>109</v>
      </c>
      <c r="AX270" s="47" t="s">
        <v>86</v>
      </c>
      <c r="AY270" s="47">
        <v>0</v>
      </c>
      <c r="AZ270" s="47">
        <v>0</v>
      </c>
      <c r="BA270" s="47" t="s">
        <v>2205</v>
      </c>
      <c r="BB270" s="47" t="s">
        <v>88</v>
      </c>
      <c r="BC270" s="47" t="s">
        <v>113</v>
      </c>
      <c r="BD270" s="47" t="s">
        <v>114</v>
      </c>
      <c r="BE270" s="47" t="s">
        <v>950</v>
      </c>
      <c r="BF270" s="47">
        <v>34.6</v>
      </c>
      <c r="BG270" s="47">
        <v>1</v>
      </c>
      <c r="BH270" s="47">
        <v>15.66</v>
      </c>
      <c r="BI270" s="47">
        <v>0</v>
      </c>
      <c r="BJ270" s="47">
        <v>156</v>
      </c>
      <c r="BK270" s="47" t="s">
        <v>91</v>
      </c>
      <c r="BL270" s="47" t="s">
        <v>84</v>
      </c>
      <c r="BM270" s="47">
        <v>0</v>
      </c>
      <c r="BN270" s="47" t="s">
        <v>539</v>
      </c>
      <c r="BO270" s="47" t="s">
        <v>540</v>
      </c>
      <c r="BP270" s="47" t="s">
        <v>540</v>
      </c>
      <c r="BQ270" s="47" t="s">
        <v>117</v>
      </c>
      <c r="BR270" s="47" t="s">
        <v>134</v>
      </c>
      <c r="BS270" s="47" t="s">
        <v>312</v>
      </c>
      <c r="BT270" s="47">
        <v>0</v>
      </c>
      <c r="BU270" s="47" t="s">
        <v>728</v>
      </c>
      <c r="BV270" s="47" t="s">
        <v>729</v>
      </c>
      <c r="BW270" s="47" t="s">
        <v>736</v>
      </c>
      <c r="BX270" s="47" t="s">
        <v>95</v>
      </c>
      <c r="BY270" s="47" t="s">
        <v>748</v>
      </c>
      <c r="BZ270" s="47">
        <v>1</v>
      </c>
      <c r="CA270" s="47">
        <v>1</v>
      </c>
      <c r="CB270" s="47" t="s">
        <v>749</v>
      </c>
      <c r="CC270" s="47" t="s">
        <v>739</v>
      </c>
      <c r="CD270" s="47">
        <v>1</v>
      </c>
      <c r="CE270" s="47" t="s">
        <v>738</v>
      </c>
      <c r="CF270" s="47">
        <v>0</v>
      </c>
      <c r="CG270" s="47" t="s">
        <v>97</v>
      </c>
      <c r="CH270" s="47">
        <v>1</v>
      </c>
      <c r="CI270" s="47" t="s">
        <v>509</v>
      </c>
      <c r="CJ270" s="47" t="s">
        <v>98</v>
      </c>
      <c r="CK270" s="47">
        <v>34</v>
      </c>
      <c r="CL270" s="47">
        <v>0</v>
      </c>
      <c r="CM270" s="47">
        <v>0</v>
      </c>
      <c r="CN270" s="47" t="s">
        <v>124</v>
      </c>
      <c r="CO270" s="47" t="s">
        <v>948</v>
      </c>
      <c r="CP270" s="47" t="s">
        <v>100</v>
      </c>
      <c r="CQ270" s="47" t="s">
        <v>126</v>
      </c>
      <c r="CR270" s="48">
        <v>46223</v>
      </c>
      <c r="CT270" s="47" t="s">
        <v>786</v>
      </c>
    </row>
    <row r="271" spans="1:98" s="47" customFormat="1" x14ac:dyDescent="0.35">
      <c r="A271" s="46" t="s">
        <v>730</v>
      </c>
      <c r="B271" s="46" t="s">
        <v>777</v>
      </c>
      <c r="C271" s="47" t="s">
        <v>731</v>
      </c>
      <c r="D271" s="47">
        <v>2024</v>
      </c>
      <c r="E271" s="46" t="s">
        <v>732</v>
      </c>
      <c r="F271" s="46" t="s">
        <v>733</v>
      </c>
      <c r="G271" s="47" t="s">
        <v>78</v>
      </c>
      <c r="H271" s="47">
        <v>1</v>
      </c>
      <c r="I271" s="47" t="s">
        <v>290</v>
      </c>
      <c r="J271" s="47" t="s">
        <v>79</v>
      </c>
      <c r="K271" s="47">
        <v>11</v>
      </c>
      <c r="L271" s="47" t="s">
        <v>80</v>
      </c>
      <c r="M271" s="47" t="s">
        <v>380</v>
      </c>
      <c r="N271" s="47">
        <v>4.2000000000000003E-2</v>
      </c>
      <c r="O271" s="47">
        <v>4.1000000000000002E-2</v>
      </c>
      <c r="P271" s="92">
        <f t="shared" ref="P271:P330" si="108">N271/O271</f>
        <v>1.024390243902439</v>
      </c>
      <c r="Q271" s="47" t="s">
        <v>312</v>
      </c>
      <c r="R271" s="92">
        <f t="shared" ref="R271:R330" si="109">N271-1.96*O271</f>
        <v>-3.8359999999999998E-2</v>
      </c>
      <c r="S271" s="92">
        <f t="shared" ref="S271:S330" si="110">N271+1.96*O271</f>
        <v>0.12236</v>
      </c>
      <c r="T271" s="47">
        <v>1</v>
      </c>
      <c r="U271" s="59">
        <v>10564</v>
      </c>
      <c r="V271" s="47">
        <v>14</v>
      </c>
      <c r="W271" s="47">
        <v>1</v>
      </c>
      <c r="X271" s="47">
        <f t="shared" si="107"/>
        <v>10550</v>
      </c>
      <c r="Y271" s="92">
        <f t="shared" ref="Y271:Y330" si="111">P271/(P271^2 + X271)^(1/2)</f>
        <v>9.9728113997142303E-3</v>
      </c>
      <c r="Z271" s="92">
        <f t="shared" ref="Z271:Z330" si="112">((1-Y271^2)/X271)^(1/2)</f>
        <v>9.7353635092448446E-3</v>
      </c>
      <c r="AA271" s="92">
        <f t="shared" si="105"/>
        <v>9.9728113997142303E-3</v>
      </c>
      <c r="AB271" s="47" t="s">
        <v>81</v>
      </c>
      <c r="AC271" s="92">
        <f t="shared" si="103"/>
        <v>4.2000000000000003E-2</v>
      </c>
      <c r="AD271" s="92" cm="1">
        <f t="array" ref="AD271">_xlfn.IFS(
AND(L271="marginal_effect",M271="level"),N271*AN271/BF271,
AND(L271="marginal_effect",M271="sd (Y)"),N271*BH271*AN271/BF271,
AND(L271="marginal_effect",M271="sd (X)"),N271/AQ271*AN271/BF271,
AND(L271="semi_elasticity",M271="level"),N271*AN271,
AND(L271="semi_elasticity",M271="sd (Y)"),N271*AN271*BH271,
AND(L271="semi_elasticity",M271="sd (X)"),N271*AN271/AQ271,
AND(L271="level-log",M271="level"),N271/BF271,
AND(L271="level-log",M271="sd (X)"),N271/BF271/AQ271,
AND(L271="level-log",M271="sd (Y)"),N271/BF271*BH271,
AND(L271="elasticity",M271="level"),N271,
AND(L271="elasticity",M271="sd (X)"),N271/AQ271,
AND(L271="elasticity",M271="sd (Y)"),N271*BH271,
AND(L271="marginal_effect",M271="percent_of_mean"),N271*AN271/BF271/10)</f>
        <v>4.2000000000000003E-2</v>
      </c>
      <c r="AE271" s="51">
        <f t="shared" ref="AE271:AE334" si="113">IF(AC271=AD271,1,0)</f>
        <v>1</v>
      </c>
      <c r="AF271" s="92">
        <f t="shared" si="104"/>
        <v>4.1000000000000002E-2</v>
      </c>
      <c r="AG271" s="92" cm="1">
        <f t="array" ref="AG271">_xlfn.IFS(
AND(L271="marginal_effect",M271="level"),O271*AN271/BF271,
AND(L271="marginal_effect",M271="sd (Y)"),O271*BH271*AN271/BF271,
AND(L271="marginal_effect",M271="sd (X)"),O271/AQ271*AN271/BF271,
AND(L271="semi_elasticity",M271="level"),O271*AN271,
AND(L271="semi_elasticity",M271="sd (Y)"),O271*AN271*BH271,
AND(L271="semi_elasticity",M271="sd (X)"),O271*AN271/AQ271,
AND(L271="level-log",M271="level"),O271/BF271,
AND(L271="level-log",M271="sd (X)"),O271/BF271/AQ271,
AND(L271="level-log",M271="sd (Y)"),O271/BF271*BH271,
AND(L271="elasticity",M271="level"),O271,
AND(L271="elasticity",M271="sd (X)"),O271/AQ271,
AND(L271="elasticity",M271="sd (Y)"),O271*BH271,
AND(L271="marginal_effect",M271="percent_of_mean"),O271*AN271/BF271/10)</f>
        <v>4.1000000000000002E-2</v>
      </c>
      <c r="AH271" s="51">
        <f t="shared" ref="AH271:AH334" si="114">IF(AF271=AG271,1,0)</f>
        <v>1</v>
      </c>
      <c r="AI271" s="92">
        <f t="shared" si="106"/>
        <v>4.2000000000000003E-2</v>
      </c>
      <c r="AJ271" s="47">
        <v>0</v>
      </c>
      <c r="AK271" s="47">
        <f t="shared" ref="AK271:AK330" si="115">IF(P271=(AC271/AF271),1,0)</f>
        <v>1</v>
      </c>
      <c r="AL271" s="47" t="s">
        <v>735</v>
      </c>
      <c r="AM271" s="47" t="s">
        <v>737</v>
      </c>
      <c r="AN271" s="47">
        <v>71.41</v>
      </c>
      <c r="AO271" s="47">
        <v>1</v>
      </c>
      <c r="AP271" s="47">
        <f t="shared" si="87"/>
        <v>71.41</v>
      </c>
      <c r="AQ271" s="47">
        <v>44.91</v>
      </c>
      <c r="AR271" s="47">
        <v>14</v>
      </c>
      <c r="AS271" s="47">
        <v>500</v>
      </c>
      <c r="AT271" s="47" t="s">
        <v>83</v>
      </c>
      <c r="AU271" s="47" t="s">
        <v>109</v>
      </c>
      <c r="AV271" s="47" t="s">
        <v>133</v>
      </c>
      <c r="AW271" s="47" t="s">
        <v>109</v>
      </c>
      <c r="AX271" s="47" t="s">
        <v>86</v>
      </c>
      <c r="AY271" s="47">
        <v>0</v>
      </c>
      <c r="AZ271" s="47">
        <v>0</v>
      </c>
      <c r="BA271" s="47" t="s">
        <v>2205</v>
      </c>
      <c r="BB271" s="47" t="s">
        <v>88</v>
      </c>
      <c r="BC271" s="47" t="s">
        <v>113</v>
      </c>
      <c r="BD271" s="47" t="s">
        <v>114</v>
      </c>
      <c r="BE271" s="47" t="s">
        <v>949</v>
      </c>
      <c r="BF271" s="47">
        <v>34.6</v>
      </c>
      <c r="BG271" s="47">
        <v>1</v>
      </c>
      <c r="BH271" s="47">
        <v>15.66</v>
      </c>
      <c r="BI271" s="47">
        <v>0</v>
      </c>
      <c r="BJ271" s="47">
        <v>156</v>
      </c>
      <c r="BK271" s="47" t="s">
        <v>91</v>
      </c>
      <c r="BL271" s="47" t="s">
        <v>84</v>
      </c>
      <c r="BM271" s="47">
        <v>0</v>
      </c>
      <c r="BN271" s="47" t="s">
        <v>539</v>
      </c>
      <c r="BO271" s="47" t="s">
        <v>540</v>
      </c>
      <c r="BP271" s="47" t="s">
        <v>540</v>
      </c>
      <c r="BQ271" s="47" t="s">
        <v>117</v>
      </c>
      <c r="BR271" s="47" t="s">
        <v>134</v>
      </c>
      <c r="BS271" s="47" t="s">
        <v>312</v>
      </c>
      <c r="BT271" s="47">
        <v>0</v>
      </c>
      <c r="BU271" s="47" t="s">
        <v>728</v>
      </c>
      <c r="BV271" s="47" t="s">
        <v>729</v>
      </c>
      <c r="BW271" s="47" t="s">
        <v>736</v>
      </c>
      <c r="BX271" s="47" t="s">
        <v>95</v>
      </c>
      <c r="BY271" s="47" t="s">
        <v>748</v>
      </c>
      <c r="BZ271" s="47">
        <v>1</v>
      </c>
      <c r="CA271" s="47">
        <v>1</v>
      </c>
      <c r="CB271" s="47" t="s">
        <v>749</v>
      </c>
      <c r="CC271" s="47" t="s">
        <v>739</v>
      </c>
      <c r="CD271" s="47">
        <v>1</v>
      </c>
      <c r="CE271" s="47" t="s">
        <v>738</v>
      </c>
      <c r="CF271" s="47">
        <v>0</v>
      </c>
      <c r="CG271" s="47" t="s">
        <v>97</v>
      </c>
      <c r="CH271" s="47">
        <v>1</v>
      </c>
      <c r="CI271" s="47" t="s">
        <v>509</v>
      </c>
      <c r="CJ271" s="47" t="s">
        <v>98</v>
      </c>
      <c r="CK271" s="47">
        <v>34</v>
      </c>
      <c r="CL271" s="47">
        <v>0</v>
      </c>
      <c r="CM271" s="47">
        <v>0</v>
      </c>
      <c r="CN271" s="47" t="s">
        <v>124</v>
      </c>
      <c r="CO271" s="47" t="s">
        <v>948</v>
      </c>
      <c r="CP271" s="47" t="s">
        <v>100</v>
      </c>
      <c r="CQ271" s="47" t="s">
        <v>126</v>
      </c>
      <c r="CR271" s="48">
        <v>46223</v>
      </c>
      <c r="CT271" s="47" t="s">
        <v>787</v>
      </c>
    </row>
    <row r="272" spans="1:98" s="55" customFormat="1" x14ac:dyDescent="0.35">
      <c r="A272" s="54" t="s">
        <v>788</v>
      </c>
      <c r="B272" s="54" t="s">
        <v>800</v>
      </c>
      <c r="C272" s="55" t="s">
        <v>789</v>
      </c>
      <c r="D272" s="55">
        <v>2024</v>
      </c>
      <c r="E272" s="60" t="s">
        <v>790</v>
      </c>
      <c r="F272" s="54" t="s">
        <v>840</v>
      </c>
      <c r="G272" s="55" t="s">
        <v>78</v>
      </c>
      <c r="H272" s="55">
        <v>1</v>
      </c>
      <c r="I272" s="55" t="s">
        <v>290</v>
      </c>
      <c r="J272" s="55" t="s">
        <v>79</v>
      </c>
      <c r="K272" s="55">
        <v>3</v>
      </c>
      <c r="L272" s="55" t="s">
        <v>129</v>
      </c>
      <c r="M272" s="55" t="s">
        <v>380</v>
      </c>
      <c r="N272" s="55">
        <f>-1.195/100</f>
        <v>-1.1950000000000001E-2</v>
      </c>
      <c r="O272" s="55">
        <f>0.564/100</f>
        <v>5.6399999999999992E-3</v>
      </c>
      <c r="P272" s="88">
        <f t="shared" si="108"/>
        <v>-2.1187943262411353</v>
      </c>
      <c r="Q272" s="55" t="s">
        <v>312</v>
      </c>
      <c r="R272" s="88">
        <f t="shared" si="109"/>
        <v>-2.3004400000000001E-2</v>
      </c>
      <c r="S272" s="88">
        <f t="shared" si="110"/>
        <v>-8.956000000000016E-4</v>
      </c>
      <c r="T272" s="55">
        <v>1</v>
      </c>
      <c r="U272" s="55">
        <v>15061</v>
      </c>
      <c r="V272" s="55">
        <v>12</v>
      </c>
      <c r="W272" s="55">
        <v>1</v>
      </c>
      <c r="X272" s="55">
        <f t="shared" si="107"/>
        <v>15049</v>
      </c>
      <c r="Y272" s="88">
        <f t="shared" si="111"/>
        <v>-1.7269120198857672E-2</v>
      </c>
      <c r="Z272" s="88">
        <f t="shared" si="112"/>
        <v>8.1504466879964224E-3</v>
      </c>
      <c r="AA272" s="88">
        <f t="shared" si="105"/>
        <v>-1.7269120198857672E-2</v>
      </c>
      <c r="AB272" s="55" t="s">
        <v>81</v>
      </c>
      <c r="AC272" s="88">
        <f t="shared" ref="AC272:AC304" si="116">N272*AN272/BF272</f>
        <v>-3.195597843550288E-2</v>
      </c>
      <c r="AD272" s="88" cm="1">
        <f t="array" ref="AD272">_xlfn.IFS(
AND(L272="marginal_effect",M272="level"),N272*AN272/BF272,
AND(L272="marginal_effect",M272="sd (Y)"),N272*BH272*AN272/BF272,
AND(L272="marginal_effect",M272="sd (X)"),N272/AQ272*AN272/BF272,
AND(L272="semi_elasticity",M272="level"),N272*AN272,
AND(L272="semi_elasticity",M272="sd (Y)"),N272*AN272*BH272,
AND(L272="semi_elasticity",M272="sd (X)"),N272*AN272/AQ272,
AND(L272="level-log",M272="level"),N272/BF272,
AND(L272="level-log",M272="sd (X)"),N272/BF272/AQ272,
AND(L272="level-log",M272="sd (Y)"),N272/BF272*BH272,
AND(L272="elasticity",M272="level"),N272,
AND(L272="elasticity",M272="sd (X)"),N272/AQ272,
AND(L272="elasticity",M272="sd (Y)"),N272*BH272,
AND(L272="marginal_effect",M272="percent_of_mean"),N272*AN272/BF272/10)</f>
        <v>-3.195597843550288E-2</v>
      </c>
      <c r="AE272" s="56">
        <f t="shared" si="113"/>
        <v>1</v>
      </c>
      <c r="AF272" s="88">
        <f t="shared" ref="AF272:AF304" si="117">O272*AN272/BF272</f>
        <v>1.5082152165375414E-2</v>
      </c>
      <c r="AG272" s="88" cm="1">
        <f t="array" ref="AG272">_xlfn.IFS(
AND(L272="marginal_effect",M272="level"),O272*AN272/BF272,
AND(L272="marginal_effect",M272="sd (Y)"),O272*BH272*AN272/BF272,
AND(L272="marginal_effect",M272="sd (X)"),O272/AQ272*AN272/BF272,
AND(L272="semi_elasticity",M272="level"),O272*AN272,
AND(L272="semi_elasticity",M272="sd (Y)"),O272*AN272*BH272,
AND(L272="semi_elasticity",M272="sd (X)"),O272*AN272/AQ272,
AND(L272="level-log",M272="level"),O272/BF272,
AND(L272="level-log",M272="sd (X)"),O272/BF272/AQ272,
AND(L272="level-log",M272="sd (Y)"),O272/BF272*BH272,
AND(L272="elasticity",M272="level"),O272,
AND(L272="elasticity",M272="sd (X)"),O272/AQ272,
AND(L272="elasticity",M272="sd (Y)"),O272*BH272,
AND(L272="marginal_effect",M272="percent_of_mean"),O272*AN272/BF272/10)</f>
        <v>1.5082152165375414E-2</v>
      </c>
      <c r="AH272" s="56">
        <f t="shared" si="114"/>
        <v>1</v>
      </c>
      <c r="AI272" s="88">
        <f t="shared" si="106"/>
        <v>-3.195597843550288E-2</v>
      </c>
      <c r="AJ272" s="55">
        <v>0</v>
      </c>
      <c r="AK272" s="55">
        <f t="shared" si="115"/>
        <v>1</v>
      </c>
      <c r="AL272" s="55" t="s">
        <v>735</v>
      </c>
      <c r="AM272" s="55" t="s">
        <v>737</v>
      </c>
      <c r="AN272" s="55">
        <f>0.749*100</f>
        <v>74.900000000000006</v>
      </c>
      <c r="AO272" s="55">
        <v>0</v>
      </c>
      <c r="AP272" s="55">
        <f t="shared" si="87"/>
        <v>74.900000000000006</v>
      </c>
      <c r="AQ272" s="55">
        <f>0.509*100</f>
        <v>50.9</v>
      </c>
      <c r="AR272" s="55">
        <f>0.15*100</f>
        <v>15</v>
      </c>
      <c r="AS272" s="55">
        <f>5*100</f>
        <v>500</v>
      </c>
      <c r="AT272" s="55" t="s">
        <v>83</v>
      </c>
      <c r="AU272" s="55" t="s">
        <v>109</v>
      </c>
      <c r="AV272" s="55" t="s">
        <v>133</v>
      </c>
      <c r="AW272" s="55" t="s">
        <v>109</v>
      </c>
      <c r="AX272" s="55" t="s">
        <v>86</v>
      </c>
      <c r="AY272" s="55">
        <v>0</v>
      </c>
      <c r="AZ272" s="55">
        <v>0</v>
      </c>
      <c r="BA272" s="55" t="s">
        <v>734</v>
      </c>
      <c r="BB272" s="55" t="s">
        <v>88</v>
      </c>
      <c r="BC272" s="55" t="s">
        <v>113</v>
      </c>
      <c r="BD272" s="55" t="s">
        <v>114</v>
      </c>
      <c r="BE272" s="55" t="s">
        <v>534</v>
      </c>
      <c r="BF272" s="55">
        <v>28.009</v>
      </c>
      <c r="BG272" s="55">
        <v>0</v>
      </c>
      <c r="BH272" s="55">
        <v>17.498000000000001</v>
      </c>
      <c r="BI272" s="55">
        <v>0</v>
      </c>
      <c r="BJ272" s="55">
        <v>132</v>
      </c>
      <c r="BK272" s="55" t="s">
        <v>91</v>
      </c>
      <c r="BL272" s="55" t="s">
        <v>84</v>
      </c>
      <c r="BM272" s="55">
        <v>1</v>
      </c>
      <c r="BN272" s="55" t="s">
        <v>539</v>
      </c>
      <c r="BO272" s="55" t="s">
        <v>540</v>
      </c>
      <c r="BP272" s="55" t="s">
        <v>540</v>
      </c>
      <c r="BQ272" s="55" t="s">
        <v>117</v>
      </c>
      <c r="BR272" s="55" t="s">
        <v>134</v>
      </c>
      <c r="BS272" s="55" t="s">
        <v>312</v>
      </c>
      <c r="BT272" s="55">
        <v>0</v>
      </c>
      <c r="BU272" s="55">
        <v>2014</v>
      </c>
      <c r="BV272" s="55">
        <v>2016</v>
      </c>
      <c r="BW272" s="55" t="s">
        <v>736</v>
      </c>
      <c r="BX272" s="55" t="s">
        <v>95</v>
      </c>
      <c r="BY272" s="55" t="s">
        <v>748</v>
      </c>
      <c r="BZ272" s="55">
        <v>1</v>
      </c>
      <c r="CA272" s="55">
        <v>1</v>
      </c>
      <c r="CB272" s="55" t="s">
        <v>303</v>
      </c>
      <c r="CC272" s="55" t="s">
        <v>791</v>
      </c>
      <c r="CD272" s="55">
        <v>1</v>
      </c>
      <c r="CE272" s="55" t="s">
        <v>792</v>
      </c>
      <c r="CF272" s="55">
        <v>0</v>
      </c>
      <c r="CG272" s="55" t="s">
        <v>97</v>
      </c>
      <c r="CH272" s="55">
        <v>1</v>
      </c>
      <c r="CI272" s="55" t="s">
        <v>97</v>
      </c>
      <c r="CJ272" s="55" t="s">
        <v>98</v>
      </c>
      <c r="CK272" s="55">
        <v>33</v>
      </c>
      <c r="CL272" s="55">
        <v>0</v>
      </c>
      <c r="CM272" s="55">
        <v>0</v>
      </c>
      <c r="CN272" s="55" t="s">
        <v>99</v>
      </c>
      <c r="CO272" s="55" t="s">
        <v>97</v>
      </c>
      <c r="CP272" s="55" t="s">
        <v>100</v>
      </c>
      <c r="CQ272" s="55" t="s">
        <v>126</v>
      </c>
      <c r="CR272" s="57">
        <v>46223</v>
      </c>
      <c r="CT272" s="55" t="s">
        <v>793</v>
      </c>
    </row>
    <row r="273" spans="1:98" s="55" customFormat="1" x14ac:dyDescent="0.35">
      <c r="A273" s="54" t="s">
        <v>788</v>
      </c>
      <c r="B273" s="54" t="s">
        <v>801</v>
      </c>
      <c r="C273" s="55" t="s">
        <v>789</v>
      </c>
      <c r="D273" s="55">
        <v>2024</v>
      </c>
      <c r="E273" s="60" t="s">
        <v>790</v>
      </c>
      <c r="F273" s="54" t="s">
        <v>840</v>
      </c>
      <c r="G273" s="55" t="s">
        <v>78</v>
      </c>
      <c r="H273" s="55">
        <v>1</v>
      </c>
      <c r="I273" s="55" t="s">
        <v>290</v>
      </c>
      <c r="J273" s="55" t="s">
        <v>79</v>
      </c>
      <c r="K273" s="55">
        <v>3</v>
      </c>
      <c r="L273" s="55" t="s">
        <v>129</v>
      </c>
      <c r="M273" s="55" t="s">
        <v>380</v>
      </c>
      <c r="N273" s="55">
        <f>-1.279/100</f>
        <v>-1.2789999999999999E-2</v>
      </c>
      <c r="O273" s="55">
        <f>0.548/100</f>
        <v>5.4800000000000005E-3</v>
      </c>
      <c r="P273" s="88">
        <f t="shared" si="108"/>
        <v>-2.3339416058394158</v>
      </c>
      <c r="Q273" s="55" t="s">
        <v>312</v>
      </c>
      <c r="R273" s="88">
        <f t="shared" si="109"/>
        <v>-2.3530799999999998E-2</v>
      </c>
      <c r="S273" s="88">
        <f t="shared" si="110"/>
        <v>-2.0491999999999993E-3</v>
      </c>
      <c r="T273" s="55">
        <v>1</v>
      </c>
      <c r="U273" s="55">
        <v>15061</v>
      </c>
      <c r="V273" s="55">
        <v>12</v>
      </c>
      <c r="W273" s="55">
        <v>1</v>
      </c>
      <c r="X273" s="55">
        <f t="shared" si="107"/>
        <v>15049</v>
      </c>
      <c r="Y273" s="88">
        <f t="shared" si="111"/>
        <v>-1.9022061365268593E-2</v>
      </c>
      <c r="Z273" s="88">
        <f t="shared" si="112"/>
        <v>8.1501873558773967E-3</v>
      </c>
      <c r="AA273" s="88">
        <f t="shared" si="105"/>
        <v>-1.9022061365268593E-2</v>
      </c>
      <c r="AB273" s="55" t="s">
        <v>81</v>
      </c>
      <c r="AC273" s="88">
        <f t="shared" si="116"/>
        <v>-3.4202256417580061E-2</v>
      </c>
      <c r="AD273" s="88" cm="1">
        <f t="array" ref="AD273">_xlfn.IFS(
AND(L273="marginal_effect",M273="level"),N273*AN273/BF273,
AND(L273="marginal_effect",M273="sd (Y)"),N273*BH273*AN273/BF273,
AND(L273="marginal_effect",M273="sd (X)"),N273/AQ273*AN273/BF273,
AND(L273="semi_elasticity",M273="level"),N273*AN273,
AND(L273="semi_elasticity",M273="sd (Y)"),N273*AN273*BH273,
AND(L273="semi_elasticity",M273="sd (X)"),N273*AN273/AQ273,
AND(L273="level-log",M273="level"),N273/BF273,
AND(L273="level-log",M273="sd (X)"),N273/BF273/AQ273,
AND(L273="level-log",M273="sd (Y)"),N273/BF273*BH273,
AND(L273="elasticity",M273="level"),N273,
AND(L273="elasticity",M273="sd (X)"),N273/AQ273,
AND(L273="elasticity",M273="sd (Y)"),N273*BH273,
AND(L273="marginal_effect",M273="percent_of_mean"),N273*AN273/BF273/10)</f>
        <v>-3.4202256417580061E-2</v>
      </c>
      <c r="AE273" s="56">
        <f t="shared" si="113"/>
        <v>1</v>
      </c>
      <c r="AF273" s="88">
        <f t="shared" si="117"/>
        <v>1.4654289692598811E-2</v>
      </c>
      <c r="AG273" s="88" cm="1">
        <f t="array" ref="AG273">_xlfn.IFS(
AND(L273="marginal_effect",M273="level"),O273*AN273/BF273,
AND(L273="marginal_effect",M273="sd (Y)"),O273*BH273*AN273/BF273,
AND(L273="marginal_effect",M273="sd (X)"),O273/AQ273*AN273/BF273,
AND(L273="semi_elasticity",M273="level"),O273*AN273,
AND(L273="semi_elasticity",M273="sd (Y)"),O273*AN273*BH273,
AND(L273="semi_elasticity",M273="sd (X)"),O273*AN273/AQ273,
AND(L273="level-log",M273="level"),O273/BF273,
AND(L273="level-log",M273="sd (X)"),O273/BF273/AQ273,
AND(L273="level-log",M273="sd (Y)"),O273/BF273*BH273,
AND(L273="elasticity",M273="level"),O273,
AND(L273="elasticity",M273="sd (X)"),O273/AQ273,
AND(L273="elasticity",M273="sd (Y)"),O273*BH273,
AND(L273="marginal_effect",M273="percent_of_mean"),O273*AN273/BF273/10)</f>
        <v>1.4654289692598811E-2</v>
      </c>
      <c r="AH273" s="56">
        <f t="shared" si="114"/>
        <v>1</v>
      </c>
      <c r="AI273" s="88">
        <f t="shared" si="106"/>
        <v>-3.4202256417580061E-2</v>
      </c>
      <c r="AJ273" s="55">
        <v>0</v>
      </c>
      <c r="AK273" s="55">
        <f t="shared" si="115"/>
        <v>1</v>
      </c>
      <c r="AL273" s="55" t="s">
        <v>735</v>
      </c>
      <c r="AM273" s="55" t="s">
        <v>737</v>
      </c>
      <c r="AN273" s="55">
        <f>0.749*100</f>
        <v>74.900000000000006</v>
      </c>
      <c r="AO273" s="55">
        <v>0</v>
      </c>
      <c r="AP273" s="55">
        <f t="shared" si="87"/>
        <v>74.900000000000006</v>
      </c>
      <c r="AQ273" s="55">
        <f>0.509*100</f>
        <v>50.9</v>
      </c>
      <c r="AR273" s="55">
        <f>0.15*100</f>
        <v>15</v>
      </c>
      <c r="AS273" s="55">
        <f>5*100</f>
        <v>500</v>
      </c>
      <c r="AT273" s="55" t="s">
        <v>83</v>
      </c>
      <c r="AU273" s="55" t="s">
        <v>109</v>
      </c>
      <c r="AV273" s="55" t="s">
        <v>133</v>
      </c>
      <c r="AW273" s="55" t="s">
        <v>109</v>
      </c>
      <c r="AX273" s="55" t="s">
        <v>86</v>
      </c>
      <c r="AY273" s="55">
        <v>0</v>
      </c>
      <c r="AZ273" s="55">
        <v>0</v>
      </c>
      <c r="BA273" s="55" t="s">
        <v>734</v>
      </c>
      <c r="BB273" s="55" t="s">
        <v>88</v>
      </c>
      <c r="BC273" s="55" t="s">
        <v>113</v>
      </c>
      <c r="BD273" s="55" t="s">
        <v>114</v>
      </c>
      <c r="BE273" s="55" t="s">
        <v>534</v>
      </c>
      <c r="BF273" s="55">
        <v>28.009</v>
      </c>
      <c r="BG273" s="55">
        <v>0</v>
      </c>
      <c r="BH273" s="55">
        <v>17.498000000000001</v>
      </c>
      <c r="BI273" s="55">
        <v>0</v>
      </c>
      <c r="BJ273" s="55">
        <v>132</v>
      </c>
      <c r="BK273" s="55" t="s">
        <v>91</v>
      </c>
      <c r="BL273" s="55" t="s">
        <v>84</v>
      </c>
      <c r="BM273" s="55">
        <v>1</v>
      </c>
      <c r="BN273" s="55" t="s">
        <v>539</v>
      </c>
      <c r="BO273" s="55" t="s">
        <v>540</v>
      </c>
      <c r="BP273" s="55" t="s">
        <v>540</v>
      </c>
      <c r="BQ273" s="55" t="s">
        <v>117</v>
      </c>
      <c r="BR273" s="55" t="s">
        <v>134</v>
      </c>
      <c r="BS273" s="55" t="s">
        <v>312</v>
      </c>
      <c r="BT273" s="55">
        <v>0</v>
      </c>
      <c r="BU273" s="55">
        <v>2014</v>
      </c>
      <c r="BV273" s="55">
        <v>2016</v>
      </c>
      <c r="BW273" s="55" t="s">
        <v>736</v>
      </c>
      <c r="BX273" s="55" t="s">
        <v>95</v>
      </c>
      <c r="BY273" s="55" t="s">
        <v>748</v>
      </c>
      <c r="BZ273" s="55">
        <v>1</v>
      </c>
      <c r="CA273" s="55">
        <v>1</v>
      </c>
      <c r="CB273" s="55" t="s">
        <v>303</v>
      </c>
      <c r="CC273" s="55" t="s">
        <v>794</v>
      </c>
      <c r="CD273" s="55">
        <v>1</v>
      </c>
      <c r="CE273" s="55" t="s">
        <v>792</v>
      </c>
      <c r="CF273" s="55">
        <v>0</v>
      </c>
      <c r="CG273" s="55" t="s">
        <v>97</v>
      </c>
      <c r="CH273" s="55">
        <v>1</v>
      </c>
      <c r="CI273" s="55" t="s">
        <v>97</v>
      </c>
      <c r="CJ273" s="55" t="s">
        <v>98</v>
      </c>
      <c r="CK273" s="55">
        <v>33</v>
      </c>
      <c r="CL273" s="55">
        <v>0</v>
      </c>
      <c r="CM273" s="55">
        <v>0</v>
      </c>
      <c r="CN273" s="55" t="s">
        <v>99</v>
      </c>
      <c r="CO273" s="55" t="s">
        <v>97</v>
      </c>
      <c r="CP273" s="55" t="s">
        <v>100</v>
      </c>
      <c r="CQ273" s="55" t="s">
        <v>126</v>
      </c>
      <c r="CR273" s="57">
        <v>46223</v>
      </c>
      <c r="CT273" s="55" t="s">
        <v>796</v>
      </c>
    </row>
    <row r="274" spans="1:98" s="55" customFormat="1" x14ac:dyDescent="0.35">
      <c r="A274" s="54" t="s">
        <v>788</v>
      </c>
      <c r="B274" s="54" t="s">
        <v>802</v>
      </c>
      <c r="C274" s="55" t="s">
        <v>789</v>
      </c>
      <c r="D274" s="55">
        <v>2024</v>
      </c>
      <c r="E274" s="60" t="s">
        <v>790</v>
      </c>
      <c r="F274" s="54" t="s">
        <v>840</v>
      </c>
      <c r="G274" s="55" t="s">
        <v>78</v>
      </c>
      <c r="H274" s="55">
        <v>1</v>
      </c>
      <c r="I274" s="55" t="s">
        <v>290</v>
      </c>
      <c r="J274" s="55" t="s">
        <v>79</v>
      </c>
      <c r="K274" s="55">
        <v>3</v>
      </c>
      <c r="L274" s="55" t="s">
        <v>129</v>
      </c>
      <c r="M274" s="55" t="s">
        <v>380</v>
      </c>
      <c r="N274" s="55">
        <f>-1.368/100</f>
        <v>-1.3680000000000001E-2</v>
      </c>
      <c r="O274" s="55">
        <f>0.548/100</f>
        <v>5.4800000000000005E-3</v>
      </c>
      <c r="P274" s="88">
        <f t="shared" si="108"/>
        <v>-2.4963503649635035</v>
      </c>
      <c r="Q274" s="55" t="s">
        <v>312</v>
      </c>
      <c r="R274" s="88">
        <f t="shared" si="109"/>
        <v>-2.4420799999999999E-2</v>
      </c>
      <c r="S274" s="88">
        <f t="shared" si="110"/>
        <v>-2.9392000000000012E-3</v>
      </c>
      <c r="T274" s="55">
        <v>1</v>
      </c>
      <c r="U274" s="55">
        <v>15061</v>
      </c>
      <c r="V274" s="55">
        <v>12</v>
      </c>
      <c r="W274" s="55">
        <v>1</v>
      </c>
      <c r="X274" s="55">
        <f t="shared" si="107"/>
        <v>15049</v>
      </c>
      <c r="Y274" s="88">
        <f t="shared" si="111"/>
        <v>-2.0345193096996686E-2</v>
      </c>
      <c r="Z274" s="88">
        <f t="shared" si="112"/>
        <v>8.1499750125396085E-3</v>
      </c>
      <c r="AA274" s="88">
        <f t="shared" si="105"/>
        <v>-2.0345193096996686E-2</v>
      </c>
      <c r="AB274" s="55" t="s">
        <v>81</v>
      </c>
      <c r="AC274" s="88">
        <f t="shared" si="116"/>
        <v>-3.658224142239995E-2</v>
      </c>
      <c r="AD274" s="88" cm="1">
        <f t="array" ref="AD274">_xlfn.IFS(
AND(L274="marginal_effect",M274="level"),N274*AN274/BF274,
AND(L274="marginal_effect",M274="sd (Y)"),N274*BH274*AN274/BF274,
AND(L274="marginal_effect",M274="sd (X)"),N274/AQ274*AN274/BF274,
AND(L274="semi_elasticity",M274="level"),N274*AN274,
AND(L274="semi_elasticity",M274="sd (Y)"),N274*AN274*BH274,
AND(L274="semi_elasticity",M274="sd (X)"),N274*AN274/AQ274,
AND(L274="level-log",M274="level"),N274/BF274,
AND(L274="level-log",M274="sd (X)"),N274/BF274/AQ274,
AND(L274="level-log",M274="sd (Y)"),N274/BF274*BH274,
AND(L274="elasticity",M274="level"),N274,
AND(L274="elasticity",M274="sd (X)"),N274/AQ274,
AND(L274="elasticity",M274="sd (Y)"),N274*BH274,
AND(L274="marginal_effect",M274="percent_of_mean"),N274*AN274/BF274/10)</f>
        <v>-3.658224142239995E-2</v>
      </c>
      <c r="AE274" s="56">
        <f t="shared" si="113"/>
        <v>1</v>
      </c>
      <c r="AF274" s="88">
        <f t="shared" si="117"/>
        <v>1.4654289692598811E-2</v>
      </c>
      <c r="AG274" s="88" cm="1">
        <f t="array" ref="AG274">_xlfn.IFS(
AND(L274="marginal_effect",M274="level"),O274*AN274/BF274,
AND(L274="marginal_effect",M274="sd (Y)"),O274*BH274*AN274/BF274,
AND(L274="marginal_effect",M274="sd (X)"),O274/AQ274*AN274/BF274,
AND(L274="semi_elasticity",M274="level"),O274*AN274,
AND(L274="semi_elasticity",M274="sd (Y)"),O274*AN274*BH274,
AND(L274="semi_elasticity",M274="sd (X)"),O274*AN274/AQ274,
AND(L274="level-log",M274="level"),O274/BF274,
AND(L274="level-log",M274="sd (X)"),O274/BF274/AQ274,
AND(L274="level-log",M274="sd (Y)"),O274/BF274*BH274,
AND(L274="elasticity",M274="level"),O274,
AND(L274="elasticity",M274="sd (X)"),O274/AQ274,
AND(L274="elasticity",M274="sd (Y)"),O274*BH274,
AND(L274="marginal_effect",M274="percent_of_mean"),O274*AN274/BF274/10)</f>
        <v>1.4654289692598811E-2</v>
      </c>
      <c r="AH274" s="56">
        <f t="shared" si="114"/>
        <v>1</v>
      </c>
      <c r="AI274" s="88">
        <f t="shared" si="106"/>
        <v>-3.658224142239995E-2</v>
      </c>
      <c r="AJ274" s="55">
        <v>0</v>
      </c>
      <c r="AK274" s="55">
        <f t="shared" si="115"/>
        <v>1</v>
      </c>
      <c r="AL274" s="55" t="s">
        <v>735</v>
      </c>
      <c r="AM274" s="55" t="s">
        <v>737</v>
      </c>
      <c r="AN274" s="55">
        <f>0.749*100</f>
        <v>74.900000000000006</v>
      </c>
      <c r="AO274" s="55">
        <v>0</v>
      </c>
      <c r="AP274" s="55">
        <f t="shared" si="87"/>
        <v>74.900000000000006</v>
      </c>
      <c r="AQ274" s="55">
        <f>0.509*100</f>
        <v>50.9</v>
      </c>
      <c r="AR274" s="55">
        <f>0.15*100</f>
        <v>15</v>
      </c>
      <c r="AS274" s="55">
        <f>5*100</f>
        <v>500</v>
      </c>
      <c r="AT274" s="55" t="s">
        <v>83</v>
      </c>
      <c r="AU274" s="55" t="s">
        <v>109</v>
      </c>
      <c r="AV274" s="55" t="s">
        <v>133</v>
      </c>
      <c r="AW274" s="55" t="s">
        <v>109</v>
      </c>
      <c r="AX274" s="55" t="s">
        <v>86</v>
      </c>
      <c r="AY274" s="55">
        <v>0</v>
      </c>
      <c r="AZ274" s="55">
        <v>0</v>
      </c>
      <c r="BA274" s="55" t="s">
        <v>734</v>
      </c>
      <c r="BB274" s="55" t="s">
        <v>88</v>
      </c>
      <c r="BC274" s="55" t="s">
        <v>113</v>
      </c>
      <c r="BD274" s="55" t="s">
        <v>114</v>
      </c>
      <c r="BE274" s="55" t="s">
        <v>534</v>
      </c>
      <c r="BF274" s="55">
        <v>28.009</v>
      </c>
      <c r="BG274" s="55">
        <v>0</v>
      </c>
      <c r="BH274" s="55">
        <v>17.498000000000001</v>
      </c>
      <c r="BI274" s="55">
        <v>0</v>
      </c>
      <c r="BJ274" s="55">
        <v>132</v>
      </c>
      <c r="BK274" s="55" t="s">
        <v>91</v>
      </c>
      <c r="BL274" s="55" t="s">
        <v>84</v>
      </c>
      <c r="BM274" s="55">
        <v>1</v>
      </c>
      <c r="BN274" s="55" t="s">
        <v>539</v>
      </c>
      <c r="BO274" s="55" t="s">
        <v>540</v>
      </c>
      <c r="BP274" s="55" t="s">
        <v>540</v>
      </c>
      <c r="BQ274" s="55" t="s">
        <v>117</v>
      </c>
      <c r="BR274" s="55" t="s">
        <v>134</v>
      </c>
      <c r="BS274" s="55" t="s">
        <v>312</v>
      </c>
      <c r="BT274" s="55">
        <v>0</v>
      </c>
      <c r="BU274" s="55">
        <v>2014</v>
      </c>
      <c r="BV274" s="55">
        <v>2016</v>
      </c>
      <c r="BW274" s="55" t="s">
        <v>736</v>
      </c>
      <c r="BX274" s="55" t="s">
        <v>95</v>
      </c>
      <c r="BY274" s="55" t="s">
        <v>748</v>
      </c>
      <c r="BZ274" s="55">
        <v>1</v>
      </c>
      <c r="CA274" s="55">
        <v>1</v>
      </c>
      <c r="CB274" s="55" t="s">
        <v>303</v>
      </c>
      <c r="CC274" s="55" t="s">
        <v>795</v>
      </c>
      <c r="CD274" s="55">
        <v>1</v>
      </c>
      <c r="CE274" s="55" t="s">
        <v>792</v>
      </c>
      <c r="CF274" s="55">
        <v>0</v>
      </c>
      <c r="CG274" s="55" t="s">
        <v>97</v>
      </c>
      <c r="CH274" s="55">
        <v>1</v>
      </c>
      <c r="CI274" s="55" t="s">
        <v>97</v>
      </c>
      <c r="CJ274" s="55" t="s">
        <v>98</v>
      </c>
      <c r="CK274" s="55">
        <v>33</v>
      </c>
      <c r="CL274" s="55">
        <v>1</v>
      </c>
      <c r="CM274" s="55">
        <v>1</v>
      </c>
      <c r="CN274" s="55" t="s">
        <v>99</v>
      </c>
      <c r="CO274" s="55" t="s">
        <v>97</v>
      </c>
      <c r="CP274" s="55" t="s">
        <v>100</v>
      </c>
      <c r="CQ274" s="55" t="s">
        <v>126</v>
      </c>
      <c r="CR274" s="57">
        <v>46223</v>
      </c>
      <c r="CT274" s="55" t="s">
        <v>797</v>
      </c>
    </row>
    <row r="275" spans="1:98" s="55" customFormat="1" x14ac:dyDescent="0.35">
      <c r="A275" s="54" t="s">
        <v>788</v>
      </c>
      <c r="B275" s="54" t="s">
        <v>803</v>
      </c>
      <c r="C275" s="55" t="s">
        <v>789</v>
      </c>
      <c r="D275" s="55">
        <v>2024</v>
      </c>
      <c r="E275" s="60" t="s">
        <v>790</v>
      </c>
      <c r="F275" s="54" t="s">
        <v>840</v>
      </c>
      <c r="G275" s="55" t="s">
        <v>78</v>
      </c>
      <c r="H275" s="55">
        <v>1</v>
      </c>
      <c r="I275" s="55" t="s">
        <v>290</v>
      </c>
      <c r="J275" s="55" t="s">
        <v>79</v>
      </c>
      <c r="K275" s="55">
        <v>3</v>
      </c>
      <c r="L275" s="55" t="s">
        <v>129</v>
      </c>
      <c r="M275" s="55" t="s">
        <v>380</v>
      </c>
      <c r="N275" s="55">
        <f>-1.916/100</f>
        <v>-1.916E-2</v>
      </c>
      <c r="O275" s="55">
        <f>0.777/100</f>
        <v>7.77E-3</v>
      </c>
      <c r="P275" s="88">
        <f t="shared" si="108"/>
        <v>-2.4658944658944657</v>
      </c>
      <c r="Q275" s="55" t="s">
        <v>312</v>
      </c>
      <c r="R275" s="88">
        <f t="shared" si="109"/>
        <v>-3.4389200000000002E-2</v>
      </c>
      <c r="S275" s="88">
        <f t="shared" si="110"/>
        <v>-3.9307999999999999E-3</v>
      </c>
      <c r="T275" s="55">
        <v>1</v>
      </c>
      <c r="U275" s="55">
        <v>15009</v>
      </c>
      <c r="V275" s="55">
        <v>12</v>
      </c>
      <c r="W275" s="55">
        <v>1</v>
      </c>
      <c r="X275" s="55">
        <f t="shared" si="107"/>
        <v>14997</v>
      </c>
      <c r="Y275" s="88">
        <f t="shared" si="111"/>
        <v>-2.0131876810289204E-2</v>
      </c>
      <c r="Z275" s="88">
        <f t="shared" si="112"/>
        <v>8.164127495613108E-3</v>
      </c>
      <c r="AA275" s="88">
        <f t="shared" si="105"/>
        <v>-2.0131876810289204E-2</v>
      </c>
      <c r="AB275" s="55" t="s">
        <v>81</v>
      </c>
      <c r="AC275" s="88">
        <f t="shared" si="116"/>
        <v>-3.1945874540326324E-2</v>
      </c>
      <c r="AD275" s="88" cm="1">
        <f t="array" ref="AD275">_xlfn.IFS(
AND(L275="marginal_effect",M275="level"),N275*AN275/BF275,
AND(L275="marginal_effect",M275="sd (Y)"),N275*BH275*AN275/BF275,
AND(L275="marginal_effect",M275="sd (X)"),N275/AQ275*AN275/BF275,
AND(L275="semi_elasticity",M275="level"),N275*AN275,
AND(L275="semi_elasticity",M275="sd (Y)"),N275*AN275*BH275,
AND(L275="semi_elasticity",M275="sd (X)"),N275*AN275/AQ275,
AND(L275="level-log",M275="level"),N275/BF275,
AND(L275="level-log",M275="sd (X)"),N275/BF275/AQ275,
AND(L275="level-log",M275="sd (Y)"),N275/BF275*BH275,
AND(L275="elasticity",M275="level"),N275,
AND(L275="elasticity",M275="sd (X)"),N275/AQ275,
AND(L275="elasticity",M275="sd (Y)"),N275*BH275,
AND(L275="marginal_effect",M275="percent_of_mean"),N275*AN275/BF275/10)</f>
        <v>-3.1945874540326324E-2</v>
      </c>
      <c r="AE275" s="56">
        <f t="shared" si="113"/>
        <v>1</v>
      </c>
      <c r="AF275" s="88">
        <f t="shared" si="117"/>
        <v>1.2955085865257596E-2</v>
      </c>
      <c r="AG275" s="88" cm="1">
        <f t="array" ref="AG275">_xlfn.IFS(
AND(L275="marginal_effect",M275="level"),O275*AN275/BF275,
AND(L275="marginal_effect",M275="sd (Y)"),O275*BH275*AN275/BF275,
AND(L275="marginal_effect",M275="sd (X)"),O275/AQ275*AN275/BF275,
AND(L275="semi_elasticity",M275="level"),O275*AN275,
AND(L275="semi_elasticity",M275="sd (Y)"),O275*AN275*BH275,
AND(L275="semi_elasticity",M275="sd (X)"),O275*AN275/AQ275,
AND(L275="level-log",M275="level"),O275/BF275,
AND(L275="level-log",M275="sd (X)"),O275/BF275/AQ275,
AND(L275="level-log",M275="sd (Y)"),O275/BF275*BH275,
AND(L275="elasticity",M275="level"),O275,
AND(L275="elasticity",M275="sd (X)"),O275/AQ275,
AND(L275="elasticity",M275="sd (Y)"),O275*BH275,
AND(L275="marginal_effect",M275="percent_of_mean"),O275*AN275/BF275/10)</f>
        <v>1.2955085865257596E-2</v>
      </c>
      <c r="AH275" s="56">
        <f t="shared" si="114"/>
        <v>1</v>
      </c>
      <c r="AI275" s="88">
        <f t="shared" si="106"/>
        <v>-3.1945874540326324E-2</v>
      </c>
      <c r="AJ275" s="55">
        <v>0</v>
      </c>
      <c r="AK275" s="55">
        <f t="shared" si="115"/>
        <v>1</v>
      </c>
      <c r="AL275" s="55" t="s">
        <v>82</v>
      </c>
      <c r="AM275" s="55" t="s">
        <v>1333</v>
      </c>
      <c r="AN275" s="55">
        <f>0.467*100</f>
        <v>46.7</v>
      </c>
      <c r="AO275" s="55">
        <v>0</v>
      </c>
      <c r="AP275" s="55">
        <f t="shared" si="87"/>
        <v>46.7</v>
      </c>
      <c r="AQ275" s="55">
        <f>0.398*100</f>
        <v>39.800000000000004</v>
      </c>
      <c r="AR275" s="55">
        <f>0.01*100</f>
        <v>1</v>
      </c>
      <c r="AS275" s="55">
        <f>3.67*100</f>
        <v>367</v>
      </c>
      <c r="AT275" s="55" t="s">
        <v>83</v>
      </c>
      <c r="AU275" s="55" t="s">
        <v>109</v>
      </c>
      <c r="AV275" s="55" t="s">
        <v>133</v>
      </c>
      <c r="AW275" s="55" t="s">
        <v>109</v>
      </c>
      <c r="AX275" s="55" t="s">
        <v>86</v>
      </c>
      <c r="AY275" s="55">
        <v>0</v>
      </c>
      <c r="AZ275" s="55">
        <v>0</v>
      </c>
      <c r="BA275" s="55" t="s">
        <v>734</v>
      </c>
      <c r="BB275" s="55" t="s">
        <v>88</v>
      </c>
      <c r="BC275" s="55" t="s">
        <v>113</v>
      </c>
      <c r="BD275" s="55" t="s">
        <v>114</v>
      </c>
      <c r="BE275" s="55" t="s">
        <v>534</v>
      </c>
      <c r="BF275" s="55">
        <v>28.009</v>
      </c>
      <c r="BG275" s="55">
        <v>0</v>
      </c>
      <c r="BH275" s="55">
        <v>17.498000000000001</v>
      </c>
      <c r="BI275" s="55">
        <v>0</v>
      </c>
      <c r="BJ275" s="55">
        <v>132</v>
      </c>
      <c r="BK275" s="55" t="s">
        <v>91</v>
      </c>
      <c r="BL275" s="55" t="s">
        <v>84</v>
      </c>
      <c r="BM275" s="55">
        <v>1</v>
      </c>
      <c r="BN275" s="55" t="s">
        <v>539</v>
      </c>
      <c r="BO275" s="55" t="s">
        <v>540</v>
      </c>
      <c r="BP275" s="55" t="s">
        <v>540</v>
      </c>
      <c r="BQ275" s="55" t="s">
        <v>117</v>
      </c>
      <c r="BR275" s="55" t="s">
        <v>134</v>
      </c>
      <c r="BS275" s="55" t="s">
        <v>312</v>
      </c>
      <c r="BT275" s="55">
        <v>0</v>
      </c>
      <c r="BU275" s="55">
        <v>2014</v>
      </c>
      <c r="BV275" s="55">
        <v>2016</v>
      </c>
      <c r="BW275" s="55" t="s">
        <v>736</v>
      </c>
      <c r="BX275" s="55" t="s">
        <v>95</v>
      </c>
      <c r="BY275" s="55" t="s">
        <v>748</v>
      </c>
      <c r="BZ275" s="55">
        <v>1</v>
      </c>
      <c r="CA275" s="55">
        <v>1</v>
      </c>
      <c r="CB275" s="55" t="s">
        <v>303</v>
      </c>
      <c r="CC275" s="55" t="s">
        <v>794</v>
      </c>
      <c r="CD275" s="55">
        <v>1</v>
      </c>
      <c r="CE275" s="55" t="s">
        <v>792</v>
      </c>
      <c r="CF275" s="55">
        <v>0</v>
      </c>
      <c r="CG275" s="55" t="s">
        <v>97</v>
      </c>
      <c r="CH275" s="55">
        <v>1</v>
      </c>
      <c r="CI275" s="55" t="s">
        <v>97</v>
      </c>
      <c r="CJ275" s="55" t="s">
        <v>98</v>
      </c>
      <c r="CK275" s="55">
        <v>33</v>
      </c>
      <c r="CL275" s="55">
        <v>0</v>
      </c>
      <c r="CM275" s="55">
        <v>0</v>
      </c>
      <c r="CN275" s="55" t="s">
        <v>99</v>
      </c>
      <c r="CO275" s="55" t="s">
        <v>97</v>
      </c>
      <c r="CP275" s="55" t="s">
        <v>100</v>
      </c>
      <c r="CQ275" s="55" t="s">
        <v>126</v>
      </c>
      <c r="CR275" s="57">
        <v>46223</v>
      </c>
      <c r="CT275" s="55" t="s">
        <v>798</v>
      </c>
    </row>
    <row r="276" spans="1:98" s="55" customFormat="1" x14ac:dyDescent="0.35">
      <c r="A276" s="54" t="s">
        <v>788</v>
      </c>
      <c r="B276" s="54" t="s">
        <v>804</v>
      </c>
      <c r="C276" s="55" t="s">
        <v>789</v>
      </c>
      <c r="D276" s="55">
        <v>2024</v>
      </c>
      <c r="E276" s="60" t="s">
        <v>790</v>
      </c>
      <c r="F276" s="54" t="s">
        <v>840</v>
      </c>
      <c r="G276" s="55" t="s">
        <v>78</v>
      </c>
      <c r="H276" s="55">
        <v>1</v>
      </c>
      <c r="I276" s="55" t="s">
        <v>290</v>
      </c>
      <c r="J276" s="55" t="s">
        <v>79</v>
      </c>
      <c r="K276" s="55">
        <v>3</v>
      </c>
      <c r="L276" s="55" t="s">
        <v>129</v>
      </c>
      <c r="M276" s="55" t="s">
        <v>380</v>
      </c>
      <c r="N276" s="55">
        <f>-0.957/100</f>
        <v>-9.5700000000000004E-3</v>
      </c>
      <c r="O276" s="55">
        <f>0.409/100</f>
        <v>4.0899999999999999E-3</v>
      </c>
      <c r="P276" s="88">
        <f t="shared" si="108"/>
        <v>-2.3398533007334965</v>
      </c>
      <c r="Q276" s="55" t="s">
        <v>312</v>
      </c>
      <c r="R276" s="88">
        <f t="shared" si="109"/>
        <v>-1.7586400000000002E-2</v>
      </c>
      <c r="S276" s="88">
        <f t="shared" si="110"/>
        <v>-1.5536000000000005E-3</v>
      </c>
      <c r="T276" s="55">
        <v>1</v>
      </c>
      <c r="U276" s="55">
        <v>14227</v>
      </c>
      <c r="V276" s="55">
        <v>12</v>
      </c>
      <c r="W276" s="55">
        <v>1</v>
      </c>
      <c r="X276" s="55">
        <f t="shared" si="107"/>
        <v>14215</v>
      </c>
      <c r="Y276" s="88">
        <f t="shared" si="111"/>
        <v>-1.9621471752760484E-2</v>
      </c>
      <c r="Z276" s="88">
        <f t="shared" si="112"/>
        <v>8.3857700594347304E-3</v>
      </c>
      <c r="AA276" s="88">
        <f t="shared" si="105"/>
        <v>-1.9621471752760484E-2</v>
      </c>
      <c r="AB276" s="55" t="s">
        <v>81</v>
      </c>
      <c r="AC276" s="88">
        <f t="shared" si="116"/>
        <v>-2.8632439572994394E-2</v>
      </c>
      <c r="AD276" s="88" cm="1">
        <f t="array" ref="AD276">_xlfn.IFS(
AND(L276="marginal_effect",M276="level"),N276*AN276/BF276,
AND(L276="marginal_effect",M276="sd (Y)"),N276*BH276*AN276/BF276,
AND(L276="marginal_effect",M276="sd (X)"),N276/AQ276*AN276/BF276,
AND(L276="semi_elasticity",M276="level"),N276*AN276,
AND(L276="semi_elasticity",M276="sd (Y)"),N276*AN276*BH276,
AND(L276="semi_elasticity",M276="sd (X)"),N276*AN276/AQ276,
AND(L276="level-log",M276="level"),N276/BF276,
AND(L276="level-log",M276="sd (X)"),N276/BF276/AQ276,
AND(L276="level-log",M276="sd (Y)"),N276/BF276*BH276,
AND(L276="elasticity",M276="level"),N276,
AND(L276="elasticity",M276="sd (X)"),N276/AQ276,
AND(L276="elasticity",M276="sd (Y)"),N276*BH276,
AND(L276="marginal_effect",M276="percent_of_mean"),N276*AN276/BF276/10)</f>
        <v>-2.8632439572994394E-2</v>
      </c>
      <c r="AE276" s="56">
        <f t="shared" si="113"/>
        <v>1</v>
      </c>
      <c r="AF276" s="88">
        <f t="shared" si="117"/>
        <v>1.2236852440287049E-2</v>
      </c>
      <c r="AG276" s="88" cm="1">
        <f t="array" ref="AG276">_xlfn.IFS(
AND(L276="marginal_effect",M276="level"),O276*AN276/BF276,
AND(L276="marginal_effect",M276="sd (Y)"),O276*BH276*AN276/BF276,
AND(L276="marginal_effect",M276="sd (X)"),O276/AQ276*AN276/BF276,
AND(L276="semi_elasticity",M276="level"),O276*AN276,
AND(L276="semi_elasticity",M276="sd (Y)"),O276*AN276*BH276,
AND(L276="semi_elasticity",M276="sd (X)"),O276*AN276/AQ276,
AND(L276="level-log",M276="level"),O276/BF276,
AND(L276="level-log",M276="sd (X)"),O276/BF276/AQ276,
AND(L276="level-log",M276="sd (Y)"),O276/BF276*BH276,
AND(L276="elasticity",M276="level"),O276,
AND(L276="elasticity",M276="sd (X)"),O276/AQ276,
AND(L276="elasticity",M276="sd (Y)"),O276*BH276,
AND(L276="marginal_effect",M276="percent_of_mean"),O276*AN276/BF276/10)</f>
        <v>1.2236852440287049E-2</v>
      </c>
      <c r="AH276" s="56">
        <f t="shared" si="114"/>
        <v>1</v>
      </c>
      <c r="AI276" s="88">
        <f t="shared" si="106"/>
        <v>-2.8632439572994394E-2</v>
      </c>
      <c r="AJ276" s="55">
        <v>0</v>
      </c>
      <c r="AK276" s="55">
        <f t="shared" si="115"/>
        <v>1</v>
      </c>
      <c r="AL276" s="55" t="s">
        <v>106</v>
      </c>
      <c r="AM276" s="55" t="s">
        <v>1333</v>
      </c>
      <c r="AN276" s="55">
        <f>0.838*100</f>
        <v>83.8</v>
      </c>
      <c r="AO276" s="55">
        <v>0</v>
      </c>
      <c r="AP276" s="55">
        <f t="shared" si="87"/>
        <v>83.8</v>
      </c>
      <c r="AQ276" s="55">
        <f>0.696*100</f>
        <v>69.599999999999994</v>
      </c>
      <c r="AR276" s="55">
        <v>0</v>
      </c>
      <c r="AS276" s="55">
        <f>7.73*100</f>
        <v>773</v>
      </c>
      <c r="AT276" s="55" t="s">
        <v>83</v>
      </c>
      <c r="AU276" s="55" t="s">
        <v>109</v>
      </c>
      <c r="AV276" s="55" t="s">
        <v>133</v>
      </c>
      <c r="AW276" s="55" t="s">
        <v>109</v>
      </c>
      <c r="AX276" s="55" t="s">
        <v>86</v>
      </c>
      <c r="AY276" s="55">
        <v>0</v>
      </c>
      <c r="AZ276" s="55">
        <v>0</v>
      </c>
      <c r="BA276" s="55" t="s">
        <v>734</v>
      </c>
      <c r="BB276" s="55" t="s">
        <v>88</v>
      </c>
      <c r="BC276" s="55" t="s">
        <v>113</v>
      </c>
      <c r="BD276" s="55" t="s">
        <v>114</v>
      </c>
      <c r="BE276" s="55" t="s">
        <v>534</v>
      </c>
      <c r="BF276" s="55">
        <v>28.009</v>
      </c>
      <c r="BG276" s="55">
        <v>0</v>
      </c>
      <c r="BH276" s="55">
        <v>17.498000000000001</v>
      </c>
      <c r="BI276" s="55">
        <v>0</v>
      </c>
      <c r="BJ276" s="55">
        <v>132</v>
      </c>
      <c r="BK276" s="55" t="s">
        <v>91</v>
      </c>
      <c r="BL276" s="55" t="s">
        <v>84</v>
      </c>
      <c r="BM276" s="55">
        <v>1</v>
      </c>
      <c r="BN276" s="55" t="s">
        <v>539</v>
      </c>
      <c r="BO276" s="55" t="s">
        <v>540</v>
      </c>
      <c r="BP276" s="55" t="s">
        <v>540</v>
      </c>
      <c r="BQ276" s="55" t="s">
        <v>117</v>
      </c>
      <c r="BR276" s="55" t="s">
        <v>134</v>
      </c>
      <c r="BS276" s="55" t="s">
        <v>312</v>
      </c>
      <c r="BT276" s="55">
        <v>0</v>
      </c>
      <c r="BU276" s="55">
        <v>2014</v>
      </c>
      <c r="BV276" s="55">
        <v>2016</v>
      </c>
      <c r="BW276" s="55" t="s">
        <v>736</v>
      </c>
      <c r="BX276" s="55" t="s">
        <v>95</v>
      </c>
      <c r="BY276" s="55" t="s">
        <v>748</v>
      </c>
      <c r="BZ276" s="55">
        <v>1</v>
      </c>
      <c r="CA276" s="55">
        <v>1</v>
      </c>
      <c r="CB276" s="55" t="s">
        <v>303</v>
      </c>
      <c r="CC276" s="55" t="s">
        <v>795</v>
      </c>
      <c r="CD276" s="55">
        <v>1</v>
      </c>
      <c r="CE276" s="55" t="s">
        <v>792</v>
      </c>
      <c r="CF276" s="55">
        <v>0</v>
      </c>
      <c r="CG276" s="55" t="s">
        <v>97</v>
      </c>
      <c r="CH276" s="55">
        <v>1</v>
      </c>
      <c r="CI276" s="55" t="s">
        <v>97</v>
      </c>
      <c r="CJ276" s="55" t="s">
        <v>98</v>
      </c>
      <c r="CK276" s="55">
        <v>33</v>
      </c>
      <c r="CL276" s="55">
        <v>0</v>
      </c>
      <c r="CM276" s="55">
        <v>1</v>
      </c>
      <c r="CN276" s="55" t="s">
        <v>99</v>
      </c>
      <c r="CO276" s="55" t="s">
        <v>97</v>
      </c>
      <c r="CP276" s="55" t="s">
        <v>100</v>
      </c>
      <c r="CQ276" s="55" t="s">
        <v>126</v>
      </c>
      <c r="CR276" s="57">
        <v>46223</v>
      </c>
      <c r="CT276" s="55" t="s">
        <v>799</v>
      </c>
    </row>
    <row r="277" spans="1:98" s="55" customFormat="1" x14ac:dyDescent="0.35">
      <c r="A277" s="54" t="s">
        <v>788</v>
      </c>
      <c r="B277" s="54" t="s">
        <v>805</v>
      </c>
      <c r="C277" s="55" t="s">
        <v>789</v>
      </c>
      <c r="D277" s="55">
        <v>2024</v>
      </c>
      <c r="E277" s="60" t="s">
        <v>790</v>
      </c>
      <c r="F277" s="54" t="s">
        <v>840</v>
      </c>
      <c r="G277" s="55" t="s">
        <v>78</v>
      </c>
      <c r="H277" s="55">
        <v>1</v>
      </c>
      <c r="I277" s="55" t="s">
        <v>290</v>
      </c>
      <c r="J277" s="55" t="s">
        <v>79</v>
      </c>
      <c r="K277" s="55">
        <v>3</v>
      </c>
      <c r="L277" s="55" t="s">
        <v>129</v>
      </c>
      <c r="M277" s="55" t="s">
        <v>380</v>
      </c>
      <c r="N277" s="55">
        <f>0.106/100</f>
        <v>1.06E-3</v>
      </c>
      <c r="O277" s="55">
        <f>0.059/100</f>
        <v>5.8999999999999992E-4</v>
      </c>
      <c r="P277" s="88">
        <f t="shared" si="108"/>
        <v>1.7966101694915255</v>
      </c>
      <c r="Q277" s="55" t="s">
        <v>312</v>
      </c>
      <c r="R277" s="88">
        <f t="shared" si="109"/>
        <v>-9.6399999999999958E-5</v>
      </c>
      <c r="S277" s="88">
        <f t="shared" si="110"/>
        <v>2.2163999999999999E-3</v>
      </c>
      <c r="T277" s="55">
        <v>1</v>
      </c>
      <c r="U277" s="55">
        <v>15061</v>
      </c>
      <c r="V277" s="55">
        <v>12</v>
      </c>
      <c r="W277" s="55">
        <v>1</v>
      </c>
      <c r="X277" s="55">
        <f t="shared" si="107"/>
        <v>15049</v>
      </c>
      <c r="Y277" s="88">
        <f t="shared" si="111"/>
        <v>1.4643788992628323E-2</v>
      </c>
      <c r="Z277" s="88">
        <f t="shared" si="112"/>
        <v>8.1507882128780285E-3</v>
      </c>
      <c r="AA277" s="88">
        <f t="shared" si="105"/>
        <v>1.4643788992628323E-2</v>
      </c>
      <c r="AB277" s="55" t="s">
        <v>81</v>
      </c>
      <c r="AC277" s="88">
        <f t="shared" si="116"/>
        <v>6.1355486862442042E-2</v>
      </c>
      <c r="AD277" s="88" cm="1">
        <f t="array" ref="AD277">_xlfn.IFS(
AND(L277="marginal_effect",M277="level"),N277*AN277/BF277,
AND(L277="marginal_effect",M277="sd (Y)"),N277*BH277*AN277/BF277,
AND(L277="marginal_effect",M277="sd (X)"),N277/AQ277*AN277/BF277,
AND(L277="semi_elasticity",M277="level"),N277*AN277,
AND(L277="semi_elasticity",M277="sd (Y)"),N277*AN277*BH277,
AND(L277="semi_elasticity",M277="sd (X)"),N277*AN277/AQ277,
AND(L277="level-log",M277="level"),N277/BF277,
AND(L277="level-log",M277="sd (X)"),N277/BF277/AQ277,
AND(L277="level-log",M277="sd (Y)"),N277/BF277*BH277,
AND(L277="elasticity",M277="level"),N277,
AND(L277="elasticity",M277="sd (X)"),N277/AQ277,
AND(L277="elasticity",M277="sd (Y)"),N277*BH277,
AND(L277="marginal_effect",M277="percent_of_mean"),N277*AN277/BF277/10)</f>
        <v>6.1355486862442042E-2</v>
      </c>
      <c r="AE277" s="56">
        <f t="shared" si="113"/>
        <v>1</v>
      </c>
      <c r="AF277" s="88">
        <f t="shared" si="117"/>
        <v>3.4150695517774339E-2</v>
      </c>
      <c r="AG277" s="88" cm="1">
        <f t="array" ref="AG277">_xlfn.IFS(
AND(L277="marginal_effect",M277="level"),O277*AN277/BF277,
AND(L277="marginal_effect",M277="sd (Y)"),O277*BH277*AN277/BF277,
AND(L277="marginal_effect",M277="sd (X)"),O277/AQ277*AN277/BF277,
AND(L277="semi_elasticity",M277="level"),O277*AN277,
AND(L277="semi_elasticity",M277="sd (Y)"),O277*AN277*BH277,
AND(L277="semi_elasticity",M277="sd (X)"),O277*AN277/AQ277,
AND(L277="level-log",M277="level"),O277/BF277,
AND(L277="level-log",M277="sd (X)"),O277/BF277/AQ277,
AND(L277="level-log",M277="sd (Y)"),O277/BF277*BH277,
AND(L277="elasticity",M277="level"),O277,
AND(L277="elasticity",M277="sd (X)"),O277/AQ277,
AND(L277="elasticity",M277="sd (Y)"),O277*BH277,
AND(L277="marginal_effect",M277="percent_of_mean"),O277*AN277/BF277/10)</f>
        <v>3.4150695517774339E-2</v>
      </c>
      <c r="AH277" s="56">
        <f t="shared" si="114"/>
        <v>1</v>
      </c>
      <c r="AI277" s="88">
        <f t="shared" ref="AI277:AI286" si="118">-AC277</f>
        <v>-6.1355486862442042E-2</v>
      </c>
      <c r="AJ277" s="55">
        <v>0</v>
      </c>
      <c r="AK277" s="55">
        <f t="shared" si="115"/>
        <v>1</v>
      </c>
      <c r="AL277" s="55" t="s">
        <v>735</v>
      </c>
      <c r="AM277" s="55" t="s">
        <v>737</v>
      </c>
      <c r="AN277" s="55">
        <f>0.749*100</f>
        <v>74.900000000000006</v>
      </c>
      <c r="AO277" s="55">
        <v>0</v>
      </c>
      <c r="AP277" s="55">
        <f t="shared" si="87"/>
        <v>74.900000000000006</v>
      </c>
      <c r="AQ277" s="55">
        <f>0.509*100</f>
        <v>50.9</v>
      </c>
      <c r="AR277" s="55">
        <f>0.15*100</f>
        <v>15</v>
      </c>
      <c r="AS277" s="55">
        <f>5*100</f>
        <v>500</v>
      </c>
      <c r="AT277" s="55" t="s">
        <v>83</v>
      </c>
      <c r="AU277" s="55" t="s">
        <v>109</v>
      </c>
      <c r="AV277" s="55" t="s">
        <v>133</v>
      </c>
      <c r="AW277" s="55" t="s">
        <v>109</v>
      </c>
      <c r="AX277" s="55" t="s">
        <v>86</v>
      </c>
      <c r="AY277" s="55">
        <v>0</v>
      </c>
      <c r="AZ277" s="55">
        <v>0</v>
      </c>
      <c r="BA277" s="55" t="s">
        <v>734</v>
      </c>
      <c r="BB277" s="55" t="s">
        <v>88</v>
      </c>
      <c r="BC277" s="55" t="s">
        <v>113</v>
      </c>
      <c r="BD277" s="55" t="s">
        <v>114</v>
      </c>
      <c r="BE277" s="55" t="s">
        <v>810</v>
      </c>
      <c r="BF277" s="55">
        <v>1.294</v>
      </c>
      <c r="BG277" s="55">
        <v>0</v>
      </c>
      <c r="BH277" s="55">
        <v>1.3360000000000001</v>
      </c>
      <c r="BI277" s="55">
        <v>0</v>
      </c>
      <c r="BJ277" s="55">
        <v>11</v>
      </c>
      <c r="BK277" s="55" t="s">
        <v>91</v>
      </c>
      <c r="BL277" s="55" t="s">
        <v>84</v>
      </c>
      <c r="BM277" s="55">
        <v>1</v>
      </c>
      <c r="BN277" s="55" t="s">
        <v>539</v>
      </c>
      <c r="BO277" s="55" t="s">
        <v>540</v>
      </c>
      <c r="BP277" s="55" t="s">
        <v>540</v>
      </c>
      <c r="BQ277" s="55" t="s">
        <v>117</v>
      </c>
      <c r="BR277" s="55" t="s">
        <v>134</v>
      </c>
      <c r="BS277" s="55" t="s">
        <v>312</v>
      </c>
      <c r="BT277" s="55">
        <v>0</v>
      </c>
      <c r="BU277" s="55">
        <v>2014</v>
      </c>
      <c r="BV277" s="55">
        <v>2016</v>
      </c>
      <c r="BW277" s="55" t="s">
        <v>736</v>
      </c>
      <c r="BX277" s="55" t="s">
        <v>95</v>
      </c>
      <c r="BY277" s="55" t="s">
        <v>748</v>
      </c>
      <c r="BZ277" s="55">
        <v>1</v>
      </c>
      <c r="CA277" s="55">
        <v>1</v>
      </c>
      <c r="CB277" s="55" t="s">
        <v>303</v>
      </c>
      <c r="CC277" s="55" t="s">
        <v>791</v>
      </c>
      <c r="CD277" s="55">
        <v>1</v>
      </c>
      <c r="CE277" s="55" t="s">
        <v>792</v>
      </c>
      <c r="CF277" s="55">
        <v>0</v>
      </c>
      <c r="CG277" s="55" t="s">
        <v>97</v>
      </c>
      <c r="CH277" s="55">
        <v>1</v>
      </c>
      <c r="CI277" s="55" t="s">
        <v>97</v>
      </c>
      <c r="CJ277" s="55" t="s">
        <v>98</v>
      </c>
      <c r="CK277" s="55">
        <v>33</v>
      </c>
      <c r="CL277" s="55">
        <v>0</v>
      </c>
      <c r="CM277" s="55">
        <v>0</v>
      </c>
      <c r="CN277" s="55" t="s">
        <v>99</v>
      </c>
      <c r="CO277" s="55" t="s">
        <v>97</v>
      </c>
      <c r="CP277" s="55" t="s">
        <v>100</v>
      </c>
      <c r="CQ277" s="55" t="s">
        <v>126</v>
      </c>
      <c r="CR277" s="57">
        <v>46223</v>
      </c>
      <c r="CT277" s="55" t="s">
        <v>817</v>
      </c>
    </row>
    <row r="278" spans="1:98" s="55" customFormat="1" x14ac:dyDescent="0.35">
      <c r="A278" s="54" t="s">
        <v>788</v>
      </c>
      <c r="B278" s="54" t="s">
        <v>806</v>
      </c>
      <c r="C278" s="55" t="s">
        <v>789</v>
      </c>
      <c r="D278" s="55">
        <v>2024</v>
      </c>
      <c r="E278" s="60" t="s">
        <v>790</v>
      </c>
      <c r="F278" s="54" t="s">
        <v>840</v>
      </c>
      <c r="G278" s="55" t="s">
        <v>78</v>
      </c>
      <c r="H278" s="55">
        <v>1</v>
      </c>
      <c r="I278" s="55" t="s">
        <v>290</v>
      </c>
      <c r="J278" s="55" t="s">
        <v>79</v>
      </c>
      <c r="K278" s="55">
        <v>3</v>
      </c>
      <c r="L278" s="55" t="s">
        <v>129</v>
      </c>
      <c r="M278" s="55" t="s">
        <v>380</v>
      </c>
      <c r="N278" s="55">
        <f>0.108/100</f>
        <v>1.08E-3</v>
      </c>
      <c r="O278" s="55">
        <f>0.058/100</f>
        <v>5.8E-4</v>
      </c>
      <c r="P278" s="88">
        <f t="shared" si="108"/>
        <v>1.8620689655172413</v>
      </c>
      <c r="Q278" s="55" t="s">
        <v>312</v>
      </c>
      <c r="R278" s="88">
        <f t="shared" si="109"/>
        <v>-5.680000000000008E-5</v>
      </c>
      <c r="S278" s="88">
        <f t="shared" si="110"/>
        <v>2.2168000000000001E-3</v>
      </c>
      <c r="T278" s="55">
        <v>1</v>
      </c>
      <c r="U278" s="55">
        <v>15061</v>
      </c>
      <c r="V278" s="55">
        <v>12</v>
      </c>
      <c r="W278" s="55">
        <v>1</v>
      </c>
      <c r="X278" s="55">
        <f t="shared" si="107"/>
        <v>15049</v>
      </c>
      <c r="Y278" s="88">
        <f t="shared" si="111"/>
        <v>1.5177209035543971E-2</v>
      </c>
      <c r="Z278" s="88">
        <f t="shared" si="112"/>
        <v>8.1507233709402806E-3</v>
      </c>
      <c r="AA278" s="88">
        <f>-Y278</f>
        <v>-1.5177209035543971E-2</v>
      </c>
      <c r="AB278" s="55" t="s">
        <v>81</v>
      </c>
      <c r="AC278" s="88">
        <f t="shared" si="116"/>
        <v>6.2513137557959814E-2</v>
      </c>
      <c r="AD278" s="88" cm="1">
        <f t="array" ref="AD278">_xlfn.IFS(
AND(L278="marginal_effect",M278="level"),N278*AN278/BF278,
AND(L278="marginal_effect",M278="sd (Y)"),N278*BH278*AN278/BF278,
AND(L278="marginal_effect",M278="sd (X)"),N278/AQ278*AN278/BF278,
AND(L278="semi_elasticity",M278="level"),N278*AN278,
AND(L278="semi_elasticity",M278="sd (Y)"),N278*AN278*BH278,
AND(L278="semi_elasticity",M278="sd (X)"),N278*AN278/AQ278,
AND(L278="level-log",M278="level"),N278/BF278,
AND(L278="level-log",M278="sd (X)"),N278/BF278/AQ278,
AND(L278="level-log",M278="sd (Y)"),N278/BF278*BH278,
AND(L278="elasticity",M278="level"),N278,
AND(L278="elasticity",M278="sd (X)"),N278/AQ278,
AND(L278="elasticity",M278="sd (Y)"),N278*BH278,
AND(L278="marginal_effect",M278="percent_of_mean"),N278*AN278/BF278/10)</f>
        <v>6.2513137557959814E-2</v>
      </c>
      <c r="AE278" s="56">
        <f t="shared" si="113"/>
        <v>1</v>
      </c>
      <c r="AF278" s="88">
        <f t="shared" si="117"/>
        <v>3.3571870170015457E-2</v>
      </c>
      <c r="AG278" s="88" cm="1">
        <f t="array" ref="AG278">_xlfn.IFS(
AND(L278="marginal_effect",M278="level"),O278*AN278/BF278,
AND(L278="marginal_effect",M278="sd (Y)"),O278*BH278*AN278/BF278,
AND(L278="marginal_effect",M278="sd (X)"),O278/AQ278*AN278/BF278,
AND(L278="semi_elasticity",M278="level"),O278*AN278,
AND(L278="semi_elasticity",M278="sd (Y)"),O278*AN278*BH278,
AND(L278="semi_elasticity",M278="sd (X)"),O278*AN278/AQ278,
AND(L278="level-log",M278="level"),O278/BF278,
AND(L278="level-log",M278="sd (X)"),O278/BF278/AQ278,
AND(L278="level-log",M278="sd (Y)"),O278/BF278*BH278,
AND(L278="elasticity",M278="level"),O278,
AND(L278="elasticity",M278="sd (X)"),O278/AQ278,
AND(L278="elasticity",M278="sd (Y)"),O278*BH278,
AND(L278="marginal_effect",M278="percent_of_mean"),O278*AN278/BF278/10)</f>
        <v>3.3571870170015457E-2</v>
      </c>
      <c r="AH278" s="56">
        <f t="shared" si="114"/>
        <v>1</v>
      </c>
      <c r="AI278" s="88">
        <f t="shared" si="118"/>
        <v>-6.2513137557959814E-2</v>
      </c>
      <c r="AJ278" s="55">
        <v>0</v>
      </c>
      <c r="AK278" s="55">
        <f t="shared" si="115"/>
        <v>1</v>
      </c>
      <c r="AL278" s="55" t="s">
        <v>735</v>
      </c>
      <c r="AM278" s="55" t="s">
        <v>737</v>
      </c>
      <c r="AN278" s="55">
        <f>0.749*100</f>
        <v>74.900000000000006</v>
      </c>
      <c r="AO278" s="55">
        <v>0</v>
      </c>
      <c r="AP278" s="55">
        <f t="shared" si="87"/>
        <v>74.900000000000006</v>
      </c>
      <c r="AQ278" s="55">
        <f>0.509*100</f>
        <v>50.9</v>
      </c>
      <c r="AR278" s="55">
        <f>0.15*100</f>
        <v>15</v>
      </c>
      <c r="AS278" s="55">
        <f>5*100</f>
        <v>500</v>
      </c>
      <c r="AT278" s="55" t="s">
        <v>83</v>
      </c>
      <c r="AU278" s="55" t="s">
        <v>109</v>
      </c>
      <c r="AV278" s="55" t="s">
        <v>133</v>
      </c>
      <c r="AW278" s="55" t="s">
        <v>109</v>
      </c>
      <c r="AX278" s="55" t="s">
        <v>86</v>
      </c>
      <c r="AY278" s="55">
        <v>0</v>
      </c>
      <c r="AZ278" s="55">
        <v>0</v>
      </c>
      <c r="BA278" s="55" t="s">
        <v>734</v>
      </c>
      <c r="BB278" s="55" t="s">
        <v>88</v>
      </c>
      <c r="BC278" s="55" t="s">
        <v>113</v>
      </c>
      <c r="BD278" s="55" t="s">
        <v>114</v>
      </c>
      <c r="BE278" s="55" t="s">
        <v>810</v>
      </c>
      <c r="BF278" s="55">
        <v>1.294</v>
      </c>
      <c r="BG278" s="55">
        <v>0</v>
      </c>
      <c r="BH278" s="55">
        <v>1.3360000000000001</v>
      </c>
      <c r="BI278" s="55">
        <v>0</v>
      </c>
      <c r="BJ278" s="55">
        <v>11</v>
      </c>
      <c r="BK278" s="55" t="s">
        <v>91</v>
      </c>
      <c r="BL278" s="55" t="s">
        <v>84</v>
      </c>
      <c r="BM278" s="55">
        <v>1</v>
      </c>
      <c r="BN278" s="55" t="s">
        <v>539</v>
      </c>
      <c r="BO278" s="55" t="s">
        <v>540</v>
      </c>
      <c r="BP278" s="55" t="s">
        <v>540</v>
      </c>
      <c r="BQ278" s="55" t="s">
        <v>117</v>
      </c>
      <c r="BR278" s="55" t="s">
        <v>134</v>
      </c>
      <c r="BS278" s="55" t="s">
        <v>312</v>
      </c>
      <c r="BT278" s="55">
        <v>0</v>
      </c>
      <c r="BU278" s="55">
        <v>2014</v>
      </c>
      <c r="BV278" s="55">
        <v>2016</v>
      </c>
      <c r="BW278" s="55" t="s">
        <v>736</v>
      </c>
      <c r="BX278" s="55" t="s">
        <v>95</v>
      </c>
      <c r="BY278" s="55" t="s">
        <v>748</v>
      </c>
      <c r="BZ278" s="55">
        <v>1</v>
      </c>
      <c r="CA278" s="55">
        <v>1</v>
      </c>
      <c r="CB278" s="55" t="s">
        <v>303</v>
      </c>
      <c r="CC278" s="55" t="s">
        <v>794</v>
      </c>
      <c r="CD278" s="55">
        <v>1</v>
      </c>
      <c r="CE278" s="55" t="s">
        <v>792</v>
      </c>
      <c r="CF278" s="55">
        <v>0</v>
      </c>
      <c r="CG278" s="55" t="s">
        <v>97</v>
      </c>
      <c r="CH278" s="55">
        <v>1</v>
      </c>
      <c r="CI278" s="55" t="s">
        <v>97</v>
      </c>
      <c r="CJ278" s="55" t="s">
        <v>98</v>
      </c>
      <c r="CK278" s="55">
        <v>33</v>
      </c>
      <c r="CL278" s="55">
        <v>0</v>
      </c>
      <c r="CM278" s="55">
        <v>0</v>
      </c>
      <c r="CN278" s="55" t="s">
        <v>99</v>
      </c>
      <c r="CO278" s="55" t="s">
        <v>97</v>
      </c>
      <c r="CP278" s="55" t="s">
        <v>100</v>
      </c>
      <c r="CQ278" s="55" t="s">
        <v>126</v>
      </c>
      <c r="CR278" s="57">
        <v>46223</v>
      </c>
      <c r="CT278" s="55" t="s">
        <v>818</v>
      </c>
    </row>
    <row r="279" spans="1:98" s="55" customFormat="1" x14ac:dyDescent="0.35">
      <c r="A279" s="54" t="s">
        <v>788</v>
      </c>
      <c r="B279" s="54" t="s">
        <v>807</v>
      </c>
      <c r="C279" s="55" t="s">
        <v>789</v>
      </c>
      <c r="D279" s="55">
        <v>2024</v>
      </c>
      <c r="E279" s="60" t="s">
        <v>790</v>
      </c>
      <c r="F279" s="54" t="s">
        <v>840</v>
      </c>
      <c r="G279" s="55" t="s">
        <v>78</v>
      </c>
      <c r="H279" s="55">
        <v>1</v>
      </c>
      <c r="I279" s="55" t="s">
        <v>290</v>
      </c>
      <c r="J279" s="55" t="s">
        <v>79</v>
      </c>
      <c r="K279" s="55">
        <v>3</v>
      </c>
      <c r="L279" s="55" t="s">
        <v>129</v>
      </c>
      <c r="M279" s="55" t="s">
        <v>380</v>
      </c>
      <c r="N279" s="55">
        <f>0.121/100</f>
        <v>1.2099999999999999E-3</v>
      </c>
      <c r="O279" s="55">
        <f>0.059/100</f>
        <v>5.8999999999999992E-4</v>
      </c>
      <c r="P279" s="88">
        <f t="shared" si="108"/>
        <v>2.050847457627119</v>
      </c>
      <c r="Q279" s="55" t="s">
        <v>312</v>
      </c>
      <c r="R279" s="88">
        <f t="shared" si="109"/>
        <v>5.3600000000000002E-5</v>
      </c>
      <c r="S279" s="88">
        <f t="shared" si="110"/>
        <v>2.3663999999999998E-3</v>
      </c>
      <c r="T279" s="55">
        <v>1</v>
      </c>
      <c r="U279" s="55">
        <v>15061</v>
      </c>
      <c r="V279" s="55">
        <v>12</v>
      </c>
      <c r="W279" s="55">
        <v>1</v>
      </c>
      <c r="X279" s="55">
        <f t="shared" si="107"/>
        <v>15049</v>
      </c>
      <c r="Y279" s="88">
        <f t="shared" si="111"/>
        <v>1.6715480166138701E-2</v>
      </c>
      <c r="Z279" s="88">
        <f t="shared" si="112"/>
        <v>8.1505233867949015E-3</v>
      </c>
      <c r="AA279" s="88">
        <f>-Y279</f>
        <v>-1.6715480166138701E-2</v>
      </c>
      <c r="AB279" s="55" t="s">
        <v>81</v>
      </c>
      <c r="AC279" s="88">
        <f t="shared" si="116"/>
        <v>7.0037867078825353E-2</v>
      </c>
      <c r="AD279" s="88" cm="1">
        <f t="array" ref="AD279">_xlfn.IFS(
AND(L279="marginal_effect",M279="level"),N279*AN279/BF279,
AND(L279="marginal_effect",M279="sd (Y)"),N279*BH279*AN279/BF279,
AND(L279="marginal_effect",M279="sd (X)"),N279/AQ279*AN279/BF279,
AND(L279="semi_elasticity",M279="level"),N279*AN279,
AND(L279="semi_elasticity",M279="sd (Y)"),N279*AN279*BH279,
AND(L279="semi_elasticity",M279="sd (X)"),N279*AN279/AQ279,
AND(L279="level-log",M279="level"),N279/BF279,
AND(L279="level-log",M279="sd (X)"),N279/BF279/AQ279,
AND(L279="level-log",M279="sd (Y)"),N279/BF279*BH279,
AND(L279="elasticity",M279="level"),N279,
AND(L279="elasticity",M279="sd (X)"),N279/AQ279,
AND(L279="elasticity",M279="sd (Y)"),N279*BH279,
AND(L279="marginal_effect",M279="percent_of_mean"),N279*AN279/BF279/10)</f>
        <v>7.0037867078825353E-2</v>
      </c>
      <c r="AE279" s="56">
        <f t="shared" si="113"/>
        <v>1</v>
      </c>
      <c r="AF279" s="88">
        <f t="shared" si="117"/>
        <v>3.4150695517774339E-2</v>
      </c>
      <c r="AG279" s="88" cm="1">
        <f t="array" ref="AG279">_xlfn.IFS(
AND(L279="marginal_effect",M279="level"),O279*AN279/BF279,
AND(L279="marginal_effect",M279="sd (Y)"),O279*BH279*AN279/BF279,
AND(L279="marginal_effect",M279="sd (X)"),O279/AQ279*AN279/BF279,
AND(L279="semi_elasticity",M279="level"),O279*AN279,
AND(L279="semi_elasticity",M279="sd (Y)"),O279*AN279*BH279,
AND(L279="semi_elasticity",M279="sd (X)"),O279*AN279/AQ279,
AND(L279="level-log",M279="level"),O279/BF279,
AND(L279="level-log",M279="sd (X)"),O279/BF279/AQ279,
AND(L279="level-log",M279="sd (Y)"),O279/BF279*BH279,
AND(L279="elasticity",M279="level"),O279,
AND(L279="elasticity",M279="sd (X)"),O279/AQ279,
AND(L279="elasticity",M279="sd (Y)"),O279*BH279,
AND(L279="marginal_effect",M279="percent_of_mean"),O279*AN279/BF279/10)</f>
        <v>3.4150695517774339E-2</v>
      </c>
      <c r="AH279" s="56">
        <f t="shared" si="114"/>
        <v>1</v>
      </c>
      <c r="AI279" s="88">
        <f t="shared" si="118"/>
        <v>-7.0037867078825353E-2</v>
      </c>
      <c r="AJ279" s="55">
        <v>0</v>
      </c>
      <c r="AK279" s="55">
        <f t="shared" si="115"/>
        <v>1</v>
      </c>
      <c r="AL279" s="55" t="s">
        <v>735</v>
      </c>
      <c r="AM279" s="55" t="s">
        <v>737</v>
      </c>
      <c r="AN279" s="55">
        <f>0.749*100</f>
        <v>74.900000000000006</v>
      </c>
      <c r="AO279" s="55">
        <v>0</v>
      </c>
      <c r="AP279" s="55">
        <f t="shared" si="87"/>
        <v>74.900000000000006</v>
      </c>
      <c r="AQ279" s="55">
        <f>0.509*100</f>
        <v>50.9</v>
      </c>
      <c r="AR279" s="55">
        <f>0.15*100</f>
        <v>15</v>
      </c>
      <c r="AS279" s="55">
        <f>5*100</f>
        <v>500</v>
      </c>
      <c r="AT279" s="55" t="s">
        <v>83</v>
      </c>
      <c r="AU279" s="55" t="s">
        <v>109</v>
      </c>
      <c r="AV279" s="55" t="s">
        <v>133</v>
      </c>
      <c r="AW279" s="55" t="s">
        <v>109</v>
      </c>
      <c r="AX279" s="55" t="s">
        <v>86</v>
      </c>
      <c r="AY279" s="55">
        <v>0</v>
      </c>
      <c r="AZ279" s="55">
        <v>0</v>
      </c>
      <c r="BA279" s="55" t="s">
        <v>734</v>
      </c>
      <c r="BB279" s="55" t="s">
        <v>88</v>
      </c>
      <c r="BC279" s="55" t="s">
        <v>113</v>
      </c>
      <c r="BD279" s="55" t="s">
        <v>114</v>
      </c>
      <c r="BE279" s="55" t="s">
        <v>810</v>
      </c>
      <c r="BF279" s="55">
        <v>1.294</v>
      </c>
      <c r="BG279" s="55">
        <v>0</v>
      </c>
      <c r="BH279" s="55">
        <v>1.3360000000000001</v>
      </c>
      <c r="BI279" s="55">
        <v>0</v>
      </c>
      <c r="BJ279" s="55">
        <v>11</v>
      </c>
      <c r="BK279" s="55" t="s">
        <v>91</v>
      </c>
      <c r="BL279" s="55" t="s">
        <v>84</v>
      </c>
      <c r="BM279" s="55">
        <v>1</v>
      </c>
      <c r="BN279" s="55" t="s">
        <v>539</v>
      </c>
      <c r="BO279" s="55" t="s">
        <v>540</v>
      </c>
      <c r="BP279" s="55" t="s">
        <v>540</v>
      </c>
      <c r="BQ279" s="55" t="s">
        <v>117</v>
      </c>
      <c r="BR279" s="55" t="s">
        <v>134</v>
      </c>
      <c r="BS279" s="55" t="s">
        <v>312</v>
      </c>
      <c r="BT279" s="55">
        <v>0</v>
      </c>
      <c r="BU279" s="55">
        <v>2014</v>
      </c>
      <c r="BV279" s="55">
        <v>2016</v>
      </c>
      <c r="BW279" s="55" t="s">
        <v>736</v>
      </c>
      <c r="BX279" s="55" t="s">
        <v>95</v>
      </c>
      <c r="BY279" s="55" t="s">
        <v>748</v>
      </c>
      <c r="BZ279" s="55">
        <v>1</v>
      </c>
      <c r="CA279" s="55">
        <v>1</v>
      </c>
      <c r="CB279" s="55" t="s">
        <v>303</v>
      </c>
      <c r="CC279" s="55" t="s">
        <v>795</v>
      </c>
      <c r="CD279" s="55">
        <v>1</v>
      </c>
      <c r="CE279" s="55" t="s">
        <v>792</v>
      </c>
      <c r="CF279" s="55">
        <v>0</v>
      </c>
      <c r="CG279" s="55" t="s">
        <v>97</v>
      </c>
      <c r="CH279" s="55">
        <v>1</v>
      </c>
      <c r="CI279" s="55" t="s">
        <v>97</v>
      </c>
      <c r="CJ279" s="55" t="s">
        <v>98</v>
      </c>
      <c r="CK279" s="55">
        <v>33</v>
      </c>
      <c r="CL279" s="55">
        <v>0</v>
      </c>
      <c r="CM279" s="55">
        <v>0</v>
      </c>
      <c r="CN279" s="55" t="s">
        <v>99</v>
      </c>
      <c r="CO279" s="55" t="s">
        <v>97</v>
      </c>
      <c r="CP279" s="55" t="s">
        <v>100</v>
      </c>
      <c r="CQ279" s="55" t="s">
        <v>126</v>
      </c>
      <c r="CR279" s="57">
        <v>46223</v>
      </c>
      <c r="CT279" s="55" t="s">
        <v>819</v>
      </c>
    </row>
    <row r="280" spans="1:98" s="55" customFormat="1" x14ac:dyDescent="0.35">
      <c r="A280" s="54" t="s">
        <v>788</v>
      </c>
      <c r="B280" s="54" t="s">
        <v>808</v>
      </c>
      <c r="C280" s="55" t="s">
        <v>789</v>
      </c>
      <c r="D280" s="55">
        <v>2024</v>
      </c>
      <c r="E280" s="60" t="s">
        <v>790</v>
      </c>
      <c r="F280" s="54" t="s">
        <v>840</v>
      </c>
      <c r="G280" s="55" t="s">
        <v>78</v>
      </c>
      <c r="H280" s="55">
        <v>1</v>
      </c>
      <c r="I280" s="55" t="s">
        <v>290</v>
      </c>
      <c r="J280" s="55" t="s">
        <v>79</v>
      </c>
      <c r="K280" s="55">
        <v>3</v>
      </c>
      <c r="L280" s="55" t="s">
        <v>129</v>
      </c>
      <c r="M280" s="55" t="s">
        <v>380</v>
      </c>
      <c r="N280" s="55">
        <f>0.153/100</f>
        <v>1.5299999999999999E-3</v>
      </c>
      <c r="O280" s="55">
        <f>0.084/100</f>
        <v>8.4000000000000003E-4</v>
      </c>
      <c r="P280" s="88">
        <f t="shared" si="108"/>
        <v>1.8214285714285712</v>
      </c>
      <c r="Q280" s="55" t="s">
        <v>312</v>
      </c>
      <c r="R280" s="88">
        <f t="shared" si="109"/>
        <v>-1.1640000000000023E-4</v>
      </c>
      <c r="S280" s="88">
        <f t="shared" si="110"/>
        <v>3.1764000000000002E-3</v>
      </c>
      <c r="T280" s="55">
        <v>1</v>
      </c>
      <c r="U280" s="55">
        <v>15009</v>
      </c>
      <c r="V280" s="55">
        <v>12</v>
      </c>
      <c r="W280" s="55">
        <v>1</v>
      </c>
      <c r="X280" s="55">
        <f t="shared" si="107"/>
        <v>14997</v>
      </c>
      <c r="Y280" s="88">
        <f t="shared" si="111"/>
        <v>1.4871744567374235E-2</v>
      </c>
      <c r="Z280" s="88">
        <f t="shared" si="112"/>
        <v>8.1648793703231089E-3</v>
      </c>
      <c r="AA280" s="88">
        <f>-Y280</f>
        <v>-1.4871744567374235E-2</v>
      </c>
      <c r="AB280" s="55" t="s">
        <v>81</v>
      </c>
      <c r="AC280" s="88">
        <f t="shared" si="116"/>
        <v>5.5217156105100459E-2</v>
      </c>
      <c r="AD280" s="88" cm="1">
        <f t="array" ref="AD280">_xlfn.IFS(
AND(L280="marginal_effect",M280="level"),N280*AN280/BF280,
AND(L280="marginal_effect",M280="sd (Y)"),N280*BH280*AN280/BF280,
AND(L280="marginal_effect",M280="sd (X)"),N280/AQ280*AN280/BF280,
AND(L280="semi_elasticity",M280="level"),N280*AN280,
AND(L280="semi_elasticity",M280="sd (Y)"),N280*AN280*BH280,
AND(L280="semi_elasticity",M280="sd (X)"),N280*AN280/AQ280,
AND(L280="level-log",M280="level"),N280/BF280,
AND(L280="level-log",M280="sd (X)"),N280/BF280/AQ280,
AND(L280="level-log",M280="sd (Y)"),N280/BF280*BH280,
AND(L280="elasticity",M280="level"),N280,
AND(L280="elasticity",M280="sd (X)"),N280/AQ280,
AND(L280="elasticity",M280="sd (Y)"),N280*BH280,
AND(L280="marginal_effect",M280="percent_of_mean"),N280*AN280/BF280/10)</f>
        <v>5.5217156105100459E-2</v>
      </c>
      <c r="AE280" s="56">
        <f t="shared" si="113"/>
        <v>1</v>
      </c>
      <c r="AF280" s="88">
        <f t="shared" si="117"/>
        <v>3.0315301391035554E-2</v>
      </c>
      <c r="AG280" s="88" cm="1">
        <f t="array" ref="AG280">_xlfn.IFS(
AND(L280="marginal_effect",M280="level"),O280*AN280/BF280,
AND(L280="marginal_effect",M280="sd (Y)"),O280*BH280*AN280/BF280,
AND(L280="marginal_effect",M280="sd (X)"),O280/AQ280*AN280/BF280,
AND(L280="semi_elasticity",M280="level"),O280*AN280,
AND(L280="semi_elasticity",M280="sd (Y)"),O280*AN280*BH280,
AND(L280="semi_elasticity",M280="sd (X)"),O280*AN280/AQ280,
AND(L280="level-log",M280="level"),O280/BF280,
AND(L280="level-log",M280="sd (X)"),O280/BF280/AQ280,
AND(L280="level-log",M280="sd (Y)"),O280/BF280*BH280,
AND(L280="elasticity",M280="level"),O280,
AND(L280="elasticity",M280="sd (X)"),O280/AQ280,
AND(L280="elasticity",M280="sd (Y)"),O280*BH280,
AND(L280="marginal_effect",M280="percent_of_mean"),O280*AN280/BF280/10)</f>
        <v>3.0315301391035554E-2</v>
      </c>
      <c r="AH280" s="56">
        <f t="shared" si="114"/>
        <v>1</v>
      </c>
      <c r="AI280" s="88">
        <f t="shared" si="118"/>
        <v>-5.5217156105100459E-2</v>
      </c>
      <c r="AJ280" s="55">
        <v>0</v>
      </c>
      <c r="AK280" s="55">
        <f t="shared" si="115"/>
        <v>1</v>
      </c>
      <c r="AL280" s="55" t="s">
        <v>82</v>
      </c>
      <c r="AM280" s="55" t="s">
        <v>1333</v>
      </c>
      <c r="AN280" s="55">
        <f>0.467*100</f>
        <v>46.7</v>
      </c>
      <c r="AO280" s="55">
        <v>0</v>
      </c>
      <c r="AP280" s="55">
        <f t="shared" si="87"/>
        <v>46.7</v>
      </c>
      <c r="AQ280" s="55">
        <f>0.398*100</f>
        <v>39.800000000000004</v>
      </c>
      <c r="AR280" s="55">
        <f>0.01*100</f>
        <v>1</v>
      </c>
      <c r="AS280" s="55">
        <f>3.67*100</f>
        <v>367</v>
      </c>
      <c r="AT280" s="55" t="s">
        <v>83</v>
      </c>
      <c r="AU280" s="55" t="s">
        <v>109</v>
      </c>
      <c r="AV280" s="55" t="s">
        <v>133</v>
      </c>
      <c r="AW280" s="55" t="s">
        <v>109</v>
      </c>
      <c r="AX280" s="55" t="s">
        <v>86</v>
      </c>
      <c r="AY280" s="55">
        <v>0</v>
      </c>
      <c r="AZ280" s="55">
        <v>0</v>
      </c>
      <c r="BA280" s="55" t="s">
        <v>734</v>
      </c>
      <c r="BB280" s="55" t="s">
        <v>88</v>
      </c>
      <c r="BC280" s="55" t="s">
        <v>113</v>
      </c>
      <c r="BD280" s="55" t="s">
        <v>114</v>
      </c>
      <c r="BE280" s="55" t="s">
        <v>810</v>
      </c>
      <c r="BF280" s="55">
        <v>1.294</v>
      </c>
      <c r="BG280" s="55">
        <v>0</v>
      </c>
      <c r="BH280" s="55">
        <v>1.3360000000000001</v>
      </c>
      <c r="BI280" s="55">
        <v>0</v>
      </c>
      <c r="BJ280" s="55">
        <v>11</v>
      </c>
      <c r="BK280" s="55" t="s">
        <v>91</v>
      </c>
      <c r="BL280" s="55" t="s">
        <v>84</v>
      </c>
      <c r="BM280" s="55">
        <v>1</v>
      </c>
      <c r="BN280" s="55" t="s">
        <v>539</v>
      </c>
      <c r="BO280" s="55" t="s">
        <v>540</v>
      </c>
      <c r="BP280" s="55" t="s">
        <v>540</v>
      </c>
      <c r="BQ280" s="55" t="s">
        <v>117</v>
      </c>
      <c r="BR280" s="55" t="s">
        <v>134</v>
      </c>
      <c r="BS280" s="55" t="s">
        <v>312</v>
      </c>
      <c r="BT280" s="55">
        <v>0</v>
      </c>
      <c r="BU280" s="55">
        <v>2014</v>
      </c>
      <c r="BV280" s="55">
        <v>2016</v>
      </c>
      <c r="BW280" s="55" t="s">
        <v>736</v>
      </c>
      <c r="BX280" s="55" t="s">
        <v>95</v>
      </c>
      <c r="BY280" s="55" t="s">
        <v>748</v>
      </c>
      <c r="BZ280" s="55">
        <v>1</v>
      </c>
      <c r="CA280" s="55">
        <v>1</v>
      </c>
      <c r="CB280" s="55" t="s">
        <v>303</v>
      </c>
      <c r="CC280" s="55" t="s">
        <v>794</v>
      </c>
      <c r="CD280" s="55">
        <v>1</v>
      </c>
      <c r="CE280" s="55" t="s">
        <v>792</v>
      </c>
      <c r="CF280" s="55">
        <v>0</v>
      </c>
      <c r="CG280" s="55" t="s">
        <v>97</v>
      </c>
      <c r="CH280" s="55">
        <v>1</v>
      </c>
      <c r="CI280" s="55" t="s">
        <v>97</v>
      </c>
      <c r="CJ280" s="55" t="s">
        <v>98</v>
      </c>
      <c r="CK280" s="55">
        <v>33</v>
      </c>
      <c r="CL280" s="55">
        <v>0</v>
      </c>
      <c r="CM280" s="55">
        <v>0</v>
      </c>
      <c r="CN280" s="55" t="s">
        <v>99</v>
      </c>
      <c r="CO280" s="55" t="s">
        <v>97</v>
      </c>
      <c r="CP280" s="55" t="s">
        <v>100</v>
      </c>
      <c r="CQ280" s="55" t="s">
        <v>126</v>
      </c>
      <c r="CR280" s="57">
        <v>46223</v>
      </c>
      <c r="CT280" s="55" t="s">
        <v>820</v>
      </c>
    </row>
    <row r="281" spans="1:98" s="55" customFormat="1" x14ac:dyDescent="0.35">
      <c r="A281" s="54" t="s">
        <v>788</v>
      </c>
      <c r="B281" s="54" t="s">
        <v>809</v>
      </c>
      <c r="C281" s="55" t="s">
        <v>789</v>
      </c>
      <c r="D281" s="55">
        <v>2024</v>
      </c>
      <c r="E281" s="60" t="s">
        <v>790</v>
      </c>
      <c r="F281" s="54" t="s">
        <v>840</v>
      </c>
      <c r="G281" s="55" t="s">
        <v>78</v>
      </c>
      <c r="H281" s="55">
        <v>1</v>
      </c>
      <c r="I281" s="55" t="s">
        <v>290</v>
      </c>
      <c r="J281" s="55" t="s">
        <v>79</v>
      </c>
      <c r="K281" s="55">
        <v>3</v>
      </c>
      <c r="L281" s="55" t="s">
        <v>129</v>
      </c>
      <c r="M281" s="55" t="s">
        <v>380</v>
      </c>
      <c r="N281" s="55">
        <f>0.093/100</f>
        <v>9.2999999999999995E-4</v>
      </c>
      <c r="O281" s="55">
        <f>0.043/100</f>
        <v>4.2999999999999999E-4</v>
      </c>
      <c r="P281" s="88">
        <f t="shared" si="108"/>
        <v>2.1627906976744184</v>
      </c>
      <c r="Q281" s="55" t="s">
        <v>312</v>
      </c>
      <c r="R281" s="88">
        <f t="shared" si="109"/>
        <v>8.7199999999999951E-5</v>
      </c>
      <c r="S281" s="88">
        <f t="shared" si="110"/>
        <v>1.7727999999999999E-3</v>
      </c>
      <c r="T281" s="55">
        <v>1</v>
      </c>
      <c r="U281" s="55">
        <v>14227</v>
      </c>
      <c r="V281" s="55">
        <v>12</v>
      </c>
      <c r="W281" s="55">
        <v>1</v>
      </c>
      <c r="X281" s="55">
        <f t="shared" si="107"/>
        <v>14215</v>
      </c>
      <c r="Y281" s="88">
        <f t="shared" si="111"/>
        <v>1.8137173901405974E-2</v>
      </c>
      <c r="Z281" s="88">
        <f t="shared" si="112"/>
        <v>8.3860051372092147E-3</v>
      </c>
      <c r="AA281" s="88">
        <f>-Y281</f>
        <v>-1.8137173901405974E-2</v>
      </c>
      <c r="AB281" s="55" t="s">
        <v>81</v>
      </c>
      <c r="AC281" s="88">
        <f t="shared" si="116"/>
        <v>6.0227202472952074E-2</v>
      </c>
      <c r="AD281" s="88" cm="1">
        <f t="array" ref="AD281">_xlfn.IFS(
AND(L281="marginal_effect",M281="level"),N281*AN281/BF281,
AND(L281="marginal_effect",M281="sd (Y)"),N281*BH281*AN281/BF281,
AND(L281="marginal_effect",M281="sd (X)"),N281/AQ281*AN281/BF281,
AND(L281="semi_elasticity",M281="level"),N281*AN281,
AND(L281="semi_elasticity",M281="sd (Y)"),N281*AN281*BH281,
AND(L281="semi_elasticity",M281="sd (X)"),N281*AN281/AQ281,
AND(L281="level-log",M281="level"),N281/BF281,
AND(L281="level-log",M281="sd (X)"),N281/BF281/AQ281,
AND(L281="level-log",M281="sd (Y)"),N281/BF281*BH281,
AND(L281="elasticity",M281="level"),N281,
AND(L281="elasticity",M281="sd (X)"),N281/AQ281,
AND(L281="elasticity",M281="sd (Y)"),N281*BH281,
AND(L281="marginal_effect",M281="percent_of_mean"),N281*AN281/BF281/10)</f>
        <v>6.0227202472952074E-2</v>
      </c>
      <c r="AE281" s="56">
        <f t="shared" si="113"/>
        <v>1</v>
      </c>
      <c r="AF281" s="88">
        <f t="shared" si="117"/>
        <v>2.7846986089644511E-2</v>
      </c>
      <c r="AG281" s="88" cm="1">
        <f t="array" ref="AG281">_xlfn.IFS(
AND(L281="marginal_effect",M281="level"),O281*AN281/BF281,
AND(L281="marginal_effect",M281="sd (Y)"),O281*BH281*AN281/BF281,
AND(L281="marginal_effect",M281="sd (X)"),O281/AQ281*AN281/BF281,
AND(L281="semi_elasticity",M281="level"),O281*AN281,
AND(L281="semi_elasticity",M281="sd (Y)"),O281*AN281*BH281,
AND(L281="semi_elasticity",M281="sd (X)"),O281*AN281/AQ281,
AND(L281="level-log",M281="level"),O281/BF281,
AND(L281="level-log",M281="sd (X)"),O281/BF281/AQ281,
AND(L281="level-log",M281="sd (Y)"),O281/BF281*BH281,
AND(L281="elasticity",M281="level"),O281,
AND(L281="elasticity",M281="sd (X)"),O281/AQ281,
AND(L281="elasticity",M281="sd (Y)"),O281*BH281,
AND(L281="marginal_effect",M281="percent_of_mean"),O281*AN281/BF281/10)</f>
        <v>2.7846986089644511E-2</v>
      </c>
      <c r="AH281" s="56">
        <f t="shared" si="114"/>
        <v>1</v>
      </c>
      <c r="AI281" s="88">
        <f t="shared" si="118"/>
        <v>-6.0227202472952074E-2</v>
      </c>
      <c r="AJ281" s="55">
        <v>0</v>
      </c>
      <c r="AK281" s="55">
        <f t="shared" si="115"/>
        <v>1</v>
      </c>
      <c r="AL281" s="55" t="s">
        <v>106</v>
      </c>
      <c r="AM281" s="55" t="s">
        <v>1333</v>
      </c>
      <c r="AN281" s="55">
        <f>0.838*100</f>
        <v>83.8</v>
      </c>
      <c r="AO281" s="55">
        <v>0</v>
      </c>
      <c r="AP281" s="55">
        <f t="shared" si="87"/>
        <v>83.8</v>
      </c>
      <c r="AQ281" s="55">
        <f>0.696*100</f>
        <v>69.599999999999994</v>
      </c>
      <c r="AR281" s="55">
        <v>0</v>
      </c>
      <c r="AS281" s="55">
        <f>7.73*100</f>
        <v>773</v>
      </c>
      <c r="AT281" s="55" t="s">
        <v>83</v>
      </c>
      <c r="AU281" s="55" t="s">
        <v>109</v>
      </c>
      <c r="AV281" s="55" t="s">
        <v>133</v>
      </c>
      <c r="AW281" s="55" t="s">
        <v>109</v>
      </c>
      <c r="AX281" s="55" t="s">
        <v>86</v>
      </c>
      <c r="AY281" s="55">
        <v>0</v>
      </c>
      <c r="AZ281" s="55">
        <v>0</v>
      </c>
      <c r="BA281" s="55" t="s">
        <v>734</v>
      </c>
      <c r="BB281" s="55" t="s">
        <v>88</v>
      </c>
      <c r="BC281" s="55" t="s">
        <v>113</v>
      </c>
      <c r="BD281" s="55" t="s">
        <v>114</v>
      </c>
      <c r="BE281" s="55" t="s">
        <v>810</v>
      </c>
      <c r="BF281" s="55">
        <v>1.294</v>
      </c>
      <c r="BG281" s="55">
        <v>0</v>
      </c>
      <c r="BH281" s="55">
        <v>1.3360000000000001</v>
      </c>
      <c r="BI281" s="55">
        <v>0</v>
      </c>
      <c r="BJ281" s="55">
        <v>11</v>
      </c>
      <c r="BK281" s="55" t="s">
        <v>91</v>
      </c>
      <c r="BL281" s="55" t="s">
        <v>84</v>
      </c>
      <c r="BM281" s="55">
        <v>1</v>
      </c>
      <c r="BN281" s="55" t="s">
        <v>539</v>
      </c>
      <c r="BO281" s="55" t="s">
        <v>540</v>
      </c>
      <c r="BP281" s="55" t="s">
        <v>540</v>
      </c>
      <c r="BQ281" s="55" t="s">
        <v>117</v>
      </c>
      <c r="BR281" s="55" t="s">
        <v>134</v>
      </c>
      <c r="BS281" s="55" t="s">
        <v>312</v>
      </c>
      <c r="BT281" s="55">
        <v>0</v>
      </c>
      <c r="BU281" s="55">
        <v>2014</v>
      </c>
      <c r="BV281" s="55">
        <v>2016</v>
      </c>
      <c r="BW281" s="55" t="s">
        <v>736</v>
      </c>
      <c r="BX281" s="55" t="s">
        <v>95</v>
      </c>
      <c r="BY281" s="55" t="s">
        <v>748</v>
      </c>
      <c r="BZ281" s="55">
        <v>1</v>
      </c>
      <c r="CA281" s="55">
        <v>1</v>
      </c>
      <c r="CB281" s="55" t="s">
        <v>303</v>
      </c>
      <c r="CC281" s="55" t="s">
        <v>795</v>
      </c>
      <c r="CD281" s="55">
        <v>1</v>
      </c>
      <c r="CE281" s="55" t="s">
        <v>792</v>
      </c>
      <c r="CF281" s="55">
        <v>0</v>
      </c>
      <c r="CG281" s="55" t="s">
        <v>97</v>
      </c>
      <c r="CH281" s="55">
        <v>1</v>
      </c>
      <c r="CI281" s="55" t="s">
        <v>97</v>
      </c>
      <c r="CJ281" s="55" t="s">
        <v>98</v>
      </c>
      <c r="CK281" s="55">
        <v>33</v>
      </c>
      <c r="CL281" s="55">
        <v>0</v>
      </c>
      <c r="CM281" s="55">
        <v>0</v>
      </c>
      <c r="CN281" s="55" t="s">
        <v>99</v>
      </c>
      <c r="CO281" s="55" t="s">
        <v>97</v>
      </c>
      <c r="CP281" s="55" t="s">
        <v>100</v>
      </c>
      <c r="CQ281" s="55" t="s">
        <v>126</v>
      </c>
      <c r="CR281" s="57">
        <v>46223</v>
      </c>
      <c r="CT281" s="55" t="s">
        <v>821</v>
      </c>
    </row>
    <row r="282" spans="1:98" s="55" customFormat="1" x14ac:dyDescent="0.35">
      <c r="A282" s="54" t="s">
        <v>788</v>
      </c>
      <c r="B282" s="54" t="s">
        <v>811</v>
      </c>
      <c r="C282" s="55" t="s">
        <v>789</v>
      </c>
      <c r="D282" s="55">
        <v>2024</v>
      </c>
      <c r="E282" s="60" t="s">
        <v>790</v>
      </c>
      <c r="F282" s="54" t="s">
        <v>840</v>
      </c>
      <c r="G282" s="55" t="s">
        <v>78</v>
      </c>
      <c r="H282" s="55">
        <v>1</v>
      </c>
      <c r="I282" s="55" t="s">
        <v>290</v>
      </c>
      <c r="J282" s="55" t="s">
        <v>79</v>
      </c>
      <c r="K282" s="55">
        <v>3</v>
      </c>
      <c r="L282" s="55" t="s">
        <v>129</v>
      </c>
      <c r="M282" s="55" t="s">
        <v>380</v>
      </c>
      <c r="N282" s="55">
        <f>0.012/100</f>
        <v>1.2E-4</v>
      </c>
      <c r="O282" s="55">
        <f>0.014/100</f>
        <v>1.4000000000000001E-4</v>
      </c>
      <c r="P282" s="88">
        <f t="shared" si="108"/>
        <v>0.8571428571428571</v>
      </c>
      <c r="Q282" s="55" t="s">
        <v>312</v>
      </c>
      <c r="R282" s="88">
        <f t="shared" si="109"/>
        <v>-1.5440000000000001E-4</v>
      </c>
      <c r="S282" s="88">
        <f t="shared" si="110"/>
        <v>3.9439999999999999E-4</v>
      </c>
      <c r="T282" s="55">
        <v>1</v>
      </c>
      <c r="U282" s="55">
        <v>15061</v>
      </c>
      <c r="V282" s="55">
        <v>12</v>
      </c>
      <c r="W282" s="55">
        <v>1</v>
      </c>
      <c r="X282" s="55">
        <f t="shared" si="107"/>
        <v>15049</v>
      </c>
      <c r="Y282" s="88">
        <f t="shared" si="111"/>
        <v>6.9869685497017395E-3</v>
      </c>
      <c r="Z282" s="88">
        <f t="shared" si="112"/>
        <v>8.1514633079853641E-3</v>
      </c>
      <c r="AA282" s="88">
        <f t="shared" ref="AA282:AA292" si="119">Y282</f>
        <v>6.9869685497017395E-3</v>
      </c>
      <c r="AB282" s="55" t="s">
        <v>81</v>
      </c>
      <c r="AC282" s="88">
        <f t="shared" si="116"/>
        <v>1.0172023540063377E-3</v>
      </c>
      <c r="AD282" s="88" cm="1">
        <f t="array" ref="AD282">_xlfn.IFS(
AND(L282="marginal_effect",M282="level"),N282*AN282/BF282,
AND(L282="marginal_effect",M282="sd (Y)"),N282*BH282*AN282/BF282,
AND(L282="marginal_effect",M282="sd (X)"),N282/AQ282*AN282/BF282,
AND(L282="semi_elasticity",M282="level"),N282*AN282,
AND(L282="semi_elasticity",M282="sd (Y)"),N282*AN282*BH282,
AND(L282="semi_elasticity",M282="sd (X)"),N282*AN282/AQ282,
AND(L282="level-log",M282="level"),N282/BF282,
AND(L282="level-log",M282="sd (X)"),N282/BF282/AQ282,
AND(L282="level-log",M282="sd (Y)"),N282/BF282*BH282,
AND(L282="elasticity",M282="level"),N282,
AND(L282="elasticity",M282="sd (X)"),N282/AQ282,
AND(L282="elasticity",M282="sd (Y)"),N282*BH282,
AND(L282="marginal_effect",M282="percent_of_mean"),N282*AN282/BF282/10)</f>
        <v>1.0172023540063377E-3</v>
      </c>
      <c r="AE282" s="56">
        <f t="shared" si="113"/>
        <v>1</v>
      </c>
      <c r="AF282" s="88">
        <f t="shared" si="117"/>
        <v>1.1867360796740608E-3</v>
      </c>
      <c r="AG282" s="88" cm="1">
        <f t="array" ref="AG282">_xlfn.IFS(
AND(L282="marginal_effect",M282="level"),O282*AN282/BF282,
AND(L282="marginal_effect",M282="sd (Y)"),O282*BH282*AN282/BF282,
AND(L282="marginal_effect",M282="sd (X)"),O282/AQ282*AN282/BF282,
AND(L282="semi_elasticity",M282="level"),O282*AN282,
AND(L282="semi_elasticity",M282="sd (Y)"),O282*AN282*BH282,
AND(L282="semi_elasticity",M282="sd (X)"),O282*AN282/AQ282,
AND(L282="level-log",M282="level"),O282/BF282,
AND(L282="level-log",M282="sd (X)"),O282/BF282/AQ282,
AND(L282="level-log",M282="sd (Y)"),O282/BF282*BH282,
AND(L282="elasticity",M282="level"),O282,
AND(L282="elasticity",M282="sd (X)"),O282/AQ282,
AND(L282="elasticity",M282="sd (Y)"),O282*BH282,
AND(L282="marginal_effect",M282="percent_of_mean"),O282*AN282/BF282/10)</f>
        <v>1.1867360796740608E-3</v>
      </c>
      <c r="AH282" s="56">
        <f t="shared" si="114"/>
        <v>1</v>
      </c>
      <c r="AI282" s="88">
        <f t="shared" si="118"/>
        <v>-1.0172023540063377E-3</v>
      </c>
      <c r="AJ282" s="55">
        <v>0</v>
      </c>
      <c r="AK282" s="55">
        <f t="shared" si="115"/>
        <v>1</v>
      </c>
      <c r="AL282" s="55" t="s">
        <v>735</v>
      </c>
      <c r="AM282" s="55" t="s">
        <v>737</v>
      </c>
      <c r="AN282" s="55">
        <f>0.749*100</f>
        <v>74.900000000000006</v>
      </c>
      <c r="AO282" s="55">
        <v>0</v>
      </c>
      <c r="AP282" s="55">
        <f t="shared" si="87"/>
        <v>74.900000000000006</v>
      </c>
      <c r="AQ282" s="55">
        <f>0.509*100</f>
        <v>50.9</v>
      </c>
      <c r="AR282" s="55">
        <f>0.15*100</f>
        <v>15</v>
      </c>
      <c r="AS282" s="55">
        <f>5*100</f>
        <v>500</v>
      </c>
      <c r="AT282" s="55" t="s">
        <v>83</v>
      </c>
      <c r="AU282" s="55" t="s">
        <v>109</v>
      </c>
      <c r="AV282" s="55" t="s">
        <v>133</v>
      </c>
      <c r="AW282" s="55" t="s">
        <v>109</v>
      </c>
      <c r="AX282" s="55" t="s">
        <v>86</v>
      </c>
      <c r="AY282" s="55">
        <v>0</v>
      </c>
      <c r="AZ282" s="55">
        <v>0</v>
      </c>
      <c r="BA282" s="55" t="s">
        <v>734</v>
      </c>
      <c r="BB282" s="55" t="s">
        <v>88</v>
      </c>
      <c r="BC282" s="55" t="s">
        <v>89</v>
      </c>
      <c r="BD282" s="55" t="s">
        <v>114</v>
      </c>
      <c r="BE282" s="55" t="s">
        <v>816</v>
      </c>
      <c r="BF282" s="55">
        <v>8.8360000000000003</v>
      </c>
      <c r="BG282" s="55">
        <v>0</v>
      </c>
      <c r="BH282" s="55">
        <v>0.73599999999999999</v>
      </c>
      <c r="BI282" s="55">
        <v>2.8330000000000002</v>
      </c>
      <c r="BJ282" s="55">
        <v>9.4920000000000009</v>
      </c>
      <c r="BK282" s="55" t="s">
        <v>91</v>
      </c>
      <c r="BL282" s="55" t="s">
        <v>84</v>
      </c>
      <c r="BM282" s="55">
        <v>1</v>
      </c>
      <c r="BN282" s="55" t="s">
        <v>539</v>
      </c>
      <c r="BO282" s="55" t="s">
        <v>540</v>
      </c>
      <c r="BP282" s="55" t="s">
        <v>540</v>
      </c>
      <c r="BQ282" s="55" t="s">
        <v>117</v>
      </c>
      <c r="BR282" s="55" t="s">
        <v>134</v>
      </c>
      <c r="BS282" s="55" t="s">
        <v>312</v>
      </c>
      <c r="BT282" s="55">
        <v>0</v>
      </c>
      <c r="BU282" s="55">
        <v>2014</v>
      </c>
      <c r="BV282" s="55">
        <v>2016</v>
      </c>
      <c r="BW282" s="55" t="s">
        <v>736</v>
      </c>
      <c r="BX282" s="55" t="s">
        <v>95</v>
      </c>
      <c r="BY282" s="55" t="s">
        <v>748</v>
      </c>
      <c r="BZ282" s="55">
        <v>1</v>
      </c>
      <c r="CA282" s="55">
        <v>1</v>
      </c>
      <c r="CB282" s="55" t="s">
        <v>303</v>
      </c>
      <c r="CC282" s="55" t="s">
        <v>791</v>
      </c>
      <c r="CD282" s="55">
        <v>1</v>
      </c>
      <c r="CE282" s="55" t="s">
        <v>792</v>
      </c>
      <c r="CF282" s="55">
        <v>0</v>
      </c>
      <c r="CG282" s="55" t="s">
        <v>97</v>
      </c>
      <c r="CH282" s="55">
        <v>1</v>
      </c>
      <c r="CI282" s="55" t="s">
        <v>97</v>
      </c>
      <c r="CJ282" s="55" t="s">
        <v>98</v>
      </c>
      <c r="CK282" s="55">
        <v>33</v>
      </c>
      <c r="CL282" s="55">
        <v>0</v>
      </c>
      <c r="CM282" s="55">
        <v>0</v>
      </c>
      <c r="CN282" s="55" t="s">
        <v>99</v>
      </c>
      <c r="CO282" s="55" t="s">
        <v>97</v>
      </c>
      <c r="CP282" s="55" t="s">
        <v>100</v>
      </c>
      <c r="CQ282" s="55" t="s">
        <v>126</v>
      </c>
      <c r="CR282" s="57">
        <v>46223</v>
      </c>
      <c r="CT282" s="55" t="s">
        <v>822</v>
      </c>
    </row>
    <row r="283" spans="1:98" s="55" customFormat="1" x14ac:dyDescent="0.35">
      <c r="A283" s="54" t="s">
        <v>788</v>
      </c>
      <c r="B283" s="54" t="s">
        <v>812</v>
      </c>
      <c r="C283" s="55" t="s">
        <v>789</v>
      </c>
      <c r="D283" s="55">
        <v>2024</v>
      </c>
      <c r="E283" s="60" t="s">
        <v>790</v>
      </c>
      <c r="F283" s="54" t="s">
        <v>840</v>
      </c>
      <c r="G283" s="55" t="s">
        <v>78</v>
      </c>
      <c r="H283" s="55">
        <v>1</v>
      </c>
      <c r="I283" s="55" t="s">
        <v>290</v>
      </c>
      <c r="J283" s="55" t="s">
        <v>79</v>
      </c>
      <c r="K283" s="55">
        <v>3</v>
      </c>
      <c r="L283" s="55" t="s">
        <v>129</v>
      </c>
      <c r="M283" s="55" t="s">
        <v>380</v>
      </c>
      <c r="N283" s="55">
        <f>0.013/100</f>
        <v>1.2999999999999999E-4</v>
      </c>
      <c r="O283" s="55">
        <f>0.014/100</f>
        <v>1.4000000000000001E-4</v>
      </c>
      <c r="P283" s="88">
        <f t="shared" si="108"/>
        <v>0.92857142857142838</v>
      </c>
      <c r="Q283" s="55" t="s">
        <v>312</v>
      </c>
      <c r="R283" s="88">
        <f t="shared" si="109"/>
        <v>-1.4440000000000001E-4</v>
      </c>
      <c r="S283" s="88">
        <f t="shared" si="110"/>
        <v>4.0439999999999996E-4</v>
      </c>
      <c r="T283" s="55">
        <v>1</v>
      </c>
      <c r="U283" s="55">
        <v>15061</v>
      </c>
      <c r="V283" s="55">
        <v>12</v>
      </c>
      <c r="W283" s="55">
        <v>1</v>
      </c>
      <c r="X283" s="55">
        <f t="shared" si="107"/>
        <v>15049</v>
      </c>
      <c r="Y283" s="88">
        <f t="shared" si="111"/>
        <v>7.5691838533585611E-3</v>
      </c>
      <c r="Z283" s="88">
        <f t="shared" si="112"/>
        <v>8.1514287651553753E-3</v>
      </c>
      <c r="AA283" s="88">
        <f t="shared" si="119"/>
        <v>7.5691838533585611E-3</v>
      </c>
      <c r="AB283" s="55" t="s">
        <v>81</v>
      </c>
      <c r="AC283" s="88">
        <f t="shared" si="116"/>
        <v>1.101969216840199E-3</v>
      </c>
      <c r="AD283" s="88" cm="1">
        <f t="array" ref="AD283">_xlfn.IFS(
AND(L283="marginal_effect",M283="level"),N283*AN283/BF283,
AND(L283="marginal_effect",M283="sd (Y)"),N283*BH283*AN283/BF283,
AND(L283="marginal_effect",M283="sd (X)"),N283/AQ283*AN283/BF283,
AND(L283="semi_elasticity",M283="level"),N283*AN283,
AND(L283="semi_elasticity",M283="sd (Y)"),N283*AN283*BH283,
AND(L283="semi_elasticity",M283="sd (X)"),N283*AN283/AQ283,
AND(L283="level-log",M283="level"),N283/BF283,
AND(L283="level-log",M283="sd (X)"),N283/BF283/AQ283,
AND(L283="level-log",M283="sd (Y)"),N283/BF283*BH283,
AND(L283="elasticity",M283="level"),N283,
AND(L283="elasticity",M283="sd (X)"),N283/AQ283,
AND(L283="elasticity",M283="sd (Y)"),N283*BH283,
AND(L283="marginal_effect",M283="percent_of_mean"),N283*AN283/BF283/10)</f>
        <v>1.101969216840199E-3</v>
      </c>
      <c r="AE283" s="56">
        <f t="shared" si="113"/>
        <v>1</v>
      </c>
      <c r="AF283" s="88">
        <f t="shared" si="117"/>
        <v>1.1867360796740608E-3</v>
      </c>
      <c r="AG283" s="88" cm="1">
        <f t="array" ref="AG283">_xlfn.IFS(
AND(L283="marginal_effect",M283="level"),O283*AN283/BF283,
AND(L283="marginal_effect",M283="sd (Y)"),O283*BH283*AN283/BF283,
AND(L283="marginal_effect",M283="sd (X)"),O283/AQ283*AN283/BF283,
AND(L283="semi_elasticity",M283="level"),O283*AN283,
AND(L283="semi_elasticity",M283="sd (Y)"),O283*AN283*BH283,
AND(L283="semi_elasticity",M283="sd (X)"),O283*AN283/AQ283,
AND(L283="level-log",M283="level"),O283/BF283,
AND(L283="level-log",M283="sd (X)"),O283/BF283/AQ283,
AND(L283="level-log",M283="sd (Y)"),O283/BF283*BH283,
AND(L283="elasticity",M283="level"),O283,
AND(L283="elasticity",M283="sd (X)"),O283/AQ283,
AND(L283="elasticity",M283="sd (Y)"),O283*BH283,
AND(L283="marginal_effect",M283="percent_of_mean"),O283*AN283/BF283/10)</f>
        <v>1.1867360796740608E-3</v>
      </c>
      <c r="AH283" s="56">
        <f t="shared" si="114"/>
        <v>1</v>
      </c>
      <c r="AI283" s="88">
        <f t="shared" si="118"/>
        <v>-1.101969216840199E-3</v>
      </c>
      <c r="AJ283" s="55">
        <v>0</v>
      </c>
      <c r="AK283" s="55">
        <f t="shared" si="115"/>
        <v>1</v>
      </c>
      <c r="AL283" s="55" t="s">
        <v>735</v>
      </c>
      <c r="AM283" s="55" t="s">
        <v>737</v>
      </c>
      <c r="AN283" s="55">
        <f>0.749*100</f>
        <v>74.900000000000006</v>
      </c>
      <c r="AO283" s="55">
        <v>0</v>
      </c>
      <c r="AP283" s="55">
        <f t="shared" si="87"/>
        <v>74.900000000000006</v>
      </c>
      <c r="AQ283" s="55">
        <f>0.509*100</f>
        <v>50.9</v>
      </c>
      <c r="AR283" s="55">
        <f>0.15*100</f>
        <v>15</v>
      </c>
      <c r="AS283" s="55">
        <f>5*100</f>
        <v>500</v>
      </c>
      <c r="AT283" s="55" t="s">
        <v>83</v>
      </c>
      <c r="AU283" s="55" t="s">
        <v>109</v>
      </c>
      <c r="AV283" s="55" t="s">
        <v>133</v>
      </c>
      <c r="AW283" s="55" t="s">
        <v>109</v>
      </c>
      <c r="AX283" s="55" t="s">
        <v>86</v>
      </c>
      <c r="AY283" s="55">
        <v>0</v>
      </c>
      <c r="AZ283" s="55">
        <v>0</v>
      </c>
      <c r="BA283" s="55" t="s">
        <v>734</v>
      </c>
      <c r="BB283" s="55" t="s">
        <v>88</v>
      </c>
      <c r="BC283" s="55" t="s">
        <v>89</v>
      </c>
      <c r="BD283" s="55" t="s">
        <v>114</v>
      </c>
      <c r="BE283" s="55" t="s">
        <v>816</v>
      </c>
      <c r="BF283" s="55">
        <v>8.8360000000000003</v>
      </c>
      <c r="BG283" s="55">
        <v>0</v>
      </c>
      <c r="BH283" s="55">
        <v>0.73599999999999999</v>
      </c>
      <c r="BI283" s="55">
        <v>2.8330000000000002</v>
      </c>
      <c r="BJ283" s="55">
        <v>9.4920000000000009</v>
      </c>
      <c r="BK283" s="55" t="s">
        <v>91</v>
      </c>
      <c r="BL283" s="55" t="s">
        <v>84</v>
      </c>
      <c r="BM283" s="55">
        <v>1</v>
      </c>
      <c r="BN283" s="55" t="s">
        <v>539</v>
      </c>
      <c r="BO283" s="55" t="s">
        <v>540</v>
      </c>
      <c r="BP283" s="55" t="s">
        <v>540</v>
      </c>
      <c r="BQ283" s="55" t="s">
        <v>117</v>
      </c>
      <c r="BR283" s="55" t="s">
        <v>134</v>
      </c>
      <c r="BS283" s="55" t="s">
        <v>312</v>
      </c>
      <c r="BT283" s="55">
        <v>0</v>
      </c>
      <c r="BU283" s="55">
        <v>2014</v>
      </c>
      <c r="BV283" s="55">
        <v>2016</v>
      </c>
      <c r="BW283" s="55" t="s">
        <v>736</v>
      </c>
      <c r="BX283" s="55" t="s">
        <v>95</v>
      </c>
      <c r="BY283" s="55" t="s">
        <v>748</v>
      </c>
      <c r="BZ283" s="55">
        <v>1</v>
      </c>
      <c r="CA283" s="55">
        <v>1</v>
      </c>
      <c r="CB283" s="55" t="s">
        <v>303</v>
      </c>
      <c r="CC283" s="55" t="s">
        <v>794</v>
      </c>
      <c r="CD283" s="55">
        <v>1</v>
      </c>
      <c r="CE283" s="55" t="s">
        <v>792</v>
      </c>
      <c r="CF283" s="55">
        <v>0</v>
      </c>
      <c r="CG283" s="55" t="s">
        <v>97</v>
      </c>
      <c r="CH283" s="55">
        <v>1</v>
      </c>
      <c r="CI283" s="55" t="s">
        <v>97</v>
      </c>
      <c r="CJ283" s="55" t="s">
        <v>98</v>
      </c>
      <c r="CK283" s="55">
        <v>33</v>
      </c>
      <c r="CL283" s="55">
        <v>0</v>
      </c>
      <c r="CM283" s="55">
        <v>0</v>
      </c>
      <c r="CN283" s="55" t="s">
        <v>99</v>
      </c>
      <c r="CO283" s="55" t="s">
        <v>97</v>
      </c>
      <c r="CP283" s="55" t="s">
        <v>100</v>
      </c>
      <c r="CQ283" s="55" t="s">
        <v>126</v>
      </c>
      <c r="CR283" s="57">
        <v>46223</v>
      </c>
      <c r="CT283" s="55" t="s">
        <v>823</v>
      </c>
    </row>
    <row r="284" spans="1:98" s="55" customFormat="1" x14ac:dyDescent="0.35">
      <c r="A284" s="54" t="s">
        <v>788</v>
      </c>
      <c r="B284" s="54" t="s">
        <v>813</v>
      </c>
      <c r="C284" s="55" t="s">
        <v>789</v>
      </c>
      <c r="D284" s="55">
        <v>2024</v>
      </c>
      <c r="E284" s="60" t="s">
        <v>790</v>
      </c>
      <c r="F284" s="54" t="s">
        <v>840</v>
      </c>
      <c r="G284" s="55" t="s">
        <v>78</v>
      </c>
      <c r="H284" s="55">
        <v>1</v>
      </c>
      <c r="I284" s="55" t="s">
        <v>290</v>
      </c>
      <c r="J284" s="55" t="s">
        <v>79</v>
      </c>
      <c r="K284" s="55">
        <v>3</v>
      </c>
      <c r="L284" s="55" t="s">
        <v>129</v>
      </c>
      <c r="M284" s="55" t="s">
        <v>380</v>
      </c>
      <c r="N284" s="55">
        <f>0.008/100</f>
        <v>8.0000000000000007E-5</v>
      </c>
      <c r="O284" s="55">
        <f>0.014/100</f>
        <v>1.4000000000000001E-4</v>
      </c>
      <c r="P284" s="88">
        <f t="shared" si="108"/>
        <v>0.5714285714285714</v>
      </c>
      <c r="Q284" s="55" t="s">
        <v>312</v>
      </c>
      <c r="R284" s="88">
        <f t="shared" si="109"/>
        <v>-1.9440000000000001E-4</v>
      </c>
      <c r="S284" s="88">
        <f t="shared" si="110"/>
        <v>3.5439999999999999E-4</v>
      </c>
      <c r="T284" s="55">
        <v>1</v>
      </c>
      <c r="U284" s="55">
        <v>15061</v>
      </c>
      <c r="V284" s="55">
        <v>12</v>
      </c>
      <c r="W284" s="55">
        <v>1</v>
      </c>
      <c r="X284" s="55">
        <f t="shared" si="107"/>
        <v>15049</v>
      </c>
      <c r="Y284" s="88">
        <f t="shared" si="111"/>
        <v>4.6580421988528112E-3</v>
      </c>
      <c r="Z284" s="88">
        <f t="shared" si="112"/>
        <v>8.1515738479924198E-3</v>
      </c>
      <c r="AA284" s="88">
        <f t="shared" si="119"/>
        <v>4.6580421988528112E-3</v>
      </c>
      <c r="AB284" s="55" t="s">
        <v>81</v>
      </c>
      <c r="AC284" s="88">
        <f t="shared" si="116"/>
        <v>6.7813490267089186E-4</v>
      </c>
      <c r="AD284" s="88" cm="1">
        <f t="array" ref="AD284">_xlfn.IFS(
AND(L284="marginal_effect",M284="level"),N284*AN284/BF284,
AND(L284="marginal_effect",M284="sd (Y)"),N284*BH284*AN284/BF284,
AND(L284="marginal_effect",M284="sd (X)"),N284/AQ284*AN284/BF284,
AND(L284="semi_elasticity",M284="level"),N284*AN284,
AND(L284="semi_elasticity",M284="sd (Y)"),N284*AN284*BH284,
AND(L284="semi_elasticity",M284="sd (X)"),N284*AN284/AQ284,
AND(L284="level-log",M284="level"),N284/BF284,
AND(L284="level-log",M284="sd (X)"),N284/BF284/AQ284,
AND(L284="level-log",M284="sd (Y)"),N284/BF284*BH284,
AND(L284="elasticity",M284="level"),N284,
AND(L284="elasticity",M284="sd (X)"),N284/AQ284,
AND(L284="elasticity",M284="sd (Y)"),N284*BH284,
AND(L284="marginal_effect",M284="percent_of_mean"),N284*AN284/BF284/10)</f>
        <v>6.7813490267089186E-4</v>
      </c>
      <c r="AE284" s="56">
        <f t="shared" si="113"/>
        <v>1</v>
      </c>
      <c r="AF284" s="88">
        <f t="shared" si="117"/>
        <v>1.1867360796740608E-3</v>
      </c>
      <c r="AG284" s="88" cm="1">
        <f t="array" ref="AG284">_xlfn.IFS(
AND(L284="marginal_effect",M284="level"),O284*AN284/BF284,
AND(L284="marginal_effect",M284="sd (Y)"),O284*BH284*AN284/BF284,
AND(L284="marginal_effect",M284="sd (X)"),O284/AQ284*AN284/BF284,
AND(L284="semi_elasticity",M284="level"),O284*AN284,
AND(L284="semi_elasticity",M284="sd (Y)"),O284*AN284*BH284,
AND(L284="semi_elasticity",M284="sd (X)"),O284*AN284/AQ284,
AND(L284="level-log",M284="level"),O284/BF284,
AND(L284="level-log",M284="sd (X)"),O284/BF284/AQ284,
AND(L284="level-log",M284="sd (Y)"),O284/BF284*BH284,
AND(L284="elasticity",M284="level"),O284,
AND(L284="elasticity",M284="sd (X)"),O284/AQ284,
AND(L284="elasticity",M284="sd (Y)"),O284*BH284,
AND(L284="marginal_effect",M284="percent_of_mean"),O284*AN284/BF284/10)</f>
        <v>1.1867360796740608E-3</v>
      </c>
      <c r="AH284" s="56">
        <f t="shared" si="114"/>
        <v>1</v>
      </c>
      <c r="AI284" s="88">
        <f t="shared" si="118"/>
        <v>-6.7813490267089186E-4</v>
      </c>
      <c r="AJ284" s="55">
        <v>0</v>
      </c>
      <c r="AK284" s="55">
        <f t="shared" si="115"/>
        <v>1</v>
      </c>
      <c r="AL284" s="55" t="s">
        <v>735</v>
      </c>
      <c r="AM284" s="55" t="s">
        <v>737</v>
      </c>
      <c r="AN284" s="55">
        <f>0.749*100</f>
        <v>74.900000000000006</v>
      </c>
      <c r="AO284" s="55">
        <v>0</v>
      </c>
      <c r="AP284" s="55">
        <f t="shared" si="87"/>
        <v>74.900000000000006</v>
      </c>
      <c r="AQ284" s="55">
        <f>0.509*100</f>
        <v>50.9</v>
      </c>
      <c r="AR284" s="55">
        <f>0.15*100</f>
        <v>15</v>
      </c>
      <c r="AS284" s="55">
        <f>5*100</f>
        <v>500</v>
      </c>
      <c r="AT284" s="55" t="s">
        <v>83</v>
      </c>
      <c r="AU284" s="55" t="s">
        <v>109</v>
      </c>
      <c r="AV284" s="55" t="s">
        <v>133</v>
      </c>
      <c r="AW284" s="55" t="s">
        <v>109</v>
      </c>
      <c r="AX284" s="55" t="s">
        <v>86</v>
      </c>
      <c r="AY284" s="55">
        <v>0</v>
      </c>
      <c r="AZ284" s="55">
        <v>0</v>
      </c>
      <c r="BA284" s="55" t="s">
        <v>734</v>
      </c>
      <c r="BB284" s="55" t="s">
        <v>88</v>
      </c>
      <c r="BC284" s="55" t="s">
        <v>89</v>
      </c>
      <c r="BD284" s="55" t="s">
        <v>114</v>
      </c>
      <c r="BE284" s="55" t="s">
        <v>816</v>
      </c>
      <c r="BF284" s="55">
        <v>8.8360000000000003</v>
      </c>
      <c r="BG284" s="55">
        <v>0</v>
      </c>
      <c r="BH284" s="55">
        <v>0.73599999999999999</v>
      </c>
      <c r="BI284" s="55">
        <v>2.8330000000000002</v>
      </c>
      <c r="BJ284" s="55">
        <v>9.4920000000000009</v>
      </c>
      <c r="BK284" s="55" t="s">
        <v>91</v>
      </c>
      <c r="BL284" s="55" t="s">
        <v>84</v>
      </c>
      <c r="BM284" s="55">
        <v>1</v>
      </c>
      <c r="BN284" s="55" t="s">
        <v>539</v>
      </c>
      <c r="BO284" s="55" t="s">
        <v>540</v>
      </c>
      <c r="BP284" s="55" t="s">
        <v>540</v>
      </c>
      <c r="BQ284" s="55" t="s">
        <v>117</v>
      </c>
      <c r="BR284" s="55" t="s">
        <v>134</v>
      </c>
      <c r="BS284" s="55" t="s">
        <v>312</v>
      </c>
      <c r="BT284" s="55">
        <v>0</v>
      </c>
      <c r="BU284" s="55">
        <v>2014</v>
      </c>
      <c r="BV284" s="55">
        <v>2016</v>
      </c>
      <c r="BW284" s="55" t="s">
        <v>736</v>
      </c>
      <c r="BX284" s="55" t="s">
        <v>95</v>
      </c>
      <c r="BY284" s="55" t="s">
        <v>748</v>
      </c>
      <c r="BZ284" s="55">
        <v>1</v>
      </c>
      <c r="CA284" s="55">
        <v>1</v>
      </c>
      <c r="CB284" s="55" t="s">
        <v>303</v>
      </c>
      <c r="CC284" s="55" t="s">
        <v>795</v>
      </c>
      <c r="CD284" s="55">
        <v>1</v>
      </c>
      <c r="CE284" s="55" t="s">
        <v>792</v>
      </c>
      <c r="CF284" s="55">
        <v>0</v>
      </c>
      <c r="CG284" s="55" t="s">
        <v>97</v>
      </c>
      <c r="CH284" s="55">
        <v>1</v>
      </c>
      <c r="CI284" s="55" t="s">
        <v>97</v>
      </c>
      <c r="CJ284" s="55" t="s">
        <v>98</v>
      </c>
      <c r="CK284" s="55">
        <v>33</v>
      </c>
      <c r="CL284" s="55">
        <v>0</v>
      </c>
      <c r="CM284" s="55">
        <v>0</v>
      </c>
      <c r="CN284" s="55" t="s">
        <v>99</v>
      </c>
      <c r="CO284" s="55" t="s">
        <v>97</v>
      </c>
      <c r="CP284" s="55" t="s">
        <v>100</v>
      </c>
      <c r="CQ284" s="55" t="s">
        <v>126</v>
      </c>
      <c r="CR284" s="57">
        <v>46223</v>
      </c>
      <c r="CT284" s="55" t="s">
        <v>824</v>
      </c>
    </row>
    <row r="285" spans="1:98" s="55" customFormat="1" x14ac:dyDescent="0.35">
      <c r="A285" s="54" t="s">
        <v>788</v>
      </c>
      <c r="B285" s="54" t="s">
        <v>814</v>
      </c>
      <c r="C285" s="55" t="s">
        <v>789</v>
      </c>
      <c r="D285" s="55">
        <v>2024</v>
      </c>
      <c r="E285" s="60" t="s">
        <v>790</v>
      </c>
      <c r="F285" s="54" t="s">
        <v>840</v>
      </c>
      <c r="G285" s="55" t="s">
        <v>78</v>
      </c>
      <c r="H285" s="55">
        <v>1</v>
      </c>
      <c r="I285" s="55" t="s">
        <v>290</v>
      </c>
      <c r="J285" s="55" t="s">
        <v>79</v>
      </c>
      <c r="K285" s="55">
        <v>3</v>
      </c>
      <c r="L285" s="55" t="s">
        <v>129</v>
      </c>
      <c r="M285" s="55" t="s">
        <v>380</v>
      </c>
      <c r="N285" s="55">
        <f>0.009/100</f>
        <v>8.9999999999999992E-5</v>
      </c>
      <c r="O285" s="55">
        <f>0.02/100</f>
        <v>2.0000000000000001E-4</v>
      </c>
      <c r="P285" s="88">
        <f t="shared" si="108"/>
        <v>0.44999999999999996</v>
      </c>
      <c r="Q285" s="55" t="s">
        <v>312</v>
      </c>
      <c r="R285" s="88">
        <f t="shared" si="109"/>
        <v>-3.0199999999999997E-4</v>
      </c>
      <c r="S285" s="88">
        <f t="shared" si="110"/>
        <v>4.8200000000000001E-4</v>
      </c>
      <c r="T285" s="55">
        <v>1</v>
      </c>
      <c r="U285" s="55">
        <v>15009</v>
      </c>
      <c r="V285" s="55">
        <v>12</v>
      </c>
      <c r="W285" s="55">
        <v>1</v>
      </c>
      <c r="X285" s="55">
        <f t="shared" si="107"/>
        <v>14997</v>
      </c>
      <c r="Y285" s="88">
        <f t="shared" si="111"/>
        <v>3.6745772844842934E-3</v>
      </c>
      <c r="Z285" s="88">
        <f t="shared" si="112"/>
        <v>8.1657272988539861E-3</v>
      </c>
      <c r="AA285" s="88">
        <f t="shared" si="119"/>
        <v>3.6745772844842934E-3</v>
      </c>
      <c r="AB285" s="55" t="s">
        <v>81</v>
      </c>
      <c r="AC285" s="88">
        <f t="shared" si="116"/>
        <v>4.7566772295156177E-4</v>
      </c>
      <c r="AD285" s="88" cm="1">
        <f t="array" ref="AD285">_xlfn.IFS(
AND(L285="marginal_effect",M285="level"),N285*AN285/BF285,
AND(L285="marginal_effect",M285="sd (Y)"),N285*BH285*AN285/BF285,
AND(L285="marginal_effect",M285="sd (X)"),N285/AQ285*AN285/BF285,
AND(L285="semi_elasticity",M285="level"),N285*AN285,
AND(L285="semi_elasticity",M285="sd (Y)"),N285*AN285*BH285,
AND(L285="semi_elasticity",M285="sd (X)"),N285*AN285/AQ285,
AND(L285="level-log",M285="level"),N285/BF285,
AND(L285="level-log",M285="sd (X)"),N285/BF285/AQ285,
AND(L285="level-log",M285="sd (Y)"),N285/BF285*BH285,
AND(L285="elasticity",M285="level"),N285,
AND(L285="elasticity",M285="sd (X)"),N285/AQ285,
AND(L285="elasticity",M285="sd (Y)"),N285*BH285,
AND(L285="marginal_effect",M285="percent_of_mean"),N285*AN285/BF285/10)</f>
        <v>4.7566772295156177E-4</v>
      </c>
      <c r="AE285" s="56">
        <f t="shared" si="113"/>
        <v>1</v>
      </c>
      <c r="AF285" s="88">
        <f t="shared" si="117"/>
        <v>1.057039384336804E-3</v>
      </c>
      <c r="AG285" s="88" cm="1">
        <f t="array" ref="AG285">_xlfn.IFS(
AND(L285="marginal_effect",M285="level"),O285*AN285/BF285,
AND(L285="marginal_effect",M285="sd (Y)"),O285*BH285*AN285/BF285,
AND(L285="marginal_effect",M285="sd (X)"),O285/AQ285*AN285/BF285,
AND(L285="semi_elasticity",M285="level"),O285*AN285,
AND(L285="semi_elasticity",M285="sd (Y)"),O285*AN285*BH285,
AND(L285="semi_elasticity",M285="sd (X)"),O285*AN285/AQ285,
AND(L285="level-log",M285="level"),O285/BF285,
AND(L285="level-log",M285="sd (X)"),O285/BF285/AQ285,
AND(L285="level-log",M285="sd (Y)"),O285/BF285*BH285,
AND(L285="elasticity",M285="level"),O285,
AND(L285="elasticity",M285="sd (X)"),O285/AQ285,
AND(L285="elasticity",M285="sd (Y)"),O285*BH285,
AND(L285="marginal_effect",M285="percent_of_mean"),O285*AN285/BF285/10)</f>
        <v>1.057039384336804E-3</v>
      </c>
      <c r="AH285" s="56">
        <f t="shared" si="114"/>
        <v>1</v>
      </c>
      <c r="AI285" s="88">
        <f t="shared" si="118"/>
        <v>-4.7566772295156177E-4</v>
      </c>
      <c r="AJ285" s="55">
        <v>0</v>
      </c>
      <c r="AK285" s="55">
        <f t="shared" si="115"/>
        <v>1</v>
      </c>
      <c r="AL285" s="55" t="s">
        <v>82</v>
      </c>
      <c r="AM285" s="55" t="s">
        <v>1333</v>
      </c>
      <c r="AN285" s="55">
        <f>0.467*100</f>
        <v>46.7</v>
      </c>
      <c r="AO285" s="55">
        <v>0</v>
      </c>
      <c r="AP285" s="55">
        <f t="shared" si="87"/>
        <v>46.7</v>
      </c>
      <c r="AQ285" s="55">
        <f>0.398*100</f>
        <v>39.800000000000004</v>
      </c>
      <c r="AR285" s="55">
        <f>0.01*100</f>
        <v>1</v>
      </c>
      <c r="AS285" s="55">
        <f>3.67*100</f>
        <v>367</v>
      </c>
      <c r="AT285" s="55" t="s">
        <v>83</v>
      </c>
      <c r="AU285" s="55" t="s">
        <v>109</v>
      </c>
      <c r="AV285" s="55" t="s">
        <v>133</v>
      </c>
      <c r="AW285" s="55" t="s">
        <v>109</v>
      </c>
      <c r="AX285" s="55" t="s">
        <v>86</v>
      </c>
      <c r="AY285" s="55">
        <v>0</v>
      </c>
      <c r="AZ285" s="55">
        <v>0</v>
      </c>
      <c r="BA285" s="55" t="s">
        <v>734</v>
      </c>
      <c r="BB285" s="55" t="s">
        <v>88</v>
      </c>
      <c r="BC285" s="55" t="s">
        <v>89</v>
      </c>
      <c r="BD285" s="55" t="s">
        <v>114</v>
      </c>
      <c r="BE285" s="55" t="s">
        <v>816</v>
      </c>
      <c r="BF285" s="55">
        <v>8.8360000000000003</v>
      </c>
      <c r="BG285" s="55">
        <v>0</v>
      </c>
      <c r="BH285" s="55">
        <v>0.73599999999999999</v>
      </c>
      <c r="BI285" s="55">
        <v>2.8330000000000002</v>
      </c>
      <c r="BJ285" s="55">
        <v>9.4920000000000009</v>
      </c>
      <c r="BK285" s="55" t="s">
        <v>91</v>
      </c>
      <c r="BL285" s="55" t="s">
        <v>84</v>
      </c>
      <c r="BM285" s="55">
        <v>1</v>
      </c>
      <c r="BN285" s="55" t="s">
        <v>539</v>
      </c>
      <c r="BO285" s="55" t="s">
        <v>540</v>
      </c>
      <c r="BP285" s="55" t="s">
        <v>540</v>
      </c>
      <c r="BQ285" s="55" t="s">
        <v>117</v>
      </c>
      <c r="BR285" s="55" t="s">
        <v>134</v>
      </c>
      <c r="BS285" s="55" t="s">
        <v>312</v>
      </c>
      <c r="BT285" s="55">
        <v>0</v>
      </c>
      <c r="BU285" s="55">
        <v>2014</v>
      </c>
      <c r="BV285" s="55">
        <v>2016</v>
      </c>
      <c r="BW285" s="55" t="s">
        <v>736</v>
      </c>
      <c r="BX285" s="55" t="s">
        <v>95</v>
      </c>
      <c r="BY285" s="55" t="s">
        <v>748</v>
      </c>
      <c r="BZ285" s="55">
        <v>1</v>
      </c>
      <c r="CA285" s="55">
        <v>1</v>
      </c>
      <c r="CB285" s="55" t="s">
        <v>303</v>
      </c>
      <c r="CC285" s="55" t="s">
        <v>794</v>
      </c>
      <c r="CD285" s="55">
        <v>1</v>
      </c>
      <c r="CE285" s="55" t="s">
        <v>792</v>
      </c>
      <c r="CF285" s="55">
        <v>0</v>
      </c>
      <c r="CG285" s="55" t="s">
        <v>97</v>
      </c>
      <c r="CH285" s="55">
        <v>1</v>
      </c>
      <c r="CI285" s="55" t="s">
        <v>97</v>
      </c>
      <c r="CJ285" s="55" t="s">
        <v>98</v>
      </c>
      <c r="CK285" s="55">
        <v>33</v>
      </c>
      <c r="CL285" s="55">
        <v>0</v>
      </c>
      <c r="CM285" s="55">
        <v>0</v>
      </c>
      <c r="CN285" s="55" t="s">
        <v>99</v>
      </c>
      <c r="CO285" s="55" t="s">
        <v>97</v>
      </c>
      <c r="CP285" s="55" t="s">
        <v>100</v>
      </c>
      <c r="CQ285" s="55" t="s">
        <v>126</v>
      </c>
      <c r="CR285" s="57">
        <v>46223</v>
      </c>
      <c r="CT285" s="55" t="s">
        <v>825</v>
      </c>
    </row>
    <row r="286" spans="1:98" s="55" customFormat="1" x14ac:dyDescent="0.35">
      <c r="A286" s="54" t="s">
        <v>788</v>
      </c>
      <c r="B286" s="54" t="s">
        <v>815</v>
      </c>
      <c r="C286" s="55" t="s">
        <v>789</v>
      </c>
      <c r="D286" s="55">
        <v>2024</v>
      </c>
      <c r="E286" s="60" t="s">
        <v>790</v>
      </c>
      <c r="F286" s="54" t="s">
        <v>840</v>
      </c>
      <c r="G286" s="55" t="s">
        <v>78</v>
      </c>
      <c r="H286" s="55">
        <v>1</v>
      </c>
      <c r="I286" s="55" t="s">
        <v>290</v>
      </c>
      <c r="J286" s="55" t="s">
        <v>79</v>
      </c>
      <c r="K286" s="55">
        <v>3</v>
      </c>
      <c r="L286" s="55" t="s">
        <v>129</v>
      </c>
      <c r="M286" s="55" t="s">
        <v>380</v>
      </c>
      <c r="N286" s="55">
        <f>0.007/100</f>
        <v>7.0000000000000007E-5</v>
      </c>
      <c r="O286" s="55">
        <f>0.009/100</f>
        <v>8.9999999999999992E-5</v>
      </c>
      <c r="P286" s="88">
        <f t="shared" si="108"/>
        <v>0.7777777777777779</v>
      </c>
      <c r="Q286" s="55" t="s">
        <v>312</v>
      </c>
      <c r="R286" s="88">
        <f t="shared" si="109"/>
        <v>-1.0639999999999997E-4</v>
      </c>
      <c r="S286" s="88">
        <f t="shared" si="110"/>
        <v>2.4639999999999997E-4</v>
      </c>
      <c r="T286" s="55">
        <v>1</v>
      </c>
      <c r="U286" s="55">
        <v>14227</v>
      </c>
      <c r="V286" s="55">
        <v>12</v>
      </c>
      <c r="W286" s="55">
        <v>1</v>
      </c>
      <c r="X286" s="55">
        <f t="shared" si="107"/>
        <v>14215</v>
      </c>
      <c r="Y286" s="88">
        <f t="shared" si="111"/>
        <v>6.5233827034449094E-3</v>
      </c>
      <c r="Z286" s="88">
        <f t="shared" si="112"/>
        <v>8.3872063330005971E-3</v>
      </c>
      <c r="AA286" s="88">
        <f t="shared" si="119"/>
        <v>6.5233827034449094E-3</v>
      </c>
      <c r="AB286" s="55" t="s">
        <v>81</v>
      </c>
      <c r="AC286" s="88">
        <f t="shared" si="116"/>
        <v>6.6387505658669081E-4</v>
      </c>
      <c r="AD286" s="88" cm="1">
        <f t="array" ref="AD286">_xlfn.IFS(
AND(L286="marginal_effect",M286="level"),N286*AN286/BF286,
AND(L286="marginal_effect",M286="sd (Y)"),N286*BH286*AN286/BF286,
AND(L286="marginal_effect",M286="sd (X)"),N286/AQ286*AN286/BF286,
AND(L286="semi_elasticity",M286="level"),N286*AN286,
AND(L286="semi_elasticity",M286="sd (Y)"),N286*AN286*BH286,
AND(L286="semi_elasticity",M286="sd (X)"),N286*AN286/AQ286,
AND(L286="level-log",M286="level"),N286/BF286,
AND(L286="level-log",M286="sd (X)"),N286/BF286/AQ286,
AND(L286="level-log",M286="sd (Y)"),N286/BF286*BH286,
AND(L286="elasticity",M286="level"),N286,
AND(L286="elasticity",M286="sd (X)"),N286/AQ286,
AND(L286="elasticity",M286="sd (Y)"),N286*BH286,
AND(L286="marginal_effect",M286="percent_of_mean"),N286*AN286/BF286/10)</f>
        <v>6.6387505658669081E-4</v>
      </c>
      <c r="AE286" s="56">
        <f t="shared" si="113"/>
        <v>1</v>
      </c>
      <c r="AF286" s="88">
        <f t="shared" si="117"/>
        <v>8.5355364418288808E-4</v>
      </c>
      <c r="AG286" s="88" cm="1">
        <f t="array" ref="AG286">_xlfn.IFS(
AND(L286="marginal_effect",M286="level"),O286*AN286/BF286,
AND(L286="marginal_effect",M286="sd (Y)"),O286*BH286*AN286/BF286,
AND(L286="marginal_effect",M286="sd (X)"),O286/AQ286*AN286/BF286,
AND(L286="semi_elasticity",M286="level"),O286*AN286,
AND(L286="semi_elasticity",M286="sd (Y)"),O286*AN286*BH286,
AND(L286="semi_elasticity",M286="sd (X)"),O286*AN286/AQ286,
AND(L286="level-log",M286="level"),O286/BF286,
AND(L286="level-log",M286="sd (X)"),O286/BF286/AQ286,
AND(L286="level-log",M286="sd (Y)"),O286/BF286*BH286,
AND(L286="elasticity",M286="level"),O286,
AND(L286="elasticity",M286="sd (X)"),O286/AQ286,
AND(L286="elasticity",M286="sd (Y)"),O286*BH286,
AND(L286="marginal_effect",M286="percent_of_mean"),O286*AN286/BF286/10)</f>
        <v>8.5355364418288808E-4</v>
      </c>
      <c r="AH286" s="56">
        <f t="shared" si="114"/>
        <v>1</v>
      </c>
      <c r="AI286" s="88">
        <f t="shared" si="118"/>
        <v>-6.6387505658669081E-4</v>
      </c>
      <c r="AJ286" s="55">
        <v>0</v>
      </c>
      <c r="AK286" s="55">
        <f t="shared" si="115"/>
        <v>1</v>
      </c>
      <c r="AL286" s="55" t="s">
        <v>106</v>
      </c>
      <c r="AM286" s="55" t="s">
        <v>1333</v>
      </c>
      <c r="AN286" s="55">
        <f>0.838*100</f>
        <v>83.8</v>
      </c>
      <c r="AO286" s="55">
        <v>0</v>
      </c>
      <c r="AP286" s="55">
        <f t="shared" si="87"/>
        <v>83.8</v>
      </c>
      <c r="AQ286" s="55">
        <f>0.696*100</f>
        <v>69.599999999999994</v>
      </c>
      <c r="AR286" s="55">
        <v>0</v>
      </c>
      <c r="AS286" s="55">
        <f>7.73*100</f>
        <v>773</v>
      </c>
      <c r="AT286" s="55" t="s">
        <v>83</v>
      </c>
      <c r="AU286" s="55" t="s">
        <v>109</v>
      </c>
      <c r="AV286" s="55" t="s">
        <v>133</v>
      </c>
      <c r="AW286" s="55" t="s">
        <v>109</v>
      </c>
      <c r="AX286" s="55" t="s">
        <v>86</v>
      </c>
      <c r="AY286" s="55">
        <v>0</v>
      </c>
      <c r="AZ286" s="55">
        <v>0</v>
      </c>
      <c r="BA286" s="55" t="s">
        <v>734</v>
      </c>
      <c r="BB286" s="55" t="s">
        <v>88</v>
      </c>
      <c r="BC286" s="55" t="s">
        <v>89</v>
      </c>
      <c r="BD286" s="55" t="s">
        <v>114</v>
      </c>
      <c r="BE286" s="55" t="s">
        <v>816</v>
      </c>
      <c r="BF286" s="55">
        <v>8.8360000000000003</v>
      </c>
      <c r="BG286" s="55">
        <v>0</v>
      </c>
      <c r="BH286" s="55">
        <v>0.73599999999999999</v>
      </c>
      <c r="BI286" s="55">
        <v>2.8330000000000002</v>
      </c>
      <c r="BJ286" s="55">
        <v>9.4920000000000009</v>
      </c>
      <c r="BK286" s="55" t="s">
        <v>91</v>
      </c>
      <c r="BL286" s="55" t="s">
        <v>84</v>
      </c>
      <c r="BM286" s="55">
        <v>1</v>
      </c>
      <c r="BN286" s="55" t="s">
        <v>539</v>
      </c>
      <c r="BO286" s="55" t="s">
        <v>540</v>
      </c>
      <c r="BP286" s="55" t="s">
        <v>540</v>
      </c>
      <c r="BQ286" s="55" t="s">
        <v>117</v>
      </c>
      <c r="BR286" s="55" t="s">
        <v>134</v>
      </c>
      <c r="BS286" s="55" t="s">
        <v>312</v>
      </c>
      <c r="BT286" s="55">
        <v>0</v>
      </c>
      <c r="BU286" s="55">
        <v>2014</v>
      </c>
      <c r="BV286" s="55">
        <v>2016</v>
      </c>
      <c r="BW286" s="55" t="s">
        <v>736</v>
      </c>
      <c r="BX286" s="55" t="s">
        <v>95</v>
      </c>
      <c r="BY286" s="55" t="s">
        <v>748</v>
      </c>
      <c r="BZ286" s="55">
        <v>1</v>
      </c>
      <c r="CA286" s="55">
        <v>1</v>
      </c>
      <c r="CB286" s="55" t="s">
        <v>303</v>
      </c>
      <c r="CC286" s="55" t="s">
        <v>795</v>
      </c>
      <c r="CD286" s="55">
        <v>1</v>
      </c>
      <c r="CE286" s="55" t="s">
        <v>792</v>
      </c>
      <c r="CF286" s="55">
        <v>0</v>
      </c>
      <c r="CG286" s="55" t="s">
        <v>97</v>
      </c>
      <c r="CH286" s="55">
        <v>1</v>
      </c>
      <c r="CI286" s="55" t="s">
        <v>97</v>
      </c>
      <c r="CJ286" s="55" t="s">
        <v>98</v>
      </c>
      <c r="CK286" s="55">
        <v>33</v>
      </c>
      <c r="CL286" s="55">
        <v>0</v>
      </c>
      <c r="CM286" s="55">
        <v>0</v>
      </c>
      <c r="CN286" s="55" t="s">
        <v>99</v>
      </c>
      <c r="CO286" s="55" t="s">
        <v>97</v>
      </c>
      <c r="CP286" s="55" t="s">
        <v>100</v>
      </c>
      <c r="CQ286" s="55" t="s">
        <v>126</v>
      </c>
      <c r="CR286" s="57">
        <v>46223</v>
      </c>
      <c r="CT286" s="55" t="s">
        <v>552</v>
      </c>
    </row>
    <row r="287" spans="1:98" s="55" customFormat="1" x14ac:dyDescent="0.35">
      <c r="A287" s="54" t="s">
        <v>788</v>
      </c>
      <c r="B287" s="54" t="s">
        <v>843</v>
      </c>
      <c r="C287" s="55" t="s">
        <v>789</v>
      </c>
      <c r="D287" s="55">
        <v>2024</v>
      </c>
      <c r="E287" s="60" t="s">
        <v>790</v>
      </c>
      <c r="F287" s="54" t="s">
        <v>840</v>
      </c>
      <c r="G287" s="55" t="s">
        <v>78</v>
      </c>
      <c r="H287" s="55">
        <v>1</v>
      </c>
      <c r="I287" s="55" t="s">
        <v>290</v>
      </c>
      <c r="J287" s="55" t="s">
        <v>79</v>
      </c>
      <c r="K287" s="55">
        <v>3</v>
      </c>
      <c r="L287" s="55" t="s">
        <v>129</v>
      </c>
      <c r="M287" s="55" t="s">
        <v>380</v>
      </c>
      <c r="N287" s="55">
        <f>-0.705/100</f>
        <v>-7.0499999999999998E-3</v>
      </c>
      <c r="O287" s="55">
        <f>1.144/100</f>
        <v>1.1439999999999999E-2</v>
      </c>
      <c r="P287" s="88">
        <f t="shared" si="108"/>
        <v>-0.61625874125874136</v>
      </c>
      <c r="Q287" s="55" t="s">
        <v>312</v>
      </c>
      <c r="R287" s="88">
        <f t="shared" si="109"/>
        <v>-2.9472399999999999E-2</v>
      </c>
      <c r="S287" s="88">
        <f t="shared" si="110"/>
        <v>1.5372399999999998E-2</v>
      </c>
      <c r="T287" s="55">
        <v>1</v>
      </c>
      <c r="U287" s="55">
        <v>7479</v>
      </c>
      <c r="V287" s="55">
        <v>12</v>
      </c>
      <c r="W287" s="55">
        <v>1</v>
      </c>
      <c r="X287" s="55">
        <f t="shared" si="107"/>
        <v>7467</v>
      </c>
      <c r="Y287" s="88">
        <f t="shared" si="111"/>
        <v>-7.1314685771596952E-3</v>
      </c>
      <c r="Z287" s="88">
        <f t="shared" si="112"/>
        <v>1.1572198655703107E-2</v>
      </c>
      <c r="AA287" s="88">
        <f t="shared" si="119"/>
        <v>-7.1314685771596952E-3</v>
      </c>
      <c r="AB287" s="55" t="s">
        <v>81</v>
      </c>
      <c r="AC287" s="88">
        <f t="shared" si="116"/>
        <v>-1.8852690206719269E-2</v>
      </c>
      <c r="AD287" s="88" cm="1">
        <f t="array" ref="AD287">_xlfn.IFS(
AND(L287="marginal_effect",M287="level"),N287*AN287/BF287,
AND(L287="marginal_effect",M287="sd (Y)"),N287*BH287*AN287/BF287,
AND(L287="marginal_effect",M287="sd (X)"),N287/AQ287*AN287/BF287,
AND(L287="semi_elasticity",M287="level"),N287*AN287,
AND(L287="semi_elasticity",M287="sd (Y)"),N287*AN287*BH287,
AND(L287="semi_elasticity",M287="sd (X)"),N287*AN287/AQ287,
AND(L287="level-log",M287="level"),N287/BF287,
AND(L287="level-log",M287="sd (X)"),N287/BF287/AQ287,
AND(L287="level-log",M287="sd (Y)"),N287/BF287*BH287,
AND(L287="elasticity",M287="level"),N287,
AND(L287="elasticity",M287="sd (X)"),N287/AQ287,
AND(L287="elasticity",M287="sd (Y)"),N287*BH287,
AND(L287="marginal_effect",M287="percent_of_mean"),N287*AN287/BF287/10)</f>
        <v>-1.8852690206719269E-2</v>
      </c>
      <c r="AE287" s="56">
        <f t="shared" si="113"/>
        <v>1</v>
      </c>
      <c r="AF287" s="88">
        <f t="shared" si="117"/>
        <v>3.0592166803527436E-2</v>
      </c>
      <c r="AG287" s="88" cm="1">
        <f t="array" ref="AG287">_xlfn.IFS(
AND(L287="marginal_effect",M287="level"),O287*AN287/BF287,
AND(L287="marginal_effect",M287="sd (Y)"),O287*BH287*AN287/BF287,
AND(L287="marginal_effect",M287="sd (X)"),O287/AQ287*AN287/BF287,
AND(L287="semi_elasticity",M287="level"),O287*AN287,
AND(L287="semi_elasticity",M287="sd (Y)"),O287*AN287*BH287,
AND(L287="semi_elasticity",M287="sd (X)"),O287*AN287/AQ287,
AND(L287="level-log",M287="level"),O287/BF287,
AND(L287="level-log",M287="sd (X)"),O287/BF287/AQ287,
AND(L287="level-log",M287="sd (Y)"),O287/BF287*BH287,
AND(L287="elasticity",M287="level"),O287,
AND(L287="elasticity",M287="sd (X)"),O287/AQ287,
AND(L287="elasticity",M287="sd (Y)"),O287*BH287,
AND(L287="marginal_effect",M287="percent_of_mean"),O287*AN287/BF287/10)</f>
        <v>3.0592166803527436E-2</v>
      </c>
      <c r="AH287" s="56">
        <f t="shared" si="114"/>
        <v>1</v>
      </c>
      <c r="AI287" s="88">
        <f t="shared" ref="AI287:AI292" si="120">AC287</f>
        <v>-1.8852690206719269E-2</v>
      </c>
      <c r="AJ287" s="55">
        <v>0</v>
      </c>
      <c r="AK287" s="55">
        <f t="shared" si="115"/>
        <v>1</v>
      </c>
      <c r="AL287" s="55" t="s">
        <v>735</v>
      </c>
      <c r="AM287" s="55" t="s">
        <v>737</v>
      </c>
      <c r="AN287" s="55">
        <f>0.749*100</f>
        <v>74.900000000000006</v>
      </c>
      <c r="AO287" s="55">
        <v>1</v>
      </c>
      <c r="AP287" s="55">
        <f t="shared" ref="AP287:AP350" si="121">AN287</f>
        <v>74.900000000000006</v>
      </c>
      <c r="AQ287" s="55">
        <f>0.509*100</f>
        <v>50.9</v>
      </c>
      <c r="AR287" s="55">
        <f>0.15*100</f>
        <v>15</v>
      </c>
      <c r="AS287" s="55">
        <f>5*100</f>
        <v>500</v>
      </c>
      <c r="AT287" s="55" t="s">
        <v>83</v>
      </c>
      <c r="AU287" s="55" t="s">
        <v>109</v>
      </c>
      <c r="AV287" s="55" t="s">
        <v>133</v>
      </c>
      <c r="AW287" s="55" t="s">
        <v>109</v>
      </c>
      <c r="AX287" s="55" t="s">
        <v>86</v>
      </c>
      <c r="AY287" s="55">
        <v>0</v>
      </c>
      <c r="AZ287" s="55">
        <v>0</v>
      </c>
      <c r="BA287" s="55" t="s">
        <v>734</v>
      </c>
      <c r="BB287" s="55" t="s">
        <v>88</v>
      </c>
      <c r="BC287" s="55" t="s">
        <v>113</v>
      </c>
      <c r="BD287" s="55" t="s">
        <v>114</v>
      </c>
      <c r="BE287" s="55" t="s">
        <v>534</v>
      </c>
      <c r="BF287" s="55">
        <v>28.009</v>
      </c>
      <c r="BG287" s="55">
        <v>1</v>
      </c>
      <c r="BH287" s="55">
        <v>17.498000000000001</v>
      </c>
      <c r="BI287" s="55">
        <v>0</v>
      </c>
      <c r="BJ287" s="55">
        <v>132</v>
      </c>
      <c r="BK287" s="55" t="s">
        <v>91</v>
      </c>
      <c r="BL287" s="55" t="s">
        <v>84</v>
      </c>
      <c r="BM287" s="55">
        <v>1</v>
      </c>
      <c r="BN287" s="55" t="s">
        <v>539</v>
      </c>
      <c r="BO287" s="55" t="s">
        <v>540</v>
      </c>
      <c r="BP287" s="55" t="s">
        <v>540</v>
      </c>
      <c r="BQ287" s="55" t="s">
        <v>117</v>
      </c>
      <c r="BR287" s="55" t="s">
        <v>134</v>
      </c>
      <c r="BS287" s="55" t="s">
        <v>312</v>
      </c>
      <c r="BT287" s="55">
        <v>0</v>
      </c>
      <c r="BU287" s="55">
        <v>2014</v>
      </c>
      <c r="BV287" s="55">
        <v>2016</v>
      </c>
      <c r="BW287" s="55" t="s">
        <v>736</v>
      </c>
      <c r="BX287" s="55" t="s">
        <v>95</v>
      </c>
      <c r="BY287" s="55" t="s">
        <v>748</v>
      </c>
      <c r="BZ287" s="55">
        <v>1</v>
      </c>
      <c r="CA287" s="55">
        <v>1</v>
      </c>
      <c r="CB287" s="55" t="s">
        <v>303</v>
      </c>
      <c r="CC287" s="55" t="s">
        <v>795</v>
      </c>
      <c r="CD287" s="55">
        <v>1</v>
      </c>
      <c r="CE287" s="55" t="s">
        <v>792</v>
      </c>
      <c r="CF287" s="55">
        <v>0</v>
      </c>
      <c r="CG287" s="55" t="s">
        <v>97</v>
      </c>
      <c r="CH287" s="55">
        <v>1</v>
      </c>
      <c r="CI287" s="55" t="s">
        <v>97</v>
      </c>
      <c r="CJ287" s="55" t="s">
        <v>98</v>
      </c>
      <c r="CK287" s="55">
        <v>33</v>
      </c>
      <c r="CL287" s="55">
        <v>0</v>
      </c>
      <c r="CM287" s="55">
        <v>1</v>
      </c>
      <c r="CN287" s="55" t="s">
        <v>99</v>
      </c>
      <c r="CO287" s="55" t="s">
        <v>943</v>
      </c>
      <c r="CP287" s="55" t="s">
        <v>100</v>
      </c>
      <c r="CQ287" s="55" t="s">
        <v>126</v>
      </c>
      <c r="CR287" s="57">
        <v>46223</v>
      </c>
      <c r="CT287" s="55" t="s">
        <v>834</v>
      </c>
    </row>
    <row r="288" spans="1:98" s="55" customFormat="1" x14ac:dyDescent="0.35">
      <c r="A288" s="54" t="s">
        <v>788</v>
      </c>
      <c r="B288" s="54" t="s">
        <v>844</v>
      </c>
      <c r="C288" s="55" t="s">
        <v>789</v>
      </c>
      <c r="D288" s="55">
        <v>2024</v>
      </c>
      <c r="E288" s="60" t="s">
        <v>790</v>
      </c>
      <c r="F288" s="54" t="s">
        <v>840</v>
      </c>
      <c r="G288" s="55" t="s">
        <v>78</v>
      </c>
      <c r="H288" s="55">
        <v>1</v>
      </c>
      <c r="I288" s="55" t="s">
        <v>290</v>
      </c>
      <c r="J288" s="55" t="s">
        <v>79</v>
      </c>
      <c r="K288" s="55">
        <v>3</v>
      </c>
      <c r="L288" s="55" t="s">
        <v>129</v>
      </c>
      <c r="M288" s="55" t="s">
        <v>380</v>
      </c>
      <c r="N288" s="55">
        <f>-1.728/100</f>
        <v>-1.728E-2</v>
      </c>
      <c r="O288" s="55">
        <f>0.7424/100</f>
        <v>7.4239999999999992E-3</v>
      </c>
      <c r="P288" s="88">
        <f t="shared" si="108"/>
        <v>-2.327586206896552</v>
      </c>
      <c r="Q288" s="55" t="s">
        <v>312</v>
      </c>
      <c r="R288" s="88">
        <f t="shared" si="109"/>
        <v>-3.1831039999999998E-2</v>
      </c>
      <c r="S288" s="88">
        <f t="shared" si="110"/>
        <v>-2.7289600000000025E-3</v>
      </c>
      <c r="T288" s="55">
        <v>1</v>
      </c>
      <c r="U288" s="55">
        <v>7488</v>
      </c>
      <c r="V288" s="55">
        <v>12</v>
      </c>
      <c r="W288" s="55">
        <v>1</v>
      </c>
      <c r="X288" s="55">
        <f t="shared" si="107"/>
        <v>7476</v>
      </c>
      <c r="Y288" s="88">
        <f t="shared" si="111"/>
        <v>-2.6910007869151233E-2</v>
      </c>
      <c r="Z288" s="88">
        <f t="shared" si="112"/>
        <v>1.1561336714153863E-2</v>
      </c>
      <c r="AA288" s="88">
        <f t="shared" si="119"/>
        <v>-2.6910007869151233E-2</v>
      </c>
      <c r="AB288" s="55" t="s">
        <v>81</v>
      </c>
      <c r="AC288" s="88">
        <f t="shared" si="116"/>
        <v>-4.6209147059873612E-2</v>
      </c>
      <c r="AD288" s="88" cm="1">
        <f t="array" ref="AD288">_xlfn.IFS(
AND(L288="marginal_effect",M288="level"),N288*AN288/BF288,
AND(L288="marginal_effect",M288="sd (Y)"),N288*BH288*AN288/BF288,
AND(L288="marginal_effect",M288="sd (X)"),N288/AQ288*AN288/BF288,
AND(L288="semi_elasticity",M288="level"),N288*AN288,
AND(L288="semi_elasticity",M288="sd (Y)"),N288*AN288*BH288,
AND(L288="semi_elasticity",M288="sd (X)"),N288*AN288/AQ288,
AND(L288="level-log",M288="level"),N288/BF288,
AND(L288="level-log",M288="sd (X)"),N288/BF288/AQ288,
AND(L288="level-log",M288="sd (Y)"),N288/BF288*BH288,
AND(L288="elasticity",M288="level"),N288,
AND(L288="elasticity",M288="sd (X)"),N288/AQ288,
AND(L288="elasticity",M288="sd (Y)"),N288*BH288,
AND(L288="marginal_effect",M288="percent_of_mean"),N288*AN288/BF288/10)</f>
        <v>-4.6209147059873612E-2</v>
      </c>
      <c r="AE288" s="56">
        <f t="shared" si="113"/>
        <v>1</v>
      </c>
      <c r="AF288" s="88">
        <f t="shared" si="117"/>
        <v>1.9852818736834588E-2</v>
      </c>
      <c r="AG288" s="88" cm="1">
        <f t="array" ref="AG288">_xlfn.IFS(
AND(L288="marginal_effect",M288="level"),O288*AN288/BF288,
AND(L288="marginal_effect",M288="sd (Y)"),O288*BH288*AN288/BF288,
AND(L288="marginal_effect",M288="sd (X)"),O288/AQ288*AN288/BF288,
AND(L288="semi_elasticity",M288="level"),O288*AN288,
AND(L288="semi_elasticity",M288="sd (Y)"),O288*AN288*BH288,
AND(L288="semi_elasticity",M288="sd (X)"),O288*AN288/AQ288,
AND(L288="level-log",M288="level"),O288/BF288,
AND(L288="level-log",M288="sd (X)"),O288/BF288/AQ288,
AND(L288="level-log",M288="sd (Y)"),O288/BF288*BH288,
AND(L288="elasticity",M288="level"),O288,
AND(L288="elasticity",M288="sd (X)"),O288/AQ288,
AND(L288="elasticity",M288="sd (Y)"),O288*BH288,
AND(L288="marginal_effect",M288="percent_of_mean"),O288*AN288/BF288/10)</f>
        <v>1.9852818736834588E-2</v>
      </c>
      <c r="AH288" s="56">
        <f t="shared" si="114"/>
        <v>1</v>
      </c>
      <c r="AI288" s="88">
        <f t="shared" si="120"/>
        <v>-4.6209147059873612E-2</v>
      </c>
      <c r="AJ288" s="55">
        <v>0</v>
      </c>
      <c r="AK288" s="55">
        <f t="shared" si="115"/>
        <v>1</v>
      </c>
      <c r="AL288" s="55" t="s">
        <v>735</v>
      </c>
      <c r="AM288" s="55" t="s">
        <v>737</v>
      </c>
      <c r="AN288" s="55">
        <f>0.749*100</f>
        <v>74.900000000000006</v>
      </c>
      <c r="AO288" s="55">
        <v>1</v>
      </c>
      <c r="AP288" s="55">
        <f t="shared" si="121"/>
        <v>74.900000000000006</v>
      </c>
      <c r="AQ288" s="55">
        <f>0.509*100</f>
        <v>50.9</v>
      </c>
      <c r="AR288" s="55">
        <f>0.15*100</f>
        <v>15</v>
      </c>
      <c r="AS288" s="55">
        <f>5*100</f>
        <v>500</v>
      </c>
      <c r="AT288" s="55" t="s">
        <v>83</v>
      </c>
      <c r="AU288" s="55" t="s">
        <v>109</v>
      </c>
      <c r="AV288" s="55" t="s">
        <v>133</v>
      </c>
      <c r="AW288" s="55" t="s">
        <v>109</v>
      </c>
      <c r="AX288" s="55" t="s">
        <v>86</v>
      </c>
      <c r="AY288" s="55">
        <v>0</v>
      </c>
      <c r="AZ288" s="55">
        <v>0</v>
      </c>
      <c r="BA288" s="55" t="s">
        <v>734</v>
      </c>
      <c r="BB288" s="55" t="s">
        <v>88</v>
      </c>
      <c r="BC288" s="55" t="s">
        <v>113</v>
      </c>
      <c r="BD288" s="55" t="s">
        <v>114</v>
      </c>
      <c r="BE288" s="55" t="s">
        <v>534</v>
      </c>
      <c r="BF288" s="55">
        <v>28.009</v>
      </c>
      <c r="BG288" s="55">
        <v>1</v>
      </c>
      <c r="BH288" s="55">
        <v>17.498000000000001</v>
      </c>
      <c r="BI288" s="55">
        <v>0</v>
      </c>
      <c r="BJ288" s="55">
        <v>132</v>
      </c>
      <c r="BK288" s="55" t="s">
        <v>91</v>
      </c>
      <c r="BL288" s="55" t="s">
        <v>84</v>
      </c>
      <c r="BM288" s="55">
        <v>1</v>
      </c>
      <c r="BN288" s="55" t="s">
        <v>539</v>
      </c>
      <c r="BO288" s="55" t="s">
        <v>540</v>
      </c>
      <c r="BP288" s="55" t="s">
        <v>540</v>
      </c>
      <c r="BQ288" s="55" t="s">
        <v>117</v>
      </c>
      <c r="BR288" s="55" t="s">
        <v>134</v>
      </c>
      <c r="BS288" s="55" t="s">
        <v>312</v>
      </c>
      <c r="BT288" s="55">
        <v>0</v>
      </c>
      <c r="BU288" s="55">
        <v>2014</v>
      </c>
      <c r="BV288" s="55">
        <v>2016</v>
      </c>
      <c r="BW288" s="55" t="s">
        <v>736</v>
      </c>
      <c r="BX288" s="55" t="s">
        <v>95</v>
      </c>
      <c r="BY288" s="55" t="s">
        <v>748</v>
      </c>
      <c r="BZ288" s="55">
        <v>1</v>
      </c>
      <c r="CA288" s="55">
        <v>1</v>
      </c>
      <c r="CB288" s="55" t="s">
        <v>303</v>
      </c>
      <c r="CC288" s="55" t="s">
        <v>795</v>
      </c>
      <c r="CD288" s="55">
        <v>1</v>
      </c>
      <c r="CE288" s="55" t="s">
        <v>792</v>
      </c>
      <c r="CF288" s="55">
        <v>0</v>
      </c>
      <c r="CG288" s="55" t="s">
        <v>97</v>
      </c>
      <c r="CH288" s="55">
        <v>1</v>
      </c>
      <c r="CI288" s="55" t="s">
        <v>97</v>
      </c>
      <c r="CJ288" s="55" t="s">
        <v>98</v>
      </c>
      <c r="CK288" s="55">
        <v>33</v>
      </c>
      <c r="CL288" s="55">
        <v>0</v>
      </c>
      <c r="CM288" s="55">
        <v>1</v>
      </c>
      <c r="CN288" s="55" t="s">
        <v>99</v>
      </c>
      <c r="CO288" s="55" t="s">
        <v>943</v>
      </c>
      <c r="CP288" s="55" t="s">
        <v>100</v>
      </c>
      <c r="CQ288" s="55" t="s">
        <v>126</v>
      </c>
      <c r="CR288" s="57">
        <v>46223</v>
      </c>
      <c r="CT288" s="55" t="s">
        <v>835</v>
      </c>
    </row>
    <row r="289" spans="1:98" s="55" customFormat="1" x14ac:dyDescent="0.35">
      <c r="A289" s="54" t="s">
        <v>788</v>
      </c>
      <c r="B289" s="54" t="s">
        <v>826</v>
      </c>
      <c r="C289" s="55" t="s">
        <v>789</v>
      </c>
      <c r="D289" s="55">
        <v>2024</v>
      </c>
      <c r="E289" s="60" t="s">
        <v>790</v>
      </c>
      <c r="F289" s="54" t="s">
        <v>840</v>
      </c>
      <c r="G289" s="55" t="s">
        <v>78</v>
      </c>
      <c r="H289" s="55">
        <v>1</v>
      </c>
      <c r="I289" s="55" t="s">
        <v>290</v>
      </c>
      <c r="J289" s="55" t="s">
        <v>79</v>
      </c>
      <c r="K289" s="55">
        <v>3</v>
      </c>
      <c r="L289" s="55" t="s">
        <v>129</v>
      </c>
      <c r="M289" s="55" t="s">
        <v>380</v>
      </c>
      <c r="N289" s="55">
        <f>-0.97/100</f>
        <v>-9.7000000000000003E-3</v>
      </c>
      <c r="O289" s="55">
        <f>1.482/100</f>
        <v>1.482E-2</v>
      </c>
      <c r="P289" s="88">
        <f t="shared" si="108"/>
        <v>-0.65452091767881249</v>
      </c>
      <c r="Q289" s="55" t="s">
        <v>312</v>
      </c>
      <c r="R289" s="88">
        <f t="shared" si="109"/>
        <v>-3.8747199999999996E-2</v>
      </c>
      <c r="S289" s="88">
        <f t="shared" si="110"/>
        <v>1.9347199999999998E-2</v>
      </c>
      <c r="T289" s="55">
        <v>1</v>
      </c>
      <c r="U289" s="55">
        <v>7453</v>
      </c>
      <c r="V289" s="55">
        <v>12</v>
      </c>
      <c r="W289" s="55">
        <v>1</v>
      </c>
      <c r="X289" s="55">
        <f t="shared" si="107"/>
        <v>7441</v>
      </c>
      <c r="Y289" s="88">
        <f t="shared" si="111"/>
        <v>-7.5874418729436803E-3</v>
      </c>
      <c r="Z289" s="88">
        <f t="shared" si="112"/>
        <v>1.1592359645054158E-2</v>
      </c>
      <c r="AA289" s="88">
        <f t="shared" si="119"/>
        <v>-7.5874418729436803E-3</v>
      </c>
      <c r="AB289" s="55" t="s">
        <v>81</v>
      </c>
      <c r="AC289" s="88">
        <f t="shared" si="116"/>
        <v>-1.6173015816344748E-2</v>
      </c>
      <c r="AD289" s="88" cm="1">
        <f t="array" ref="AD289">_xlfn.IFS(
AND(L289="marginal_effect",M289="level"),N289*AN289/BF289,
AND(L289="marginal_effect",M289="sd (Y)"),N289*BH289*AN289/BF289,
AND(L289="marginal_effect",M289="sd (X)"),N289/AQ289*AN289/BF289,
AND(L289="semi_elasticity",M289="level"),N289*AN289,
AND(L289="semi_elasticity",M289="sd (Y)"),N289*AN289*BH289,
AND(L289="semi_elasticity",M289="sd (X)"),N289*AN289/AQ289,
AND(L289="level-log",M289="level"),N289/BF289,
AND(L289="level-log",M289="sd (X)"),N289/BF289/AQ289,
AND(L289="level-log",M289="sd (Y)"),N289/BF289*BH289,
AND(L289="elasticity",M289="level"),N289,
AND(L289="elasticity",M289="sd (X)"),N289/AQ289,
AND(L289="elasticity",M289="sd (Y)"),N289*BH289,
AND(L289="marginal_effect",M289="percent_of_mean"),N289*AN289/BF289/10)</f>
        <v>-1.6173015816344748E-2</v>
      </c>
      <c r="AE289" s="56">
        <f t="shared" si="113"/>
        <v>1</v>
      </c>
      <c r="AF289" s="88">
        <f t="shared" si="117"/>
        <v>2.4709700453425684E-2</v>
      </c>
      <c r="AG289" s="88" cm="1">
        <f t="array" ref="AG289">_xlfn.IFS(
AND(L289="marginal_effect",M289="level"),O289*AN289/BF289,
AND(L289="marginal_effect",M289="sd (Y)"),O289*BH289*AN289/BF289,
AND(L289="marginal_effect",M289="sd (X)"),O289/AQ289*AN289/BF289,
AND(L289="semi_elasticity",M289="level"),O289*AN289,
AND(L289="semi_elasticity",M289="sd (Y)"),O289*AN289*BH289,
AND(L289="semi_elasticity",M289="sd (X)"),O289*AN289/AQ289,
AND(L289="level-log",M289="level"),O289/BF289,
AND(L289="level-log",M289="sd (X)"),O289/BF289/AQ289,
AND(L289="level-log",M289="sd (Y)"),O289/BF289*BH289,
AND(L289="elasticity",M289="level"),O289,
AND(L289="elasticity",M289="sd (X)"),O289/AQ289,
AND(L289="elasticity",M289="sd (Y)"),O289*BH289,
AND(L289="marginal_effect",M289="percent_of_mean"),O289*AN289/BF289/10)</f>
        <v>2.4709700453425684E-2</v>
      </c>
      <c r="AH289" s="56">
        <f t="shared" si="114"/>
        <v>1</v>
      </c>
      <c r="AI289" s="88">
        <f t="shared" si="120"/>
        <v>-1.6173015816344748E-2</v>
      </c>
      <c r="AJ289" s="55">
        <v>0</v>
      </c>
      <c r="AK289" s="55">
        <f t="shared" si="115"/>
        <v>1</v>
      </c>
      <c r="AL289" s="55" t="s">
        <v>82</v>
      </c>
      <c r="AM289" s="55" t="s">
        <v>1333</v>
      </c>
      <c r="AN289" s="55">
        <f>0.467*100</f>
        <v>46.7</v>
      </c>
      <c r="AO289" s="55">
        <v>1</v>
      </c>
      <c r="AP289" s="55">
        <f t="shared" si="121"/>
        <v>46.7</v>
      </c>
      <c r="AQ289" s="55">
        <f>0.398*100</f>
        <v>39.800000000000004</v>
      </c>
      <c r="AR289" s="55">
        <f>0.01*100</f>
        <v>1</v>
      </c>
      <c r="AS289" s="55">
        <f>3.67*100</f>
        <v>367</v>
      </c>
      <c r="AT289" s="55" t="s">
        <v>83</v>
      </c>
      <c r="AU289" s="55" t="s">
        <v>109</v>
      </c>
      <c r="AV289" s="55" t="s">
        <v>133</v>
      </c>
      <c r="AW289" s="55" t="s">
        <v>109</v>
      </c>
      <c r="AX289" s="55" t="s">
        <v>86</v>
      </c>
      <c r="AY289" s="55">
        <v>0</v>
      </c>
      <c r="AZ289" s="55">
        <v>0</v>
      </c>
      <c r="BA289" s="55" t="s">
        <v>734</v>
      </c>
      <c r="BB289" s="55" t="s">
        <v>88</v>
      </c>
      <c r="BC289" s="55" t="s">
        <v>113</v>
      </c>
      <c r="BD289" s="55" t="s">
        <v>114</v>
      </c>
      <c r="BE289" s="55" t="s">
        <v>534</v>
      </c>
      <c r="BF289" s="55">
        <v>28.009</v>
      </c>
      <c r="BG289" s="55">
        <v>1</v>
      </c>
      <c r="BH289" s="55">
        <v>17.498000000000001</v>
      </c>
      <c r="BI289" s="55">
        <v>0</v>
      </c>
      <c r="BJ289" s="55">
        <v>132</v>
      </c>
      <c r="BK289" s="55" t="s">
        <v>91</v>
      </c>
      <c r="BL289" s="55" t="s">
        <v>84</v>
      </c>
      <c r="BM289" s="55">
        <v>1</v>
      </c>
      <c r="BN289" s="55" t="s">
        <v>539</v>
      </c>
      <c r="BO289" s="55" t="s">
        <v>540</v>
      </c>
      <c r="BP289" s="55" t="s">
        <v>540</v>
      </c>
      <c r="BQ289" s="55" t="s">
        <v>117</v>
      </c>
      <c r="BR289" s="55" t="s">
        <v>134</v>
      </c>
      <c r="BS289" s="55" t="s">
        <v>312</v>
      </c>
      <c r="BT289" s="55">
        <v>0</v>
      </c>
      <c r="BU289" s="55">
        <v>2014</v>
      </c>
      <c r="BV289" s="55">
        <v>2016</v>
      </c>
      <c r="BW289" s="55" t="s">
        <v>736</v>
      </c>
      <c r="BX289" s="55" t="s">
        <v>95</v>
      </c>
      <c r="BY289" s="55" t="s">
        <v>748</v>
      </c>
      <c r="BZ289" s="55">
        <v>1</v>
      </c>
      <c r="CA289" s="55">
        <v>1</v>
      </c>
      <c r="CB289" s="55" t="s">
        <v>303</v>
      </c>
      <c r="CC289" s="55" t="s">
        <v>794</v>
      </c>
      <c r="CD289" s="55">
        <v>1</v>
      </c>
      <c r="CE289" s="55" t="s">
        <v>792</v>
      </c>
      <c r="CF289" s="55">
        <v>0</v>
      </c>
      <c r="CG289" s="55" t="s">
        <v>97</v>
      </c>
      <c r="CH289" s="55">
        <v>1</v>
      </c>
      <c r="CI289" s="55" t="s">
        <v>97</v>
      </c>
      <c r="CJ289" s="55" t="s">
        <v>98</v>
      </c>
      <c r="CK289" s="55">
        <v>33</v>
      </c>
      <c r="CL289" s="55">
        <v>0</v>
      </c>
      <c r="CM289" s="55">
        <v>0</v>
      </c>
      <c r="CN289" s="55" t="s">
        <v>124</v>
      </c>
      <c r="CO289" s="55" t="s">
        <v>943</v>
      </c>
      <c r="CP289" s="55" t="s">
        <v>100</v>
      </c>
      <c r="CQ289" s="55" t="s">
        <v>126</v>
      </c>
      <c r="CR289" s="57">
        <v>46223</v>
      </c>
      <c r="CT289" s="55" t="s">
        <v>836</v>
      </c>
    </row>
    <row r="290" spans="1:98" s="55" customFormat="1" x14ac:dyDescent="0.35">
      <c r="A290" s="54" t="s">
        <v>788</v>
      </c>
      <c r="B290" s="54" t="s">
        <v>827</v>
      </c>
      <c r="C290" s="55" t="s">
        <v>789</v>
      </c>
      <c r="D290" s="55">
        <v>2024</v>
      </c>
      <c r="E290" s="60" t="s">
        <v>790</v>
      </c>
      <c r="F290" s="54" t="s">
        <v>840</v>
      </c>
      <c r="G290" s="55" t="s">
        <v>78</v>
      </c>
      <c r="H290" s="55">
        <v>1</v>
      </c>
      <c r="I290" s="55" t="s">
        <v>290</v>
      </c>
      <c r="J290" s="55" t="s">
        <v>79</v>
      </c>
      <c r="K290" s="55">
        <v>3</v>
      </c>
      <c r="L290" s="55" t="s">
        <v>129</v>
      </c>
      <c r="M290" s="55" t="s">
        <v>380</v>
      </c>
      <c r="N290" s="55">
        <f>-2.586/100</f>
        <v>-2.5859999999999998E-2</v>
      </c>
      <c r="O290" s="55">
        <f>1.045/100</f>
        <v>1.0449999999999999E-2</v>
      </c>
      <c r="P290" s="88">
        <f t="shared" si="108"/>
        <v>-2.4746411483253588</v>
      </c>
      <c r="Q290" s="55" t="s">
        <v>312</v>
      </c>
      <c r="R290" s="88">
        <f t="shared" si="109"/>
        <v>-4.6341999999999994E-2</v>
      </c>
      <c r="S290" s="88">
        <f t="shared" si="110"/>
        <v>-5.3780000000000008E-3</v>
      </c>
      <c r="T290" s="55">
        <v>1</v>
      </c>
      <c r="U290" s="55">
        <v>7462</v>
      </c>
      <c r="V290" s="55">
        <v>12</v>
      </c>
      <c r="W290" s="55">
        <v>1</v>
      </c>
      <c r="X290" s="55">
        <f t="shared" si="107"/>
        <v>7450</v>
      </c>
      <c r="Y290" s="88">
        <f t="shared" si="111"/>
        <v>-2.8658646365405153E-2</v>
      </c>
      <c r="Z290" s="88">
        <f t="shared" si="112"/>
        <v>1.1580930182462642E-2</v>
      </c>
      <c r="AA290" s="88">
        <f t="shared" si="119"/>
        <v>-2.8658646365405153E-2</v>
      </c>
      <c r="AB290" s="55" t="s">
        <v>81</v>
      </c>
      <c r="AC290" s="88">
        <f t="shared" si="116"/>
        <v>-4.3116926702131457E-2</v>
      </c>
      <c r="AD290" s="88" cm="1">
        <f t="array" ref="AD290">_xlfn.IFS(
AND(L290="marginal_effect",M290="level"),N290*AN290/BF290,
AND(L290="marginal_effect",M290="sd (Y)"),N290*BH290*AN290/BF290,
AND(L290="marginal_effect",M290="sd (X)"),N290/AQ290*AN290/BF290,
AND(L290="semi_elasticity",M290="level"),N290*AN290,
AND(L290="semi_elasticity",M290="sd (Y)"),N290*AN290*BH290,
AND(L290="semi_elasticity",M290="sd (X)"),N290*AN290/AQ290,
AND(L290="level-log",M290="level"),N290/BF290,
AND(L290="level-log",M290="sd (X)"),N290/BF290/AQ290,
AND(L290="level-log",M290="sd (Y)"),N290/BF290*BH290,
AND(L290="elasticity",M290="level"),N290,
AND(L290="elasticity",M290="sd (X)"),N290/AQ290,
AND(L290="elasticity",M290="sd (Y)"),N290*BH290,
AND(L290="marginal_effect",M290="percent_of_mean"),N290*AN290/BF290/10)</f>
        <v>-4.3116926702131457E-2</v>
      </c>
      <c r="AE290" s="56">
        <f t="shared" si="113"/>
        <v>1</v>
      </c>
      <c r="AF290" s="88">
        <f t="shared" si="117"/>
        <v>1.7423506729979648E-2</v>
      </c>
      <c r="AG290" s="88" cm="1">
        <f t="array" ref="AG290">_xlfn.IFS(
AND(L290="marginal_effect",M290="level"),O290*AN290/BF290,
AND(L290="marginal_effect",M290="sd (Y)"),O290*BH290*AN290/BF290,
AND(L290="marginal_effect",M290="sd (X)"),O290/AQ290*AN290/BF290,
AND(L290="semi_elasticity",M290="level"),O290*AN290,
AND(L290="semi_elasticity",M290="sd (Y)"),O290*AN290*BH290,
AND(L290="semi_elasticity",M290="sd (X)"),O290*AN290/AQ290,
AND(L290="level-log",M290="level"),O290/BF290,
AND(L290="level-log",M290="sd (X)"),O290/BF290/AQ290,
AND(L290="level-log",M290="sd (Y)"),O290/BF290*BH290,
AND(L290="elasticity",M290="level"),O290,
AND(L290="elasticity",M290="sd (X)"),O290/AQ290,
AND(L290="elasticity",M290="sd (Y)"),O290*BH290,
AND(L290="marginal_effect",M290="percent_of_mean"),O290*AN290/BF290/10)</f>
        <v>1.7423506729979648E-2</v>
      </c>
      <c r="AH290" s="56">
        <f t="shared" si="114"/>
        <v>1</v>
      </c>
      <c r="AI290" s="88">
        <f t="shared" si="120"/>
        <v>-4.3116926702131457E-2</v>
      </c>
      <c r="AJ290" s="55">
        <v>0</v>
      </c>
      <c r="AK290" s="55">
        <f t="shared" si="115"/>
        <v>1</v>
      </c>
      <c r="AL290" s="55" t="s">
        <v>82</v>
      </c>
      <c r="AM290" s="55" t="s">
        <v>1333</v>
      </c>
      <c r="AN290" s="55">
        <f>0.467*100</f>
        <v>46.7</v>
      </c>
      <c r="AO290" s="55">
        <v>1</v>
      </c>
      <c r="AP290" s="55">
        <f t="shared" si="121"/>
        <v>46.7</v>
      </c>
      <c r="AQ290" s="55">
        <f>0.398*100</f>
        <v>39.800000000000004</v>
      </c>
      <c r="AR290" s="55">
        <f>0.01*100</f>
        <v>1</v>
      </c>
      <c r="AS290" s="55">
        <f>3.67*100</f>
        <v>367</v>
      </c>
      <c r="AT290" s="55" t="s">
        <v>83</v>
      </c>
      <c r="AU290" s="55" t="s">
        <v>109</v>
      </c>
      <c r="AV290" s="55" t="s">
        <v>133</v>
      </c>
      <c r="AW290" s="55" t="s">
        <v>109</v>
      </c>
      <c r="AX290" s="55" t="s">
        <v>86</v>
      </c>
      <c r="AY290" s="55">
        <v>0</v>
      </c>
      <c r="AZ290" s="55">
        <v>0</v>
      </c>
      <c r="BA290" s="55" t="s">
        <v>734</v>
      </c>
      <c r="BB290" s="55" t="s">
        <v>88</v>
      </c>
      <c r="BC290" s="55" t="s">
        <v>113</v>
      </c>
      <c r="BD290" s="55" t="s">
        <v>114</v>
      </c>
      <c r="BE290" s="55" t="s">
        <v>534</v>
      </c>
      <c r="BF290" s="55">
        <v>28.009</v>
      </c>
      <c r="BG290" s="55">
        <v>1</v>
      </c>
      <c r="BH290" s="55">
        <v>17.498000000000001</v>
      </c>
      <c r="BI290" s="55">
        <v>0</v>
      </c>
      <c r="BJ290" s="55">
        <v>132</v>
      </c>
      <c r="BK290" s="55" t="s">
        <v>91</v>
      </c>
      <c r="BL290" s="55" t="s">
        <v>84</v>
      </c>
      <c r="BM290" s="55">
        <v>1</v>
      </c>
      <c r="BN290" s="55" t="s">
        <v>539</v>
      </c>
      <c r="BO290" s="55" t="s">
        <v>540</v>
      </c>
      <c r="BP290" s="55" t="s">
        <v>540</v>
      </c>
      <c r="BQ290" s="55" t="s">
        <v>117</v>
      </c>
      <c r="BR290" s="55" t="s">
        <v>134</v>
      </c>
      <c r="BS290" s="55" t="s">
        <v>312</v>
      </c>
      <c r="BT290" s="55">
        <v>0</v>
      </c>
      <c r="BU290" s="55">
        <v>2014</v>
      </c>
      <c r="BV290" s="55">
        <v>2016</v>
      </c>
      <c r="BW290" s="55" t="s">
        <v>736</v>
      </c>
      <c r="BX290" s="55" t="s">
        <v>95</v>
      </c>
      <c r="BY290" s="55" t="s">
        <v>748</v>
      </c>
      <c r="BZ290" s="55">
        <v>1</v>
      </c>
      <c r="CA290" s="55">
        <v>1</v>
      </c>
      <c r="CB290" s="55" t="s">
        <v>303</v>
      </c>
      <c r="CC290" s="55" t="s">
        <v>794</v>
      </c>
      <c r="CD290" s="55">
        <v>1</v>
      </c>
      <c r="CE290" s="55" t="s">
        <v>792</v>
      </c>
      <c r="CF290" s="55">
        <v>0</v>
      </c>
      <c r="CG290" s="55" t="s">
        <v>97</v>
      </c>
      <c r="CH290" s="55">
        <v>1</v>
      </c>
      <c r="CI290" s="55" t="s">
        <v>97</v>
      </c>
      <c r="CJ290" s="55" t="s">
        <v>98</v>
      </c>
      <c r="CK290" s="55">
        <v>33</v>
      </c>
      <c r="CL290" s="55">
        <v>0</v>
      </c>
      <c r="CM290" s="55">
        <v>0</v>
      </c>
      <c r="CN290" s="55" t="s">
        <v>124</v>
      </c>
      <c r="CO290" s="55" t="s">
        <v>943</v>
      </c>
      <c r="CP290" s="55" t="s">
        <v>100</v>
      </c>
      <c r="CQ290" s="55" t="s">
        <v>126</v>
      </c>
      <c r="CR290" s="57">
        <v>46223</v>
      </c>
      <c r="CT290" s="55" t="s">
        <v>837</v>
      </c>
    </row>
    <row r="291" spans="1:98" s="55" customFormat="1" x14ac:dyDescent="0.35">
      <c r="A291" s="54" t="s">
        <v>788</v>
      </c>
      <c r="B291" s="54" t="s">
        <v>828</v>
      </c>
      <c r="C291" s="55" t="s">
        <v>789</v>
      </c>
      <c r="D291" s="55">
        <v>2024</v>
      </c>
      <c r="E291" s="60" t="s">
        <v>790</v>
      </c>
      <c r="F291" s="54" t="s">
        <v>840</v>
      </c>
      <c r="G291" s="55" t="s">
        <v>78</v>
      </c>
      <c r="H291" s="55">
        <v>1</v>
      </c>
      <c r="I291" s="55" t="s">
        <v>290</v>
      </c>
      <c r="J291" s="55" t="s">
        <v>79</v>
      </c>
      <c r="K291" s="55">
        <v>3</v>
      </c>
      <c r="L291" s="55" t="s">
        <v>129</v>
      </c>
      <c r="M291" s="55" t="s">
        <v>380</v>
      </c>
      <c r="N291" s="55">
        <f>-0.391/100</f>
        <v>-3.9100000000000003E-3</v>
      </c>
      <c r="O291" s="55">
        <f>0.963/100</f>
        <v>9.6299999999999997E-3</v>
      </c>
      <c r="P291" s="88">
        <f t="shared" si="108"/>
        <v>-0.40602284527518179</v>
      </c>
      <c r="Q291" s="55" t="s">
        <v>312</v>
      </c>
      <c r="R291" s="88">
        <f t="shared" si="109"/>
        <v>-2.2784800000000001E-2</v>
      </c>
      <c r="S291" s="88">
        <f t="shared" si="110"/>
        <v>1.49648E-2</v>
      </c>
      <c r="T291" s="55">
        <v>1</v>
      </c>
      <c r="U291" s="55">
        <v>7060</v>
      </c>
      <c r="V291" s="55">
        <v>12</v>
      </c>
      <c r="W291" s="55">
        <v>1</v>
      </c>
      <c r="X291" s="55">
        <f t="shared" si="107"/>
        <v>7048</v>
      </c>
      <c r="Y291" s="88">
        <f t="shared" si="111"/>
        <v>-4.8362912114852281E-3</v>
      </c>
      <c r="Z291" s="88">
        <f t="shared" si="112"/>
        <v>1.1911377075857476E-2</v>
      </c>
      <c r="AA291" s="88">
        <f t="shared" si="119"/>
        <v>-4.8362912114852281E-3</v>
      </c>
      <c r="AB291" s="55" t="s">
        <v>81</v>
      </c>
      <c r="AC291" s="88">
        <f t="shared" si="116"/>
        <v>-1.1698311257095934E-2</v>
      </c>
      <c r="AD291" s="88" cm="1">
        <f t="array" ref="AD291">_xlfn.IFS(
AND(L291="marginal_effect",M291="level"),N291*AN291/BF291,
AND(L291="marginal_effect",M291="sd (Y)"),N291*BH291*AN291/BF291,
AND(L291="marginal_effect",M291="sd (X)"),N291/AQ291*AN291/BF291,
AND(L291="semi_elasticity",M291="level"),N291*AN291,
AND(L291="semi_elasticity",M291="sd (Y)"),N291*AN291*BH291,
AND(L291="semi_elasticity",M291="sd (X)"),N291*AN291/AQ291,
AND(L291="level-log",M291="level"),N291/BF291,
AND(L291="level-log",M291="sd (X)"),N291/BF291/AQ291,
AND(L291="level-log",M291="sd (Y)"),N291/BF291*BH291,
AND(L291="elasticity",M291="level"),N291,
AND(L291="elasticity",M291="sd (X)"),N291/AQ291,
AND(L291="elasticity",M291="sd (Y)"),N291*BH291,
AND(L291="marginal_effect",M291="percent_of_mean"),N291*AN291/BF291/10)</f>
        <v>-1.1698311257095934E-2</v>
      </c>
      <c r="AE291" s="56">
        <f t="shared" si="113"/>
        <v>1</v>
      </c>
      <c r="AF291" s="88">
        <f t="shared" si="117"/>
        <v>2.8811953300724766E-2</v>
      </c>
      <c r="AG291" s="88" cm="1">
        <f t="array" ref="AG291">_xlfn.IFS(
AND(L291="marginal_effect",M291="level"),O291*AN291/BF291,
AND(L291="marginal_effect",M291="sd (Y)"),O291*BH291*AN291/BF291,
AND(L291="marginal_effect",M291="sd (X)"),O291/AQ291*AN291/BF291,
AND(L291="semi_elasticity",M291="level"),O291*AN291,
AND(L291="semi_elasticity",M291="sd (Y)"),O291*AN291*BH291,
AND(L291="semi_elasticity",M291="sd (X)"),O291*AN291/AQ291,
AND(L291="level-log",M291="level"),O291/BF291,
AND(L291="level-log",M291="sd (X)"),O291/BF291/AQ291,
AND(L291="level-log",M291="sd (Y)"),O291/BF291*BH291,
AND(L291="elasticity",M291="level"),O291,
AND(L291="elasticity",M291="sd (X)"),O291/AQ291,
AND(L291="elasticity",M291="sd (Y)"),O291*BH291,
AND(L291="marginal_effect",M291="percent_of_mean"),O291*AN291/BF291/10)</f>
        <v>2.8811953300724766E-2</v>
      </c>
      <c r="AH291" s="56">
        <f t="shared" si="114"/>
        <v>1</v>
      </c>
      <c r="AI291" s="88">
        <f t="shared" si="120"/>
        <v>-1.1698311257095934E-2</v>
      </c>
      <c r="AJ291" s="55">
        <v>0</v>
      </c>
      <c r="AK291" s="55">
        <f t="shared" si="115"/>
        <v>1</v>
      </c>
      <c r="AL291" s="55" t="s">
        <v>106</v>
      </c>
      <c r="AM291" s="55" t="s">
        <v>1333</v>
      </c>
      <c r="AN291" s="55">
        <f>0.838*100</f>
        <v>83.8</v>
      </c>
      <c r="AO291" s="55">
        <v>1</v>
      </c>
      <c r="AP291" s="55">
        <f t="shared" si="121"/>
        <v>83.8</v>
      </c>
      <c r="AQ291" s="55">
        <f>0.696*100</f>
        <v>69.599999999999994</v>
      </c>
      <c r="AR291" s="55">
        <v>0</v>
      </c>
      <c r="AS291" s="55">
        <f>7.73*100</f>
        <v>773</v>
      </c>
      <c r="AT291" s="55" t="s">
        <v>83</v>
      </c>
      <c r="AU291" s="55" t="s">
        <v>109</v>
      </c>
      <c r="AV291" s="55" t="s">
        <v>133</v>
      </c>
      <c r="AW291" s="55" t="s">
        <v>109</v>
      </c>
      <c r="AX291" s="55" t="s">
        <v>86</v>
      </c>
      <c r="AY291" s="55">
        <v>0</v>
      </c>
      <c r="AZ291" s="55">
        <v>0</v>
      </c>
      <c r="BA291" s="55" t="s">
        <v>734</v>
      </c>
      <c r="BB291" s="55" t="s">
        <v>88</v>
      </c>
      <c r="BC291" s="55" t="s">
        <v>113</v>
      </c>
      <c r="BD291" s="55" t="s">
        <v>114</v>
      </c>
      <c r="BE291" s="55" t="s">
        <v>534</v>
      </c>
      <c r="BF291" s="55">
        <v>28.009</v>
      </c>
      <c r="BG291" s="55">
        <v>1</v>
      </c>
      <c r="BH291" s="55">
        <v>17.498000000000001</v>
      </c>
      <c r="BI291" s="55">
        <v>0</v>
      </c>
      <c r="BJ291" s="55">
        <v>132</v>
      </c>
      <c r="BK291" s="55" t="s">
        <v>91</v>
      </c>
      <c r="BL291" s="55" t="s">
        <v>84</v>
      </c>
      <c r="BM291" s="55">
        <v>1</v>
      </c>
      <c r="BN291" s="55" t="s">
        <v>539</v>
      </c>
      <c r="BO291" s="55" t="s">
        <v>540</v>
      </c>
      <c r="BP291" s="55" t="s">
        <v>540</v>
      </c>
      <c r="BQ291" s="55" t="s">
        <v>117</v>
      </c>
      <c r="BR291" s="55" t="s">
        <v>134</v>
      </c>
      <c r="BS291" s="55" t="s">
        <v>312</v>
      </c>
      <c r="BT291" s="55">
        <v>0</v>
      </c>
      <c r="BU291" s="55">
        <v>2014</v>
      </c>
      <c r="BV291" s="55">
        <v>2016</v>
      </c>
      <c r="BW291" s="55" t="s">
        <v>736</v>
      </c>
      <c r="BX291" s="55" t="s">
        <v>95</v>
      </c>
      <c r="BY291" s="55" t="s">
        <v>748</v>
      </c>
      <c r="BZ291" s="55">
        <v>1</v>
      </c>
      <c r="CA291" s="55">
        <v>1</v>
      </c>
      <c r="CB291" s="55" t="s">
        <v>303</v>
      </c>
      <c r="CC291" s="55" t="s">
        <v>795</v>
      </c>
      <c r="CD291" s="55">
        <v>1</v>
      </c>
      <c r="CE291" s="55" t="s">
        <v>792</v>
      </c>
      <c r="CF291" s="55">
        <v>0</v>
      </c>
      <c r="CG291" s="55" t="s">
        <v>97</v>
      </c>
      <c r="CH291" s="55">
        <v>1</v>
      </c>
      <c r="CI291" s="55" t="s">
        <v>97</v>
      </c>
      <c r="CJ291" s="55" t="s">
        <v>98</v>
      </c>
      <c r="CK291" s="55">
        <v>33</v>
      </c>
      <c r="CL291" s="55">
        <v>0</v>
      </c>
      <c r="CM291" s="55">
        <v>1</v>
      </c>
      <c r="CN291" s="55" t="s">
        <v>124</v>
      </c>
      <c r="CO291" s="55" t="s">
        <v>943</v>
      </c>
      <c r="CP291" s="55" t="s">
        <v>100</v>
      </c>
      <c r="CQ291" s="55" t="s">
        <v>126</v>
      </c>
      <c r="CR291" s="57">
        <v>46223</v>
      </c>
      <c r="CT291" s="55" t="s">
        <v>838</v>
      </c>
    </row>
    <row r="292" spans="1:98" s="55" customFormat="1" x14ac:dyDescent="0.35">
      <c r="A292" s="54" t="s">
        <v>788</v>
      </c>
      <c r="B292" s="54" t="s">
        <v>829</v>
      </c>
      <c r="C292" s="55" t="s">
        <v>789</v>
      </c>
      <c r="D292" s="55">
        <v>2024</v>
      </c>
      <c r="E292" s="60" t="s">
        <v>790</v>
      </c>
      <c r="F292" s="54" t="s">
        <v>840</v>
      </c>
      <c r="G292" s="55" t="s">
        <v>78</v>
      </c>
      <c r="H292" s="55">
        <v>1</v>
      </c>
      <c r="I292" s="55" t="s">
        <v>290</v>
      </c>
      <c r="J292" s="55" t="s">
        <v>79</v>
      </c>
      <c r="K292" s="55">
        <v>3</v>
      </c>
      <c r="L292" s="55" t="s">
        <v>129</v>
      </c>
      <c r="M292" s="55" t="s">
        <v>380</v>
      </c>
      <c r="N292" s="55">
        <f>-1.117/100</f>
        <v>-1.1169999999999999E-2</v>
      </c>
      <c r="O292" s="55">
        <f>0.55/100</f>
        <v>5.5000000000000005E-3</v>
      </c>
      <c r="P292" s="88">
        <f t="shared" si="108"/>
        <v>-2.0309090909090908</v>
      </c>
      <c r="Q292" s="55" t="s">
        <v>312</v>
      </c>
      <c r="R292" s="88">
        <f t="shared" si="109"/>
        <v>-2.1950000000000001E-2</v>
      </c>
      <c r="S292" s="88">
        <f t="shared" si="110"/>
        <v>-3.8999999999999799E-4</v>
      </c>
      <c r="T292" s="55">
        <v>1</v>
      </c>
      <c r="U292" s="55">
        <v>7071</v>
      </c>
      <c r="V292" s="55">
        <v>12</v>
      </c>
      <c r="W292" s="55">
        <v>1</v>
      </c>
      <c r="X292" s="55">
        <f t="shared" si="107"/>
        <v>7059</v>
      </c>
      <c r="Y292" s="88">
        <f t="shared" si="111"/>
        <v>-2.4165292153515389E-2</v>
      </c>
      <c r="Z292" s="88">
        <f t="shared" si="112"/>
        <v>1.1898756208087256E-2</v>
      </c>
      <c r="AA292" s="88">
        <f t="shared" si="119"/>
        <v>-2.4165292153515389E-2</v>
      </c>
      <c r="AB292" s="55" t="s">
        <v>81</v>
      </c>
      <c r="AC292" s="88">
        <f t="shared" si="116"/>
        <v>-3.3419472312470985E-2</v>
      </c>
      <c r="AD292" s="88" cm="1">
        <f t="array" ref="AD292">_xlfn.IFS(
AND(L292="marginal_effect",M292="level"),N292*AN292/BF292,
AND(L292="marginal_effect",M292="sd (Y)"),N292*BH292*AN292/BF292,
AND(L292="marginal_effect",M292="sd (X)"),N292/AQ292*AN292/BF292,
AND(L292="semi_elasticity",M292="level"),N292*AN292,
AND(L292="semi_elasticity",M292="sd (Y)"),N292*AN292*BH292,
AND(L292="semi_elasticity",M292="sd (X)"),N292*AN292/AQ292,
AND(L292="level-log",M292="level"),N292/BF292,
AND(L292="level-log",M292="sd (X)"),N292/BF292/AQ292,
AND(L292="level-log",M292="sd (Y)"),N292/BF292*BH292,
AND(L292="elasticity",M292="level"),N292,
AND(L292="elasticity",M292="sd (X)"),N292/AQ292,
AND(L292="elasticity",M292="sd (Y)"),N292*BH292,
AND(L292="marginal_effect",M292="percent_of_mean"),N292*AN292/BF292/10)</f>
        <v>-3.3419472312470985E-2</v>
      </c>
      <c r="AE292" s="56">
        <f t="shared" si="113"/>
        <v>1</v>
      </c>
      <c r="AF292" s="88">
        <f t="shared" si="117"/>
        <v>1.6455425041950803E-2</v>
      </c>
      <c r="AG292" s="88" cm="1">
        <f t="array" ref="AG292">_xlfn.IFS(
AND(L292="marginal_effect",M292="level"),O292*AN292/BF292,
AND(L292="marginal_effect",M292="sd (Y)"),O292*BH292*AN292/BF292,
AND(L292="marginal_effect",M292="sd (X)"),O292/AQ292*AN292/BF292,
AND(L292="semi_elasticity",M292="level"),O292*AN292,
AND(L292="semi_elasticity",M292="sd (Y)"),O292*AN292*BH292,
AND(L292="semi_elasticity",M292="sd (X)"),O292*AN292/AQ292,
AND(L292="level-log",M292="level"),O292/BF292,
AND(L292="level-log",M292="sd (X)"),O292/BF292/AQ292,
AND(L292="level-log",M292="sd (Y)"),O292/BF292*BH292,
AND(L292="elasticity",M292="level"),O292,
AND(L292="elasticity",M292="sd (X)"),O292/AQ292,
AND(L292="elasticity",M292="sd (Y)"),O292*BH292,
AND(L292="marginal_effect",M292="percent_of_mean"),O292*AN292/BF292/10)</f>
        <v>1.6455425041950803E-2</v>
      </c>
      <c r="AH292" s="56">
        <f t="shared" si="114"/>
        <v>1</v>
      </c>
      <c r="AI292" s="88">
        <f t="shared" si="120"/>
        <v>-3.3419472312470985E-2</v>
      </c>
      <c r="AJ292" s="55">
        <v>0</v>
      </c>
      <c r="AK292" s="55">
        <f t="shared" si="115"/>
        <v>1</v>
      </c>
      <c r="AL292" s="55" t="s">
        <v>106</v>
      </c>
      <c r="AM292" s="55" t="s">
        <v>1333</v>
      </c>
      <c r="AN292" s="55">
        <f>0.838*100</f>
        <v>83.8</v>
      </c>
      <c r="AO292" s="55">
        <v>1</v>
      </c>
      <c r="AP292" s="55">
        <f t="shared" si="121"/>
        <v>83.8</v>
      </c>
      <c r="AQ292" s="55">
        <f>0.696*100</f>
        <v>69.599999999999994</v>
      </c>
      <c r="AR292" s="55">
        <v>0</v>
      </c>
      <c r="AS292" s="55">
        <f>7.73*100</f>
        <v>773</v>
      </c>
      <c r="AT292" s="55" t="s">
        <v>83</v>
      </c>
      <c r="AU292" s="55" t="s">
        <v>109</v>
      </c>
      <c r="AV292" s="55" t="s">
        <v>133</v>
      </c>
      <c r="AW292" s="55" t="s">
        <v>109</v>
      </c>
      <c r="AX292" s="55" t="s">
        <v>86</v>
      </c>
      <c r="AY292" s="55">
        <v>0</v>
      </c>
      <c r="AZ292" s="55">
        <v>0</v>
      </c>
      <c r="BA292" s="55" t="s">
        <v>734</v>
      </c>
      <c r="BB292" s="55" t="s">
        <v>88</v>
      </c>
      <c r="BC292" s="55" t="s">
        <v>113</v>
      </c>
      <c r="BD292" s="55" t="s">
        <v>114</v>
      </c>
      <c r="BE292" s="55" t="s">
        <v>534</v>
      </c>
      <c r="BF292" s="55">
        <v>28.009</v>
      </c>
      <c r="BG292" s="55">
        <v>1</v>
      </c>
      <c r="BH292" s="55">
        <v>17.498000000000001</v>
      </c>
      <c r="BI292" s="55">
        <v>0</v>
      </c>
      <c r="BJ292" s="55">
        <v>132</v>
      </c>
      <c r="BK292" s="55" t="s">
        <v>91</v>
      </c>
      <c r="BL292" s="55" t="s">
        <v>84</v>
      </c>
      <c r="BM292" s="55">
        <v>1</v>
      </c>
      <c r="BN292" s="55" t="s">
        <v>539</v>
      </c>
      <c r="BO292" s="55" t="s">
        <v>540</v>
      </c>
      <c r="BP292" s="55" t="s">
        <v>540</v>
      </c>
      <c r="BQ292" s="55" t="s">
        <v>117</v>
      </c>
      <c r="BR292" s="55" t="s">
        <v>134</v>
      </c>
      <c r="BS292" s="55" t="s">
        <v>312</v>
      </c>
      <c r="BT292" s="55">
        <v>0</v>
      </c>
      <c r="BU292" s="55">
        <v>2014</v>
      </c>
      <c r="BV292" s="55">
        <v>2016</v>
      </c>
      <c r="BW292" s="55" t="s">
        <v>736</v>
      </c>
      <c r="BX292" s="55" t="s">
        <v>95</v>
      </c>
      <c r="BY292" s="55" t="s">
        <v>748</v>
      </c>
      <c r="BZ292" s="55">
        <v>1</v>
      </c>
      <c r="CA292" s="55">
        <v>1</v>
      </c>
      <c r="CB292" s="55" t="s">
        <v>303</v>
      </c>
      <c r="CC292" s="55" t="s">
        <v>795</v>
      </c>
      <c r="CD292" s="55">
        <v>1</v>
      </c>
      <c r="CE292" s="55" t="s">
        <v>792</v>
      </c>
      <c r="CF292" s="55">
        <v>0</v>
      </c>
      <c r="CG292" s="55" t="s">
        <v>97</v>
      </c>
      <c r="CH292" s="55">
        <v>1</v>
      </c>
      <c r="CI292" s="55" t="s">
        <v>97</v>
      </c>
      <c r="CJ292" s="55" t="s">
        <v>98</v>
      </c>
      <c r="CK292" s="55">
        <v>33</v>
      </c>
      <c r="CL292" s="55">
        <v>0</v>
      </c>
      <c r="CM292" s="55">
        <v>1</v>
      </c>
      <c r="CN292" s="55" t="s">
        <v>124</v>
      </c>
      <c r="CO292" s="55" t="s">
        <v>943</v>
      </c>
      <c r="CP292" s="55" t="s">
        <v>100</v>
      </c>
      <c r="CQ292" s="55" t="s">
        <v>126</v>
      </c>
      <c r="CR292" s="57">
        <v>46223</v>
      </c>
      <c r="CT292" s="55" t="s">
        <v>839</v>
      </c>
    </row>
    <row r="293" spans="1:98" s="55" customFormat="1" x14ac:dyDescent="0.35">
      <c r="A293" s="54" t="s">
        <v>788</v>
      </c>
      <c r="B293" s="54" t="s">
        <v>841</v>
      </c>
      <c r="C293" s="55" t="s">
        <v>789</v>
      </c>
      <c r="D293" s="55">
        <v>2024</v>
      </c>
      <c r="E293" s="60" t="s">
        <v>790</v>
      </c>
      <c r="F293" s="54" t="s">
        <v>840</v>
      </c>
      <c r="G293" s="55" t="s">
        <v>78</v>
      </c>
      <c r="H293" s="55">
        <v>1</v>
      </c>
      <c r="I293" s="55" t="s">
        <v>290</v>
      </c>
      <c r="J293" s="55" t="s">
        <v>79</v>
      </c>
      <c r="K293" s="55">
        <v>3</v>
      </c>
      <c r="L293" s="55" t="s">
        <v>129</v>
      </c>
      <c r="M293" s="55" t="s">
        <v>380</v>
      </c>
      <c r="N293" s="55">
        <f>0.04/100</f>
        <v>4.0000000000000002E-4</v>
      </c>
      <c r="O293" s="55">
        <f>0.114/100</f>
        <v>1.14E-3</v>
      </c>
      <c r="P293" s="88">
        <f t="shared" si="108"/>
        <v>0.35087719298245618</v>
      </c>
      <c r="Q293" s="55" t="s">
        <v>312</v>
      </c>
      <c r="R293" s="88">
        <f t="shared" si="109"/>
        <v>-1.8343999999999997E-3</v>
      </c>
      <c r="S293" s="88">
        <f t="shared" si="110"/>
        <v>2.6343999999999998E-3</v>
      </c>
      <c r="T293" s="55">
        <v>1</v>
      </c>
      <c r="U293" s="55">
        <v>7479</v>
      </c>
      <c r="V293" s="55">
        <v>12</v>
      </c>
      <c r="W293" s="55">
        <v>1</v>
      </c>
      <c r="X293" s="55">
        <f t="shared" si="107"/>
        <v>7467</v>
      </c>
      <c r="Y293" s="88">
        <f t="shared" si="111"/>
        <v>4.0604903627575748E-3</v>
      </c>
      <c r="Z293" s="88">
        <f t="shared" si="112"/>
        <v>1.1572397533859085E-2</v>
      </c>
      <c r="AA293" s="88">
        <f t="shared" ref="AA293:AA298" si="122">-Y293</f>
        <v>-4.0604903627575748E-3</v>
      </c>
      <c r="AB293" s="55" t="s">
        <v>81</v>
      </c>
      <c r="AC293" s="88">
        <f t="shared" si="116"/>
        <v>2.3153013910355489E-2</v>
      </c>
      <c r="AD293" s="88" cm="1">
        <f t="array" ref="AD293">_xlfn.IFS(
AND(L293="marginal_effect",M293="level"),N293*AN293/BF293,
AND(L293="marginal_effect",M293="sd (Y)"),N293*BH293*AN293/BF293,
AND(L293="marginal_effect",M293="sd (X)"),N293/AQ293*AN293/BF293,
AND(L293="semi_elasticity",M293="level"),N293*AN293,
AND(L293="semi_elasticity",M293="sd (Y)"),N293*AN293*BH293,
AND(L293="semi_elasticity",M293="sd (X)"),N293*AN293/AQ293,
AND(L293="level-log",M293="level"),N293/BF293,
AND(L293="level-log",M293="sd (X)"),N293/BF293/AQ293,
AND(L293="level-log",M293="sd (Y)"),N293/BF293*BH293,
AND(L293="elasticity",M293="level"),N293,
AND(L293="elasticity",M293="sd (X)"),N293/AQ293,
AND(L293="elasticity",M293="sd (Y)"),N293*BH293,
AND(L293="marginal_effect",M293="percent_of_mean"),N293*AN293/BF293/10)</f>
        <v>2.3153013910355489E-2</v>
      </c>
      <c r="AE293" s="56">
        <f t="shared" si="113"/>
        <v>1</v>
      </c>
      <c r="AF293" s="88">
        <f t="shared" si="117"/>
        <v>6.5986089644513135E-2</v>
      </c>
      <c r="AG293" s="88" cm="1">
        <f t="array" ref="AG293">_xlfn.IFS(
AND(L293="marginal_effect",M293="level"),O293*AN293/BF293,
AND(L293="marginal_effect",M293="sd (Y)"),O293*BH293*AN293/BF293,
AND(L293="marginal_effect",M293="sd (X)"),O293/AQ293*AN293/BF293,
AND(L293="semi_elasticity",M293="level"),O293*AN293,
AND(L293="semi_elasticity",M293="sd (Y)"),O293*AN293*BH293,
AND(L293="semi_elasticity",M293="sd (X)"),O293*AN293/AQ293,
AND(L293="level-log",M293="level"),O293/BF293,
AND(L293="level-log",M293="sd (X)"),O293/BF293/AQ293,
AND(L293="level-log",M293="sd (Y)"),O293/BF293*BH293,
AND(L293="elasticity",M293="level"),O293,
AND(L293="elasticity",M293="sd (X)"),O293/AQ293,
AND(L293="elasticity",M293="sd (Y)"),O293*BH293,
AND(L293="marginal_effect",M293="percent_of_mean"),O293*AN293/BF293/10)</f>
        <v>6.5986089644513135E-2</v>
      </c>
      <c r="AH293" s="56">
        <f t="shared" si="114"/>
        <v>1</v>
      </c>
      <c r="AI293" s="88">
        <f t="shared" ref="AI293:AI298" si="123">-AC293</f>
        <v>-2.3153013910355489E-2</v>
      </c>
      <c r="AJ293" s="55">
        <v>0</v>
      </c>
      <c r="AK293" s="55">
        <f t="shared" si="115"/>
        <v>1</v>
      </c>
      <c r="AL293" s="55" t="s">
        <v>735</v>
      </c>
      <c r="AM293" s="55" t="s">
        <v>737</v>
      </c>
      <c r="AN293" s="55">
        <f>0.749*100</f>
        <v>74.900000000000006</v>
      </c>
      <c r="AO293" s="55">
        <v>1</v>
      </c>
      <c r="AP293" s="55">
        <f t="shared" si="121"/>
        <v>74.900000000000006</v>
      </c>
      <c r="AQ293" s="55">
        <f>0.509*100</f>
        <v>50.9</v>
      </c>
      <c r="AR293" s="55">
        <f>0.15*100</f>
        <v>15</v>
      </c>
      <c r="AS293" s="55">
        <f>5*100</f>
        <v>500</v>
      </c>
      <c r="AT293" s="55" t="s">
        <v>83</v>
      </c>
      <c r="AU293" s="55" t="s">
        <v>109</v>
      </c>
      <c r="AV293" s="55" t="s">
        <v>133</v>
      </c>
      <c r="AW293" s="55" t="s">
        <v>109</v>
      </c>
      <c r="AX293" s="55" t="s">
        <v>86</v>
      </c>
      <c r="AY293" s="55">
        <v>0</v>
      </c>
      <c r="AZ293" s="55">
        <v>0</v>
      </c>
      <c r="BA293" s="55" t="s">
        <v>734</v>
      </c>
      <c r="BB293" s="55" t="s">
        <v>88</v>
      </c>
      <c r="BC293" s="55" t="s">
        <v>113</v>
      </c>
      <c r="BD293" s="55" t="s">
        <v>114</v>
      </c>
      <c r="BE293" s="55" t="s">
        <v>810</v>
      </c>
      <c r="BF293" s="55">
        <v>1.294</v>
      </c>
      <c r="BG293" s="55">
        <v>1</v>
      </c>
      <c r="BH293" s="55">
        <v>1.3360000000000001</v>
      </c>
      <c r="BI293" s="55">
        <v>0</v>
      </c>
      <c r="BJ293" s="55">
        <v>11</v>
      </c>
      <c r="BK293" s="55" t="s">
        <v>91</v>
      </c>
      <c r="BL293" s="55" t="s">
        <v>84</v>
      </c>
      <c r="BM293" s="55">
        <v>1</v>
      </c>
      <c r="BN293" s="55" t="s">
        <v>539</v>
      </c>
      <c r="BO293" s="55" t="s">
        <v>540</v>
      </c>
      <c r="BP293" s="55" t="s">
        <v>540</v>
      </c>
      <c r="BQ293" s="55" t="s">
        <v>117</v>
      </c>
      <c r="BR293" s="55" t="s">
        <v>134</v>
      </c>
      <c r="BS293" s="55" t="s">
        <v>312</v>
      </c>
      <c r="BT293" s="55">
        <v>0</v>
      </c>
      <c r="BU293" s="55">
        <v>2014</v>
      </c>
      <c r="BV293" s="55">
        <v>2016</v>
      </c>
      <c r="BW293" s="55" t="s">
        <v>736</v>
      </c>
      <c r="BX293" s="55" t="s">
        <v>95</v>
      </c>
      <c r="BY293" s="55" t="s">
        <v>748</v>
      </c>
      <c r="BZ293" s="55">
        <v>1</v>
      </c>
      <c r="CA293" s="55">
        <v>1</v>
      </c>
      <c r="CB293" s="55" t="s">
        <v>303</v>
      </c>
      <c r="CC293" s="55" t="s">
        <v>795</v>
      </c>
      <c r="CD293" s="55">
        <v>1</v>
      </c>
      <c r="CE293" s="55" t="s">
        <v>792</v>
      </c>
      <c r="CF293" s="55">
        <v>0</v>
      </c>
      <c r="CG293" s="55" t="s">
        <v>97</v>
      </c>
      <c r="CH293" s="55">
        <v>1</v>
      </c>
      <c r="CI293" s="55" t="s">
        <v>97</v>
      </c>
      <c r="CJ293" s="55" t="s">
        <v>98</v>
      </c>
      <c r="CK293" s="55">
        <v>33</v>
      </c>
      <c r="CL293" s="55">
        <v>0</v>
      </c>
      <c r="CM293" s="55">
        <v>0</v>
      </c>
      <c r="CN293" s="55" t="s">
        <v>124</v>
      </c>
      <c r="CO293" s="55" t="s">
        <v>943</v>
      </c>
      <c r="CP293" s="55" t="s">
        <v>100</v>
      </c>
      <c r="CQ293" s="55" t="s">
        <v>126</v>
      </c>
      <c r="CR293" s="57">
        <v>46223</v>
      </c>
      <c r="CT293" s="55" t="s">
        <v>834</v>
      </c>
    </row>
    <row r="294" spans="1:98" s="55" customFormat="1" x14ac:dyDescent="0.35">
      <c r="A294" s="54" t="s">
        <v>788</v>
      </c>
      <c r="B294" s="54" t="s">
        <v>842</v>
      </c>
      <c r="C294" s="55" t="s">
        <v>789</v>
      </c>
      <c r="D294" s="55">
        <v>2024</v>
      </c>
      <c r="E294" s="60" t="s">
        <v>790</v>
      </c>
      <c r="F294" s="54" t="s">
        <v>840</v>
      </c>
      <c r="G294" s="55" t="s">
        <v>78</v>
      </c>
      <c r="H294" s="55">
        <v>1</v>
      </c>
      <c r="I294" s="55" t="s">
        <v>290</v>
      </c>
      <c r="J294" s="55" t="s">
        <v>79</v>
      </c>
      <c r="K294" s="55">
        <v>3</v>
      </c>
      <c r="L294" s="55" t="s">
        <v>129</v>
      </c>
      <c r="M294" s="55" t="s">
        <v>380</v>
      </c>
      <c r="N294" s="55">
        <f>0.18/100</f>
        <v>1.8E-3</v>
      </c>
      <c r="O294" s="55">
        <f>0.096/100</f>
        <v>9.6000000000000002E-4</v>
      </c>
      <c r="P294" s="88">
        <f t="shared" si="108"/>
        <v>1.875</v>
      </c>
      <c r="Q294" s="55" t="s">
        <v>312</v>
      </c>
      <c r="R294" s="88">
        <f t="shared" si="109"/>
        <v>-8.1600000000000032E-5</v>
      </c>
      <c r="S294" s="88">
        <f t="shared" si="110"/>
        <v>3.6816000000000002E-3</v>
      </c>
      <c r="T294" s="55">
        <v>1</v>
      </c>
      <c r="U294" s="55">
        <v>7488</v>
      </c>
      <c r="V294" s="55">
        <v>12</v>
      </c>
      <c r="W294" s="55">
        <v>1</v>
      </c>
      <c r="X294" s="55">
        <f t="shared" si="107"/>
        <v>7476</v>
      </c>
      <c r="Y294" s="88">
        <f t="shared" si="111"/>
        <v>2.1680262446773384E-2</v>
      </c>
      <c r="Z294" s="88">
        <f t="shared" si="112"/>
        <v>1.1562806638279138E-2</v>
      </c>
      <c r="AA294" s="88">
        <f t="shared" si="122"/>
        <v>-2.1680262446773384E-2</v>
      </c>
      <c r="AB294" s="55" t="s">
        <v>81</v>
      </c>
      <c r="AC294" s="88">
        <f t="shared" si="116"/>
        <v>0.10418856259659968</v>
      </c>
      <c r="AD294" s="88" cm="1">
        <f t="array" ref="AD294">_xlfn.IFS(
AND(L294="marginal_effect",M294="level"),N294*AN294/BF294,
AND(L294="marginal_effect",M294="sd (Y)"),N294*BH294*AN294/BF294,
AND(L294="marginal_effect",M294="sd (X)"),N294/AQ294*AN294/BF294,
AND(L294="semi_elasticity",M294="level"),N294*AN294,
AND(L294="semi_elasticity",M294="sd (Y)"),N294*AN294*BH294,
AND(L294="semi_elasticity",M294="sd (X)"),N294*AN294/AQ294,
AND(L294="level-log",M294="level"),N294/BF294,
AND(L294="level-log",M294="sd (X)"),N294/BF294/AQ294,
AND(L294="level-log",M294="sd (Y)"),N294/BF294*BH294,
AND(L294="elasticity",M294="level"),N294,
AND(L294="elasticity",M294="sd (X)"),N294/AQ294,
AND(L294="elasticity",M294="sd (Y)"),N294*BH294,
AND(L294="marginal_effect",M294="percent_of_mean"),N294*AN294/BF294/10)</f>
        <v>0.10418856259659968</v>
      </c>
      <c r="AE294" s="56">
        <f t="shared" si="113"/>
        <v>1</v>
      </c>
      <c r="AF294" s="88">
        <f t="shared" si="117"/>
        <v>5.5567233384853171E-2</v>
      </c>
      <c r="AG294" s="88" cm="1">
        <f t="array" ref="AG294">_xlfn.IFS(
AND(L294="marginal_effect",M294="level"),O294*AN294/BF294,
AND(L294="marginal_effect",M294="sd (Y)"),O294*BH294*AN294/BF294,
AND(L294="marginal_effect",M294="sd (X)"),O294/AQ294*AN294/BF294,
AND(L294="semi_elasticity",M294="level"),O294*AN294,
AND(L294="semi_elasticity",M294="sd (Y)"),O294*AN294*BH294,
AND(L294="semi_elasticity",M294="sd (X)"),O294*AN294/AQ294,
AND(L294="level-log",M294="level"),O294/BF294,
AND(L294="level-log",M294="sd (X)"),O294/BF294/AQ294,
AND(L294="level-log",M294="sd (Y)"),O294/BF294*BH294,
AND(L294="elasticity",M294="level"),O294,
AND(L294="elasticity",M294="sd (X)"),O294/AQ294,
AND(L294="elasticity",M294="sd (Y)"),O294*BH294,
AND(L294="marginal_effect",M294="percent_of_mean"),O294*AN294/BF294/10)</f>
        <v>5.5567233384853171E-2</v>
      </c>
      <c r="AH294" s="56">
        <f t="shared" si="114"/>
        <v>1</v>
      </c>
      <c r="AI294" s="88">
        <f t="shared" si="123"/>
        <v>-0.10418856259659968</v>
      </c>
      <c r="AJ294" s="55">
        <v>0</v>
      </c>
      <c r="AK294" s="55">
        <f t="shared" si="115"/>
        <v>1</v>
      </c>
      <c r="AL294" s="55" t="s">
        <v>735</v>
      </c>
      <c r="AM294" s="55" t="s">
        <v>737</v>
      </c>
      <c r="AN294" s="55">
        <f>0.749*100</f>
        <v>74.900000000000006</v>
      </c>
      <c r="AO294" s="55">
        <v>1</v>
      </c>
      <c r="AP294" s="55">
        <f t="shared" si="121"/>
        <v>74.900000000000006</v>
      </c>
      <c r="AQ294" s="55">
        <f>0.509*100</f>
        <v>50.9</v>
      </c>
      <c r="AR294" s="55">
        <f>0.15*100</f>
        <v>15</v>
      </c>
      <c r="AS294" s="55">
        <f>5*100</f>
        <v>500</v>
      </c>
      <c r="AT294" s="55" t="s">
        <v>83</v>
      </c>
      <c r="AU294" s="55" t="s">
        <v>109</v>
      </c>
      <c r="AV294" s="55" t="s">
        <v>133</v>
      </c>
      <c r="AW294" s="55" t="s">
        <v>109</v>
      </c>
      <c r="AX294" s="55" t="s">
        <v>86</v>
      </c>
      <c r="AY294" s="55">
        <v>0</v>
      </c>
      <c r="AZ294" s="55">
        <v>0</v>
      </c>
      <c r="BA294" s="55" t="s">
        <v>734</v>
      </c>
      <c r="BB294" s="55" t="s">
        <v>88</v>
      </c>
      <c r="BC294" s="55" t="s">
        <v>113</v>
      </c>
      <c r="BD294" s="55" t="s">
        <v>114</v>
      </c>
      <c r="BE294" s="55" t="s">
        <v>810</v>
      </c>
      <c r="BF294" s="55">
        <v>1.294</v>
      </c>
      <c r="BG294" s="55">
        <v>1</v>
      </c>
      <c r="BH294" s="55">
        <v>1.3360000000000001</v>
      </c>
      <c r="BI294" s="55">
        <v>0</v>
      </c>
      <c r="BJ294" s="55">
        <v>11</v>
      </c>
      <c r="BK294" s="55" t="s">
        <v>91</v>
      </c>
      <c r="BL294" s="55" t="s">
        <v>84</v>
      </c>
      <c r="BM294" s="55">
        <v>1</v>
      </c>
      <c r="BN294" s="55" t="s">
        <v>539</v>
      </c>
      <c r="BO294" s="55" t="s">
        <v>540</v>
      </c>
      <c r="BP294" s="55" t="s">
        <v>540</v>
      </c>
      <c r="BQ294" s="55" t="s">
        <v>117</v>
      </c>
      <c r="BR294" s="55" t="s">
        <v>134</v>
      </c>
      <c r="BS294" s="55" t="s">
        <v>312</v>
      </c>
      <c r="BT294" s="55">
        <v>0</v>
      </c>
      <c r="BU294" s="55">
        <v>2014</v>
      </c>
      <c r="BV294" s="55">
        <v>2016</v>
      </c>
      <c r="BW294" s="55" t="s">
        <v>736</v>
      </c>
      <c r="BX294" s="55" t="s">
        <v>95</v>
      </c>
      <c r="BY294" s="55" t="s">
        <v>748</v>
      </c>
      <c r="BZ294" s="55">
        <v>1</v>
      </c>
      <c r="CA294" s="55">
        <v>1</v>
      </c>
      <c r="CB294" s="55" t="s">
        <v>303</v>
      </c>
      <c r="CC294" s="55" t="s">
        <v>795</v>
      </c>
      <c r="CD294" s="55">
        <v>1</v>
      </c>
      <c r="CE294" s="55" t="s">
        <v>792</v>
      </c>
      <c r="CF294" s="55">
        <v>0</v>
      </c>
      <c r="CG294" s="55" t="s">
        <v>97</v>
      </c>
      <c r="CH294" s="55">
        <v>1</v>
      </c>
      <c r="CI294" s="55" t="s">
        <v>97</v>
      </c>
      <c r="CJ294" s="55" t="s">
        <v>98</v>
      </c>
      <c r="CK294" s="55">
        <v>33</v>
      </c>
      <c r="CL294" s="55">
        <v>0</v>
      </c>
      <c r="CM294" s="55">
        <v>0</v>
      </c>
      <c r="CN294" s="55" t="s">
        <v>124</v>
      </c>
      <c r="CO294" s="55" t="s">
        <v>943</v>
      </c>
      <c r="CP294" s="55" t="s">
        <v>100</v>
      </c>
      <c r="CQ294" s="55" t="s">
        <v>126</v>
      </c>
      <c r="CR294" s="57">
        <v>46223</v>
      </c>
      <c r="CT294" s="55" t="s">
        <v>835</v>
      </c>
    </row>
    <row r="295" spans="1:98" s="55" customFormat="1" x14ac:dyDescent="0.35">
      <c r="A295" s="54" t="s">
        <v>788</v>
      </c>
      <c r="B295" s="54" t="s">
        <v>830</v>
      </c>
      <c r="C295" s="55" t="s">
        <v>789</v>
      </c>
      <c r="D295" s="55">
        <v>2024</v>
      </c>
      <c r="E295" s="60" t="s">
        <v>790</v>
      </c>
      <c r="F295" s="54" t="s">
        <v>840</v>
      </c>
      <c r="G295" s="55" t="s">
        <v>78</v>
      </c>
      <c r="H295" s="55">
        <v>1</v>
      </c>
      <c r="I295" s="55" t="s">
        <v>290</v>
      </c>
      <c r="J295" s="55" t="s">
        <v>79</v>
      </c>
      <c r="K295" s="55">
        <v>3</v>
      </c>
      <c r="L295" s="55" t="s">
        <v>129</v>
      </c>
      <c r="M295" s="55" t="s">
        <v>380</v>
      </c>
      <c r="N295" s="55">
        <f>0.058/100</f>
        <v>5.8E-4</v>
      </c>
      <c r="O295" s="55">
        <f>0.148/100</f>
        <v>1.48E-3</v>
      </c>
      <c r="P295" s="88">
        <f t="shared" si="108"/>
        <v>0.39189189189189189</v>
      </c>
      <c r="Q295" s="55" t="s">
        <v>312</v>
      </c>
      <c r="R295" s="88">
        <f t="shared" si="109"/>
        <v>-2.3207999999999996E-3</v>
      </c>
      <c r="S295" s="88">
        <f t="shared" si="110"/>
        <v>3.4808E-3</v>
      </c>
      <c r="T295" s="55">
        <v>1</v>
      </c>
      <c r="U295" s="55">
        <v>7453</v>
      </c>
      <c r="V295" s="55">
        <v>12</v>
      </c>
      <c r="W295" s="55">
        <v>1</v>
      </c>
      <c r="X295" s="55">
        <f t="shared" si="107"/>
        <v>7441</v>
      </c>
      <c r="Y295" s="88">
        <f t="shared" si="111"/>
        <v>4.5430356426807376E-3</v>
      </c>
      <c r="Z295" s="88">
        <f t="shared" si="112"/>
        <v>1.1592573708909469E-2</v>
      </c>
      <c r="AA295" s="88">
        <f t="shared" si="122"/>
        <v>-4.5430356426807376E-3</v>
      </c>
      <c r="AB295" s="55" t="s">
        <v>81</v>
      </c>
      <c r="AC295" s="88">
        <f t="shared" si="116"/>
        <v>2.0931993817619784E-2</v>
      </c>
      <c r="AD295" s="88" cm="1">
        <f t="array" ref="AD295">_xlfn.IFS(
AND(L295="marginal_effect",M295="level"),N295*AN295/BF295,
AND(L295="marginal_effect",M295="sd (Y)"),N295*BH295*AN295/BF295,
AND(L295="marginal_effect",M295="sd (X)"),N295/AQ295*AN295/BF295,
AND(L295="semi_elasticity",M295="level"),N295*AN295,
AND(L295="semi_elasticity",M295="sd (Y)"),N295*AN295*BH295,
AND(L295="semi_elasticity",M295="sd (X)"),N295*AN295/AQ295,
AND(L295="level-log",M295="level"),N295/BF295,
AND(L295="level-log",M295="sd (X)"),N295/BF295/AQ295,
AND(L295="level-log",M295="sd (Y)"),N295/BF295*BH295,
AND(L295="elasticity",M295="level"),N295,
AND(L295="elasticity",M295="sd (X)"),N295/AQ295,
AND(L295="elasticity",M295="sd (Y)"),N295*BH295,
AND(L295="marginal_effect",M295="percent_of_mean"),N295*AN295/BF295/10)</f>
        <v>2.0931993817619784E-2</v>
      </c>
      <c r="AE295" s="56">
        <f t="shared" si="113"/>
        <v>1</v>
      </c>
      <c r="AF295" s="88">
        <f t="shared" si="117"/>
        <v>5.3412673879443581E-2</v>
      </c>
      <c r="AG295" s="88" cm="1">
        <f t="array" ref="AG295">_xlfn.IFS(
AND(L295="marginal_effect",M295="level"),O295*AN295/BF295,
AND(L295="marginal_effect",M295="sd (Y)"),O295*BH295*AN295/BF295,
AND(L295="marginal_effect",M295="sd (X)"),O295/AQ295*AN295/BF295,
AND(L295="semi_elasticity",M295="level"),O295*AN295,
AND(L295="semi_elasticity",M295="sd (Y)"),O295*AN295*BH295,
AND(L295="semi_elasticity",M295="sd (X)"),O295*AN295/AQ295,
AND(L295="level-log",M295="level"),O295/BF295,
AND(L295="level-log",M295="sd (X)"),O295/BF295/AQ295,
AND(L295="level-log",M295="sd (Y)"),O295/BF295*BH295,
AND(L295="elasticity",M295="level"),O295,
AND(L295="elasticity",M295="sd (X)"),O295/AQ295,
AND(L295="elasticity",M295="sd (Y)"),O295*BH295,
AND(L295="marginal_effect",M295="percent_of_mean"),O295*AN295/BF295/10)</f>
        <v>5.3412673879443581E-2</v>
      </c>
      <c r="AH295" s="56">
        <f t="shared" si="114"/>
        <v>1</v>
      </c>
      <c r="AI295" s="88">
        <f t="shared" si="123"/>
        <v>-2.0931993817619784E-2</v>
      </c>
      <c r="AJ295" s="55">
        <v>0</v>
      </c>
      <c r="AK295" s="55">
        <f t="shared" si="115"/>
        <v>1</v>
      </c>
      <c r="AL295" s="55" t="s">
        <v>82</v>
      </c>
      <c r="AM295" s="55" t="s">
        <v>1333</v>
      </c>
      <c r="AN295" s="55">
        <f>0.467*100</f>
        <v>46.7</v>
      </c>
      <c r="AO295" s="55">
        <v>1</v>
      </c>
      <c r="AP295" s="55">
        <f t="shared" si="121"/>
        <v>46.7</v>
      </c>
      <c r="AQ295" s="55">
        <f>0.398*100</f>
        <v>39.800000000000004</v>
      </c>
      <c r="AR295" s="55">
        <f>0.01*100</f>
        <v>1</v>
      </c>
      <c r="AS295" s="55">
        <f>3.67*100</f>
        <v>367</v>
      </c>
      <c r="AT295" s="55" t="s">
        <v>83</v>
      </c>
      <c r="AU295" s="55" t="s">
        <v>109</v>
      </c>
      <c r="AV295" s="55" t="s">
        <v>133</v>
      </c>
      <c r="AW295" s="55" t="s">
        <v>109</v>
      </c>
      <c r="AX295" s="55" t="s">
        <v>86</v>
      </c>
      <c r="AY295" s="55">
        <v>0</v>
      </c>
      <c r="AZ295" s="55">
        <v>0</v>
      </c>
      <c r="BA295" s="55" t="s">
        <v>734</v>
      </c>
      <c r="BB295" s="55" t="s">
        <v>88</v>
      </c>
      <c r="BC295" s="55" t="s">
        <v>113</v>
      </c>
      <c r="BD295" s="55" t="s">
        <v>114</v>
      </c>
      <c r="BE295" s="55" t="s">
        <v>810</v>
      </c>
      <c r="BF295" s="55">
        <v>1.294</v>
      </c>
      <c r="BG295" s="55">
        <v>1</v>
      </c>
      <c r="BH295" s="55">
        <v>1.3360000000000001</v>
      </c>
      <c r="BI295" s="55">
        <v>0</v>
      </c>
      <c r="BJ295" s="55">
        <v>11</v>
      </c>
      <c r="BK295" s="55" t="s">
        <v>91</v>
      </c>
      <c r="BL295" s="55" t="s">
        <v>84</v>
      </c>
      <c r="BM295" s="55">
        <v>1</v>
      </c>
      <c r="BN295" s="55" t="s">
        <v>539</v>
      </c>
      <c r="BO295" s="55" t="s">
        <v>540</v>
      </c>
      <c r="BP295" s="55" t="s">
        <v>540</v>
      </c>
      <c r="BQ295" s="55" t="s">
        <v>117</v>
      </c>
      <c r="BR295" s="55" t="s">
        <v>134</v>
      </c>
      <c r="BS295" s="55" t="s">
        <v>312</v>
      </c>
      <c r="BT295" s="55">
        <v>0</v>
      </c>
      <c r="BU295" s="55">
        <v>2014</v>
      </c>
      <c r="BV295" s="55">
        <v>2016</v>
      </c>
      <c r="BW295" s="55" t="s">
        <v>736</v>
      </c>
      <c r="BX295" s="55" t="s">
        <v>95</v>
      </c>
      <c r="BY295" s="55" t="s">
        <v>748</v>
      </c>
      <c r="BZ295" s="55">
        <v>1</v>
      </c>
      <c r="CA295" s="55">
        <v>1</v>
      </c>
      <c r="CB295" s="55" t="s">
        <v>303</v>
      </c>
      <c r="CC295" s="55" t="s">
        <v>794</v>
      </c>
      <c r="CD295" s="55">
        <v>1</v>
      </c>
      <c r="CE295" s="55" t="s">
        <v>792</v>
      </c>
      <c r="CF295" s="55">
        <v>0</v>
      </c>
      <c r="CG295" s="55" t="s">
        <v>97</v>
      </c>
      <c r="CH295" s="55">
        <v>1</v>
      </c>
      <c r="CI295" s="55" t="s">
        <v>97</v>
      </c>
      <c r="CJ295" s="55" t="s">
        <v>98</v>
      </c>
      <c r="CK295" s="55">
        <v>33</v>
      </c>
      <c r="CL295" s="55">
        <v>0</v>
      </c>
      <c r="CM295" s="55">
        <v>0</v>
      </c>
      <c r="CN295" s="55" t="s">
        <v>124</v>
      </c>
      <c r="CO295" s="55" t="s">
        <v>943</v>
      </c>
      <c r="CP295" s="55" t="s">
        <v>100</v>
      </c>
      <c r="CQ295" s="55" t="s">
        <v>126</v>
      </c>
      <c r="CR295" s="57">
        <v>46223</v>
      </c>
      <c r="CT295" s="55" t="s">
        <v>836</v>
      </c>
    </row>
    <row r="296" spans="1:98" s="55" customFormat="1" x14ac:dyDescent="0.35">
      <c r="A296" s="54" t="s">
        <v>788</v>
      </c>
      <c r="B296" s="54" t="s">
        <v>831</v>
      </c>
      <c r="C296" s="55" t="s">
        <v>789</v>
      </c>
      <c r="D296" s="55">
        <v>2024</v>
      </c>
      <c r="E296" s="60" t="s">
        <v>790</v>
      </c>
      <c r="F296" s="54" t="s">
        <v>840</v>
      </c>
      <c r="G296" s="55" t="s">
        <v>78</v>
      </c>
      <c r="H296" s="55">
        <v>1</v>
      </c>
      <c r="I296" s="55" t="s">
        <v>290</v>
      </c>
      <c r="J296" s="55" t="s">
        <v>79</v>
      </c>
      <c r="K296" s="55">
        <v>3</v>
      </c>
      <c r="L296" s="55" t="s">
        <v>129</v>
      </c>
      <c r="M296" s="55" t="s">
        <v>380</v>
      </c>
      <c r="N296" s="55">
        <f>0.242/100</f>
        <v>2.4199999999999998E-3</v>
      </c>
      <c r="O296" s="55">
        <f>0.138/100</f>
        <v>1.3800000000000002E-3</v>
      </c>
      <c r="P296" s="88">
        <f t="shared" si="108"/>
        <v>1.7536231884057969</v>
      </c>
      <c r="Q296" s="55" t="s">
        <v>312</v>
      </c>
      <c r="R296" s="88">
        <f t="shared" si="109"/>
        <v>-2.8480000000000042E-4</v>
      </c>
      <c r="S296" s="88">
        <f t="shared" si="110"/>
        <v>5.1248000000000005E-3</v>
      </c>
      <c r="T296" s="55">
        <v>1</v>
      </c>
      <c r="U296" s="55">
        <v>7462</v>
      </c>
      <c r="V296" s="55">
        <v>12</v>
      </c>
      <c r="W296" s="55">
        <v>1</v>
      </c>
      <c r="X296" s="55">
        <f t="shared" si="107"/>
        <v>7450</v>
      </c>
      <c r="Y296" s="88">
        <f t="shared" si="111"/>
        <v>2.0312740865249208E-2</v>
      </c>
      <c r="Z296" s="88">
        <f t="shared" si="112"/>
        <v>1.1583298509935501E-2</v>
      </c>
      <c r="AA296" s="88">
        <f t="shared" si="122"/>
        <v>-2.0312740865249208E-2</v>
      </c>
      <c r="AB296" s="55" t="s">
        <v>81</v>
      </c>
      <c r="AC296" s="88">
        <f t="shared" si="116"/>
        <v>8.7336939721792892E-2</v>
      </c>
      <c r="AD296" s="88" cm="1">
        <f t="array" ref="AD296">_xlfn.IFS(
AND(L296="marginal_effect",M296="level"),N296*AN296/BF296,
AND(L296="marginal_effect",M296="sd (Y)"),N296*BH296*AN296/BF296,
AND(L296="marginal_effect",M296="sd (X)"),N296/AQ296*AN296/BF296,
AND(L296="semi_elasticity",M296="level"),N296*AN296,
AND(L296="semi_elasticity",M296="sd (Y)"),N296*AN296*BH296,
AND(L296="semi_elasticity",M296="sd (X)"),N296*AN296/AQ296,
AND(L296="level-log",M296="level"),N296/BF296,
AND(L296="level-log",M296="sd (X)"),N296/BF296/AQ296,
AND(L296="level-log",M296="sd (Y)"),N296/BF296*BH296,
AND(L296="elasticity",M296="level"),N296,
AND(L296="elasticity",M296="sd (X)"),N296/AQ296,
AND(L296="elasticity",M296="sd (Y)"),N296*BH296,
AND(L296="marginal_effect",M296="percent_of_mean"),N296*AN296/BF296/10)</f>
        <v>8.7336939721792892E-2</v>
      </c>
      <c r="AE296" s="56">
        <f t="shared" si="113"/>
        <v>1</v>
      </c>
      <c r="AF296" s="88">
        <f t="shared" si="117"/>
        <v>4.9803709428129839E-2</v>
      </c>
      <c r="AG296" s="88" cm="1">
        <f t="array" ref="AG296">_xlfn.IFS(
AND(L296="marginal_effect",M296="level"),O296*AN296/BF296,
AND(L296="marginal_effect",M296="sd (Y)"),O296*BH296*AN296/BF296,
AND(L296="marginal_effect",M296="sd (X)"),O296/AQ296*AN296/BF296,
AND(L296="semi_elasticity",M296="level"),O296*AN296,
AND(L296="semi_elasticity",M296="sd (Y)"),O296*AN296*BH296,
AND(L296="semi_elasticity",M296="sd (X)"),O296*AN296/AQ296,
AND(L296="level-log",M296="level"),O296/BF296,
AND(L296="level-log",M296="sd (X)"),O296/BF296/AQ296,
AND(L296="level-log",M296="sd (Y)"),O296/BF296*BH296,
AND(L296="elasticity",M296="level"),O296,
AND(L296="elasticity",M296="sd (X)"),O296/AQ296,
AND(L296="elasticity",M296="sd (Y)"),O296*BH296,
AND(L296="marginal_effect",M296="percent_of_mean"),O296*AN296/BF296/10)</f>
        <v>4.9803709428129839E-2</v>
      </c>
      <c r="AH296" s="56">
        <f t="shared" si="114"/>
        <v>1</v>
      </c>
      <c r="AI296" s="88">
        <f t="shared" si="123"/>
        <v>-8.7336939721792892E-2</v>
      </c>
      <c r="AJ296" s="55">
        <v>0</v>
      </c>
      <c r="AK296" s="55">
        <f t="shared" si="115"/>
        <v>1</v>
      </c>
      <c r="AL296" s="55" t="s">
        <v>82</v>
      </c>
      <c r="AM296" s="55" t="s">
        <v>1333</v>
      </c>
      <c r="AN296" s="55">
        <f>0.467*100</f>
        <v>46.7</v>
      </c>
      <c r="AO296" s="55">
        <v>1</v>
      </c>
      <c r="AP296" s="55">
        <f t="shared" si="121"/>
        <v>46.7</v>
      </c>
      <c r="AQ296" s="55">
        <f>0.398*100</f>
        <v>39.800000000000004</v>
      </c>
      <c r="AR296" s="55">
        <f>0.01*100</f>
        <v>1</v>
      </c>
      <c r="AS296" s="55">
        <f>3.67*100</f>
        <v>367</v>
      </c>
      <c r="AT296" s="55" t="s">
        <v>83</v>
      </c>
      <c r="AU296" s="55" t="s">
        <v>109</v>
      </c>
      <c r="AV296" s="55" t="s">
        <v>133</v>
      </c>
      <c r="AW296" s="55" t="s">
        <v>109</v>
      </c>
      <c r="AX296" s="55" t="s">
        <v>86</v>
      </c>
      <c r="AY296" s="55">
        <v>0</v>
      </c>
      <c r="AZ296" s="55">
        <v>0</v>
      </c>
      <c r="BA296" s="55" t="s">
        <v>734</v>
      </c>
      <c r="BB296" s="55" t="s">
        <v>88</v>
      </c>
      <c r="BC296" s="55" t="s">
        <v>113</v>
      </c>
      <c r="BD296" s="55" t="s">
        <v>114</v>
      </c>
      <c r="BE296" s="55" t="s">
        <v>810</v>
      </c>
      <c r="BF296" s="55">
        <v>1.294</v>
      </c>
      <c r="BG296" s="55">
        <v>1</v>
      </c>
      <c r="BH296" s="55">
        <v>1.3360000000000001</v>
      </c>
      <c r="BI296" s="55">
        <v>0</v>
      </c>
      <c r="BJ296" s="55">
        <v>11</v>
      </c>
      <c r="BK296" s="55" t="s">
        <v>91</v>
      </c>
      <c r="BL296" s="55" t="s">
        <v>84</v>
      </c>
      <c r="BM296" s="55">
        <v>1</v>
      </c>
      <c r="BN296" s="55" t="s">
        <v>539</v>
      </c>
      <c r="BO296" s="55" t="s">
        <v>540</v>
      </c>
      <c r="BP296" s="55" t="s">
        <v>540</v>
      </c>
      <c r="BQ296" s="55" t="s">
        <v>117</v>
      </c>
      <c r="BR296" s="55" t="s">
        <v>134</v>
      </c>
      <c r="BS296" s="55" t="s">
        <v>312</v>
      </c>
      <c r="BT296" s="55">
        <v>0</v>
      </c>
      <c r="BU296" s="55">
        <v>2014</v>
      </c>
      <c r="BV296" s="55">
        <v>2016</v>
      </c>
      <c r="BW296" s="55" t="s">
        <v>736</v>
      </c>
      <c r="BX296" s="55" t="s">
        <v>95</v>
      </c>
      <c r="BY296" s="55" t="s">
        <v>748</v>
      </c>
      <c r="BZ296" s="55">
        <v>1</v>
      </c>
      <c r="CA296" s="55">
        <v>1</v>
      </c>
      <c r="CB296" s="55" t="s">
        <v>303</v>
      </c>
      <c r="CC296" s="55" t="s">
        <v>794</v>
      </c>
      <c r="CD296" s="55">
        <v>1</v>
      </c>
      <c r="CE296" s="55" t="s">
        <v>792</v>
      </c>
      <c r="CF296" s="55">
        <v>0</v>
      </c>
      <c r="CG296" s="55" t="s">
        <v>97</v>
      </c>
      <c r="CH296" s="55">
        <v>1</v>
      </c>
      <c r="CI296" s="55" t="s">
        <v>97</v>
      </c>
      <c r="CJ296" s="55" t="s">
        <v>98</v>
      </c>
      <c r="CK296" s="55">
        <v>33</v>
      </c>
      <c r="CL296" s="55">
        <v>0</v>
      </c>
      <c r="CM296" s="55">
        <v>0</v>
      </c>
      <c r="CN296" s="55" t="s">
        <v>124</v>
      </c>
      <c r="CO296" s="55" t="s">
        <v>943</v>
      </c>
      <c r="CP296" s="55" t="s">
        <v>100</v>
      </c>
      <c r="CQ296" s="55" t="s">
        <v>126</v>
      </c>
      <c r="CR296" s="57">
        <v>46223</v>
      </c>
      <c r="CT296" s="55" t="s">
        <v>837</v>
      </c>
    </row>
    <row r="297" spans="1:98" s="55" customFormat="1" x14ac:dyDescent="0.35">
      <c r="A297" s="54" t="s">
        <v>788</v>
      </c>
      <c r="B297" s="54" t="s">
        <v>832</v>
      </c>
      <c r="C297" s="55" t="s">
        <v>789</v>
      </c>
      <c r="D297" s="55">
        <v>2024</v>
      </c>
      <c r="E297" s="60" t="s">
        <v>790</v>
      </c>
      <c r="F297" s="54" t="s">
        <v>840</v>
      </c>
      <c r="G297" s="55" t="s">
        <v>78</v>
      </c>
      <c r="H297" s="55">
        <v>1</v>
      </c>
      <c r="I297" s="55" t="s">
        <v>290</v>
      </c>
      <c r="J297" s="55" t="s">
        <v>79</v>
      </c>
      <c r="K297" s="55">
        <v>3</v>
      </c>
      <c r="L297" s="55" t="s">
        <v>129</v>
      </c>
      <c r="M297" s="55" t="s">
        <v>380</v>
      </c>
      <c r="N297" s="55">
        <f>0.021/100</f>
        <v>2.1000000000000001E-4</v>
      </c>
      <c r="O297" s="55">
        <f>0.099/100</f>
        <v>9.8999999999999999E-4</v>
      </c>
      <c r="P297" s="88">
        <f t="shared" si="108"/>
        <v>0.21212121212121213</v>
      </c>
      <c r="Q297" s="55" t="s">
        <v>312</v>
      </c>
      <c r="R297" s="88">
        <f t="shared" si="109"/>
        <v>-1.7304E-3</v>
      </c>
      <c r="S297" s="88">
        <f t="shared" si="110"/>
        <v>2.1503999999999998E-3</v>
      </c>
      <c r="T297" s="55">
        <v>1</v>
      </c>
      <c r="U297" s="55">
        <v>7060</v>
      </c>
      <c r="V297" s="55">
        <v>12</v>
      </c>
      <c r="W297" s="55">
        <v>1</v>
      </c>
      <c r="X297" s="55">
        <f t="shared" si="107"/>
        <v>7048</v>
      </c>
      <c r="Y297" s="88">
        <f t="shared" si="111"/>
        <v>2.5266772274421178E-3</v>
      </c>
      <c r="Z297" s="88">
        <f t="shared" si="112"/>
        <v>1.1911478357941412E-2</v>
      </c>
      <c r="AA297" s="88">
        <f t="shared" si="122"/>
        <v>-2.5266772274421178E-3</v>
      </c>
      <c r="AB297" s="55" t="s">
        <v>81</v>
      </c>
      <c r="AC297" s="88">
        <f t="shared" si="116"/>
        <v>1.359969088098918E-2</v>
      </c>
      <c r="AD297" s="88" cm="1">
        <f t="array" ref="AD297">_xlfn.IFS(
AND(L297="marginal_effect",M297="level"),N297*AN297/BF297,
AND(L297="marginal_effect",M297="sd (Y)"),N297*BH297*AN297/BF297,
AND(L297="marginal_effect",M297="sd (X)"),N297/AQ297*AN297/BF297,
AND(L297="semi_elasticity",M297="level"),N297*AN297,
AND(L297="semi_elasticity",M297="sd (Y)"),N297*AN297*BH297,
AND(L297="semi_elasticity",M297="sd (X)"),N297*AN297/AQ297,
AND(L297="level-log",M297="level"),N297/BF297,
AND(L297="level-log",M297="sd (X)"),N297/BF297/AQ297,
AND(L297="level-log",M297="sd (Y)"),N297/BF297*BH297,
AND(L297="elasticity",M297="level"),N297,
AND(L297="elasticity",M297="sd (X)"),N297/AQ297,
AND(L297="elasticity",M297="sd (Y)"),N297*BH297,
AND(L297="marginal_effect",M297="percent_of_mean"),N297*AN297/BF297/10)</f>
        <v>1.359969088098918E-2</v>
      </c>
      <c r="AE297" s="56">
        <f t="shared" si="113"/>
        <v>1</v>
      </c>
      <c r="AF297" s="88">
        <f t="shared" si="117"/>
        <v>6.4112828438948985E-2</v>
      </c>
      <c r="AG297" s="88" cm="1">
        <f t="array" ref="AG297">_xlfn.IFS(
AND(L297="marginal_effect",M297="level"),O297*AN297/BF297,
AND(L297="marginal_effect",M297="sd (Y)"),O297*BH297*AN297/BF297,
AND(L297="marginal_effect",M297="sd (X)"),O297/AQ297*AN297/BF297,
AND(L297="semi_elasticity",M297="level"),O297*AN297,
AND(L297="semi_elasticity",M297="sd (Y)"),O297*AN297*BH297,
AND(L297="semi_elasticity",M297="sd (X)"),O297*AN297/AQ297,
AND(L297="level-log",M297="level"),O297/BF297,
AND(L297="level-log",M297="sd (X)"),O297/BF297/AQ297,
AND(L297="level-log",M297="sd (Y)"),O297/BF297*BH297,
AND(L297="elasticity",M297="level"),O297,
AND(L297="elasticity",M297="sd (X)"),O297/AQ297,
AND(L297="elasticity",M297="sd (Y)"),O297*BH297,
AND(L297="marginal_effect",M297="percent_of_mean"),O297*AN297/BF297/10)</f>
        <v>6.4112828438948985E-2</v>
      </c>
      <c r="AH297" s="56">
        <f t="shared" si="114"/>
        <v>1</v>
      </c>
      <c r="AI297" s="88">
        <f t="shared" si="123"/>
        <v>-1.359969088098918E-2</v>
      </c>
      <c r="AJ297" s="55">
        <v>0</v>
      </c>
      <c r="AK297" s="55">
        <f t="shared" si="115"/>
        <v>1</v>
      </c>
      <c r="AL297" s="55" t="s">
        <v>106</v>
      </c>
      <c r="AM297" s="55" t="s">
        <v>1333</v>
      </c>
      <c r="AN297" s="55">
        <f>0.838*100</f>
        <v>83.8</v>
      </c>
      <c r="AO297" s="55">
        <v>1</v>
      </c>
      <c r="AP297" s="55">
        <f t="shared" si="121"/>
        <v>83.8</v>
      </c>
      <c r="AQ297" s="55">
        <f>0.696*100</f>
        <v>69.599999999999994</v>
      </c>
      <c r="AR297" s="55">
        <v>0</v>
      </c>
      <c r="AS297" s="55">
        <f>7.73*100</f>
        <v>773</v>
      </c>
      <c r="AT297" s="55" t="s">
        <v>83</v>
      </c>
      <c r="AU297" s="55" t="s">
        <v>109</v>
      </c>
      <c r="AV297" s="55" t="s">
        <v>133</v>
      </c>
      <c r="AW297" s="55" t="s">
        <v>109</v>
      </c>
      <c r="AX297" s="55" t="s">
        <v>86</v>
      </c>
      <c r="AY297" s="55">
        <v>0</v>
      </c>
      <c r="AZ297" s="55">
        <v>0</v>
      </c>
      <c r="BA297" s="55" t="s">
        <v>734</v>
      </c>
      <c r="BB297" s="55" t="s">
        <v>88</v>
      </c>
      <c r="BC297" s="55" t="s">
        <v>113</v>
      </c>
      <c r="BD297" s="55" t="s">
        <v>114</v>
      </c>
      <c r="BE297" s="55" t="s">
        <v>810</v>
      </c>
      <c r="BF297" s="55">
        <v>1.294</v>
      </c>
      <c r="BG297" s="55">
        <v>1</v>
      </c>
      <c r="BH297" s="55">
        <v>1.3360000000000001</v>
      </c>
      <c r="BI297" s="55">
        <v>0</v>
      </c>
      <c r="BJ297" s="55">
        <v>11</v>
      </c>
      <c r="BK297" s="55" t="s">
        <v>91</v>
      </c>
      <c r="BL297" s="55" t="s">
        <v>84</v>
      </c>
      <c r="BM297" s="55">
        <v>1</v>
      </c>
      <c r="BN297" s="55" t="s">
        <v>539</v>
      </c>
      <c r="BO297" s="55" t="s">
        <v>540</v>
      </c>
      <c r="BP297" s="55" t="s">
        <v>540</v>
      </c>
      <c r="BQ297" s="55" t="s">
        <v>117</v>
      </c>
      <c r="BR297" s="55" t="s">
        <v>134</v>
      </c>
      <c r="BS297" s="55" t="s">
        <v>312</v>
      </c>
      <c r="BT297" s="55">
        <v>0</v>
      </c>
      <c r="BU297" s="55">
        <v>2014</v>
      </c>
      <c r="BV297" s="55">
        <v>2016</v>
      </c>
      <c r="BW297" s="55" t="s">
        <v>736</v>
      </c>
      <c r="BX297" s="55" t="s">
        <v>95</v>
      </c>
      <c r="BY297" s="55" t="s">
        <v>748</v>
      </c>
      <c r="BZ297" s="55">
        <v>1</v>
      </c>
      <c r="CA297" s="55">
        <v>1</v>
      </c>
      <c r="CB297" s="55" t="s">
        <v>303</v>
      </c>
      <c r="CC297" s="55" t="s">
        <v>795</v>
      </c>
      <c r="CD297" s="55">
        <v>1</v>
      </c>
      <c r="CE297" s="55" t="s">
        <v>792</v>
      </c>
      <c r="CF297" s="55">
        <v>0</v>
      </c>
      <c r="CG297" s="55" t="s">
        <v>97</v>
      </c>
      <c r="CH297" s="55">
        <v>1</v>
      </c>
      <c r="CI297" s="55" t="s">
        <v>97</v>
      </c>
      <c r="CJ297" s="55" t="s">
        <v>98</v>
      </c>
      <c r="CK297" s="55">
        <v>33</v>
      </c>
      <c r="CL297" s="55">
        <v>0</v>
      </c>
      <c r="CM297" s="55">
        <v>0</v>
      </c>
      <c r="CN297" s="55" t="s">
        <v>124</v>
      </c>
      <c r="CO297" s="55" t="s">
        <v>943</v>
      </c>
      <c r="CP297" s="55" t="s">
        <v>100</v>
      </c>
      <c r="CQ297" s="55" t="s">
        <v>126</v>
      </c>
      <c r="CR297" s="57">
        <v>46223</v>
      </c>
      <c r="CT297" s="55" t="s">
        <v>838</v>
      </c>
    </row>
    <row r="298" spans="1:98" s="55" customFormat="1" x14ac:dyDescent="0.35">
      <c r="A298" s="54" t="s">
        <v>788</v>
      </c>
      <c r="B298" s="54" t="s">
        <v>833</v>
      </c>
      <c r="C298" s="55" t="s">
        <v>789</v>
      </c>
      <c r="D298" s="55">
        <v>2024</v>
      </c>
      <c r="E298" s="60" t="s">
        <v>790</v>
      </c>
      <c r="F298" s="54" t="s">
        <v>840</v>
      </c>
      <c r="G298" s="55" t="s">
        <v>78</v>
      </c>
      <c r="H298" s="55">
        <v>1</v>
      </c>
      <c r="I298" s="55" t="s">
        <v>290</v>
      </c>
      <c r="J298" s="55" t="s">
        <v>79</v>
      </c>
      <c r="K298" s="55">
        <v>3</v>
      </c>
      <c r="L298" s="55" t="s">
        <v>129</v>
      </c>
      <c r="M298" s="55" t="s">
        <v>380</v>
      </c>
      <c r="N298" s="55">
        <f>0.144/100</f>
        <v>1.4399999999999999E-3</v>
      </c>
      <c r="O298" s="55">
        <f>0.07/100</f>
        <v>7.000000000000001E-4</v>
      </c>
      <c r="P298" s="88">
        <f t="shared" si="108"/>
        <v>2.0571428571428565</v>
      </c>
      <c r="Q298" s="55" t="s">
        <v>312</v>
      </c>
      <c r="R298" s="88">
        <f t="shared" si="109"/>
        <v>6.7999999999999701E-5</v>
      </c>
      <c r="S298" s="88">
        <f t="shared" si="110"/>
        <v>2.8120000000000003E-3</v>
      </c>
      <c r="T298" s="55">
        <v>1</v>
      </c>
      <c r="U298" s="55">
        <v>7071</v>
      </c>
      <c r="V298" s="55">
        <v>12</v>
      </c>
      <c r="W298" s="55">
        <v>1</v>
      </c>
      <c r="X298" s="55">
        <f t="shared" si="107"/>
        <v>7059</v>
      </c>
      <c r="Y298" s="88">
        <f t="shared" si="111"/>
        <v>2.4477255514304963E-2</v>
      </c>
      <c r="Z298" s="88">
        <f t="shared" si="112"/>
        <v>1.1898665875009359E-2</v>
      </c>
      <c r="AA298" s="88">
        <f t="shared" si="122"/>
        <v>-2.4477255514304963E-2</v>
      </c>
      <c r="AB298" s="55" t="s">
        <v>81</v>
      </c>
      <c r="AC298" s="88">
        <f t="shared" si="116"/>
        <v>9.3255023183925798E-2</v>
      </c>
      <c r="AD298" s="88" cm="1">
        <f t="array" ref="AD298">_xlfn.IFS(
AND(L298="marginal_effect",M298="level"),N298*AN298/BF298,
AND(L298="marginal_effect",M298="sd (Y)"),N298*BH298*AN298/BF298,
AND(L298="marginal_effect",M298="sd (X)"),N298/AQ298*AN298/BF298,
AND(L298="semi_elasticity",M298="level"),N298*AN298,
AND(L298="semi_elasticity",M298="sd (Y)"),N298*AN298*BH298,
AND(L298="semi_elasticity",M298="sd (X)"),N298*AN298/AQ298,
AND(L298="level-log",M298="level"),N298/BF298,
AND(L298="level-log",M298="sd (X)"),N298/BF298/AQ298,
AND(L298="level-log",M298="sd (Y)"),N298/BF298*BH298,
AND(L298="elasticity",M298="level"),N298,
AND(L298="elasticity",M298="sd (X)"),N298/AQ298,
AND(L298="elasticity",M298="sd (Y)"),N298*BH298,
AND(L298="marginal_effect",M298="percent_of_mean"),N298*AN298/BF298/10)</f>
        <v>9.3255023183925798E-2</v>
      </c>
      <c r="AE298" s="56">
        <f t="shared" si="113"/>
        <v>1</v>
      </c>
      <c r="AF298" s="88">
        <f t="shared" si="117"/>
        <v>4.5332302936630604E-2</v>
      </c>
      <c r="AG298" s="88" cm="1">
        <f t="array" ref="AG298">_xlfn.IFS(
AND(L298="marginal_effect",M298="level"),O298*AN298/BF298,
AND(L298="marginal_effect",M298="sd (Y)"),O298*BH298*AN298/BF298,
AND(L298="marginal_effect",M298="sd (X)"),O298/AQ298*AN298/BF298,
AND(L298="semi_elasticity",M298="level"),O298*AN298,
AND(L298="semi_elasticity",M298="sd (Y)"),O298*AN298*BH298,
AND(L298="semi_elasticity",M298="sd (X)"),O298*AN298/AQ298,
AND(L298="level-log",M298="level"),O298/BF298,
AND(L298="level-log",M298="sd (X)"),O298/BF298/AQ298,
AND(L298="level-log",M298="sd (Y)"),O298/BF298*BH298,
AND(L298="elasticity",M298="level"),O298,
AND(L298="elasticity",M298="sd (X)"),O298/AQ298,
AND(L298="elasticity",M298="sd (Y)"),O298*BH298,
AND(L298="marginal_effect",M298="percent_of_mean"),O298*AN298/BF298/10)</f>
        <v>4.5332302936630604E-2</v>
      </c>
      <c r="AH298" s="56">
        <f t="shared" si="114"/>
        <v>1</v>
      </c>
      <c r="AI298" s="88">
        <f t="shared" si="123"/>
        <v>-9.3255023183925798E-2</v>
      </c>
      <c r="AJ298" s="55">
        <v>0</v>
      </c>
      <c r="AK298" s="55">
        <f t="shared" si="115"/>
        <v>1</v>
      </c>
      <c r="AL298" s="55" t="s">
        <v>106</v>
      </c>
      <c r="AM298" s="55" t="s">
        <v>1333</v>
      </c>
      <c r="AN298" s="55">
        <f>0.838*100</f>
        <v>83.8</v>
      </c>
      <c r="AO298" s="55">
        <v>1</v>
      </c>
      <c r="AP298" s="55">
        <f t="shared" si="121"/>
        <v>83.8</v>
      </c>
      <c r="AQ298" s="55">
        <f>0.696*100</f>
        <v>69.599999999999994</v>
      </c>
      <c r="AR298" s="55">
        <v>0</v>
      </c>
      <c r="AS298" s="55">
        <f>7.73*100</f>
        <v>773</v>
      </c>
      <c r="AT298" s="55" t="s">
        <v>83</v>
      </c>
      <c r="AU298" s="55" t="s">
        <v>109</v>
      </c>
      <c r="AV298" s="55" t="s">
        <v>133</v>
      </c>
      <c r="AW298" s="55" t="s">
        <v>109</v>
      </c>
      <c r="AX298" s="55" t="s">
        <v>86</v>
      </c>
      <c r="AY298" s="55">
        <v>0</v>
      </c>
      <c r="AZ298" s="55">
        <v>0</v>
      </c>
      <c r="BA298" s="55" t="s">
        <v>734</v>
      </c>
      <c r="BB298" s="55" t="s">
        <v>88</v>
      </c>
      <c r="BC298" s="55" t="s">
        <v>113</v>
      </c>
      <c r="BD298" s="55" t="s">
        <v>114</v>
      </c>
      <c r="BE298" s="55" t="s">
        <v>810</v>
      </c>
      <c r="BF298" s="55">
        <v>1.294</v>
      </c>
      <c r="BG298" s="55">
        <v>1</v>
      </c>
      <c r="BH298" s="55">
        <v>1.3360000000000001</v>
      </c>
      <c r="BI298" s="55">
        <v>0</v>
      </c>
      <c r="BJ298" s="55">
        <v>11</v>
      </c>
      <c r="BK298" s="55" t="s">
        <v>91</v>
      </c>
      <c r="BL298" s="55" t="s">
        <v>84</v>
      </c>
      <c r="BM298" s="55">
        <v>1</v>
      </c>
      <c r="BN298" s="55" t="s">
        <v>539</v>
      </c>
      <c r="BO298" s="55" t="s">
        <v>540</v>
      </c>
      <c r="BP298" s="55" t="s">
        <v>540</v>
      </c>
      <c r="BQ298" s="55" t="s">
        <v>117</v>
      </c>
      <c r="BR298" s="55" t="s">
        <v>134</v>
      </c>
      <c r="BS298" s="55" t="s">
        <v>312</v>
      </c>
      <c r="BT298" s="55">
        <v>0</v>
      </c>
      <c r="BU298" s="55">
        <v>2014</v>
      </c>
      <c r="BV298" s="55">
        <v>2016</v>
      </c>
      <c r="BW298" s="55" t="s">
        <v>736</v>
      </c>
      <c r="BX298" s="55" t="s">
        <v>95</v>
      </c>
      <c r="BY298" s="55" t="s">
        <v>748</v>
      </c>
      <c r="BZ298" s="55">
        <v>1</v>
      </c>
      <c r="CA298" s="55">
        <v>1</v>
      </c>
      <c r="CB298" s="55" t="s">
        <v>303</v>
      </c>
      <c r="CC298" s="55" t="s">
        <v>795</v>
      </c>
      <c r="CD298" s="55">
        <v>1</v>
      </c>
      <c r="CE298" s="55" t="s">
        <v>792</v>
      </c>
      <c r="CF298" s="55">
        <v>0</v>
      </c>
      <c r="CG298" s="55" t="s">
        <v>97</v>
      </c>
      <c r="CH298" s="55">
        <v>1</v>
      </c>
      <c r="CI298" s="55" t="s">
        <v>97</v>
      </c>
      <c r="CJ298" s="55" t="s">
        <v>98</v>
      </c>
      <c r="CK298" s="55">
        <v>33</v>
      </c>
      <c r="CL298" s="55">
        <v>0</v>
      </c>
      <c r="CM298" s="55">
        <v>0</v>
      </c>
      <c r="CN298" s="55" t="s">
        <v>124</v>
      </c>
      <c r="CO298" s="55" t="s">
        <v>943</v>
      </c>
      <c r="CP298" s="55" t="s">
        <v>100</v>
      </c>
      <c r="CQ298" s="55" t="s">
        <v>126</v>
      </c>
      <c r="CR298" s="57">
        <v>46223</v>
      </c>
      <c r="CT298" s="55" t="s">
        <v>839</v>
      </c>
    </row>
    <row r="299" spans="1:98" s="55" customFormat="1" x14ac:dyDescent="0.35">
      <c r="A299" s="54" t="s">
        <v>788</v>
      </c>
      <c r="B299" s="54" t="s">
        <v>845</v>
      </c>
      <c r="C299" s="55" t="s">
        <v>789</v>
      </c>
      <c r="D299" s="55">
        <v>2024</v>
      </c>
      <c r="E299" s="60" t="s">
        <v>790</v>
      </c>
      <c r="F299" s="54" t="s">
        <v>840</v>
      </c>
      <c r="G299" s="55" t="s">
        <v>78</v>
      </c>
      <c r="H299" s="55">
        <v>1</v>
      </c>
      <c r="I299" s="55" t="s">
        <v>290</v>
      </c>
      <c r="J299" s="55" t="s">
        <v>79</v>
      </c>
      <c r="K299" s="55">
        <v>3</v>
      </c>
      <c r="L299" s="55" t="s">
        <v>129</v>
      </c>
      <c r="M299" s="55" t="s">
        <v>380</v>
      </c>
      <c r="N299" s="55">
        <f>0.038/100</f>
        <v>3.7999999999999997E-4</v>
      </c>
      <c r="O299" s="55">
        <f>0.027/100</f>
        <v>2.7E-4</v>
      </c>
      <c r="P299" s="88">
        <f t="shared" si="108"/>
        <v>1.4074074074074072</v>
      </c>
      <c r="Q299" s="55" t="s">
        <v>312</v>
      </c>
      <c r="R299" s="88">
        <f t="shared" si="109"/>
        <v>-1.4919999999999999E-4</v>
      </c>
      <c r="S299" s="88">
        <f t="shared" si="110"/>
        <v>9.0919999999999998E-4</v>
      </c>
      <c r="T299" s="55">
        <v>1</v>
      </c>
      <c r="U299" s="55">
        <v>7477</v>
      </c>
      <c r="V299" s="55">
        <v>12</v>
      </c>
      <c r="W299" s="55">
        <v>1</v>
      </c>
      <c r="X299" s="55">
        <f t="shared" si="107"/>
        <v>7465</v>
      </c>
      <c r="Y299" s="88">
        <f t="shared" si="111"/>
        <v>1.6287233224138244E-2</v>
      </c>
      <c r="Z299" s="88">
        <f t="shared" si="112"/>
        <v>1.157250781715086E-2</v>
      </c>
      <c r="AA299" s="88">
        <f t="shared" ref="AA299:AA330" si="124">Y299</f>
        <v>1.6287233224138244E-2</v>
      </c>
      <c r="AB299" s="55" t="s">
        <v>81</v>
      </c>
      <c r="AC299" s="88">
        <f t="shared" si="116"/>
        <v>3.2211407876867361E-3</v>
      </c>
      <c r="AD299" s="88" cm="1">
        <f t="array" ref="AD299">_xlfn.IFS(
AND(L299="marginal_effect",M299="level"),N299*AN299/BF299,
AND(L299="marginal_effect",M299="sd (Y)"),N299*BH299*AN299/BF299,
AND(L299="marginal_effect",M299="sd (X)"),N299/AQ299*AN299/BF299,
AND(L299="semi_elasticity",M299="level"),N299*AN299,
AND(L299="semi_elasticity",M299="sd (Y)"),N299*AN299*BH299,
AND(L299="semi_elasticity",M299="sd (X)"),N299*AN299/AQ299,
AND(L299="level-log",M299="level"),N299/BF299,
AND(L299="level-log",M299="sd (X)"),N299/BF299/AQ299,
AND(L299="level-log",M299="sd (Y)"),N299/BF299*BH299,
AND(L299="elasticity",M299="level"),N299,
AND(L299="elasticity",M299="sd (X)"),N299/AQ299,
AND(L299="elasticity",M299="sd (Y)"),N299*BH299,
AND(L299="marginal_effect",M299="percent_of_mean"),N299*AN299/BF299/10)</f>
        <v>3.2211407876867361E-3</v>
      </c>
      <c r="AE299" s="56">
        <f t="shared" si="113"/>
        <v>1</v>
      </c>
      <c r="AF299" s="88">
        <f t="shared" si="117"/>
        <v>2.28870529651426E-3</v>
      </c>
      <c r="AG299" s="88" cm="1">
        <f t="array" ref="AG299">_xlfn.IFS(
AND(L299="marginal_effect",M299="level"),O299*AN299/BF299,
AND(L299="marginal_effect",M299="sd (Y)"),O299*BH299*AN299/BF299,
AND(L299="marginal_effect",M299="sd (X)"),O299/AQ299*AN299/BF299,
AND(L299="semi_elasticity",M299="level"),O299*AN299,
AND(L299="semi_elasticity",M299="sd (Y)"),O299*AN299*BH299,
AND(L299="semi_elasticity",M299="sd (X)"),O299*AN299/AQ299,
AND(L299="level-log",M299="level"),O299/BF299,
AND(L299="level-log",M299="sd (X)"),O299/BF299/AQ299,
AND(L299="level-log",M299="sd (Y)"),O299/BF299*BH299,
AND(L299="elasticity",M299="level"),O299,
AND(L299="elasticity",M299="sd (X)"),O299/AQ299,
AND(L299="elasticity",M299="sd (Y)"),O299*BH299,
AND(L299="marginal_effect",M299="percent_of_mean"),O299*AN299/BF299/10)</f>
        <v>2.28870529651426E-3</v>
      </c>
      <c r="AH299" s="56">
        <f t="shared" si="114"/>
        <v>1</v>
      </c>
      <c r="AI299" s="88">
        <f t="shared" ref="AI299:AI330" si="125">AC299</f>
        <v>3.2211407876867361E-3</v>
      </c>
      <c r="AJ299" s="55">
        <v>0</v>
      </c>
      <c r="AK299" s="55">
        <f t="shared" si="115"/>
        <v>1</v>
      </c>
      <c r="AL299" s="55" t="s">
        <v>735</v>
      </c>
      <c r="AM299" s="55" t="s">
        <v>737</v>
      </c>
      <c r="AN299" s="55">
        <f>0.749*100</f>
        <v>74.900000000000006</v>
      </c>
      <c r="AO299" s="55">
        <v>1</v>
      </c>
      <c r="AP299" s="55">
        <f t="shared" si="121"/>
        <v>74.900000000000006</v>
      </c>
      <c r="AQ299" s="55">
        <f>0.509*100</f>
        <v>50.9</v>
      </c>
      <c r="AR299" s="55">
        <f>0.15*100</f>
        <v>15</v>
      </c>
      <c r="AS299" s="55">
        <f>5*100</f>
        <v>500</v>
      </c>
      <c r="AT299" s="55" t="s">
        <v>83</v>
      </c>
      <c r="AU299" s="55" t="s">
        <v>109</v>
      </c>
      <c r="AV299" s="55" t="s">
        <v>133</v>
      </c>
      <c r="AW299" s="55" t="s">
        <v>109</v>
      </c>
      <c r="AX299" s="55" t="s">
        <v>86</v>
      </c>
      <c r="AY299" s="55">
        <v>0</v>
      </c>
      <c r="AZ299" s="55">
        <v>0</v>
      </c>
      <c r="BA299" s="55" t="s">
        <v>734</v>
      </c>
      <c r="BB299" s="55" t="s">
        <v>88</v>
      </c>
      <c r="BC299" s="55" t="s">
        <v>89</v>
      </c>
      <c r="BD299" s="55" t="s">
        <v>114</v>
      </c>
      <c r="BE299" s="55" t="s">
        <v>816</v>
      </c>
      <c r="BF299" s="55">
        <v>8.8360000000000003</v>
      </c>
      <c r="BG299" s="55">
        <v>1</v>
      </c>
      <c r="BH299" s="55">
        <v>0.73599999999999999</v>
      </c>
      <c r="BI299" s="55">
        <v>2.8330000000000002</v>
      </c>
      <c r="BJ299" s="55">
        <v>9.4920000000000009</v>
      </c>
      <c r="BK299" s="55" t="s">
        <v>91</v>
      </c>
      <c r="BL299" s="55" t="s">
        <v>84</v>
      </c>
      <c r="BM299" s="55">
        <v>1</v>
      </c>
      <c r="BN299" s="55" t="s">
        <v>539</v>
      </c>
      <c r="BO299" s="55" t="s">
        <v>540</v>
      </c>
      <c r="BP299" s="55" t="s">
        <v>540</v>
      </c>
      <c r="BQ299" s="55" t="s">
        <v>117</v>
      </c>
      <c r="BR299" s="55" t="s">
        <v>134</v>
      </c>
      <c r="BS299" s="55" t="s">
        <v>312</v>
      </c>
      <c r="BT299" s="55">
        <v>0</v>
      </c>
      <c r="BU299" s="55">
        <v>2014</v>
      </c>
      <c r="BV299" s="55">
        <v>2016</v>
      </c>
      <c r="BW299" s="55" t="s">
        <v>736</v>
      </c>
      <c r="BX299" s="55" t="s">
        <v>95</v>
      </c>
      <c r="BY299" s="55" t="s">
        <v>748</v>
      </c>
      <c r="BZ299" s="55">
        <v>1</v>
      </c>
      <c r="CA299" s="55">
        <v>1</v>
      </c>
      <c r="CB299" s="55" t="s">
        <v>303</v>
      </c>
      <c r="CC299" s="55" t="s">
        <v>795</v>
      </c>
      <c r="CD299" s="55">
        <v>1</v>
      </c>
      <c r="CE299" s="55" t="s">
        <v>792</v>
      </c>
      <c r="CF299" s="55">
        <v>0</v>
      </c>
      <c r="CG299" s="55" t="s">
        <v>97</v>
      </c>
      <c r="CH299" s="55">
        <v>1</v>
      </c>
      <c r="CI299" s="55" t="s">
        <v>97</v>
      </c>
      <c r="CJ299" s="55" t="s">
        <v>98</v>
      </c>
      <c r="CK299" s="55">
        <v>33</v>
      </c>
      <c r="CL299" s="55">
        <v>0</v>
      </c>
      <c r="CM299" s="55">
        <v>0</v>
      </c>
      <c r="CN299" s="55" t="s">
        <v>124</v>
      </c>
      <c r="CO299" s="55" t="s">
        <v>943</v>
      </c>
      <c r="CP299" s="55" t="s">
        <v>100</v>
      </c>
      <c r="CQ299" s="55" t="s">
        <v>126</v>
      </c>
      <c r="CR299" s="57">
        <v>46223</v>
      </c>
      <c r="CT299" s="55" t="s">
        <v>851</v>
      </c>
    </row>
    <row r="300" spans="1:98" s="55" customFormat="1" x14ac:dyDescent="0.35">
      <c r="A300" s="54" t="s">
        <v>788</v>
      </c>
      <c r="B300" s="54" t="s">
        <v>846</v>
      </c>
      <c r="C300" s="55" t="s">
        <v>789</v>
      </c>
      <c r="D300" s="55">
        <v>2024</v>
      </c>
      <c r="E300" s="60" t="s">
        <v>790</v>
      </c>
      <c r="F300" s="54" t="s">
        <v>840</v>
      </c>
      <c r="G300" s="55" t="s">
        <v>78</v>
      </c>
      <c r="H300" s="55">
        <v>1</v>
      </c>
      <c r="I300" s="55" t="s">
        <v>290</v>
      </c>
      <c r="J300" s="55" t="s">
        <v>79</v>
      </c>
      <c r="K300" s="55">
        <v>3</v>
      </c>
      <c r="L300" s="55" t="s">
        <v>129</v>
      </c>
      <c r="M300" s="55" t="s">
        <v>380</v>
      </c>
      <c r="N300" s="55">
        <f>-0.016/100</f>
        <v>-1.6000000000000001E-4</v>
      </c>
      <c r="O300" s="55">
        <f>0.02/100</f>
        <v>2.0000000000000001E-4</v>
      </c>
      <c r="P300" s="88">
        <f t="shared" si="108"/>
        <v>-0.8</v>
      </c>
      <c r="Q300" s="55" t="s">
        <v>312</v>
      </c>
      <c r="R300" s="88">
        <f t="shared" si="109"/>
        <v>-5.5199999999999997E-4</v>
      </c>
      <c r="S300" s="88">
        <f t="shared" si="110"/>
        <v>2.3199999999999997E-4</v>
      </c>
      <c r="T300" s="55">
        <v>1</v>
      </c>
      <c r="U300" s="55">
        <v>7487</v>
      </c>
      <c r="V300" s="55">
        <v>12</v>
      </c>
      <c r="W300" s="55">
        <v>1</v>
      </c>
      <c r="X300" s="55">
        <f t="shared" si="107"/>
        <v>7475</v>
      </c>
      <c r="Y300" s="88">
        <f t="shared" si="111"/>
        <v>-9.2526428201783455E-3</v>
      </c>
      <c r="Z300" s="88">
        <f t="shared" si="112"/>
        <v>1.1565803525222931E-2</v>
      </c>
      <c r="AA300" s="88">
        <f t="shared" si="124"/>
        <v>-9.2526428201783455E-3</v>
      </c>
      <c r="AB300" s="55" t="s">
        <v>81</v>
      </c>
      <c r="AC300" s="88">
        <f t="shared" si="116"/>
        <v>-1.3562698053417837E-3</v>
      </c>
      <c r="AD300" s="88" cm="1">
        <f t="array" ref="AD300">_xlfn.IFS(
AND(L300="marginal_effect",M300="level"),N300*AN300/BF300,
AND(L300="marginal_effect",M300="sd (Y)"),N300*BH300*AN300/BF300,
AND(L300="marginal_effect",M300="sd (X)"),N300/AQ300*AN300/BF300,
AND(L300="semi_elasticity",M300="level"),N300*AN300,
AND(L300="semi_elasticity",M300="sd (Y)"),N300*AN300*BH300,
AND(L300="semi_elasticity",M300="sd (X)"),N300*AN300/AQ300,
AND(L300="level-log",M300="level"),N300/BF300,
AND(L300="level-log",M300="sd (X)"),N300/BF300/AQ300,
AND(L300="level-log",M300="sd (Y)"),N300/BF300*BH300,
AND(L300="elasticity",M300="level"),N300,
AND(L300="elasticity",M300="sd (X)"),N300/AQ300,
AND(L300="elasticity",M300="sd (Y)"),N300*BH300,
AND(L300="marginal_effect",M300="percent_of_mean"),N300*AN300/BF300/10)</f>
        <v>-1.3562698053417837E-3</v>
      </c>
      <c r="AE300" s="56">
        <f t="shared" si="113"/>
        <v>1</v>
      </c>
      <c r="AF300" s="88">
        <f t="shared" si="117"/>
        <v>1.6953372566772297E-3</v>
      </c>
      <c r="AG300" s="88" cm="1">
        <f t="array" ref="AG300">_xlfn.IFS(
AND(L300="marginal_effect",M300="level"),O300*AN300/BF300,
AND(L300="marginal_effect",M300="sd (Y)"),O300*BH300*AN300/BF300,
AND(L300="marginal_effect",M300="sd (X)"),O300/AQ300*AN300/BF300,
AND(L300="semi_elasticity",M300="level"),O300*AN300,
AND(L300="semi_elasticity",M300="sd (Y)"),O300*AN300*BH300,
AND(L300="semi_elasticity",M300="sd (X)"),O300*AN300/AQ300,
AND(L300="level-log",M300="level"),O300/BF300,
AND(L300="level-log",M300="sd (X)"),O300/BF300/AQ300,
AND(L300="level-log",M300="sd (Y)"),O300/BF300*BH300,
AND(L300="elasticity",M300="level"),O300,
AND(L300="elasticity",M300="sd (X)"),O300/AQ300,
AND(L300="elasticity",M300="sd (Y)"),O300*BH300,
AND(L300="marginal_effect",M300="percent_of_mean"),O300*AN300/BF300/10)</f>
        <v>1.6953372566772297E-3</v>
      </c>
      <c r="AH300" s="56">
        <f t="shared" si="114"/>
        <v>1</v>
      </c>
      <c r="AI300" s="88">
        <f t="shared" si="125"/>
        <v>-1.3562698053417837E-3</v>
      </c>
      <c r="AJ300" s="55">
        <v>0</v>
      </c>
      <c r="AK300" s="55">
        <f t="shared" si="115"/>
        <v>1</v>
      </c>
      <c r="AL300" s="55" t="s">
        <v>735</v>
      </c>
      <c r="AM300" s="55" t="s">
        <v>737</v>
      </c>
      <c r="AN300" s="55">
        <f>0.749*100</f>
        <v>74.900000000000006</v>
      </c>
      <c r="AO300" s="55">
        <v>1</v>
      </c>
      <c r="AP300" s="55">
        <f t="shared" si="121"/>
        <v>74.900000000000006</v>
      </c>
      <c r="AQ300" s="55">
        <f>0.509*100</f>
        <v>50.9</v>
      </c>
      <c r="AR300" s="55">
        <f>0.15*100</f>
        <v>15</v>
      </c>
      <c r="AS300" s="55">
        <f>5*100</f>
        <v>500</v>
      </c>
      <c r="AT300" s="55" t="s">
        <v>83</v>
      </c>
      <c r="AU300" s="55" t="s">
        <v>109</v>
      </c>
      <c r="AV300" s="55" t="s">
        <v>133</v>
      </c>
      <c r="AW300" s="55" t="s">
        <v>109</v>
      </c>
      <c r="AX300" s="55" t="s">
        <v>86</v>
      </c>
      <c r="AY300" s="55">
        <v>0</v>
      </c>
      <c r="AZ300" s="55">
        <v>0</v>
      </c>
      <c r="BA300" s="55" t="s">
        <v>734</v>
      </c>
      <c r="BB300" s="55" t="s">
        <v>88</v>
      </c>
      <c r="BC300" s="55" t="s">
        <v>89</v>
      </c>
      <c r="BD300" s="55" t="s">
        <v>114</v>
      </c>
      <c r="BE300" s="55" t="s">
        <v>816</v>
      </c>
      <c r="BF300" s="55">
        <v>8.8360000000000003</v>
      </c>
      <c r="BG300" s="55">
        <v>1</v>
      </c>
      <c r="BH300" s="55">
        <v>0.73599999999999999</v>
      </c>
      <c r="BI300" s="55">
        <v>2.8330000000000002</v>
      </c>
      <c r="BJ300" s="55">
        <v>9.4920000000000009</v>
      </c>
      <c r="BK300" s="55" t="s">
        <v>91</v>
      </c>
      <c r="BL300" s="55" t="s">
        <v>84</v>
      </c>
      <c r="BM300" s="55">
        <v>1</v>
      </c>
      <c r="BN300" s="55" t="s">
        <v>539</v>
      </c>
      <c r="BO300" s="55" t="s">
        <v>540</v>
      </c>
      <c r="BP300" s="55" t="s">
        <v>540</v>
      </c>
      <c r="BQ300" s="55" t="s">
        <v>117</v>
      </c>
      <c r="BR300" s="55" t="s">
        <v>134</v>
      </c>
      <c r="BS300" s="55" t="s">
        <v>312</v>
      </c>
      <c r="BT300" s="55">
        <v>0</v>
      </c>
      <c r="BU300" s="55">
        <v>2014</v>
      </c>
      <c r="BV300" s="55">
        <v>2016</v>
      </c>
      <c r="BW300" s="55" t="s">
        <v>736</v>
      </c>
      <c r="BX300" s="55" t="s">
        <v>95</v>
      </c>
      <c r="BY300" s="55" t="s">
        <v>748</v>
      </c>
      <c r="BZ300" s="55">
        <v>1</v>
      </c>
      <c r="CA300" s="55">
        <v>1</v>
      </c>
      <c r="CB300" s="55" t="s">
        <v>303</v>
      </c>
      <c r="CC300" s="55" t="s">
        <v>795</v>
      </c>
      <c r="CD300" s="55">
        <v>1</v>
      </c>
      <c r="CE300" s="55" t="s">
        <v>792</v>
      </c>
      <c r="CF300" s="55">
        <v>0</v>
      </c>
      <c r="CG300" s="55" t="s">
        <v>97</v>
      </c>
      <c r="CH300" s="55">
        <v>1</v>
      </c>
      <c r="CI300" s="55" t="s">
        <v>97</v>
      </c>
      <c r="CJ300" s="55" t="s">
        <v>98</v>
      </c>
      <c r="CK300" s="55">
        <v>33</v>
      </c>
      <c r="CL300" s="55">
        <v>0</v>
      </c>
      <c r="CM300" s="55">
        <v>0</v>
      </c>
      <c r="CN300" s="55" t="s">
        <v>124</v>
      </c>
      <c r="CO300" s="55" t="s">
        <v>943</v>
      </c>
      <c r="CP300" s="55" t="s">
        <v>100</v>
      </c>
      <c r="CQ300" s="55" t="s">
        <v>126</v>
      </c>
      <c r="CR300" s="57">
        <v>46223</v>
      </c>
      <c r="CT300" s="55" t="s">
        <v>852</v>
      </c>
    </row>
    <row r="301" spans="1:98" s="55" customFormat="1" x14ac:dyDescent="0.35">
      <c r="A301" s="54" t="s">
        <v>788</v>
      </c>
      <c r="B301" s="54" t="s">
        <v>847</v>
      </c>
      <c r="C301" s="55" t="s">
        <v>789</v>
      </c>
      <c r="D301" s="55">
        <v>2024</v>
      </c>
      <c r="E301" s="60" t="s">
        <v>790</v>
      </c>
      <c r="F301" s="54" t="s">
        <v>840</v>
      </c>
      <c r="G301" s="55" t="s">
        <v>78</v>
      </c>
      <c r="H301" s="55">
        <v>1</v>
      </c>
      <c r="I301" s="55" t="s">
        <v>290</v>
      </c>
      <c r="J301" s="55" t="s">
        <v>79</v>
      </c>
      <c r="K301" s="55">
        <v>3</v>
      </c>
      <c r="L301" s="55" t="s">
        <v>129</v>
      </c>
      <c r="M301" s="55" t="s">
        <v>380</v>
      </c>
      <c r="N301" s="55">
        <f>0.049/100</f>
        <v>4.8999999999999998E-4</v>
      </c>
      <c r="O301" s="55">
        <f>0.035/100</f>
        <v>3.5000000000000005E-4</v>
      </c>
      <c r="P301" s="88">
        <f t="shared" si="108"/>
        <v>1.3999999999999997</v>
      </c>
      <c r="Q301" s="55" t="s">
        <v>312</v>
      </c>
      <c r="R301" s="88">
        <f t="shared" si="109"/>
        <v>-1.960000000000001E-4</v>
      </c>
      <c r="S301" s="88">
        <f t="shared" si="110"/>
        <v>1.176E-3</v>
      </c>
      <c r="T301" s="55">
        <v>1</v>
      </c>
      <c r="U301" s="55">
        <v>7451</v>
      </c>
      <c r="V301" s="55">
        <v>12</v>
      </c>
      <c r="W301" s="55">
        <v>1</v>
      </c>
      <c r="X301" s="55">
        <f t="shared" si="107"/>
        <v>7439</v>
      </c>
      <c r="Y301" s="88">
        <f t="shared" si="111"/>
        <v>1.622981430058705E-2</v>
      </c>
      <c r="Z301" s="88">
        <f t="shared" si="112"/>
        <v>1.1592724500419324E-2</v>
      </c>
      <c r="AA301" s="88">
        <f t="shared" si="124"/>
        <v>1.622981430058705E-2</v>
      </c>
      <c r="AB301" s="55" t="s">
        <v>81</v>
      </c>
      <c r="AC301" s="88">
        <f t="shared" si="116"/>
        <v>2.5897464916251698E-3</v>
      </c>
      <c r="AD301" s="88" cm="1">
        <f t="array" ref="AD301">_xlfn.IFS(
AND(L301="marginal_effect",M301="level"),N301*AN301/BF301,
AND(L301="marginal_effect",M301="sd (Y)"),N301*BH301*AN301/BF301,
AND(L301="marginal_effect",M301="sd (X)"),N301/AQ301*AN301/BF301,
AND(L301="semi_elasticity",M301="level"),N301*AN301,
AND(L301="semi_elasticity",M301="sd (Y)"),N301*AN301*BH301,
AND(L301="semi_elasticity",M301="sd (X)"),N301*AN301/AQ301,
AND(L301="level-log",M301="level"),N301/BF301,
AND(L301="level-log",M301="sd (X)"),N301/BF301/AQ301,
AND(L301="level-log",M301="sd (Y)"),N301/BF301*BH301,
AND(L301="elasticity",M301="level"),N301,
AND(L301="elasticity",M301="sd (X)"),N301/AQ301,
AND(L301="elasticity",M301="sd (Y)"),N301*BH301,
AND(L301="marginal_effect",M301="percent_of_mean"),N301*AN301/BF301/10)</f>
        <v>2.5897464916251698E-3</v>
      </c>
      <c r="AE301" s="56">
        <f t="shared" si="113"/>
        <v>1</v>
      </c>
      <c r="AF301" s="88">
        <f t="shared" si="117"/>
        <v>1.849818922589407E-3</v>
      </c>
      <c r="AG301" s="88" cm="1">
        <f t="array" ref="AG301">_xlfn.IFS(
AND(L301="marginal_effect",M301="level"),O301*AN301/BF301,
AND(L301="marginal_effect",M301="sd (Y)"),O301*BH301*AN301/BF301,
AND(L301="marginal_effect",M301="sd (X)"),O301/AQ301*AN301/BF301,
AND(L301="semi_elasticity",M301="level"),O301*AN301,
AND(L301="semi_elasticity",M301="sd (Y)"),O301*AN301*BH301,
AND(L301="semi_elasticity",M301="sd (X)"),O301*AN301/AQ301,
AND(L301="level-log",M301="level"),O301/BF301,
AND(L301="level-log",M301="sd (X)"),O301/BF301/AQ301,
AND(L301="level-log",M301="sd (Y)"),O301/BF301*BH301,
AND(L301="elasticity",M301="level"),O301,
AND(L301="elasticity",M301="sd (X)"),O301/AQ301,
AND(L301="elasticity",M301="sd (Y)"),O301*BH301,
AND(L301="marginal_effect",M301="percent_of_mean"),O301*AN301/BF301/10)</f>
        <v>1.849818922589407E-3</v>
      </c>
      <c r="AH301" s="56">
        <f t="shared" si="114"/>
        <v>1</v>
      </c>
      <c r="AI301" s="88">
        <f t="shared" si="125"/>
        <v>2.5897464916251698E-3</v>
      </c>
      <c r="AJ301" s="55">
        <v>0</v>
      </c>
      <c r="AK301" s="55">
        <f t="shared" si="115"/>
        <v>1</v>
      </c>
      <c r="AL301" s="55" t="s">
        <v>82</v>
      </c>
      <c r="AM301" s="55" t="s">
        <v>1333</v>
      </c>
      <c r="AN301" s="55">
        <f>0.467*100</f>
        <v>46.7</v>
      </c>
      <c r="AO301" s="55">
        <v>1</v>
      </c>
      <c r="AP301" s="55">
        <f t="shared" si="121"/>
        <v>46.7</v>
      </c>
      <c r="AQ301" s="55">
        <f>0.398*100</f>
        <v>39.800000000000004</v>
      </c>
      <c r="AR301" s="55">
        <f>0.01*100</f>
        <v>1</v>
      </c>
      <c r="AS301" s="55">
        <f>3.67*100</f>
        <v>367</v>
      </c>
      <c r="AT301" s="55" t="s">
        <v>83</v>
      </c>
      <c r="AU301" s="55" t="s">
        <v>109</v>
      </c>
      <c r="AV301" s="55" t="s">
        <v>133</v>
      </c>
      <c r="AW301" s="55" t="s">
        <v>109</v>
      </c>
      <c r="AX301" s="55" t="s">
        <v>86</v>
      </c>
      <c r="AY301" s="55">
        <v>0</v>
      </c>
      <c r="AZ301" s="55">
        <v>0</v>
      </c>
      <c r="BA301" s="55" t="s">
        <v>734</v>
      </c>
      <c r="BB301" s="55" t="s">
        <v>88</v>
      </c>
      <c r="BC301" s="55" t="s">
        <v>89</v>
      </c>
      <c r="BD301" s="55" t="s">
        <v>114</v>
      </c>
      <c r="BE301" s="55" t="s">
        <v>816</v>
      </c>
      <c r="BF301" s="55">
        <v>8.8360000000000003</v>
      </c>
      <c r="BG301" s="55">
        <v>1</v>
      </c>
      <c r="BH301" s="55">
        <v>0.73599999999999999</v>
      </c>
      <c r="BI301" s="55">
        <v>2.8330000000000002</v>
      </c>
      <c r="BJ301" s="55">
        <v>9.4920000000000009</v>
      </c>
      <c r="BK301" s="55" t="s">
        <v>91</v>
      </c>
      <c r="BL301" s="55" t="s">
        <v>84</v>
      </c>
      <c r="BM301" s="55">
        <v>1</v>
      </c>
      <c r="BN301" s="55" t="s">
        <v>539</v>
      </c>
      <c r="BO301" s="55" t="s">
        <v>540</v>
      </c>
      <c r="BP301" s="55" t="s">
        <v>540</v>
      </c>
      <c r="BQ301" s="55" t="s">
        <v>117</v>
      </c>
      <c r="BR301" s="55" t="s">
        <v>134</v>
      </c>
      <c r="BS301" s="55" t="s">
        <v>312</v>
      </c>
      <c r="BT301" s="55">
        <v>0</v>
      </c>
      <c r="BU301" s="55">
        <v>2014</v>
      </c>
      <c r="BV301" s="55">
        <v>2016</v>
      </c>
      <c r="BW301" s="55" t="s">
        <v>736</v>
      </c>
      <c r="BX301" s="55" t="s">
        <v>95</v>
      </c>
      <c r="BY301" s="55" t="s">
        <v>748</v>
      </c>
      <c r="BZ301" s="55">
        <v>1</v>
      </c>
      <c r="CA301" s="55">
        <v>1</v>
      </c>
      <c r="CB301" s="55" t="s">
        <v>303</v>
      </c>
      <c r="CC301" s="55" t="s">
        <v>794</v>
      </c>
      <c r="CD301" s="55">
        <v>1</v>
      </c>
      <c r="CE301" s="55" t="s">
        <v>792</v>
      </c>
      <c r="CF301" s="55">
        <v>0</v>
      </c>
      <c r="CG301" s="55" t="s">
        <v>97</v>
      </c>
      <c r="CH301" s="55">
        <v>1</v>
      </c>
      <c r="CI301" s="55" t="s">
        <v>97</v>
      </c>
      <c r="CJ301" s="55" t="s">
        <v>98</v>
      </c>
      <c r="CK301" s="55">
        <v>33</v>
      </c>
      <c r="CL301" s="55">
        <v>0</v>
      </c>
      <c r="CM301" s="55">
        <v>0</v>
      </c>
      <c r="CN301" s="55" t="s">
        <v>124</v>
      </c>
      <c r="CO301" s="55" t="s">
        <v>943</v>
      </c>
      <c r="CP301" s="55" t="s">
        <v>100</v>
      </c>
      <c r="CQ301" s="55" t="s">
        <v>126</v>
      </c>
      <c r="CR301" s="57">
        <v>46223</v>
      </c>
      <c r="CT301" s="55" t="s">
        <v>853</v>
      </c>
    </row>
    <row r="302" spans="1:98" s="55" customFormat="1" x14ac:dyDescent="0.35">
      <c r="A302" s="54" t="s">
        <v>788</v>
      </c>
      <c r="B302" s="54" t="s">
        <v>848</v>
      </c>
      <c r="C302" s="55" t="s">
        <v>789</v>
      </c>
      <c r="D302" s="55">
        <v>2024</v>
      </c>
      <c r="E302" s="60" t="s">
        <v>790</v>
      </c>
      <c r="F302" s="54" t="s">
        <v>840</v>
      </c>
      <c r="G302" s="55" t="s">
        <v>78</v>
      </c>
      <c r="H302" s="55">
        <v>1</v>
      </c>
      <c r="I302" s="55" t="s">
        <v>290</v>
      </c>
      <c r="J302" s="55" t="s">
        <v>79</v>
      </c>
      <c r="K302" s="55">
        <v>3</v>
      </c>
      <c r="L302" s="55" t="s">
        <v>129</v>
      </c>
      <c r="M302" s="55" t="s">
        <v>380</v>
      </c>
      <c r="N302" s="55">
        <f>-0.024/100</f>
        <v>-2.4000000000000001E-4</v>
      </c>
      <c r="O302" s="55">
        <f>0.029/100</f>
        <v>2.9E-4</v>
      </c>
      <c r="P302" s="88">
        <f t="shared" si="108"/>
        <v>-0.82758620689655171</v>
      </c>
      <c r="Q302" s="55" t="s">
        <v>312</v>
      </c>
      <c r="R302" s="88">
        <f t="shared" si="109"/>
        <v>-8.0840000000000003E-4</v>
      </c>
      <c r="S302" s="88">
        <f t="shared" si="110"/>
        <v>3.2840000000000007E-4</v>
      </c>
      <c r="T302" s="55">
        <v>1</v>
      </c>
      <c r="U302" s="55">
        <v>7461</v>
      </c>
      <c r="V302" s="55">
        <v>12</v>
      </c>
      <c r="W302" s="55">
        <v>1</v>
      </c>
      <c r="X302" s="55">
        <f t="shared" si="107"/>
        <v>7449</v>
      </c>
      <c r="Y302" s="88">
        <f t="shared" si="111"/>
        <v>-9.5883591277079773E-3</v>
      </c>
      <c r="Z302" s="88">
        <f t="shared" si="112"/>
        <v>1.1585933945980472E-2</v>
      </c>
      <c r="AA302" s="88">
        <f t="shared" si="124"/>
        <v>-9.5883591277079773E-3</v>
      </c>
      <c r="AB302" s="55" t="s">
        <v>81</v>
      </c>
      <c r="AC302" s="88">
        <f t="shared" si="116"/>
        <v>-1.2684472612041649E-3</v>
      </c>
      <c r="AD302" s="88" cm="1">
        <f t="array" ref="AD302">_xlfn.IFS(
AND(L302="marginal_effect",M302="level"),N302*AN302/BF302,
AND(L302="marginal_effect",M302="sd (Y)"),N302*BH302*AN302/BF302,
AND(L302="marginal_effect",M302="sd (X)"),N302/AQ302*AN302/BF302,
AND(L302="semi_elasticity",M302="level"),N302*AN302,
AND(L302="semi_elasticity",M302="sd (Y)"),N302*AN302*BH302,
AND(L302="semi_elasticity",M302="sd (X)"),N302*AN302/AQ302,
AND(L302="level-log",M302="level"),N302/BF302,
AND(L302="level-log",M302="sd (X)"),N302/BF302/AQ302,
AND(L302="level-log",M302="sd (Y)"),N302/BF302*BH302,
AND(L302="elasticity",M302="level"),N302,
AND(L302="elasticity",M302="sd (X)"),N302/AQ302,
AND(L302="elasticity",M302="sd (Y)"),N302*BH302,
AND(L302="marginal_effect",M302="percent_of_mean"),N302*AN302/BF302/10)</f>
        <v>-1.2684472612041649E-3</v>
      </c>
      <c r="AE302" s="56">
        <f t="shared" si="113"/>
        <v>1</v>
      </c>
      <c r="AF302" s="88">
        <f t="shared" si="117"/>
        <v>1.5327071072883658E-3</v>
      </c>
      <c r="AG302" s="88" cm="1">
        <f t="array" ref="AG302">_xlfn.IFS(
AND(L302="marginal_effect",M302="level"),O302*AN302/BF302,
AND(L302="marginal_effect",M302="sd (Y)"),O302*BH302*AN302/BF302,
AND(L302="marginal_effect",M302="sd (X)"),O302/AQ302*AN302/BF302,
AND(L302="semi_elasticity",M302="level"),O302*AN302,
AND(L302="semi_elasticity",M302="sd (Y)"),O302*AN302*BH302,
AND(L302="semi_elasticity",M302="sd (X)"),O302*AN302/AQ302,
AND(L302="level-log",M302="level"),O302/BF302,
AND(L302="level-log",M302="sd (X)"),O302/BF302/AQ302,
AND(L302="level-log",M302="sd (Y)"),O302/BF302*BH302,
AND(L302="elasticity",M302="level"),O302,
AND(L302="elasticity",M302="sd (X)"),O302/AQ302,
AND(L302="elasticity",M302="sd (Y)"),O302*BH302,
AND(L302="marginal_effect",M302="percent_of_mean"),O302*AN302/BF302/10)</f>
        <v>1.5327071072883658E-3</v>
      </c>
      <c r="AH302" s="56">
        <f t="shared" si="114"/>
        <v>1</v>
      </c>
      <c r="AI302" s="88">
        <f t="shared" si="125"/>
        <v>-1.2684472612041649E-3</v>
      </c>
      <c r="AJ302" s="55">
        <v>0</v>
      </c>
      <c r="AK302" s="55">
        <f t="shared" si="115"/>
        <v>1</v>
      </c>
      <c r="AL302" s="55" t="s">
        <v>82</v>
      </c>
      <c r="AM302" s="55" t="s">
        <v>1333</v>
      </c>
      <c r="AN302" s="55">
        <f>0.467*100</f>
        <v>46.7</v>
      </c>
      <c r="AO302" s="55">
        <v>1</v>
      </c>
      <c r="AP302" s="55">
        <f t="shared" si="121"/>
        <v>46.7</v>
      </c>
      <c r="AQ302" s="55">
        <f>0.398*100</f>
        <v>39.800000000000004</v>
      </c>
      <c r="AR302" s="55">
        <f>0.01*100</f>
        <v>1</v>
      </c>
      <c r="AS302" s="55">
        <f>3.67*100</f>
        <v>367</v>
      </c>
      <c r="AT302" s="55" t="s">
        <v>83</v>
      </c>
      <c r="AU302" s="55" t="s">
        <v>109</v>
      </c>
      <c r="AV302" s="55" t="s">
        <v>133</v>
      </c>
      <c r="AW302" s="55" t="s">
        <v>109</v>
      </c>
      <c r="AX302" s="55" t="s">
        <v>86</v>
      </c>
      <c r="AY302" s="55">
        <v>0</v>
      </c>
      <c r="AZ302" s="55">
        <v>0</v>
      </c>
      <c r="BA302" s="55" t="s">
        <v>734</v>
      </c>
      <c r="BB302" s="55" t="s">
        <v>88</v>
      </c>
      <c r="BC302" s="55" t="s">
        <v>89</v>
      </c>
      <c r="BD302" s="55" t="s">
        <v>114</v>
      </c>
      <c r="BE302" s="55" t="s">
        <v>816</v>
      </c>
      <c r="BF302" s="55">
        <v>8.8360000000000003</v>
      </c>
      <c r="BG302" s="55">
        <v>1</v>
      </c>
      <c r="BH302" s="55">
        <v>0.73599999999999999</v>
      </c>
      <c r="BI302" s="55">
        <v>2.8330000000000002</v>
      </c>
      <c r="BJ302" s="55">
        <v>9.4920000000000009</v>
      </c>
      <c r="BK302" s="55" t="s">
        <v>91</v>
      </c>
      <c r="BL302" s="55" t="s">
        <v>84</v>
      </c>
      <c r="BM302" s="55">
        <v>1</v>
      </c>
      <c r="BN302" s="55" t="s">
        <v>539</v>
      </c>
      <c r="BO302" s="55" t="s">
        <v>540</v>
      </c>
      <c r="BP302" s="55" t="s">
        <v>540</v>
      </c>
      <c r="BQ302" s="55" t="s">
        <v>117</v>
      </c>
      <c r="BR302" s="55" t="s">
        <v>134</v>
      </c>
      <c r="BS302" s="55" t="s">
        <v>312</v>
      </c>
      <c r="BT302" s="55">
        <v>0</v>
      </c>
      <c r="BU302" s="55">
        <v>2014</v>
      </c>
      <c r="BV302" s="55">
        <v>2016</v>
      </c>
      <c r="BW302" s="55" t="s">
        <v>736</v>
      </c>
      <c r="BX302" s="55" t="s">
        <v>95</v>
      </c>
      <c r="BY302" s="55" t="s">
        <v>748</v>
      </c>
      <c r="BZ302" s="55">
        <v>1</v>
      </c>
      <c r="CA302" s="55">
        <v>1</v>
      </c>
      <c r="CB302" s="55" t="s">
        <v>303</v>
      </c>
      <c r="CC302" s="55" t="s">
        <v>794</v>
      </c>
      <c r="CD302" s="55">
        <v>1</v>
      </c>
      <c r="CE302" s="55" t="s">
        <v>792</v>
      </c>
      <c r="CF302" s="55">
        <v>0</v>
      </c>
      <c r="CG302" s="55" t="s">
        <v>97</v>
      </c>
      <c r="CH302" s="55">
        <v>1</v>
      </c>
      <c r="CI302" s="55" t="s">
        <v>97</v>
      </c>
      <c r="CJ302" s="55" t="s">
        <v>98</v>
      </c>
      <c r="CK302" s="55">
        <v>33</v>
      </c>
      <c r="CL302" s="55">
        <v>0</v>
      </c>
      <c r="CM302" s="55">
        <v>0</v>
      </c>
      <c r="CN302" s="55" t="s">
        <v>124</v>
      </c>
      <c r="CO302" s="55" t="s">
        <v>943</v>
      </c>
      <c r="CP302" s="55" t="s">
        <v>100</v>
      </c>
      <c r="CQ302" s="55" t="s">
        <v>126</v>
      </c>
      <c r="CR302" s="57">
        <v>46223</v>
      </c>
      <c r="CT302" s="55" t="s">
        <v>854</v>
      </c>
    </row>
    <row r="303" spans="1:98" s="55" customFormat="1" x14ac:dyDescent="0.35">
      <c r="A303" s="54" t="s">
        <v>788</v>
      </c>
      <c r="B303" s="54" t="s">
        <v>849</v>
      </c>
      <c r="C303" s="55" t="s">
        <v>789</v>
      </c>
      <c r="D303" s="55">
        <v>2024</v>
      </c>
      <c r="E303" s="60" t="s">
        <v>790</v>
      </c>
      <c r="F303" s="54" t="s">
        <v>840</v>
      </c>
      <c r="G303" s="55" t="s">
        <v>78</v>
      </c>
      <c r="H303" s="55">
        <v>1</v>
      </c>
      <c r="I303" s="55" t="s">
        <v>290</v>
      </c>
      <c r="J303" s="55" t="s">
        <v>79</v>
      </c>
      <c r="K303" s="55">
        <v>3</v>
      </c>
      <c r="L303" s="55" t="s">
        <v>129</v>
      </c>
      <c r="M303" s="55" t="s">
        <v>380</v>
      </c>
      <c r="N303" s="55">
        <f>0.033/100</f>
        <v>3.3E-4</v>
      </c>
      <c r="O303" s="55">
        <f>0.023/100</f>
        <v>2.3000000000000001E-4</v>
      </c>
      <c r="P303" s="88">
        <f t="shared" si="108"/>
        <v>1.4347826086956521</v>
      </c>
      <c r="Q303" s="55" t="s">
        <v>312</v>
      </c>
      <c r="R303" s="88">
        <f t="shared" si="109"/>
        <v>-1.2080000000000001E-4</v>
      </c>
      <c r="S303" s="88">
        <f t="shared" si="110"/>
        <v>7.8080000000000001E-4</v>
      </c>
      <c r="T303" s="55">
        <v>1</v>
      </c>
      <c r="U303" s="55">
        <v>7058</v>
      </c>
      <c r="V303" s="55">
        <v>12</v>
      </c>
      <c r="W303" s="55">
        <v>1</v>
      </c>
      <c r="X303" s="55">
        <f t="shared" si="107"/>
        <v>7046</v>
      </c>
      <c r="Y303" s="88">
        <f t="shared" si="111"/>
        <v>1.7090365495998506E-2</v>
      </c>
      <c r="Z303" s="88">
        <f t="shared" si="112"/>
        <v>1.1911466860847444E-2</v>
      </c>
      <c r="AA303" s="88">
        <f t="shared" si="124"/>
        <v>1.7090365495998506E-2</v>
      </c>
      <c r="AB303" s="55" t="s">
        <v>81</v>
      </c>
      <c r="AC303" s="88">
        <f t="shared" si="116"/>
        <v>3.1296966953372565E-3</v>
      </c>
      <c r="AD303" s="88" cm="1">
        <f t="array" ref="AD303">_xlfn.IFS(
AND(L303="marginal_effect",M303="level"),N303*AN303/BF303,
AND(L303="marginal_effect",M303="sd (Y)"),N303*BH303*AN303/BF303,
AND(L303="marginal_effect",M303="sd (X)"),N303/AQ303*AN303/BF303,
AND(L303="semi_elasticity",M303="level"),N303*AN303,
AND(L303="semi_elasticity",M303="sd (Y)"),N303*AN303*BH303,
AND(L303="semi_elasticity",M303="sd (X)"),N303*AN303/AQ303,
AND(L303="level-log",M303="level"),N303/BF303,
AND(L303="level-log",M303="sd (X)"),N303/BF303/AQ303,
AND(L303="level-log",M303="sd (Y)"),N303/BF303*BH303,
AND(L303="elasticity",M303="level"),N303,
AND(L303="elasticity",M303="sd (X)"),N303/AQ303,
AND(L303="elasticity",M303="sd (Y)"),N303*BH303,
AND(L303="marginal_effect",M303="percent_of_mean"),N303*AN303/BF303/10)</f>
        <v>3.1296966953372565E-3</v>
      </c>
      <c r="AE303" s="56">
        <f t="shared" si="113"/>
        <v>1</v>
      </c>
      <c r="AF303" s="88">
        <f t="shared" si="117"/>
        <v>2.1813037573562696E-3</v>
      </c>
      <c r="AG303" s="88" cm="1">
        <f t="array" ref="AG303">_xlfn.IFS(
AND(L303="marginal_effect",M303="level"),O303*AN303/BF303,
AND(L303="marginal_effect",M303="sd (Y)"),O303*BH303*AN303/BF303,
AND(L303="marginal_effect",M303="sd (X)"),O303/AQ303*AN303/BF303,
AND(L303="semi_elasticity",M303="level"),O303*AN303,
AND(L303="semi_elasticity",M303="sd (Y)"),O303*AN303*BH303,
AND(L303="semi_elasticity",M303="sd (X)"),O303*AN303/AQ303,
AND(L303="level-log",M303="level"),O303/BF303,
AND(L303="level-log",M303="sd (X)"),O303/BF303/AQ303,
AND(L303="level-log",M303="sd (Y)"),O303/BF303*BH303,
AND(L303="elasticity",M303="level"),O303,
AND(L303="elasticity",M303="sd (X)"),O303/AQ303,
AND(L303="elasticity",M303="sd (Y)"),O303*BH303,
AND(L303="marginal_effect",M303="percent_of_mean"),O303*AN303/BF303/10)</f>
        <v>2.1813037573562696E-3</v>
      </c>
      <c r="AH303" s="56">
        <f t="shared" si="114"/>
        <v>1</v>
      </c>
      <c r="AI303" s="88">
        <f t="shared" si="125"/>
        <v>3.1296966953372565E-3</v>
      </c>
      <c r="AJ303" s="55">
        <v>0</v>
      </c>
      <c r="AK303" s="55">
        <f t="shared" si="115"/>
        <v>1</v>
      </c>
      <c r="AL303" s="55" t="s">
        <v>106</v>
      </c>
      <c r="AM303" s="55" t="s">
        <v>1333</v>
      </c>
      <c r="AN303" s="55">
        <f>0.838*100</f>
        <v>83.8</v>
      </c>
      <c r="AO303" s="55">
        <v>1</v>
      </c>
      <c r="AP303" s="55">
        <f t="shared" si="121"/>
        <v>83.8</v>
      </c>
      <c r="AQ303" s="55">
        <f>0.696*100</f>
        <v>69.599999999999994</v>
      </c>
      <c r="AR303" s="55">
        <v>0</v>
      </c>
      <c r="AS303" s="55">
        <f>7.73*100</f>
        <v>773</v>
      </c>
      <c r="AT303" s="55" t="s">
        <v>83</v>
      </c>
      <c r="AU303" s="55" t="s">
        <v>109</v>
      </c>
      <c r="AV303" s="55" t="s">
        <v>133</v>
      </c>
      <c r="AW303" s="55" t="s">
        <v>109</v>
      </c>
      <c r="AX303" s="55" t="s">
        <v>86</v>
      </c>
      <c r="AY303" s="55">
        <v>0</v>
      </c>
      <c r="AZ303" s="55">
        <v>0</v>
      </c>
      <c r="BA303" s="55" t="s">
        <v>734</v>
      </c>
      <c r="BB303" s="55" t="s">
        <v>88</v>
      </c>
      <c r="BC303" s="55" t="s">
        <v>89</v>
      </c>
      <c r="BD303" s="55" t="s">
        <v>114</v>
      </c>
      <c r="BE303" s="55" t="s">
        <v>816</v>
      </c>
      <c r="BF303" s="55">
        <v>8.8360000000000003</v>
      </c>
      <c r="BG303" s="55">
        <v>1</v>
      </c>
      <c r="BH303" s="55">
        <v>0.73599999999999999</v>
      </c>
      <c r="BI303" s="55">
        <v>2.8330000000000002</v>
      </c>
      <c r="BJ303" s="55">
        <v>9.4920000000000009</v>
      </c>
      <c r="BK303" s="55" t="s">
        <v>91</v>
      </c>
      <c r="BL303" s="55" t="s">
        <v>84</v>
      </c>
      <c r="BM303" s="55">
        <v>1</v>
      </c>
      <c r="BN303" s="55" t="s">
        <v>539</v>
      </c>
      <c r="BO303" s="55" t="s">
        <v>540</v>
      </c>
      <c r="BP303" s="55" t="s">
        <v>540</v>
      </c>
      <c r="BQ303" s="55" t="s">
        <v>117</v>
      </c>
      <c r="BR303" s="55" t="s">
        <v>134</v>
      </c>
      <c r="BS303" s="55" t="s">
        <v>312</v>
      </c>
      <c r="BT303" s="55">
        <v>0</v>
      </c>
      <c r="BU303" s="55">
        <v>2014</v>
      </c>
      <c r="BV303" s="55">
        <v>2016</v>
      </c>
      <c r="BW303" s="55" t="s">
        <v>736</v>
      </c>
      <c r="BX303" s="55" t="s">
        <v>95</v>
      </c>
      <c r="BY303" s="55" t="s">
        <v>748</v>
      </c>
      <c r="BZ303" s="55">
        <v>1</v>
      </c>
      <c r="CA303" s="55">
        <v>1</v>
      </c>
      <c r="CB303" s="55" t="s">
        <v>303</v>
      </c>
      <c r="CC303" s="55" t="s">
        <v>795</v>
      </c>
      <c r="CD303" s="55">
        <v>1</v>
      </c>
      <c r="CE303" s="55" t="s">
        <v>792</v>
      </c>
      <c r="CF303" s="55">
        <v>0</v>
      </c>
      <c r="CG303" s="55" t="s">
        <v>97</v>
      </c>
      <c r="CH303" s="55">
        <v>1</v>
      </c>
      <c r="CI303" s="55" t="s">
        <v>97</v>
      </c>
      <c r="CJ303" s="55" t="s">
        <v>98</v>
      </c>
      <c r="CK303" s="55">
        <v>33</v>
      </c>
      <c r="CL303" s="55">
        <v>0</v>
      </c>
      <c r="CM303" s="55">
        <v>0</v>
      </c>
      <c r="CN303" s="55" t="s">
        <v>124</v>
      </c>
      <c r="CO303" s="55" t="s">
        <v>943</v>
      </c>
      <c r="CP303" s="55" t="s">
        <v>100</v>
      </c>
      <c r="CQ303" s="55" t="s">
        <v>126</v>
      </c>
      <c r="CR303" s="57">
        <v>46223</v>
      </c>
      <c r="CT303" s="55" t="s">
        <v>855</v>
      </c>
    </row>
    <row r="304" spans="1:98" s="55" customFormat="1" x14ac:dyDescent="0.35">
      <c r="A304" s="54" t="s">
        <v>788</v>
      </c>
      <c r="B304" s="54" t="s">
        <v>850</v>
      </c>
      <c r="C304" s="55" t="s">
        <v>789</v>
      </c>
      <c r="D304" s="55">
        <v>2024</v>
      </c>
      <c r="E304" s="60" t="s">
        <v>790</v>
      </c>
      <c r="F304" s="54" t="s">
        <v>840</v>
      </c>
      <c r="G304" s="55" t="s">
        <v>78</v>
      </c>
      <c r="H304" s="55">
        <v>1</v>
      </c>
      <c r="I304" s="55" t="s">
        <v>290</v>
      </c>
      <c r="J304" s="55" t="s">
        <v>79</v>
      </c>
      <c r="K304" s="55">
        <v>3</v>
      </c>
      <c r="L304" s="55" t="s">
        <v>129</v>
      </c>
      <c r="M304" s="55" t="s">
        <v>380</v>
      </c>
      <c r="N304" s="55">
        <f>-0.011/100</f>
        <v>-1.0999999999999999E-4</v>
      </c>
      <c r="O304" s="55">
        <f>0.015/100</f>
        <v>1.4999999999999999E-4</v>
      </c>
      <c r="P304" s="88">
        <f t="shared" si="108"/>
        <v>-0.73333333333333328</v>
      </c>
      <c r="Q304" s="55" t="s">
        <v>312</v>
      </c>
      <c r="R304" s="88">
        <f t="shared" si="109"/>
        <v>-4.0399999999999995E-4</v>
      </c>
      <c r="S304" s="88">
        <f t="shared" si="110"/>
        <v>1.84E-4</v>
      </c>
      <c r="T304" s="55">
        <v>1</v>
      </c>
      <c r="U304" s="55">
        <v>7070</v>
      </c>
      <c r="V304" s="55">
        <v>12</v>
      </c>
      <c r="W304" s="55">
        <v>1</v>
      </c>
      <c r="X304" s="55">
        <f t="shared" si="107"/>
        <v>7058</v>
      </c>
      <c r="Y304" s="88">
        <f t="shared" si="111"/>
        <v>-8.7285891986736298E-3</v>
      </c>
      <c r="Z304" s="88">
        <f t="shared" si="112"/>
        <v>1.1902621634554951E-2</v>
      </c>
      <c r="AA304" s="88">
        <f t="shared" si="124"/>
        <v>-8.7285891986736298E-3</v>
      </c>
      <c r="AB304" s="55" t="s">
        <v>81</v>
      </c>
      <c r="AC304" s="88">
        <f t="shared" si="116"/>
        <v>-1.0432322317790853E-3</v>
      </c>
      <c r="AD304" s="88" cm="1">
        <f t="array" ref="AD304">_xlfn.IFS(
AND(L304="marginal_effect",M304="level"),N304*AN304/BF304,
AND(L304="marginal_effect",M304="sd (Y)"),N304*BH304*AN304/BF304,
AND(L304="marginal_effect",M304="sd (X)"),N304/AQ304*AN304/BF304,
AND(L304="semi_elasticity",M304="level"),N304*AN304,
AND(L304="semi_elasticity",M304="sd (Y)"),N304*AN304*BH304,
AND(L304="semi_elasticity",M304="sd (X)"),N304*AN304/AQ304,
AND(L304="level-log",M304="level"),N304/BF304,
AND(L304="level-log",M304="sd (X)"),N304/BF304/AQ304,
AND(L304="level-log",M304="sd (Y)"),N304/BF304*BH304,
AND(L304="elasticity",M304="level"),N304,
AND(L304="elasticity",M304="sd (X)"),N304/AQ304,
AND(L304="elasticity",M304="sd (Y)"),N304*BH304,
AND(L304="marginal_effect",M304="percent_of_mean"),N304*AN304/BF304/10)</f>
        <v>-1.0432322317790853E-3</v>
      </c>
      <c r="AE304" s="56">
        <f t="shared" si="113"/>
        <v>1</v>
      </c>
      <c r="AF304" s="88">
        <f t="shared" si="117"/>
        <v>1.4225894069714801E-3</v>
      </c>
      <c r="AG304" s="88" cm="1">
        <f t="array" ref="AG304">_xlfn.IFS(
AND(L304="marginal_effect",M304="level"),O304*AN304/BF304,
AND(L304="marginal_effect",M304="sd (Y)"),O304*BH304*AN304/BF304,
AND(L304="marginal_effect",M304="sd (X)"),O304/AQ304*AN304/BF304,
AND(L304="semi_elasticity",M304="level"),O304*AN304,
AND(L304="semi_elasticity",M304="sd (Y)"),O304*AN304*BH304,
AND(L304="semi_elasticity",M304="sd (X)"),O304*AN304/AQ304,
AND(L304="level-log",M304="level"),O304/BF304,
AND(L304="level-log",M304="sd (X)"),O304/BF304/AQ304,
AND(L304="level-log",M304="sd (Y)"),O304/BF304*BH304,
AND(L304="elasticity",M304="level"),O304,
AND(L304="elasticity",M304="sd (X)"),O304/AQ304,
AND(L304="elasticity",M304="sd (Y)"),O304*BH304,
AND(L304="marginal_effect",M304="percent_of_mean"),O304*AN304/BF304/10)</f>
        <v>1.4225894069714801E-3</v>
      </c>
      <c r="AH304" s="56">
        <f t="shared" si="114"/>
        <v>1</v>
      </c>
      <c r="AI304" s="88">
        <f t="shared" si="125"/>
        <v>-1.0432322317790853E-3</v>
      </c>
      <c r="AJ304" s="55">
        <v>0</v>
      </c>
      <c r="AK304" s="55">
        <f t="shared" si="115"/>
        <v>1</v>
      </c>
      <c r="AL304" s="55" t="s">
        <v>106</v>
      </c>
      <c r="AM304" s="55" t="s">
        <v>1333</v>
      </c>
      <c r="AN304" s="55">
        <f>0.838*100</f>
        <v>83.8</v>
      </c>
      <c r="AO304" s="55">
        <v>1</v>
      </c>
      <c r="AP304" s="55">
        <f t="shared" si="121"/>
        <v>83.8</v>
      </c>
      <c r="AQ304" s="55">
        <f>0.696*100</f>
        <v>69.599999999999994</v>
      </c>
      <c r="AR304" s="55">
        <v>0</v>
      </c>
      <c r="AS304" s="55">
        <f>7.73*100</f>
        <v>773</v>
      </c>
      <c r="AT304" s="55" t="s">
        <v>83</v>
      </c>
      <c r="AU304" s="55" t="s">
        <v>109</v>
      </c>
      <c r="AV304" s="55" t="s">
        <v>133</v>
      </c>
      <c r="AW304" s="55" t="s">
        <v>109</v>
      </c>
      <c r="AX304" s="55" t="s">
        <v>86</v>
      </c>
      <c r="AY304" s="55">
        <v>0</v>
      </c>
      <c r="AZ304" s="55">
        <v>0</v>
      </c>
      <c r="BA304" s="55" t="s">
        <v>734</v>
      </c>
      <c r="BB304" s="55" t="s">
        <v>88</v>
      </c>
      <c r="BC304" s="55" t="s">
        <v>89</v>
      </c>
      <c r="BD304" s="55" t="s">
        <v>114</v>
      </c>
      <c r="BE304" s="55" t="s">
        <v>816</v>
      </c>
      <c r="BF304" s="55">
        <v>8.8360000000000003</v>
      </c>
      <c r="BG304" s="55">
        <v>1</v>
      </c>
      <c r="BH304" s="55">
        <v>0.73599999999999999</v>
      </c>
      <c r="BI304" s="55">
        <v>2.8330000000000002</v>
      </c>
      <c r="BJ304" s="55">
        <v>9.4920000000000009</v>
      </c>
      <c r="BK304" s="55" t="s">
        <v>91</v>
      </c>
      <c r="BL304" s="55" t="s">
        <v>84</v>
      </c>
      <c r="BM304" s="55">
        <v>1</v>
      </c>
      <c r="BN304" s="55" t="s">
        <v>539</v>
      </c>
      <c r="BO304" s="55" t="s">
        <v>540</v>
      </c>
      <c r="BP304" s="55" t="s">
        <v>540</v>
      </c>
      <c r="BQ304" s="55" t="s">
        <v>117</v>
      </c>
      <c r="BR304" s="55" t="s">
        <v>134</v>
      </c>
      <c r="BS304" s="55" t="s">
        <v>312</v>
      </c>
      <c r="BT304" s="55">
        <v>0</v>
      </c>
      <c r="BU304" s="55">
        <v>2014</v>
      </c>
      <c r="BV304" s="55">
        <v>2016</v>
      </c>
      <c r="BW304" s="55" t="s">
        <v>736</v>
      </c>
      <c r="BX304" s="55" t="s">
        <v>95</v>
      </c>
      <c r="BY304" s="55" t="s">
        <v>748</v>
      </c>
      <c r="BZ304" s="55">
        <v>1</v>
      </c>
      <c r="CA304" s="55">
        <v>1</v>
      </c>
      <c r="CB304" s="55" t="s">
        <v>303</v>
      </c>
      <c r="CC304" s="55" t="s">
        <v>795</v>
      </c>
      <c r="CD304" s="55">
        <v>1</v>
      </c>
      <c r="CE304" s="55" t="s">
        <v>792</v>
      </c>
      <c r="CF304" s="55">
        <v>0</v>
      </c>
      <c r="CG304" s="55" t="s">
        <v>97</v>
      </c>
      <c r="CH304" s="55">
        <v>1</v>
      </c>
      <c r="CI304" s="55" t="s">
        <v>97</v>
      </c>
      <c r="CJ304" s="55" t="s">
        <v>98</v>
      </c>
      <c r="CK304" s="55">
        <v>33</v>
      </c>
      <c r="CL304" s="55">
        <v>0</v>
      </c>
      <c r="CM304" s="55">
        <v>0</v>
      </c>
      <c r="CN304" s="55" t="s">
        <v>124</v>
      </c>
      <c r="CO304" s="55" t="s">
        <v>943</v>
      </c>
      <c r="CP304" s="55" t="s">
        <v>100</v>
      </c>
      <c r="CQ304" s="55" t="s">
        <v>126</v>
      </c>
      <c r="CR304" s="57">
        <v>46223</v>
      </c>
      <c r="CT304" s="55" t="s">
        <v>856</v>
      </c>
    </row>
    <row r="305" spans="1:98" s="35" customFormat="1" x14ac:dyDescent="0.35">
      <c r="A305" s="34" t="s">
        <v>857</v>
      </c>
      <c r="B305" s="34" t="s">
        <v>862</v>
      </c>
      <c r="C305" s="35" t="s">
        <v>858</v>
      </c>
      <c r="D305" s="35">
        <v>2021</v>
      </c>
      <c r="E305" s="37" t="s">
        <v>859</v>
      </c>
      <c r="F305" s="34" t="s">
        <v>860</v>
      </c>
      <c r="G305" s="35" t="s">
        <v>78</v>
      </c>
      <c r="H305" s="35">
        <v>1</v>
      </c>
      <c r="I305" s="35" t="s">
        <v>290</v>
      </c>
      <c r="J305" s="35" t="s">
        <v>79</v>
      </c>
      <c r="K305" s="35">
        <v>74</v>
      </c>
      <c r="L305" s="35" t="s">
        <v>104</v>
      </c>
      <c r="M305" s="35" t="s">
        <v>380</v>
      </c>
      <c r="N305" s="35">
        <v>1.2999999999999999E-3</v>
      </c>
      <c r="O305" s="35">
        <v>1E-4</v>
      </c>
      <c r="P305" s="89">
        <f t="shared" si="108"/>
        <v>12.999999999999998</v>
      </c>
      <c r="Q305" s="35" t="s">
        <v>312</v>
      </c>
      <c r="R305" s="89">
        <f t="shared" si="109"/>
        <v>1.1039999999999999E-3</v>
      </c>
      <c r="S305" s="89">
        <f t="shared" si="110"/>
        <v>1.4959999999999999E-3</v>
      </c>
      <c r="T305" s="35">
        <v>1</v>
      </c>
      <c r="U305" s="35">
        <v>408565</v>
      </c>
      <c r="V305" s="35" t="s">
        <v>312</v>
      </c>
      <c r="W305" s="35" t="s">
        <v>312</v>
      </c>
      <c r="X305" s="35">
        <f t="shared" ref="X305:X326" si="126">U305</f>
        <v>408565</v>
      </c>
      <c r="Y305" s="89">
        <f t="shared" si="111"/>
        <v>2.0334007040494498E-2</v>
      </c>
      <c r="Z305" s="89">
        <f t="shared" si="112"/>
        <v>1.5641543877303462E-3</v>
      </c>
      <c r="AA305" s="89">
        <f t="shared" si="124"/>
        <v>2.0334007040494498E-2</v>
      </c>
      <c r="AB305" s="35" t="s">
        <v>81</v>
      </c>
      <c r="AC305" s="89">
        <f t="shared" ref="AC305:AC336" si="127">N305*AN305</f>
        <v>6.9185999999999998E-2</v>
      </c>
      <c r="AD305" s="89" cm="1">
        <f t="array" ref="AD305">_xlfn.IFS(
AND(L305="marginal_effect",M305="level"),N305*AN305/BF305,
AND(L305="marginal_effect",M305="sd (Y)"),N305*BH305*AN305/BF305,
AND(L305="marginal_effect",M305="sd (X)"),N305/AQ305*AN305/BF305,
AND(L305="semi_elasticity",M305="level"),N305*AN305,
AND(L305="semi_elasticity",M305="sd (Y)"),N305*AN305*BH305,
AND(L305="semi_elasticity",M305="sd (X)"),N305*AN305/AQ305,
AND(L305="level-log",M305="level"),N305/BF305,
AND(L305="level-log",M305="sd (X)"),N305/BF305/AQ305,
AND(L305="level-log",M305="sd (Y)"),N305/BF305*BH305,
AND(L305="elasticity",M305="level"),N305,
AND(L305="elasticity",M305="sd (X)"),N305/AQ305,
AND(L305="elasticity",M305="sd (Y)"),N305*BH305,
AND(L305="marginal_effect",M305="percent_of_mean"),N305*AN305/BF305/10)</f>
        <v>6.9185999999999998E-2</v>
      </c>
      <c r="AE305" s="49">
        <f t="shared" si="113"/>
        <v>1</v>
      </c>
      <c r="AF305" s="89">
        <f t="shared" ref="AF305:AF336" si="128">O305*AN305</f>
        <v>5.3220000000000003E-3</v>
      </c>
      <c r="AG305" s="89" cm="1">
        <f t="array" ref="AG305">_xlfn.IFS(
AND(L305="marginal_effect",M305="level"),O305*AN305/BF305,
AND(L305="marginal_effect",M305="sd (Y)"),O305*BH305*AN305/BF305,
AND(L305="marginal_effect",M305="sd (X)"),O305/AQ305*AN305/BF305,
AND(L305="semi_elasticity",M305="level"),O305*AN305,
AND(L305="semi_elasticity",M305="sd (Y)"),O305*AN305*BH305,
AND(L305="semi_elasticity",M305="sd (X)"),O305*AN305/AQ305,
AND(L305="level-log",M305="level"),O305/BF305,
AND(L305="level-log",M305="sd (X)"),O305/BF305/AQ305,
AND(L305="level-log",M305="sd (Y)"),O305/BF305*BH305,
AND(L305="elasticity",M305="level"),O305,
AND(L305="elasticity",M305="sd (X)"),O305/AQ305,
AND(L305="elasticity",M305="sd (Y)"),O305*BH305,
AND(L305="marginal_effect",M305="percent_of_mean"),O305*AN305/BF305/10)</f>
        <v>5.3220000000000003E-3</v>
      </c>
      <c r="AH305" s="49">
        <f t="shared" si="114"/>
        <v>1</v>
      </c>
      <c r="AI305" s="89">
        <f t="shared" si="125"/>
        <v>6.9185999999999998E-2</v>
      </c>
      <c r="AJ305" s="35">
        <v>0</v>
      </c>
      <c r="AK305" s="35">
        <f t="shared" si="115"/>
        <v>1</v>
      </c>
      <c r="AL305" s="35" t="s">
        <v>431</v>
      </c>
      <c r="AM305" s="35" t="s">
        <v>737</v>
      </c>
      <c r="AN305" s="35">
        <v>53.22</v>
      </c>
      <c r="AO305" s="35">
        <v>0</v>
      </c>
      <c r="AP305" s="35">
        <f t="shared" si="121"/>
        <v>53.22</v>
      </c>
      <c r="AQ305" s="35">
        <v>15.91</v>
      </c>
      <c r="AR305" s="35">
        <v>27.13</v>
      </c>
      <c r="AS305" s="35">
        <v>102.8</v>
      </c>
      <c r="AT305" s="35" t="s">
        <v>83</v>
      </c>
      <c r="AU305" s="35" t="s">
        <v>109</v>
      </c>
      <c r="AV305" s="35" t="s">
        <v>133</v>
      </c>
      <c r="AX305" s="35" t="s">
        <v>86</v>
      </c>
      <c r="AY305" s="35">
        <v>0</v>
      </c>
      <c r="AZ305" s="35">
        <v>0</v>
      </c>
      <c r="BA305" s="35" t="s">
        <v>391</v>
      </c>
      <c r="BB305" s="35" t="s">
        <v>88</v>
      </c>
      <c r="BC305" s="35" t="s">
        <v>89</v>
      </c>
      <c r="BD305" s="35" t="s">
        <v>90</v>
      </c>
      <c r="BE305" s="35" t="s">
        <v>861</v>
      </c>
      <c r="BF305" s="35">
        <v>68.260000000000005</v>
      </c>
      <c r="BG305" s="35">
        <v>0</v>
      </c>
      <c r="BH305" s="35">
        <v>97.9</v>
      </c>
      <c r="BI305" s="35">
        <v>2</v>
      </c>
      <c r="BJ305" s="35">
        <v>3310</v>
      </c>
      <c r="BK305" s="35" t="s">
        <v>91</v>
      </c>
      <c r="BL305" s="35" t="s">
        <v>84</v>
      </c>
      <c r="BM305" s="35">
        <v>1</v>
      </c>
      <c r="BN305" s="35" t="s">
        <v>2177</v>
      </c>
      <c r="BO305" s="35" t="s">
        <v>375</v>
      </c>
      <c r="BP305" s="35" t="s">
        <v>312</v>
      </c>
      <c r="BQ305" s="35" t="s">
        <v>117</v>
      </c>
      <c r="BR305" s="35" t="s">
        <v>93</v>
      </c>
      <c r="BS305" s="35" t="s">
        <v>312</v>
      </c>
      <c r="BT305" s="35">
        <v>0</v>
      </c>
      <c r="BU305" s="61">
        <v>38169</v>
      </c>
      <c r="BV305" s="61">
        <v>42217</v>
      </c>
      <c r="BW305" s="35" t="s">
        <v>94</v>
      </c>
      <c r="BX305" s="35" t="s">
        <v>95</v>
      </c>
      <c r="BY305" s="35" t="s">
        <v>96</v>
      </c>
      <c r="BZ305" s="35">
        <v>0</v>
      </c>
      <c r="CA305" s="35">
        <v>0</v>
      </c>
      <c r="CB305" s="35" t="s">
        <v>97</v>
      </c>
      <c r="CC305" s="35" t="s">
        <v>97</v>
      </c>
      <c r="CD305" s="35">
        <v>0</v>
      </c>
      <c r="CE305" s="35" t="s">
        <v>97</v>
      </c>
      <c r="CF305" s="35">
        <v>0</v>
      </c>
      <c r="CG305" s="35" t="s">
        <v>97</v>
      </c>
      <c r="CH305" s="35">
        <v>1</v>
      </c>
      <c r="CI305" s="35" t="s">
        <v>97</v>
      </c>
      <c r="CJ305" s="35" t="s">
        <v>98</v>
      </c>
      <c r="CK305" s="35">
        <v>22</v>
      </c>
      <c r="CL305" s="35">
        <v>0</v>
      </c>
      <c r="CM305" s="35">
        <v>0</v>
      </c>
      <c r="CN305" s="35" t="s">
        <v>99</v>
      </c>
      <c r="CO305" s="35" t="s">
        <v>97</v>
      </c>
      <c r="CP305" s="35" t="s">
        <v>100</v>
      </c>
      <c r="CQ305" s="35" t="s">
        <v>126</v>
      </c>
      <c r="CR305" s="36">
        <v>46223</v>
      </c>
      <c r="CT305" s="35" t="s">
        <v>543</v>
      </c>
    </row>
    <row r="306" spans="1:98" s="35" customFormat="1" x14ac:dyDescent="0.35">
      <c r="A306" s="34" t="s">
        <v>857</v>
      </c>
      <c r="B306" s="34" t="s">
        <v>863</v>
      </c>
      <c r="C306" s="35" t="s">
        <v>858</v>
      </c>
      <c r="D306" s="35">
        <v>2021</v>
      </c>
      <c r="E306" s="37" t="s">
        <v>859</v>
      </c>
      <c r="F306" s="34" t="s">
        <v>860</v>
      </c>
      <c r="G306" s="35" t="s">
        <v>78</v>
      </c>
      <c r="H306" s="35">
        <v>1</v>
      </c>
      <c r="I306" s="35" t="s">
        <v>290</v>
      </c>
      <c r="J306" s="35" t="s">
        <v>79</v>
      </c>
      <c r="K306" s="35">
        <v>74</v>
      </c>
      <c r="L306" s="35" t="s">
        <v>104</v>
      </c>
      <c r="M306" s="35" t="s">
        <v>380</v>
      </c>
      <c r="N306" s="35">
        <v>1.1000000000000001E-3</v>
      </c>
      <c r="O306" s="35">
        <v>1E-4</v>
      </c>
      <c r="P306" s="89">
        <f t="shared" si="108"/>
        <v>11</v>
      </c>
      <c r="Q306" s="35" t="s">
        <v>312</v>
      </c>
      <c r="R306" s="89">
        <f t="shared" si="109"/>
        <v>9.0400000000000007E-4</v>
      </c>
      <c r="S306" s="89">
        <f t="shared" si="110"/>
        <v>1.2960000000000001E-3</v>
      </c>
      <c r="T306" s="35">
        <v>1</v>
      </c>
      <c r="U306" s="35">
        <v>408565</v>
      </c>
      <c r="V306" s="35" t="s">
        <v>312</v>
      </c>
      <c r="W306" s="35" t="s">
        <v>312</v>
      </c>
      <c r="X306" s="35">
        <f t="shared" si="126"/>
        <v>408565</v>
      </c>
      <c r="Y306" s="89">
        <f t="shared" si="111"/>
        <v>1.7206708636405131E-2</v>
      </c>
      <c r="Z306" s="89">
        <f t="shared" si="112"/>
        <v>1.5642462396731937E-3</v>
      </c>
      <c r="AA306" s="89">
        <f t="shared" si="124"/>
        <v>1.7206708636405131E-2</v>
      </c>
      <c r="AB306" s="35" t="s">
        <v>81</v>
      </c>
      <c r="AC306" s="89">
        <f t="shared" si="127"/>
        <v>5.8542000000000004E-2</v>
      </c>
      <c r="AD306" s="89" cm="1">
        <f t="array" ref="AD306">_xlfn.IFS(
AND(L306="marginal_effect",M306="level"),N306*AN306/BF306,
AND(L306="marginal_effect",M306="sd (Y)"),N306*BH306*AN306/BF306,
AND(L306="marginal_effect",M306="sd (X)"),N306/AQ306*AN306/BF306,
AND(L306="semi_elasticity",M306="level"),N306*AN306,
AND(L306="semi_elasticity",M306="sd (Y)"),N306*AN306*BH306,
AND(L306="semi_elasticity",M306="sd (X)"),N306*AN306/AQ306,
AND(L306="level-log",M306="level"),N306/BF306,
AND(L306="level-log",M306="sd (X)"),N306/BF306/AQ306,
AND(L306="level-log",M306="sd (Y)"),N306/BF306*BH306,
AND(L306="elasticity",M306="level"),N306,
AND(L306="elasticity",M306="sd (X)"),N306/AQ306,
AND(L306="elasticity",M306="sd (Y)"),N306*BH306,
AND(L306="marginal_effect",M306="percent_of_mean"),N306*AN306/BF306/10)</f>
        <v>5.8542000000000004E-2</v>
      </c>
      <c r="AE306" s="49">
        <f t="shared" si="113"/>
        <v>1</v>
      </c>
      <c r="AF306" s="89">
        <f t="shared" si="128"/>
        <v>5.3220000000000003E-3</v>
      </c>
      <c r="AG306" s="89" cm="1">
        <f t="array" ref="AG306">_xlfn.IFS(
AND(L306="marginal_effect",M306="level"),O306*AN306/BF306,
AND(L306="marginal_effect",M306="sd (Y)"),O306*BH306*AN306/BF306,
AND(L306="marginal_effect",M306="sd (X)"),O306/AQ306*AN306/BF306,
AND(L306="semi_elasticity",M306="level"),O306*AN306,
AND(L306="semi_elasticity",M306="sd (Y)"),O306*AN306*BH306,
AND(L306="semi_elasticity",M306="sd (X)"),O306*AN306/AQ306,
AND(L306="level-log",M306="level"),O306/BF306,
AND(L306="level-log",M306="sd (X)"),O306/BF306/AQ306,
AND(L306="level-log",M306="sd (Y)"),O306/BF306*BH306,
AND(L306="elasticity",M306="level"),O306,
AND(L306="elasticity",M306="sd (X)"),O306/AQ306,
AND(L306="elasticity",M306="sd (Y)"),O306*BH306,
AND(L306="marginal_effect",M306="percent_of_mean"),O306*AN306/BF306/10)</f>
        <v>5.3220000000000003E-3</v>
      </c>
      <c r="AH306" s="49">
        <f t="shared" si="114"/>
        <v>1</v>
      </c>
      <c r="AI306" s="89">
        <f t="shared" si="125"/>
        <v>5.8542000000000004E-2</v>
      </c>
      <c r="AJ306" s="35">
        <v>0</v>
      </c>
      <c r="AK306" s="35">
        <f t="shared" si="115"/>
        <v>1</v>
      </c>
      <c r="AL306" s="35" t="s">
        <v>431</v>
      </c>
      <c r="AM306" s="35" t="s">
        <v>737</v>
      </c>
      <c r="AN306" s="35">
        <v>53.22</v>
      </c>
      <c r="AO306" s="35">
        <v>0</v>
      </c>
      <c r="AP306" s="35">
        <f t="shared" si="121"/>
        <v>53.22</v>
      </c>
      <c r="AQ306" s="35">
        <v>15.91</v>
      </c>
      <c r="AR306" s="35">
        <v>27.13</v>
      </c>
      <c r="AS306" s="35">
        <v>102.8</v>
      </c>
      <c r="AT306" s="35" t="s">
        <v>83</v>
      </c>
      <c r="AU306" s="35" t="s">
        <v>109</v>
      </c>
      <c r="AV306" s="35" t="s">
        <v>133</v>
      </c>
      <c r="AX306" s="35" t="s">
        <v>86</v>
      </c>
      <c r="AY306" s="35">
        <v>0</v>
      </c>
      <c r="AZ306" s="35">
        <v>0</v>
      </c>
      <c r="BA306" s="35" t="s">
        <v>391</v>
      </c>
      <c r="BB306" s="35" t="s">
        <v>88</v>
      </c>
      <c r="BC306" s="35" t="s">
        <v>89</v>
      </c>
      <c r="BD306" s="35" t="s">
        <v>90</v>
      </c>
      <c r="BE306" s="35" t="s">
        <v>861</v>
      </c>
      <c r="BF306" s="35">
        <v>68.260000000000005</v>
      </c>
      <c r="BG306" s="35">
        <v>0</v>
      </c>
      <c r="BH306" s="35">
        <v>97.9</v>
      </c>
      <c r="BI306" s="35">
        <v>2</v>
      </c>
      <c r="BJ306" s="35">
        <v>3310</v>
      </c>
      <c r="BK306" s="35" t="s">
        <v>91</v>
      </c>
      <c r="BL306" s="35" t="s">
        <v>84</v>
      </c>
      <c r="BM306" s="35">
        <v>1</v>
      </c>
      <c r="BN306" s="35" t="s">
        <v>2177</v>
      </c>
      <c r="BO306" s="35" t="s">
        <v>375</v>
      </c>
      <c r="BP306" s="35" t="s">
        <v>312</v>
      </c>
      <c r="BQ306" s="35" t="s">
        <v>117</v>
      </c>
      <c r="BR306" s="35" t="s">
        <v>93</v>
      </c>
      <c r="BS306" s="35" t="s">
        <v>312</v>
      </c>
      <c r="BT306" s="35">
        <v>0</v>
      </c>
      <c r="BU306" s="61">
        <v>38169</v>
      </c>
      <c r="BV306" s="61">
        <v>42217</v>
      </c>
      <c r="BW306" s="35" t="s">
        <v>94</v>
      </c>
      <c r="BX306" s="35" t="s">
        <v>95</v>
      </c>
      <c r="BY306" s="35" t="s">
        <v>96</v>
      </c>
      <c r="BZ306" s="35">
        <v>0</v>
      </c>
      <c r="CA306" s="35">
        <v>0</v>
      </c>
      <c r="CB306" s="35" t="s">
        <v>97</v>
      </c>
      <c r="CC306" s="35" t="s">
        <v>509</v>
      </c>
      <c r="CD306" s="35">
        <v>0</v>
      </c>
      <c r="CE306" s="35" t="s">
        <v>97</v>
      </c>
      <c r="CF306" s="35">
        <v>0</v>
      </c>
      <c r="CG306" s="35" t="s">
        <v>97</v>
      </c>
      <c r="CH306" s="35">
        <v>1</v>
      </c>
      <c r="CI306" s="35" t="s">
        <v>97</v>
      </c>
      <c r="CJ306" s="35" t="s">
        <v>98</v>
      </c>
      <c r="CK306" s="35">
        <v>22</v>
      </c>
      <c r="CL306" s="35">
        <v>0</v>
      </c>
      <c r="CM306" s="35">
        <v>0</v>
      </c>
      <c r="CN306" s="35" t="s">
        <v>99</v>
      </c>
      <c r="CO306" s="35" t="s">
        <v>97</v>
      </c>
      <c r="CP306" s="35" t="s">
        <v>100</v>
      </c>
      <c r="CQ306" s="35" t="s">
        <v>126</v>
      </c>
      <c r="CR306" s="36">
        <v>46223</v>
      </c>
      <c r="CT306" s="35" t="s">
        <v>549</v>
      </c>
    </row>
    <row r="307" spans="1:98" s="35" customFormat="1" x14ac:dyDescent="0.35">
      <c r="A307" s="34" t="s">
        <v>857</v>
      </c>
      <c r="B307" s="34" t="s">
        <v>864</v>
      </c>
      <c r="C307" s="35" t="s">
        <v>858</v>
      </c>
      <c r="D307" s="35">
        <v>2021</v>
      </c>
      <c r="E307" s="37" t="s">
        <v>859</v>
      </c>
      <c r="F307" s="34" t="s">
        <v>860</v>
      </c>
      <c r="G307" s="35" t="s">
        <v>78</v>
      </c>
      <c r="H307" s="35">
        <v>1</v>
      </c>
      <c r="I307" s="35" t="s">
        <v>290</v>
      </c>
      <c r="J307" s="35" t="s">
        <v>79</v>
      </c>
      <c r="K307" s="35">
        <v>74</v>
      </c>
      <c r="L307" s="35" t="s">
        <v>104</v>
      </c>
      <c r="M307" s="35" t="s">
        <v>380</v>
      </c>
      <c r="N307" s="35">
        <v>-2.2000000000000001E-3</v>
      </c>
      <c r="O307" s="35">
        <v>5.0000000000000001E-4</v>
      </c>
      <c r="P307" s="89">
        <f t="shared" si="108"/>
        <v>-4.4000000000000004</v>
      </c>
      <c r="Q307" s="35" t="s">
        <v>312</v>
      </c>
      <c r="R307" s="89">
        <f t="shared" si="109"/>
        <v>-3.1800000000000001E-3</v>
      </c>
      <c r="S307" s="89">
        <f t="shared" si="110"/>
        <v>-1.2200000000000002E-3</v>
      </c>
      <c r="T307" s="35">
        <v>1</v>
      </c>
      <c r="U307" s="35">
        <v>408565</v>
      </c>
      <c r="V307" s="35" t="s">
        <v>312</v>
      </c>
      <c r="W307" s="35" t="s">
        <v>312</v>
      </c>
      <c r="X307" s="35">
        <f t="shared" si="126"/>
        <v>408565</v>
      </c>
      <c r="Y307" s="89">
        <f t="shared" si="111"/>
        <v>-6.8835394741685188E-3</v>
      </c>
      <c r="Z307" s="89">
        <f t="shared" si="112"/>
        <v>1.5644407895837541E-3</v>
      </c>
      <c r="AA307" s="89">
        <f t="shared" si="124"/>
        <v>-6.8835394741685188E-3</v>
      </c>
      <c r="AB307" s="35" t="s">
        <v>81</v>
      </c>
      <c r="AC307" s="89">
        <f t="shared" si="127"/>
        <v>-0.11708400000000001</v>
      </c>
      <c r="AD307" s="89" cm="1">
        <f t="array" ref="AD307">_xlfn.IFS(
AND(L307="marginal_effect",M307="level"),N307*AN307/BF307,
AND(L307="marginal_effect",M307="sd (Y)"),N307*BH307*AN307/BF307,
AND(L307="marginal_effect",M307="sd (X)"),N307/AQ307*AN307/BF307,
AND(L307="semi_elasticity",M307="level"),N307*AN307,
AND(L307="semi_elasticity",M307="sd (Y)"),N307*AN307*BH307,
AND(L307="semi_elasticity",M307="sd (X)"),N307*AN307/AQ307,
AND(L307="level-log",M307="level"),N307/BF307,
AND(L307="level-log",M307="sd (X)"),N307/BF307/AQ307,
AND(L307="level-log",M307="sd (Y)"),N307/BF307*BH307,
AND(L307="elasticity",M307="level"),N307,
AND(L307="elasticity",M307="sd (X)"),N307/AQ307,
AND(L307="elasticity",M307="sd (Y)"),N307*BH307,
AND(L307="marginal_effect",M307="percent_of_mean"),N307*AN307/BF307/10)</f>
        <v>-0.11708400000000001</v>
      </c>
      <c r="AE307" s="49">
        <f t="shared" si="113"/>
        <v>1</v>
      </c>
      <c r="AF307" s="89">
        <f t="shared" si="128"/>
        <v>2.6610000000000002E-2</v>
      </c>
      <c r="AG307" s="89" cm="1">
        <f t="array" ref="AG307">_xlfn.IFS(
AND(L307="marginal_effect",M307="level"),O307*AN307/BF307,
AND(L307="marginal_effect",M307="sd (Y)"),O307*BH307*AN307/BF307,
AND(L307="marginal_effect",M307="sd (X)"),O307/AQ307*AN307/BF307,
AND(L307="semi_elasticity",M307="level"),O307*AN307,
AND(L307="semi_elasticity",M307="sd (Y)"),O307*AN307*BH307,
AND(L307="semi_elasticity",M307="sd (X)"),O307*AN307/AQ307,
AND(L307="level-log",M307="level"),O307/BF307,
AND(L307="level-log",M307="sd (X)"),O307/BF307/AQ307,
AND(L307="level-log",M307="sd (Y)"),O307/BF307*BH307,
AND(L307="elasticity",M307="level"),O307,
AND(L307="elasticity",M307="sd (X)"),O307/AQ307,
AND(L307="elasticity",M307="sd (Y)"),O307*BH307,
AND(L307="marginal_effect",M307="percent_of_mean"),O307*AN307/BF307/10)</f>
        <v>2.6610000000000002E-2</v>
      </c>
      <c r="AH307" s="49">
        <f t="shared" si="114"/>
        <v>1</v>
      </c>
      <c r="AI307" s="89">
        <f t="shared" si="125"/>
        <v>-0.11708400000000001</v>
      </c>
      <c r="AJ307" s="35">
        <v>0</v>
      </c>
      <c r="AK307" s="35">
        <f t="shared" si="115"/>
        <v>1</v>
      </c>
      <c r="AL307" s="35" t="s">
        <v>431</v>
      </c>
      <c r="AM307" s="35" t="s">
        <v>737</v>
      </c>
      <c r="AN307" s="35">
        <v>53.22</v>
      </c>
      <c r="AO307" s="35">
        <v>0</v>
      </c>
      <c r="AP307" s="35">
        <f t="shared" si="121"/>
        <v>53.22</v>
      </c>
      <c r="AQ307" s="35">
        <v>15.91</v>
      </c>
      <c r="AR307" s="35">
        <v>27.13</v>
      </c>
      <c r="AS307" s="35">
        <v>102.8</v>
      </c>
      <c r="AT307" s="35" t="s">
        <v>83</v>
      </c>
      <c r="AU307" s="35" t="s">
        <v>109</v>
      </c>
      <c r="AV307" s="35" t="s">
        <v>133</v>
      </c>
      <c r="AX307" s="35" t="s">
        <v>86</v>
      </c>
      <c r="AY307" s="35">
        <v>0</v>
      </c>
      <c r="AZ307" s="35">
        <v>0</v>
      </c>
      <c r="BA307" s="35" t="s">
        <v>391</v>
      </c>
      <c r="BB307" s="35" t="s">
        <v>88</v>
      </c>
      <c r="BC307" s="35" t="s">
        <v>89</v>
      </c>
      <c r="BD307" s="35" t="s">
        <v>90</v>
      </c>
      <c r="BE307" s="35" t="s">
        <v>861</v>
      </c>
      <c r="BF307" s="35">
        <v>68.260000000000005</v>
      </c>
      <c r="BG307" s="35">
        <v>0</v>
      </c>
      <c r="BH307" s="35">
        <v>97.9</v>
      </c>
      <c r="BI307" s="35">
        <v>2</v>
      </c>
      <c r="BJ307" s="35">
        <v>3310</v>
      </c>
      <c r="BK307" s="35" t="s">
        <v>91</v>
      </c>
      <c r="BL307" s="35" t="s">
        <v>84</v>
      </c>
      <c r="BM307" s="35">
        <v>1</v>
      </c>
      <c r="BN307" s="35" t="s">
        <v>2177</v>
      </c>
      <c r="BO307" s="35" t="s">
        <v>375</v>
      </c>
      <c r="BP307" s="35" t="s">
        <v>312</v>
      </c>
      <c r="BQ307" s="35" t="s">
        <v>117</v>
      </c>
      <c r="BR307" s="35" t="s">
        <v>93</v>
      </c>
      <c r="BS307" s="35" t="s">
        <v>312</v>
      </c>
      <c r="BT307" s="35">
        <v>0</v>
      </c>
      <c r="BU307" s="61">
        <v>38169</v>
      </c>
      <c r="BV307" s="61">
        <v>42217</v>
      </c>
      <c r="BW307" s="35" t="s">
        <v>94</v>
      </c>
      <c r="BX307" s="35" t="s">
        <v>95</v>
      </c>
      <c r="BY307" s="35" t="s">
        <v>96</v>
      </c>
      <c r="BZ307" s="35">
        <v>0</v>
      </c>
      <c r="CA307" s="35">
        <v>0</v>
      </c>
      <c r="CB307" s="35" t="s">
        <v>97</v>
      </c>
      <c r="CC307" s="35" t="s">
        <v>509</v>
      </c>
      <c r="CD307" s="35">
        <v>1</v>
      </c>
      <c r="CE307" s="35" t="s">
        <v>435</v>
      </c>
      <c r="CF307" s="35">
        <v>0</v>
      </c>
      <c r="CG307" s="35" t="s">
        <v>97</v>
      </c>
      <c r="CH307" s="35">
        <v>1</v>
      </c>
      <c r="CI307" s="35" t="s">
        <v>97</v>
      </c>
      <c r="CJ307" s="35" t="s">
        <v>98</v>
      </c>
      <c r="CK307" s="35">
        <v>22</v>
      </c>
      <c r="CL307" s="35">
        <v>0</v>
      </c>
      <c r="CM307" s="35">
        <v>0</v>
      </c>
      <c r="CN307" s="35" t="s">
        <v>99</v>
      </c>
      <c r="CO307" s="35" t="s">
        <v>97</v>
      </c>
      <c r="CP307" s="35" t="s">
        <v>100</v>
      </c>
      <c r="CQ307" s="35" t="s">
        <v>126</v>
      </c>
      <c r="CR307" s="36">
        <v>46223</v>
      </c>
      <c r="CT307" s="35" t="s">
        <v>550</v>
      </c>
    </row>
    <row r="308" spans="1:98" s="35" customFormat="1" x14ac:dyDescent="0.35">
      <c r="A308" s="34" t="s">
        <v>857</v>
      </c>
      <c r="B308" s="34" t="s">
        <v>865</v>
      </c>
      <c r="C308" s="35" t="s">
        <v>858</v>
      </c>
      <c r="D308" s="35">
        <v>2021</v>
      </c>
      <c r="E308" s="37" t="s">
        <v>859</v>
      </c>
      <c r="F308" s="34" t="s">
        <v>860</v>
      </c>
      <c r="G308" s="35" t="s">
        <v>78</v>
      </c>
      <c r="H308" s="35">
        <v>1</v>
      </c>
      <c r="I308" s="35" t="s">
        <v>290</v>
      </c>
      <c r="J308" s="35" t="s">
        <v>79</v>
      </c>
      <c r="K308" s="35">
        <v>74</v>
      </c>
      <c r="L308" s="35" t="s">
        <v>104</v>
      </c>
      <c r="M308" s="35" t="s">
        <v>380</v>
      </c>
      <c r="N308" s="35">
        <v>-1.6999999999999999E-3</v>
      </c>
      <c r="O308" s="35">
        <v>5.0000000000000001E-4</v>
      </c>
      <c r="P308" s="89">
        <f t="shared" si="108"/>
        <v>-3.4</v>
      </c>
      <c r="Q308" s="35" t="s">
        <v>312</v>
      </c>
      <c r="R308" s="89">
        <f t="shared" si="109"/>
        <v>-2.6800000000000001E-3</v>
      </c>
      <c r="S308" s="89">
        <f t="shared" si="110"/>
        <v>-7.1999999999999994E-4</v>
      </c>
      <c r="T308" s="35">
        <v>1</v>
      </c>
      <c r="U308" s="35">
        <v>408565</v>
      </c>
      <c r="V308" s="35" t="s">
        <v>312</v>
      </c>
      <c r="W308" s="35" t="s">
        <v>312</v>
      </c>
      <c r="X308" s="35">
        <f t="shared" si="126"/>
        <v>408565</v>
      </c>
      <c r="Y308" s="89">
        <f t="shared" si="111"/>
        <v>-5.3191494569194871E-3</v>
      </c>
      <c r="Z308" s="89">
        <f t="shared" si="112"/>
        <v>1.5644557226233786E-3</v>
      </c>
      <c r="AA308" s="89">
        <f t="shared" si="124"/>
        <v>-5.3191494569194871E-3</v>
      </c>
      <c r="AB308" s="35" t="s">
        <v>81</v>
      </c>
      <c r="AC308" s="89">
        <f t="shared" si="127"/>
        <v>-9.0473999999999999E-2</v>
      </c>
      <c r="AD308" s="89" cm="1">
        <f t="array" ref="AD308">_xlfn.IFS(
AND(L308="marginal_effect",M308="level"),N308*AN308/BF308,
AND(L308="marginal_effect",M308="sd (Y)"),N308*BH308*AN308/BF308,
AND(L308="marginal_effect",M308="sd (X)"),N308/AQ308*AN308/BF308,
AND(L308="semi_elasticity",M308="level"),N308*AN308,
AND(L308="semi_elasticity",M308="sd (Y)"),N308*AN308*BH308,
AND(L308="semi_elasticity",M308="sd (X)"),N308*AN308/AQ308,
AND(L308="level-log",M308="level"),N308/BF308,
AND(L308="level-log",M308="sd (X)"),N308/BF308/AQ308,
AND(L308="level-log",M308="sd (Y)"),N308/BF308*BH308,
AND(L308="elasticity",M308="level"),N308,
AND(L308="elasticity",M308="sd (X)"),N308/AQ308,
AND(L308="elasticity",M308="sd (Y)"),N308*BH308,
AND(L308="marginal_effect",M308="percent_of_mean"),N308*AN308/BF308/10)</f>
        <v>-9.0473999999999999E-2</v>
      </c>
      <c r="AE308" s="49">
        <f t="shared" si="113"/>
        <v>1</v>
      </c>
      <c r="AF308" s="89">
        <f t="shared" si="128"/>
        <v>2.6610000000000002E-2</v>
      </c>
      <c r="AG308" s="89" cm="1">
        <f t="array" ref="AG308">_xlfn.IFS(
AND(L308="marginal_effect",M308="level"),O308*AN308/BF308,
AND(L308="marginal_effect",M308="sd (Y)"),O308*BH308*AN308/BF308,
AND(L308="marginal_effect",M308="sd (X)"),O308/AQ308*AN308/BF308,
AND(L308="semi_elasticity",M308="level"),O308*AN308,
AND(L308="semi_elasticity",M308="sd (Y)"),O308*AN308*BH308,
AND(L308="semi_elasticity",M308="sd (X)"),O308*AN308/AQ308,
AND(L308="level-log",M308="level"),O308/BF308,
AND(L308="level-log",M308="sd (X)"),O308/BF308/AQ308,
AND(L308="level-log",M308="sd (Y)"),O308/BF308*BH308,
AND(L308="elasticity",M308="level"),O308,
AND(L308="elasticity",M308="sd (X)"),O308/AQ308,
AND(L308="elasticity",M308="sd (Y)"),O308*BH308,
AND(L308="marginal_effect",M308="percent_of_mean"),O308*AN308/BF308/10)</f>
        <v>2.6610000000000002E-2</v>
      </c>
      <c r="AH308" s="49">
        <f t="shared" si="114"/>
        <v>1</v>
      </c>
      <c r="AI308" s="89">
        <f t="shared" si="125"/>
        <v>-9.0473999999999999E-2</v>
      </c>
      <c r="AJ308" s="35">
        <v>0</v>
      </c>
      <c r="AK308" s="35">
        <f t="shared" si="115"/>
        <v>1</v>
      </c>
      <c r="AL308" s="35" t="s">
        <v>431</v>
      </c>
      <c r="AM308" s="35" t="s">
        <v>737</v>
      </c>
      <c r="AN308" s="35">
        <v>53.22</v>
      </c>
      <c r="AO308" s="35">
        <v>0</v>
      </c>
      <c r="AP308" s="35">
        <f t="shared" si="121"/>
        <v>53.22</v>
      </c>
      <c r="AQ308" s="35">
        <v>15.91</v>
      </c>
      <c r="AR308" s="35">
        <v>27.13</v>
      </c>
      <c r="AS308" s="35">
        <v>102.8</v>
      </c>
      <c r="AT308" s="35" t="s">
        <v>83</v>
      </c>
      <c r="AU308" s="35" t="s">
        <v>109</v>
      </c>
      <c r="AV308" s="35" t="s">
        <v>133</v>
      </c>
      <c r="AX308" s="35" t="s">
        <v>86</v>
      </c>
      <c r="AY308" s="35">
        <v>0</v>
      </c>
      <c r="AZ308" s="35">
        <v>0</v>
      </c>
      <c r="BA308" s="35" t="s">
        <v>391</v>
      </c>
      <c r="BB308" s="35" t="s">
        <v>88</v>
      </c>
      <c r="BC308" s="35" t="s">
        <v>89</v>
      </c>
      <c r="BD308" s="35" t="s">
        <v>90</v>
      </c>
      <c r="BE308" s="35" t="s">
        <v>861</v>
      </c>
      <c r="BF308" s="35">
        <v>68.260000000000005</v>
      </c>
      <c r="BG308" s="35">
        <v>0</v>
      </c>
      <c r="BH308" s="35">
        <v>97.9</v>
      </c>
      <c r="BI308" s="35">
        <v>2</v>
      </c>
      <c r="BJ308" s="35">
        <v>3310</v>
      </c>
      <c r="BK308" s="35" t="s">
        <v>91</v>
      </c>
      <c r="BL308" s="35" t="s">
        <v>84</v>
      </c>
      <c r="BM308" s="35">
        <v>1</v>
      </c>
      <c r="BN308" s="35" t="s">
        <v>2177</v>
      </c>
      <c r="BO308" s="35" t="s">
        <v>375</v>
      </c>
      <c r="BP308" s="35" t="s">
        <v>312</v>
      </c>
      <c r="BQ308" s="35" t="s">
        <v>117</v>
      </c>
      <c r="BR308" s="35" t="s">
        <v>93</v>
      </c>
      <c r="BS308" s="35" t="s">
        <v>312</v>
      </c>
      <c r="BT308" s="35">
        <v>0</v>
      </c>
      <c r="BU308" s="61">
        <v>38169</v>
      </c>
      <c r="BV308" s="61">
        <v>42217</v>
      </c>
      <c r="BW308" s="35" t="s">
        <v>94</v>
      </c>
      <c r="BX308" s="35" t="s">
        <v>95</v>
      </c>
      <c r="BY308" s="35" t="s">
        <v>96</v>
      </c>
      <c r="BZ308" s="35">
        <v>0</v>
      </c>
      <c r="CA308" s="35">
        <v>0</v>
      </c>
      <c r="CB308" s="35" t="s">
        <v>97</v>
      </c>
      <c r="CC308" s="35" t="s">
        <v>509</v>
      </c>
      <c r="CD308" s="35">
        <v>1</v>
      </c>
      <c r="CE308" s="35" t="s">
        <v>866</v>
      </c>
      <c r="CF308" s="35">
        <v>0</v>
      </c>
      <c r="CG308" s="35" t="s">
        <v>97</v>
      </c>
      <c r="CH308" s="35">
        <v>1</v>
      </c>
      <c r="CI308" s="35" t="s">
        <v>97</v>
      </c>
      <c r="CJ308" s="35" t="s">
        <v>98</v>
      </c>
      <c r="CK308" s="35">
        <v>22</v>
      </c>
      <c r="CL308" s="35">
        <v>0</v>
      </c>
      <c r="CM308" s="35">
        <v>0</v>
      </c>
      <c r="CN308" s="35" t="s">
        <v>99</v>
      </c>
      <c r="CO308" s="35" t="s">
        <v>97</v>
      </c>
      <c r="CP308" s="35" t="s">
        <v>100</v>
      </c>
      <c r="CQ308" s="35" t="s">
        <v>126</v>
      </c>
      <c r="CR308" s="36">
        <v>46223</v>
      </c>
      <c r="CT308" s="35" t="s">
        <v>551</v>
      </c>
    </row>
    <row r="309" spans="1:98" s="35" customFormat="1" x14ac:dyDescent="0.35">
      <c r="A309" s="34" t="s">
        <v>857</v>
      </c>
      <c r="B309" s="34" t="s">
        <v>865</v>
      </c>
      <c r="C309" s="35" t="s">
        <v>858</v>
      </c>
      <c r="D309" s="35">
        <v>2021</v>
      </c>
      <c r="E309" s="37" t="s">
        <v>859</v>
      </c>
      <c r="F309" s="34" t="s">
        <v>860</v>
      </c>
      <c r="G309" s="35" t="s">
        <v>78</v>
      </c>
      <c r="H309" s="35">
        <v>1</v>
      </c>
      <c r="I309" s="35" t="s">
        <v>290</v>
      </c>
      <c r="J309" s="35" t="s">
        <v>79</v>
      </c>
      <c r="K309" s="35">
        <v>74</v>
      </c>
      <c r="L309" s="35" t="s">
        <v>104</v>
      </c>
      <c r="M309" s="35" t="s">
        <v>380</v>
      </c>
      <c r="N309" s="35">
        <v>-1.6000000000000001E-3</v>
      </c>
      <c r="O309" s="35">
        <v>4.0000000000000002E-4</v>
      </c>
      <c r="P309" s="89">
        <f t="shared" si="108"/>
        <v>-4</v>
      </c>
      <c r="Q309" s="35" t="s">
        <v>312</v>
      </c>
      <c r="R309" s="89">
        <f t="shared" si="109"/>
        <v>-2.3839999999999998E-3</v>
      </c>
      <c r="S309" s="89">
        <f t="shared" si="110"/>
        <v>-8.160000000000001E-4</v>
      </c>
      <c r="T309" s="35">
        <v>1</v>
      </c>
      <c r="U309" s="35">
        <v>408565</v>
      </c>
      <c r="V309" s="35" t="s">
        <v>312</v>
      </c>
      <c r="W309" s="35" t="s">
        <v>312</v>
      </c>
      <c r="X309" s="35">
        <f t="shared" si="126"/>
        <v>408565</v>
      </c>
      <c r="Y309" s="89">
        <f t="shared" si="111"/>
        <v>-6.257788888901274E-3</v>
      </c>
      <c r="Z309" s="89">
        <f t="shared" si="112"/>
        <v>1.5644472222253187E-3</v>
      </c>
      <c r="AA309" s="89">
        <f t="shared" si="124"/>
        <v>-6.257788888901274E-3</v>
      </c>
      <c r="AB309" s="35" t="s">
        <v>81</v>
      </c>
      <c r="AC309" s="89">
        <f t="shared" si="127"/>
        <v>-8.5152000000000005E-2</v>
      </c>
      <c r="AD309" s="89" cm="1">
        <f t="array" ref="AD309">_xlfn.IFS(
AND(L309="marginal_effect",M309="level"),N309*AN309/BF309,
AND(L309="marginal_effect",M309="sd (Y)"),N309*BH309*AN309/BF309,
AND(L309="marginal_effect",M309="sd (X)"),N309/AQ309*AN309/BF309,
AND(L309="semi_elasticity",M309="level"),N309*AN309,
AND(L309="semi_elasticity",M309="sd (Y)"),N309*AN309*BH309,
AND(L309="semi_elasticity",M309="sd (X)"),N309*AN309/AQ309,
AND(L309="level-log",M309="level"),N309/BF309,
AND(L309="level-log",M309="sd (X)"),N309/BF309/AQ309,
AND(L309="level-log",M309="sd (Y)"),N309/BF309*BH309,
AND(L309="elasticity",M309="level"),N309,
AND(L309="elasticity",M309="sd (X)"),N309/AQ309,
AND(L309="elasticity",M309="sd (Y)"),N309*BH309,
AND(L309="marginal_effect",M309="percent_of_mean"),N309*AN309/BF309/10)</f>
        <v>-8.5152000000000005E-2</v>
      </c>
      <c r="AE309" s="49">
        <f t="shared" si="113"/>
        <v>1</v>
      </c>
      <c r="AF309" s="89">
        <f t="shared" si="128"/>
        <v>2.1288000000000001E-2</v>
      </c>
      <c r="AG309" s="89" cm="1">
        <f t="array" ref="AG309">_xlfn.IFS(
AND(L309="marginal_effect",M309="level"),O309*AN309/BF309,
AND(L309="marginal_effect",M309="sd (Y)"),O309*BH309*AN309/BF309,
AND(L309="marginal_effect",M309="sd (X)"),O309/AQ309*AN309/BF309,
AND(L309="semi_elasticity",M309="level"),O309*AN309,
AND(L309="semi_elasticity",M309="sd (Y)"),O309*AN309*BH309,
AND(L309="semi_elasticity",M309="sd (X)"),O309*AN309/AQ309,
AND(L309="level-log",M309="level"),O309/BF309,
AND(L309="level-log",M309="sd (X)"),O309/BF309/AQ309,
AND(L309="level-log",M309="sd (Y)"),O309/BF309*BH309,
AND(L309="elasticity",M309="level"),O309,
AND(L309="elasticity",M309="sd (X)"),O309/AQ309,
AND(L309="elasticity",M309="sd (Y)"),O309*BH309,
AND(L309="marginal_effect",M309="percent_of_mean"),O309*AN309/BF309/10)</f>
        <v>2.1288000000000001E-2</v>
      </c>
      <c r="AH309" s="49">
        <f t="shared" si="114"/>
        <v>1</v>
      </c>
      <c r="AI309" s="89">
        <f t="shared" si="125"/>
        <v>-8.5152000000000005E-2</v>
      </c>
      <c r="AJ309" s="35">
        <v>0</v>
      </c>
      <c r="AK309" s="35">
        <f t="shared" si="115"/>
        <v>1</v>
      </c>
      <c r="AL309" s="35" t="s">
        <v>431</v>
      </c>
      <c r="AM309" s="35" t="s">
        <v>737</v>
      </c>
      <c r="AN309" s="35">
        <v>53.22</v>
      </c>
      <c r="AO309" s="35">
        <v>0</v>
      </c>
      <c r="AP309" s="35">
        <f t="shared" si="121"/>
        <v>53.22</v>
      </c>
      <c r="AQ309" s="35">
        <v>15.91</v>
      </c>
      <c r="AR309" s="35">
        <v>27.13</v>
      </c>
      <c r="AS309" s="35">
        <v>102.8</v>
      </c>
      <c r="AT309" s="35" t="s">
        <v>83</v>
      </c>
      <c r="AU309" s="35" t="s">
        <v>109</v>
      </c>
      <c r="AV309" s="35" t="s">
        <v>133</v>
      </c>
      <c r="AX309" s="35" t="s">
        <v>86</v>
      </c>
      <c r="AY309" s="35">
        <v>0</v>
      </c>
      <c r="AZ309" s="35">
        <v>0</v>
      </c>
      <c r="BA309" s="35" t="s">
        <v>391</v>
      </c>
      <c r="BB309" s="35" t="s">
        <v>88</v>
      </c>
      <c r="BC309" s="35" t="s">
        <v>89</v>
      </c>
      <c r="BD309" s="35" t="s">
        <v>90</v>
      </c>
      <c r="BE309" s="35" t="s">
        <v>861</v>
      </c>
      <c r="BF309" s="35">
        <v>68.260000000000005</v>
      </c>
      <c r="BG309" s="35">
        <v>0</v>
      </c>
      <c r="BH309" s="35">
        <v>97.9</v>
      </c>
      <c r="BI309" s="35">
        <v>2</v>
      </c>
      <c r="BJ309" s="35">
        <v>3310</v>
      </c>
      <c r="BK309" s="35" t="s">
        <v>91</v>
      </c>
      <c r="BL309" s="35" t="s">
        <v>84</v>
      </c>
      <c r="BM309" s="35">
        <v>1</v>
      </c>
      <c r="BN309" s="35" t="s">
        <v>2177</v>
      </c>
      <c r="BO309" s="35" t="s">
        <v>375</v>
      </c>
      <c r="BP309" s="35" t="s">
        <v>312</v>
      </c>
      <c r="BQ309" s="35" t="s">
        <v>117</v>
      </c>
      <c r="BR309" s="35" t="s">
        <v>93</v>
      </c>
      <c r="BS309" s="35" t="s">
        <v>312</v>
      </c>
      <c r="BT309" s="35">
        <v>0</v>
      </c>
      <c r="BU309" s="61">
        <v>38169</v>
      </c>
      <c r="BV309" s="61">
        <v>42217</v>
      </c>
      <c r="BW309" s="35" t="s">
        <v>94</v>
      </c>
      <c r="BX309" s="35" t="s">
        <v>95</v>
      </c>
      <c r="BY309" s="35" t="s">
        <v>96</v>
      </c>
      <c r="BZ309" s="35">
        <v>0</v>
      </c>
      <c r="CA309" s="35">
        <v>0</v>
      </c>
      <c r="CB309" s="35" t="s">
        <v>97</v>
      </c>
      <c r="CC309" s="35" t="s">
        <v>314</v>
      </c>
      <c r="CD309" s="35">
        <v>1</v>
      </c>
      <c r="CE309" s="35" t="s">
        <v>866</v>
      </c>
      <c r="CF309" s="35">
        <v>0</v>
      </c>
      <c r="CG309" s="35" t="s">
        <v>97</v>
      </c>
      <c r="CH309" s="35">
        <v>1</v>
      </c>
      <c r="CI309" s="35" t="s">
        <v>97</v>
      </c>
      <c r="CJ309" s="35" t="s">
        <v>98</v>
      </c>
      <c r="CK309" s="35">
        <v>22</v>
      </c>
      <c r="CL309" s="35">
        <v>0</v>
      </c>
      <c r="CM309" s="35">
        <v>0</v>
      </c>
      <c r="CN309" s="35" t="s">
        <v>99</v>
      </c>
      <c r="CO309" s="35" t="s">
        <v>97</v>
      </c>
      <c r="CP309" s="35" t="s">
        <v>100</v>
      </c>
      <c r="CQ309" s="35" t="s">
        <v>126</v>
      </c>
      <c r="CR309" s="36">
        <v>46223</v>
      </c>
      <c r="CT309" s="35" t="s">
        <v>552</v>
      </c>
    </row>
    <row r="310" spans="1:98" s="35" customFormat="1" x14ac:dyDescent="0.35">
      <c r="A310" s="34" t="s">
        <v>857</v>
      </c>
      <c r="B310" s="34" t="s">
        <v>867</v>
      </c>
      <c r="C310" s="35" t="s">
        <v>858</v>
      </c>
      <c r="D310" s="35">
        <v>2021</v>
      </c>
      <c r="E310" s="37" t="s">
        <v>859</v>
      </c>
      <c r="F310" s="34" t="s">
        <v>860</v>
      </c>
      <c r="G310" s="35" t="s">
        <v>78</v>
      </c>
      <c r="H310" s="35">
        <v>1</v>
      </c>
      <c r="I310" s="35" t="s">
        <v>290</v>
      </c>
      <c r="J310" s="35" t="s">
        <v>79</v>
      </c>
      <c r="K310" s="35">
        <v>74</v>
      </c>
      <c r="L310" s="35" t="s">
        <v>104</v>
      </c>
      <c r="M310" s="35" t="s">
        <v>380</v>
      </c>
      <c r="N310" s="35">
        <v>-5.4000000000000003E-3</v>
      </c>
      <c r="O310" s="35">
        <v>1E-4</v>
      </c>
      <c r="P310" s="89">
        <f t="shared" si="108"/>
        <v>-54</v>
      </c>
      <c r="Q310" s="35" t="s">
        <v>312</v>
      </c>
      <c r="R310" s="89">
        <f t="shared" si="109"/>
        <v>-5.5960000000000003E-3</v>
      </c>
      <c r="S310" s="89">
        <f t="shared" si="110"/>
        <v>-5.2040000000000003E-3</v>
      </c>
      <c r="T310" s="35">
        <v>1</v>
      </c>
      <c r="U310" s="35">
        <v>408565</v>
      </c>
      <c r="V310" s="35" t="s">
        <v>312</v>
      </c>
      <c r="W310" s="35" t="s">
        <v>312</v>
      </c>
      <c r="X310" s="35">
        <f t="shared" si="126"/>
        <v>408565</v>
      </c>
      <c r="Y310" s="89">
        <f t="shared" si="111"/>
        <v>-8.4181927698369644E-2</v>
      </c>
      <c r="Z310" s="89">
        <f t="shared" si="112"/>
        <v>1.5589245870068452E-3</v>
      </c>
      <c r="AA310" s="89">
        <f t="shared" si="124"/>
        <v>-8.4181927698369644E-2</v>
      </c>
      <c r="AB310" s="35" t="s">
        <v>81</v>
      </c>
      <c r="AC310" s="89">
        <f t="shared" si="127"/>
        <v>-0.28738800000000003</v>
      </c>
      <c r="AD310" s="89" cm="1">
        <f t="array" ref="AD310">_xlfn.IFS(
AND(L310="marginal_effect",M310="level"),N310*AN310/BF310,
AND(L310="marginal_effect",M310="sd (Y)"),N310*BH310*AN310/BF310,
AND(L310="marginal_effect",M310="sd (X)"),N310/AQ310*AN310/BF310,
AND(L310="semi_elasticity",M310="level"),N310*AN310,
AND(L310="semi_elasticity",M310="sd (Y)"),N310*AN310*BH310,
AND(L310="semi_elasticity",M310="sd (X)"),N310*AN310/AQ310,
AND(L310="level-log",M310="level"),N310/BF310,
AND(L310="level-log",M310="sd (X)"),N310/BF310/AQ310,
AND(L310="level-log",M310="sd (Y)"),N310/BF310*BH310,
AND(L310="elasticity",M310="level"),N310,
AND(L310="elasticity",M310="sd (X)"),N310/AQ310,
AND(L310="elasticity",M310="sd (Y)"),N310*BH310,
AND(L310="marginal_effect",M310="percent_of_mean"),N310*AN310/BF310/10)</f>
        <v>-0.28738800000000003</v>
      </c>
      <c r="AE310" s="49">
        <f t="shared" si="113"/>
        <v>1</v>
      </c>
      <c r="AF310" s="89">
        <f t="shared" si="128"/>
        <v>5.3220000000000003E-3</v>
      </c>
      <c r="AG310" s="89" cm="1">
        <f t="array" ref="AG310">_xlfn.IFS(
AND(L310="marginal_effect",M310="level"),O310*AN310/BF310,
AND(L310="marginal_effect",M310="sd (Y)"),O310*BH310*AN310/BF310,
AND(L310="marginal_effect",M310="sd (X)"),O310/AQ310*AN310/BF310,
AND(L310="semi_elasticity",M310="level"),O310*AN310,
AND(L310="semi_elasticity",M310="sd (Y)"),O310*AN310*BH310,
AND(L310="semi_elasticity",M310="sd (X)"),O310*AN310/AQ310,
AND(L310="level-log",M310="level"),O310/BF310,
AND(L310="level-log",M310="sd (X)"),O310/BF310/AQ310,
AND(L310="level-log",M310="sd (Y)"),O310/BF310*BH310,
AND(L310="elasticity",M310="level"),O310,
AND(L310="elasticity",M310="sd (X)"),O310/AQ310,
AND(L310="elasticity",M310="sd (Y)"),O310*BH310,
AND(L310="marginal_effect",M310="percent_of_mean"),O310*AN310/BF310/10)</f>
        <v>5.3220000000000003E-3</v>
      </c>
      <c r="AH310" s="49">
        <f t="shared" si="114"/>
        <v>1</v>
      </c>
      <c r="AI310" s="89">
        <f t="shared" si="125"/>
        <v>-0.28738800000000003</v>
      </c>
      <c r="AJ310" s="35">
        <v>0</v>
      </c>
      <c r="AK310" s="35">
        <f t="shared" si="115"/>
        <v>1</v>
      </c>
      <c r="AL310" s="35" t="s">
        <v>431</v>
      </c>
      <c r="AM310" s="35" t="s">
        <v>737</v>
      </c>
      <c r="AN310" s="35">
        <v>53.22</v>
      </c>
      <c r="AO310" s="35">
        <v>0</v>
      </c>
      <c r="AP310" s="35">
        <f t="shared" si="121"/>
        <v>53.22</v>
      </c>
      <c r="AQ310" s="35">
        <v>15.91</v>
      </c>
      <c r="AR310" s="35">
        <v>27.13</v>
      </c>
      <c r="AS310" s="35">
        <v>102.8</v>
      </c>
      <c r="AT310" s="35" t="s">
        <v>83</v>
      </c>
      <c r="AU310" s="35" t="s">
        <v>109</v>
      </c>
      <c r="AV310" s="35" t="s">
        <v>133</v>
      </c>
      <c r="AX310" s="35" t="s">
        <v>86</v>
      </c>
      <c r="AY310" s="35">
        <v>0</v>
      </c>
      <c r="AZ310" s="35">
        <v>0</v>
      </c>
      <c r="BA310" s="35" t="s">
        <v>391</v>
      </c>
      <c r="BB310" s="35" t="s">
        <v>88</v>
      </c>
      <c r="BC310" s="35" t="s">
        <v>89</v>
      </c>
      <c r="BD310" s="35" t="s">
        <v>90</v>
      </c>
      <c r="BE310" s="35" t="s">
        <v>861</v>
      </c>
      <c r="BF310" s="35">
        <v>68.260000000000005</v>
      </c>
      <c r="BG310" s="35">
        <v>0</v>
      </c>
      <c r="BH310" s="35">
        <v>97.9</v>
      </c>
      <c r="BI310" s="35">
        <v>2</v>
      </c>
      <c r="BJ310" s="35">
        <v>3310</v>
      </c>
      <c r="BK310" s="35" t="s">
        <v>91</v>
      </c>
      <c r="BL310" s="35" t="s">
        <v>84</v>
      </c>
      <c r="BM310" s="35">
        <v>1</v>
      </c>
      <c r="BN310" s="35" t="s">
        <v>2177</v>
      </c>
      <c r="BO310" s="35" t="s">
        <v>375</v>
      </c>
      <c r="BP310" s="35" t="s">
        <v>312</v>
      </c>
      <c r="BQ310" s="35" t="s">
        <v>117</v>
      </c>
      <c r="BR310" s="35" t="s">
        <v>93</v>
      </c>
      <c r="BS310" s="35" t="s">
        <v>312</v>
      </c>
      <c r="BT310" s="35">
        <v>0</v>
      </c>
      <c r="BU310" s="61">
        <v>38169</v>
      </c>
      <c r="BV310" s="61">
        <v>42217</v>
      </c>
      <c r="BW310" s="35" t="s">
        <v>94</v>
      </c>
      <c r="BX310" s="35" t="s">
        <v>95</v>
      </c>
      <c r="BY310" s="35" t="s">
        <v>748</v>
      </c>
      <c r="BZ310" s="35">
        <v>1</v>
      </c>
      <c r="CA310" s="35">
        <v>1</v>
      </c>
      <c r="CB310" s="35" t="s">
        <v>871</v>
      </c>
      <c r="CC310" s="35" t="s">
        <v>97</v>
      </c>
      <c r="CD310" s="35">
        <v>0</v>
      </c>
      <c r="CE310" s="35" t="s">
        <v>97</v>
      </c>
      <c r="CF310" s="35">
        <v>0</v>
      </c>
      <c r="CG310" s="35" t="s">
        <v>97</v>
      </c>
      <c r="CH310" s="35">
        <v>1</v>
      </c>
      <c r="CI310" s="35" t="s">
        <v>97</v>
      </c>
      <c r="CJ310" s="35" t="s">
        <v>98</v>
      </c>
      <c r="CK310" s="35">
        <v>22</v>
      </c>
      <c r="CL310" s="35">
        <v>0</v>
      </c>
      <c r="CM310" s="35">
        <v>0</v>
      </c>
      <c r="CN310" s="35" t="s">
        <v>99</v>
      </c>
      <c r="CO310" s="35" t="s">
        <v>97</v>
      </c>
      <c r="CP310" s="35" t="s">
        <v>100</v>
      </c>
      <c r="CQ310" s="35" t="s">
        <v>126</v>
      </c>
      <c r="CR310" s="36">
        <v>46223</v>
      </c>
      <c r="CT310" s="35" t="s">
        <v>437</v>
      </c>
    </row>
    <row r="311" spans="1:98" s="35" customFormat="1" x14ac:dyDescent="0.35">
      <c r="A311" s="34" t="s">
        <v>857</v>
      </c>
      <c r="B311" s="34" t="s">
        <v>868</v>
      </c>
      <c r="C311" s="35" t="s">
        <v>858</v>
      </c>
      <c r="D311" s="35">
        <v>2021</v>
      </c>
      <c r="E311" s="37" t="s">
        <v>859</v>
      </c>
      <c r="F311" s="34" t="s">
        <v>860</v>
      </c>
      <c r="G311" s="35" t="s">
        <v>78</v>
      </c>
      <c r="H311" s="35">
        <v>1</v>
      </c>
      <c r="I311" s="35" t="s">
        <v>290</v>
      </c>
      <c r="J311" s="35" t="s">
        <v>79</v>
      </c>
      <c r="K311" s="35">
        <v>74</v>
      </c>
      <c r="L311" s="35" t="s">
        <v>104</v>
      </c>
      <c r="M311" s="35" t="s">
        <v>380</v>
      </c>
      <c r="N311" s="35">
        <v>-6.9999999999999999E-4</v>
      </c>
      <c r="O311" s="35">
        <v>1E-4</v>
      </c>
      <c r="P311" s="89">
        <f t="shared" si="108"/>
        <v>-7</v>
      </c>
      <c r="Q311" s="35" t="s">
        <v>312</v>
      </c>
      <c r="R311" s="89">
        <f t="shared" si="109"/>
        <v>-8.9599999999999999E-4</v>
      </c>
      <c r="S311" s="89">
        <f t="shared" si="110"/>
        <v>-5.04E-4</v>
      </c>
      <c r="T311" s="35">
        <v>1</v>
      </c>
      <c r="U311" s="35">
        <v>408565</v>
      </c>
      <c r="V311" s="35" t="s">
        <v>312</v>
      </c>
      <c r="W311" s="35" t="s">
        <v>312</v>
      </c>
      <c r="X311" s="35">
        <f t="shared" si="126"/>
        <v>408565</v>
      </c>
      <c r="Y311" s="89">
        <f t="shared" si="111"/>
        <v>-1.0950688335529566E-2</v>
      </c>
      <c r="Z311" s="89">
        <f t="shared" si="112"/>
        <v>1.5643840479327951E-3</v>
      </c>
      <c r="AA311" s="89">
        <f t="shared" si="124"/>
        <v>-1.0950688335529566E-2</v>
      </c>
      <c r="AB311" s="35" t="s">
        <v>81</v>
      </c>
      <c r="AC311" s="89">
        <f t="shared" si="127"/>
        <v>-3.7253999999999995E-2</v>
      </c>
      <c r="AD311" s="89" cm="1">
        <f t="array" ref="AD311">_xlfn.IFS(
AND(L311="marginal_effect",M311="level"),N311*AN311/BF311,
AND(L311="marginal_effect",M311="sd (Y)"),N311*BH311*AN311/BF311,
AND(L311="marginal_effect",M311="sd (X)"),N311/AQ311*AN311/BF311,
AND(L311="semi_elasticity",M311="level"),N311*AN311,
AND(L311="semi_elasticity",M311="sd (Y)"),N311*AN311*BH311,
AND(L311="semi_elasticity",M311="sd (X)"),N311*AN311/AQ311,
AND(L311="level-log",M311="level"),N311/BF311,
AND(L311="level-log",M311="sd (X)"),N311/BF311/AQ311,
AND(L311="level-log",M311="sd (Y)"),N311/BF311*BH311,
AND(L311="elasticity",M311="level"),N311,
AND(L311="elasticity",M311="sd (X)"),N311/AQ311,
AND(L311="elasticity",M311="sd (Y)"),N311*BH311,
AND(L311="marginal_effect",M311="percent_of_mean"),N311*AN311/BF311/10)</f>
        <v>-3.7253999999999995E-2</v>
      </c>
      <c r="AE311" s="49">
        <f t="shared" si="113"/>
        <v>1</v>
      </c>
      <c r="AF311" s="89">
        <f t="shared" si="128"/>
        <v>5.3220000000000003E-3</v>
      </c>
      <c r="AG311" s="89" cm="1">
        <f t="array" ref="AG311">_xlfn.IFS(
AND(L311="marginal_effect",M311="level"),O311*AN311/BF311,
AND(L311="marginal_effect",M311="sd (Y)"),O311*BH311*AN311/BF311,
AND(L311="marginal_effect",M311="sd (X)"),O311/AQ311*AN311/BF311,
AND(L311="semi_elasticity",M311="level"),O311*AN311,
AND(L311="semi_elasticity",M311="sd (Y)"),O311*AN311*BH311,
AND(L311="semi_elasticity",M311="sd (X)"),O311*AN311/AQ311,
AND(L311="level-log",M311="level"),O311/BF311,
AND(L311="level-log",M311="sd (X)"),O311/BF311/AQ311,
AND(L311="level-log",M311="sd (Y)"),O311/BF311*BH311,
AND(L311="elasticity",M311="level"),O311,
AND(L311="elasticity",M311="sd (X)"),O311/AQ311,
AND(L311="elasticity",M311="sd (Y)"),O311*BH311,
AND(L311="marginal_effect",M311="percent_of_mean"),O311*AN311/BF311/10)</f>
        <v>5.3220000000000003E-3</v>
      </c>
      <c r="AH311" s="49">
        <f t="shared" si="114"/>
        <v>1</v>
      </c>
      <c r="AI311" s="89">
        <f t="shared" si="125"/>
        <v>-3.7253999999999995E-2</v>
      </c>
      <c r="AJ311" s="35">
        <v>0</v>
      </c>
      <c r="AK311" s="35">
        <f t="shared" si="115"/>
        <v>1</v>
      </c>
      <c r="AL311" s="35" t="s">
        <v>431</v>
      </c>
      <c r="AM311" s="35" t="s">
        <v>737</v>
      </c>
      <c r="AN311" s="35">
        <v>53.22</v>
      </c>
      <c r="AO311" s="35">
        <v>0</v>
      </c>
      <c r="AP311" s="35">
        <f t="shared" si="121"/>
        <v>53.22</v>
      </c>
      <c r="AQ311" s="35">
        <v>15.91</v>
      </c>
      <c r="AR311" s="35">
        <v>27.13</v>
      </c>
      <c r="AS311" s="35">
        <v>102.8</v>
      </c>
      <c r="AT311" s="35" t="s">
        <v>83</v>
      </c>
      <c r="AU311" s="35" t="s">
        <v>109</v>
      </c>
      <c r="AV311" s="35" t="s">
        <v>133</v>
      </c>
      <c r="AX311" s="35" t="s">
        <v>86</v>
      </c>
      <c r="AY311" s="35">
        <v>0</v>
      </c>
      <c r="AZ311" s="35">
        <v>0</v>
      </c>
      <c r="BA311" s="35" t="s">
        <v>391</v>
      </c>
      <c r="BB311" s="35" t="s">
        <v>88</v>
      </c>
      <c r="BC311" s="35" t="s">
        <v>89</v>
      </c>
      <c r="BD311" s="35" t="s">
        <v>90</v>
      </c>
      <c r="BE311" s="35" t="s">
        <v>861</v>
      </c>
      <c r="BF311" s="35">
        <v>68.260000000000005</v>
      </c>
      <c r="BG311" s="35">
        <v>0</v>
      </c>
      <c r="BH311" s="35">
        <v>97.9</v>
      </c>
      <c r="BI311" s="35">
        <v>2</v>
      </c>
      <c r="BJ311" s="35">
        <v>3310</v>
      </c>
      <c r="BK311" s="35" t="s">
        <v>91</v>
      </c>
      <c r="BL311" s="35" t="s">
        <v>84</v>
      </c>
      <c r="BM311" s="35">
        <v>1</v>
      </c>
      <c r="BN311" s="35" t="s">
        <v>2177</v>
      </c>
      <c r="BO311" s="35" t="s">
        <v>375</v>
      </c>
      <c r="BP311" s="35" t="s">
        <v>312</v>
      </c>
      <c r="BQ311" s="35" t="s">
        <v>117</v>
      </c>
      <c r="BR311" s="35" t="s">
        <v>93</v>
      </c>
      <c r="BS311" s="35" t="s">
        <v>312</v>
      </c>
      <c r="BT311" s="35">
        <v>0</v>
      </c>
      <c r="BU311" s="61">
        <v>38169</v>
      </c>
      <c r="BV311" s="61">
        <v>42217</v>
      </c>
      <c r="BW311" s="35" t="s">
        <v>94</v>
      </c>
      <c r="BX311" s="35" t="s">
        <v>95</v>
      </c>
      <c r="BY311" s="35" t="s">
        <v>748</v>
      </c>
      <c r="BZ311" s="35">
        <v>1</v>
      </c>
      <c r="CA311" s="35">
        <v>1</v>
      </c>
      <c r="CB311" s="35" t="s">
        <v>871</v>
      </c>
      <c r="CC311" s="35" t="s">
        <v>509</v>
      </c>
      <c r="CD311" s="35">
        <v>0</v>
      </c>
      <c r="CE311" s="35" t="s">
        <v>97</v>
      </c>
      <c r="CF311" s="35">
        <v>0</v>
      </c>
      <c r="CG311" s="35" t="s">
        <v>97</v>
      </c>
      <c r="CH311" s="35">
        <v>1</v>
      </c>
      <c r="CI311" s="35" t="s">
        <v>97</v>
      </c>
      <c r="CJ311" s="35" t="s">
        <v>98</v>
      </c>
      <c r="CK311" s="35">
        <v>22</v>
      </c>
      <c r="CL311" s="35">
        <v>0</v>
      </c>
      <c r="CM311" s="35">
        <v>0</v>
      </c>
      <c r="CN311" s="35" t="s">
        <v>99</v>
      </c>
      <c r="CO311" s="35" t="s">
        <v>97</v>
      </c>
      <c r="CP311" s="35" t="s">
        <v>100</v>
      </c>
      <c r="CQ311" s="35" t="s">
        <v>126</v>
      </c>
      <c r="CR311" s="36">
        <v>46223</v>
      </c>
      <c r="CT311" s="35" t="s">
        <v>438</v>
      </c>
    </row>
    <row r="312" spans="1:98" s="35" customFormat="1" x14ac:dyDescent="0.35">
      <c r="A312" s="34" t="s">
        <v>857</v>
      </c>
      <c r="B312" s="34" t="s">
        <v>869</v>
      </c>
      <c r="C312" s="35" t="s">
        <v>858</v>
      </c>
      <c r="D312" s="35">
        <v>2021</v>
      </c>
      <c r="E312" s="37" t="s">
        <v>859</v>
      </c>
      <c r="F312" s="34" t="s">
        <v>860</v>
      </c>
      <c r="G312" s="35" t="s">
        <v>78</v>
      </c>
      <c r="H312" s="35">
        <v>1</v>
      </c>
      <c r="I312" s="35" t="s">
        <v>290</v>
      </c>
      <c r="J312" s="35" t="s">
        <v>79</v>
      </c>
      <c r="K312" s="35">
        <v>74</v>
      </c>
      <c r="L312" s="35" t="s">
        <v>104</v>
      </c>
      <c r="M312" s="35" t="s">
        <v>380</v>
      </c>
      <c r="N312" s="35">
        <v>-5.1999999999999998E-3</v>
      </c>
      <c r="O312" s="35">
        <v>1.2999999999999999E-3</v>
      </c>
      <c r="P312" s="89">
        <f t="shared" si="108"/>
        <v>-4</v>
      </c>
      <c r="Q312" s="35" t="s">
        <v>312</v>
      </c>
      <c r="R312" s="89">
        <f t="shared" si="109"/>
        <v>-7.7479999999999997E-3</v>
      </c>
      <c r="S312" s="89">
        <f t="shared" si="110"/>
        <v>-2.6519999999999998E-3</v>
      </c>
      <c r="T312" s="35">
        <v>1</v>
      </c>
      <c r="U312" s="35">
        <v>408565</v>
      </c>
      <c r="V312" s="35" t="s">
        <v>312</v>
      </c>
      <c r="W312" s="35" t="s">
        <v>312</v>
      </c>
      <c r="X312" s="35">
        <f t="shared" si="126"/>
        <v>408565</v>
      </c>
      <c r="Y312" s="89">
        <f t="shared" si="111"/>
        <v>-6.257788888901274E-3</v>
      </c>
      <c r="Z312" s="89">
        <f t="shared" si="112"/>
        <v>1.5644472222253187E-3</v>
      </c>
      <c r="AA312" s="89">
        <f t="shared" si="124"/>
        <v>-6.257788888901274E-3</v>
      </c>
      <c r="AB312" s="35" t="s">
        <v>81</v>
      </c>
      <c r="AC312" s="89">
        <f t="shared" si="127"/>
        <v>-0.27674399999999999</v>
      </c>
      <c r="AD312" s="89" cm="1">
        <f t="array" ref="AD312">_xlfn.IFS(
AND(L312="marginal_effect",M312="level"),N312*AN312/BF312,
AND(L312="marginal_effect",M312="sd (Y)"),N312*BH312*AN312/BF312,
AND(L312="marginal_effect",M312="sd (X)"),N312/AQ312*AN312/BF312,
AND(L312="semi_elasticity",M312="level"),N312*AN312,
AND(L312="semi_elasticity",M312="sd (Y)"),N312*AN312*BH312,
AND(L312="semi_elasticity",M312="sd (X)"),N312*AN312/AQ312,
AND(L312="level-log",M312="level"),N312/BF312,
AND(L312="level-log",M312="sd (X)"),N312/BF312/AQ312,
AND(L312="level-log",M312="sd (Y)"),N312/BF312*BH312,
AND(L312="elasticity",M312="level"),N312,
AND(L312="elasticity",M312="sd (X)"),N312/AQ312,
AND(L312="elasticity",M312="sd (Y)"),N312*BH312,
AND(L312="marginal_effect",M312="percent_of_mean"),N312*AN312/BF312/10)</f>
        <v>-0.27674399999999999</v>
      </c>
      <c r="AE312" s="49">
        <f t="shared" si="113"/>
        <v>1</v>
      </c>
      <c r="AF312" s="89">
        <f t="shared" si="128"/>
        <v>6.9185999999999998E-2</v>
      </c>
      <c r="AG312" s="89" cm="1">
        <f t="array" ref="AG312">_xlfn.IFS(
AND(L312="marginal_effect",M312="level"),O312*AN312/BF312,
AND(L312="marginal_effect",M312="sd (Y)"),O312*BH312*AN312/BF312,
AND(L312="marginal_effect",M312="sd (X)"),O312/AQ312*AN312/BF312,
AND(L312="semi_elasticity",M312="level"),O312*AN312,
AND(L312="semi_elasticity",M312="sd (Y)"),O312*AN312*BH312,
AND(L312="semi_elasticity",M312="sd (X)"),O312*AN312/AQ312,
AND(L312="level-log",M312="level"),O312/BF312,
AND(L312="level-log",M312="sd (X)"),O312/BF312/AQ312,
AND(L312="level-log",M312="sd (Y)"),O312/BF312*BH312,
AND(L312="elasticity",M312="level"),O312,
AND(L312="elasticity",M312="sd (X)"),O312/AQ312,
AND(L312="elasticity",M312="sd (Y)"),O312*BH312,
AND(L312="marginal_effect",M312="percent_of_mean"),O312*AN312/BF312/10)</f>
        <v>6.9185999999999998E-2</v>
      </c>
      <c r="AH312" s="49">
        <f t="shared" si="114"/>
        <v>1</v>
      </c>
      <c r="AI312" s="89">
        <f t="shared" si="125"/>
        <v>-0.27674399999999999</v>
      </c>
      <c r="AJ312" s="35">
        <v>0</v>
      </c>
      <c r="AK312" s="35">
        <f t="shared" si="115"/>
        <v>1</v>
      </c>
      <c r="AL312" s="35" t="s">
        <v>431</v>
      </c>
      <c r="AM312" s="35" t="s">
        <v>737</v>
      </c>
      <c r="AN312" s="35">
        <v>53.22</v>
      </c>
      <c r="AO312" s="35">
        <v>0</v>
      </c>
      <c r="AP312" s="35">
        <f t="shared" si="121"/>
        <v>53.22</v>
      </c>
      <c r="AQ312" s="35">
        <v>15.91</v>
      </c>
      <c r="AR312" s="35">
        <v>27.13</v>
      </c>
      <c r="AS312" s="35">
        <v>102.8</v>
      </c>
      <c r="AT312" s="35" t="s">
        <v>83</v>
      </c>
      <c r="AU312" s="35" t="s">
        <v>109</v>
      </c>
      <c r="AV312" s="35" t="s">
        <v>133</v>
      </c>
      <c r="AX312" s="35" t="s">
        <v>86</v>
      </c>
      <c r="AY312" s="35">
        <v>0</v>
      </c>
      <c r="AZ312" s="35">
        <v>0</v>
      </c>
      <c r="BA312" s="35" t="s">
        <v>391</v>
      </c>
      <c r="BB312" s="35" t="s">
        <v>88</v>
      </c>
      <c r="BC312" s="35" t="s">
        <v>89</v>
      </c>
      <c r="BD312" s="35" t="s">
        <v>90</v>
      </c>
      <c r="BE312" s="35" t="s">
        <v>861</v>
      </c>
      <c r="BF312" s="35">
        <v>68.260000000000005</v>
      </c>
      <c r="BG312" s="35">
        <v>0</v>
      </c>
      <c r="BH312" s="35">
        <v>97.9</v>
      </c>
      <c r="BI312" s="35">
        <v>2</v>
      </c>
      <c r="BJ312" s="35">
        <v>3310</v>
      </c>
      <c r="BK312" s="35" t="s">
        <v>91</v>
      </c>
      <c r="BL312" s="35" t="s">
        <v>84</v>
      </c>
      <c r="BM312" s="35">
        <v>1</v>
      </c>
      <c r="BN312" s="35" t="s">
        <v>2177</v>
      </c>
      <c r="BO312" s="35" t="s">
        <v>375</v>
      </c>
      <c r="BP312" s="35" t="s">
        <v>312</v>
      </c>
      <c r="BQ312" s="35" t="s">
        <v>117</v>
      </c>
      <c r="BR312" s="35" t="s">
        <v>93</v>
      </c>
      <c r="BS312" s="35" t="s">
        <v>312</v>
      </c>
      <c r="BT312" s="35">
        <v>0</v>
      </c>
      <c r="BU312" s="61">
        <v>38169</v>
      </c>
      <c r="BV312" s="61">
        <v>42217</v>
      </c>
      <c r="BW312" s="35" t="s">
        <v>94</v>
      </c>
      <c r="BX312" s="35" t="s">
        <v>95</v>
      </c>
      <c r="BY312" s="35" t="s">
        <v>748</v>
      </c>
      <c r="BZ312" s="35">
        <v>1</v>
      </c>
      <c r="CA312" s="35">
        <v>1</v>
      </c>
      <c r="CB312" s="35" t="s">
        <v>871</v>
      </c>
      <c r="CC312" s="35" t="s">
        <v>509</v>
      </c>
      <c r="CD312" s="35">
        <v>1</v>
      </c>
      <c r="CE312" s="35" t="s">
        <v>435</v>
      </c>
      <c r="CF312" s="35">
        <v>0</v>
      </c>
      <c r="CG312" s="35" t="s">
        <v>97</v>
      </c>
      <c r="CH312" s="35">
        <v>1</v>
      </c>
      <c r="CI312" s="35" t="s">
        <v>97</v>
      </c>
      <c r="CJ312" s="35" t="s">
        <v>98</v>
      </c>
      <c r="CK312" s="35">
        <v>22</v>
      </c>
      <c r="CL312" s="35">
        <v>0</v>
      </c>
      <c r="CM312" s="35">
        <v>0</v>
      </c>
      <c r="CN312" s="35" t="s">
        <v>99</v>
      </c>
      <c r="CO312" s="35" t="s">
        <v>97</v>
      </c>
      <c r="CP312" s="35" t="s">
        <v>100</v>
      </c>
      <c r="CQ312" s="35" t="s">
        <v>126</v>
      </c>
      <c r="CR312" s="36">
        <v>46223</v>
      </c>
      <c r="CT312" s="35" t="s">
        <v>439</v>
      </c>
    </row>
    <row r="313" spans="1:98" s="35" customFormat="1" x14ac:dyDescent="0.35">
      <c r="A313" s="34" t="s">
        <v>857</v>
      </c>
      <c r="B313" s="34" t="s">
        <v>870</v>
      </c>
      <c r="C313" s="35" t="s">
        <v>858</v>
      </c>
      <c r="D313" s="35">
        <v>2021</v>
      </c>
      <c r="E313" s="37" t="s">
        <v>859</v>
      </c>
      <c r="F313" s="34" t="s">
        <v>860</v>
      </c>
      <c r="G313" s="35" t="s">
        <v>78</v>
      </c>
      <c r="H313" s="35">
        <v>1</v>
      </c>
      <c r="I313" s="35" t="s">
        <v>290</v>
      </c>
      <c r="J313" s="35" t="s">
        <v>79</v>
      </c>
      <c r="K313" s="35">
        <v>74</v>
      </c>
      <c r="L313" s="35" t="s">
        <v>104</v>
      </c>
      <c r="M313" s="35" t="s">
        <v>380</v>
      </c>
      <c r="N313" s="35">
        <v>-4.5999999999999999E-3</v>
      </c>
      <c r="O313" s="35">
        <v>1.5E-3</v>
      </c>
      <c r="P313" s="89">
        <f t="shared" si="108"/>
        <v>-3.0666666666666664</v>
      </c>
      <c r="Q313" s="35" t="s">
        <v>312</v>
      </c>
      <c r="R313" s="89">
        <f t="shared" si="109"/>
        <v>-7.5399999999999998E-3</v>
      </c>
      <c r="S313" s="89">
        <f t="shared" si="110"/>
        <v>-1.66E-3</v>
      </c>
      <c r="T313" s="35">
        <v>1</v>
      </c>
      <c r="U313" s="35">
        <v>408565</v>
      </c>
      <c r="V313" s="35" t="s">
        <v>312</v>
      </c>
      <c r="W313" s="35" t="s">
        <v>312</v>
      </c>
      <c r="X313" s="35">
        <f t="shared" si="126"/>
        <v>408565</v>
      </c>
      <c r="Y313" s="89">
        <f t="shared" si="111"/>
        <v>-4.7976768717792112E-3</v>
      </c>
      <c r="Z313" s="89">
        <f t="shared" si="112"/>
        <v>1.5644598494932212E-3</v>
      </c>
      <c r="AA313" s="89">
        <f t="shared" si="124"/>
        <v>-4.7976768717792112E-3</v>
      </c>
      <c r="AB313" s="35" t="s">
        <v>81</v>
      </c>
      <c r="AC313" s="89">
        <f t="shared" si="127"/>
        <v>-0.244812</v>
      </c>
      <c r="AD313" s="89" cm="1">
        <f t="array" ref="AD313">_xlfn.IFS(
AND(L313="marginal_effect",M313="level"),N313*AN313/BF313,
AND(L313="marginal_effect",M313="sd (Y)"),N313*BH313*AN313/BF313,
AND(L313="marginal_effect",M313="sd (X)"),N313/AQ313*AN313/BF313,
AND(L313="semi_elasticity",M313="level"),N313*AN313,
AND(L313="semi_elasticity",M313="sd (Y)"),N313*AN313*BH313,
AND(L313="semi_elasticity",M313="sd (X)"),N313*AN313/AQ313,
AND(L313="level-log",M313="level"),N313/BF313,
AND(L313="level-log",M313="sd (X)"),N313/BF313/AQ313,
AND(L313="level-log",M313="sd (Y)"),N313/BF313*BH313,
AND(L313="elasticity",M313="level"),N313,
AND(L313="elasticity",M313="sd (X)"),N313/AQ313,
AND(L313="elasticity",M313="sd (Y)"),N313*BH313,
AND(L313="marginal_effect",M313="percent_of_mean"),N313*AN313/BF313/10)</f>
        <v>-0.244812</v>
      </c>
      <c r="AE313" s="49">
        <f t="shared" si="113"/>
        <v>1</v>
      </c>
      <c r="AF313" s="89">
        <f t="shared" si="128"/>
        <v>7.9829999999999998E-2</v>
      </c>
      <c r="AG313" s="89" cm="1">
        <f t="array" ref="AG313">_xlfn.IFS(
AND(L313="marginal_effect",M313="level"),O313*AN313/BF313,
AND(L313="marginal_effect",M313="sd (Y)"),O313*BH313*AN313/BF313,
AND(L313="marginal_effect",M313="sd (X)"),O313/AQ313*AN313/BF313,
AND(L313="semi_elasticity",M313="level"),O313*AN313,
AND(L313="semi_elasticity",M313="sd (Y)"),O313*AN313*BH313,
AND(L313="semi_elasticity",M313="sd (X)"),O313*AN313/AQ313,
AND(L313="level-log",M313="level"),O313/BF313,
AND(L313="level-log",M313="sd (X)"),O313/BF313/AQ313,
AND(L313="level-log",M313="sd (Y)"),O313/BF313*BH313,
AND(L313="elasticity",M313="level"),O313,
AND(L313="elasticity",M313="sd (X)"),O313/AQ313,
AND(L313="elasticity",M313="sd (Y)"),O313*BH313,
AND(L313="marginal_effect",M313="percent_of_mean"),O313*AN313/BF313/10)</f>
        <v>7.9829999999999998E-2</v>
      </c>
      <c r="AH313" s="49">
        <f t="shared" si="114"/>
        <v>1</v>
      </c>
      <c r="AI313" s="89">
        <f t="shared" si="125"/>
        <v>-0.244812</v>
      </c>
      <c r="AJ313" s="35">
        <v>0</v>
      </c>
      <c r="AK313" s="35">
        <f t="shared" si="115"/>
        <v>1</v>
      </c>
      <c r="AL313" s="35" t="s">
        <v>431</v>
      </c>
      <c r="AM313" s="35" t="s">
        <v>737</v>
      </c>
      <c r="AN313" s="35">
        <v>53.22</v>
      </c>
      <c r="AO313" s="35">
        <v>0</v>
      </c>
      <c r="AP313" s="35">
        <f t="shared" si="121"/>
        <v>53.22</v>
      </c>
      <c r="AQ313" s="35">
        <v>15.91</v>
      </c>
      <c r="AR313" s="35">
        <v>27.13</v>
      </c>
      <c r="AS313" s="35">
        <v>102.8</v>
      </c>
      <c r="AT313" s="35" t="s">
        <v>83</v>
      </c>
      <c r="AU313" s="35" t="s">
        <v>109</v>
      </c>
      <c r="AV313" s="35" t="s">
        <v>133</v>
      </c>
      <c r="AX313" s="35" t="s">
        <v>86</v>
      </c>
      <c r="AY313" s="35">
        <v>0</v>
      </c>
      <c r="AZ313" s="35">
        <v>0</v>
      </c>
      <c r="BA313" s="35" t="s">
        <v>391</v>
      </c>
      <c r="BB313" s="35" t="s">
        <v>88</v>
      </c>
      <c r="BC313" s="35" t="s">
        <v>89</v>
      </c>
      <c r="BD313" s="35" t="s">
        <v>90</v>
      </c>
      <c r="BE313" s="35" t="s">
        <v>861</v>
      </c>
      <c r="BF313" s="35">
        <v>68.260000000000005</v>
      </c>
      <c r="BG313" s="35">
        <v>0</v>
      </c>
      <c r="BH313" s="35">
        <v>97.9</v>
      </c>
      <c r="BI313" s="35">
        <v>2</v>
      </c>
      <c r="BJ313" s="35">
        <v>3310</v>
      </c>
      <c r="BK313" s="35" t="s">
        <v>91</v>
      </c>
      <c r="BL313" s="35" t="s">
        <v>84</v>
      </c>
      <c r="BM313" s="35">
        <v>1</v>
      </c>
      <c r="BN313" s="35" t="s">
        <v>2177</v>
      </c>
      <c r="BO313" s="35" t="s">
        <v>375</v>
      </c>
      <c r="BP313" s="35" t="s">
        <v>312</v>
      </c>
      <c r="BQ313" s="35" t="s">
        <v>117</v>
      </c>
      <c r="BR313" s="35" t="s">
        <v>93</v>
      </c>
      <c r="BS313" s="35" t="s">
        <v>312</v>
      </c>
      <c r="BT313" s="35">
        <v>0</v>
      </c>
      <c r="BU313" s="61">
        <v>38169</v>
      </c>
      <c r="BV313" s="61">
        <v>42217</v>
      </c>
      <c r="BW313" s="35" t="s">
        <v>94</v>
      </c>
      <c r="BX313" s="35" t="s">
        <v>95</v>
      </c>
      <c r="BY313" s="35" t="s">
        <v>748</v>
      </c>
      <c r="BZ313" s="35">
        <v>1</v>
      </c>
      <c r="CA313" s="35">
        <v>1</v>
      </c>
      <c r="CB313" s="35" t="s">
        <v>871</v>
      </c>
      <c r="CC313" s="35" t="s">
        <v>509</v>
      </c>
      <c r="CD313" s="35">
        <v>1</v>
      </c>
      <c r="CE313" s="35" t="s">
        <v>866</v>
      </c>
      <c r="CF313" s="35">
        <v>0</v>
      </c>
      <c r="CG313" s="35" t="s">
        <v>97</v>
      </c>
      <c r="CH313" s="35">
        <v>1</v>
      </c>
      <c r="CI313" s="35" t="s">
        <v>97</v>
      </c>
      <c r="CJ313" s="35" t="s">
        <v>98</v>
      </c>
      <c r="CK313" s="35">
        <v>22</v>
      </c>
      <c r="CL313" s="35">
        <v>0</v>
      </c>
      <c r="CM313" s="35">
        <v>0</v>
      </c>
      <c r="CN313" s="35" t="s">
        <v>99</v>
      </c>
      <c r="CO313" s="35" t="s">
        <v>97</v>
      </c>
      <c r="CP313" s="35" t="s">
        <v>100</v>
      </c>
      <c r="CQ313" s="35" t="s">
        <v>126</v>
      </c>
      <c r="CR313" s="36">
        <v>46223</v>
      </c>
      <c r="CT313" s="35" t="s">
        <v>440</v>
      </c>
    </row>
    <row r="314" spans="1:98" s="35" customFormat="1" x14ac:dyDescent="0.35">
      <c r="A314" s="34" t="s">
        <v>857</v>
      </c>
      <c r="B314" s="34" t="s">
        <v>873</v>
      </c>
      <c r="C314" s="35" t="s">
        <v>858</v>
      </c>
      <c r="D314" s="35">
        <v>2021</v>
      </c>
      <c r="E314" s="37" t="s">
        <v>859</v>
      </c>
      <c r="F314" s="34" t="s">
        <v>860</v>
      </c>
      <c r="G314" s="35" t="s">
        <v>78</v>
      </c>
      <c r="H314" s="35">
        <v>1</v>
      </c>
      <c r="I314" s="35" t="s">
        <v>290</v>
      </c>
      <c r="J314" s="35" t="s">
        <v>79</v>
      </c>
      <c r="K314" s="35">
        <v>74</v>
      </c>
      <c r="L314" s="35" t="s">
        <v>104</v>
      </c>
      <c r="M314" s="35" t="s">
        <v>380</v>
      </c>
      <c r="N314" s="35">
        <v>-4.1000000000000003E-3</v>
      </c>
      <c r="O314" s="35">
        <v>1.8E-3</v>
      </c>
      <c r="P314" s="89">
        <f t="shared" si="108"/>
        <v>-2.2777777777777781</v>
      </c>
      <c r="Q314" s="35" t="s">
        <v>312</v>
      </c>
      <c r="R314" s="89">
        <f t="shared" si="109"/>
        <v>-7.6280000000000002E-3</v>
      </c>
      <c r="S314" s="89">
        <f t="shared" si="110"/>
        <v>-5.7200000000000046E-4</v>
      </c>
      <c r="T314" s="35">
        <v>1</v>
      </c>
      <c r="U314" s="35">
        <v>408565</v>
      </c>
      <c r="V314" s="35" t="s">
        <v>312</v>
      </c>
      <c r="W314" s="35" t="s">
        <v>312</v>
      </c>
      <c r="X314" s="35">
        <f t="shared" si="126"/>
        <v>408565</v>
      </c>
      <c r="Y314" s="89">
        <f t="shared" si="111"/>
        <v>-3.5635102657878832E-3</v>
      </c>
      <c r="Z314" s="89">
        <f t="shared" si="112"/>
        <v>1.564467921565412E-3</v>
      </c>
      <c r="AA314" s="89">
        <f t="shared" si="124"/>
        <v>-3.5635102657878832E-3</v>
      </c>
      <c r="AB314" s="35" t="s">
        <v>81</v>
      </c>
      <c r="AC314" s="89">
        <f t="shared" si="127"/>
        <v>-0.21820200000000001</v>
      </c>
      <c r="AD314" s="89" cm="1">
        <f t="array" ref="AD314">_xlfn.IFS(
AND(L314="marginal_effect",M314="level"),N314*AN314/BF314,
AND(L314="marginal_effect",M314="sd (Y)"),N314*BH314*AN314/BF314,
AND(L314="marginal_effect",M314="sd (X)"),N314/AQ314*AN314/BF314,
AND(L314="semi_elasticity",M314="level"),N314*AN314,
AND(L314="semi_elasticity",M314="sd (Y)"),N314*AN314*BH314,
AND(L314="semi_elasticity",M314="sd (X)"),N314*AN314/AQ314,
AND(L314="level-log",M314="level"),N314/BF314,
AND(L314="level-log",M314="sd (X)"),N314/BF314/AQ314,
AND(L314="level-log",M314="sd (Y)"),N314/BF314*BH314,
AND(L314="elasticity",M314="level"),N314,
AND(L314="elasticity",M314="sd (X)"),N314/AQ314,
AND(L314="elasticity",M314="sd (Y)"),N314*BH314,
AND(L314="marginal_effect",M314="percent_of_mean"),N314*AN314/BF314/10)</f>
        <v>-0.21820200000000001</v>
      </c>
      <c r="AE314" s="49">
        <f t="shared" si="113"/>
        <v>1</v>
      </c>
      <c r="AF314" s="89">
        <f t="shared" si="128"/>
        <v>9.5795999999999992E-2</v>
      </c>
      <c r="AG314" s="89" cm="1">
        <f t="array" ref="AG314">_xlfn.IFS(
AND(L314="marginal_effect",M314="level"),O314*AN314/BF314,
AND(L314="marginal_effect",M314="sd (Y)"),O314*BH314*AN314/BF314,
AND(L314="marginal_effect",M314="sd (X)"),O314/AQ314*AN314/BF314,
AND(L314="semi_elasticity",M314="level"),O314*AN314,
AND(L314="semi_elasticity",M314="sd (Y)"),O314*AN314*BH314,
AND(L314="semi_elasticity",M314="sd (X)"),O314*AN314/AQ314,
AND(L314="level-log",M314="level"),O314/BF314,
AND(L314="level-log",M314="sd (X)"),O314/BF314/AQ314,
AND(L314="level-log",M314="sd (Y)"),O314/BF314*BH314,
AND(L314="elasticity",M314="level"),O314,
AND(L314="elasticity",M314="sd (X)"),O314/AQ314,
AND(L314="elasticity",M314="sd (Y)"),O314*BH314,
AND(L314="marginal_effect",M314="percent_of_mean"),O314*AN314/BF314/10)</f>
        <v>9.5795999999999992E-2</v>
      </c>
      <c r="AH314" s="49">
        <f t="shared" si="114"/>
        <v>1</v>
      </c>
      <c r="AI314" s="89">
        <f t="shared" si="125"/>
        <v>-0.21820200000000001</v>
      </c>
      <c r="AJ314" s="35">
        <v>0</v>
      </c>
      <c r="AK314" s="35">
        <f t="shared" si="115"/>
        <v>1</v>
      </c>
      <c r="AL314" s="35" t="s">
        <v>431</v>
      </c>
      <c r="AM314" s="35" t="s">
        <v>737</v>
      </c>
      <c r="AN314" s="35">
        <v>53.22</v>
      </c>
      <c r="AO314" s="35">
        <v>0</v>
      </c>
      <c r="AP314" s="35">
        <f t="shared" si="121"/>
        <v>53.22</v>
      </c>
      <c r="AQ314" s="35">
        <v>15.91</v>
      </c>
      <c r="AR314" s="35">
        <v>27.13</v>
      </c>
      <c r="AS314" s="35">
        <v>102.8</v>
      </c>
      <c r="AT314" s="35" t="s">
        <v>83</v>
      </c>
      <c r="AU314" s="35" t="s">
        <v>109</v>
      </c>
      <c r="AV314" s="35" t="s">
        <v>133</v>
      </c>
      <c r="AX314" s="35" t="s">
        <v>86</v>
      </c>
      <c r="AY314" s="35">
        <v>0</v>
      </c>
      <c r="AZ314" s="35">
        <v>0</v>
      </c>
      <c r="BA314" s="35" t="s">
        <v>391</v>
      </c>
      <c r="BB314" s="35" t="s">
        <v>88</v>
      </c>
      <c r="BC314" s="35" t="s">
        <v>89</v>
      </c>
      <c r="BD314" s="35" t="s">
        <v>90</v>
      </c>
      <c r="BE314" s="35" t="s">
        <v>861</v>
      </c>
      <c r="BF314" s="35">
        <v>68.260000000000005</v>
      </c>
      <c r="BG314" s="35">
        <v>0</v>
      </c>
      <c r="BH314" s="35">
        <v>97.9</v>
      </c>
      <c r="BI314" s="35">
        <v>2</v>
      </c>
      <c r="BJ314" s="35">
        <v>3310</v>
      </c>
      <c r="BK314" s="35" t="s">
        <v>91</v>
      </c>
      <c r="BL314" s="35" t="s">
        <v>84</v>
      </c>
      <c r="BM314" s="35">
        <v>1</v>
      </c>
      <c r="BN314" s="35" t="s">
        <v>2177</v>
      </c>
      <c r="BO314" s="35" t="s">
        <v>375</v>
      </c>
      <c r="BP314" s="35" t="s">
        <v>312</v>
      </c>
      <c r="BQ314" s="35" t="s">
        <v>117</v>
      </c>
      <c r="BR314" s="35" t="s">
        <v>93</v>
      </c>
      <c r="BS314" s="35" t="s">
        <v>312</v>
      </c>
      <c r="BT314" s="35">
        <v>0</v>
      </c>
      <c r="BU314" s="61">
        <v>38169</v>
      </c>
      <c r="BV314" s="61">
        <v>42217</v>
      </c>
      <c r="BW314" s="35" t="s">
        <v>94</v>
      </c>
      <c r="BX314" s="35" t="s">
        <v>95</v>
      </c>
      <c r="BY314" s="35" t="s">
        <v>748</v>
      </c>
      <c r="BZ314" s="35">
        <v>1</v>
      </c>
      <c r="CA314" s="35">
        <v>1</v>
      </c>
      <c r="CB314" s="35" t="s">
        <v>871</v>
      </c>
      <c r="CC314" s="35" t="s">
        <v>314</v>
      </c>
      <c r="CD314" s="35">
        <v>1</v>
      </c>
      <c r="CE314" s="35" t="s">
        <v>866</v>
      </c>
      <c r="CF314" s="35">
        <v>0</v>
      </c>
      <c r="CG314" s="35" t="s">
        <v>97</v>
      </c>
      <c r="CH314" s="35">
        <v>1</v>
      </c>
      <c r="CI314" s="35" t="s">
        <v>97</v>
      </c>
      <c r="CJ314" s="35" t="s">
        <v>98</v>
      </c>
      <c r="CK314" s="35">
        <v>22</v>
      </c>
      <c r="CL314" s="35">
        <v>1</v>
      </c>
      <c r="CM314" s="35">
        <v>1</v>
      </c>
      <c r="CN314" s="35" t="s">
        <v>99</v>
      </c>
      <c r="CO314" s="35" t="s">
        <v>97</v>
      </c>
      <c r="CP314" s="35" t="s">
        <v>100</v>
      </c>
      <c r="CQ314" s="35" t="s">
        <v>126</v>
      </c>
      <c r="CR314" s="36">
        <v>46223</v>
      </c>
      <c r="CT314" s="35" t="s">
        <v>778</v>
      </c>
    </row>
    <row r="315" spans="1:98" s="35" customFormat="1" x14ac:dyDescent="0.35">
      <c r="A315" s="34" t="s">
        <v>857</v>
      </c>
      <c r="B315" s="34" t="s">
        <v>874</v>
      </c>
      <c r="C315" s="35" t="s">
        <v>858</v>
      </c>
      <c r="D315" s="35">
        <v>2021</v>
      </c>
      <c r="E315" s="37" t="s">
        <v>859</v>
      </c>
      <c r="F315" s="34" t="s">
        <v>860</v>
      </c>
      <c r="G315" s="35" t="s">
        <v>78</v>
      </c>
      <c r="H315" s="35">
        <v>1</v>
      </c>
      <c r="I315" s="35" t="s">
        <v>290</v>
      </c>
      <c r="J315" s="35" t="s">
        <v>79</v>
      </c>
      <c r="K315" s="35">
        <v>74</v>
      </c>
      <c r="L315" s="35" t="s">
        <v>104</v>
      </c>
      <c r="M315" s="35" t="s">
        <v>380</v>
      </c>
      <c r="N315" s="35">
        <v>8.2000000000000007E-3</v>
      </c>
      <c r="O315" s="35">
        <v>2.2599999999999999E-2</v>
      </c>
      <c r="P315" s="89">
        <f t="shared" si="108"/>
        <v>0.36283185840707971</v>
      </c>
      <c r="Q315" s="35" t="s">
        <v>312</v>
      </c>
      <c r="R315" s="89">
        <f t="shared" si="109"/>
        <v>-3.6095999999999996E-2</v>
      </c>
      <c r="S315" s="89">
        <f t="shared" si="110"/>
        <v>5.2495999999999994E-2</v>
      </c>
      <c r="T315" s="35">
        <v>1</v>
      </c>
      <c r="U315" s="35">
        <v>23830</v>
      </c>
      <c r="V315" s="35" t="s">
        <v>312</v>
      </c>
      <c r="W315" s="35" t="s">
        <v>312</v>
      </c>
      <c r="X315" s="35">
        <f t="shared" si="126"/>
        <v>23830</v>
      </c>
      <c r="Y315" s="89">
        <f t="shared" si="111"/>
        <v>2.3504022406074408E-3</v>
      </c>
      <c r="Z315" s="89">
        <f t="shared" si="112"/>
        <v>6.477937882649774E-3</v>
      </c>
      <c r="AA315" s="89">
        <f t="shared" si="124"/>
        <v>2.3504022406074408E-3</v>
      </c>
      <c r="AB315" s="35" t="s">
        <v>81</v>
      </c>
      <c r="AC315" s="89">
        <f t="shared" si="127"/>
        <v>0.43640400000000001</v>
      </c>
      <c r="AD315" s="89" cm="1">
        <f t="array" ref="AD315">_xlfn.IFS(
AND(L315="marginal_effect",M315="level"),N315*AN315/BF315,
AND(L315="marginal_effect",M315="sd (Y)"),N315*BH315*AN315/BF315,
AND(L315="marginal_effect",M315="sd (X)"),N315/AQ315*AN315/BF315,
AND(L315="semi_elasticity",M315="level"),N315*AN315,
AND(L315="semi_elasticity",M315="sd (Y)"),N315*AN315*BH315,
AND(L315="semi_elasticity",M315="sd (X)"),N315*AN315/AQ315,
AND(L315="level-log",M315="level"),N315/BF315,
AND(L315="level-log",M315="sd (X)"),N315/BF315/AQ315,
AND(L315="level-log",M315="sd (Y)"),N315/BF315*BH315,
AND(L315="elasticity",M315="level"),N315,
AND(L315="elasticity",M315="sd (X)"),N315/AQ315,
AND(L315="elasticity",M315="sd (Y)"),N315*BH315,
AND(L315="marginal_effect",M315="percent_of_mean"),N315*AN315/BF315/10)</f>
        <v>0.43640400000000001</v>
      </c>
      <c r="AE315" s="49">
        <f t="shared" si="113"/>
        <v>1</v>
      </c>
      <c r="AF315" s="89">
        <f t="shared" si="128"/>
        <v>1.202772</v>
      </c>
      <c r="AG315" s="89" cm="1">
        <f t="array" ref="AG315">_xlfn.IFS(
AND(L315="marginal_effect",M315="level"),O315*AN315/BF315,
AND(L315="marginal_effect",M315="sd (Y)"),O315*BH315*AN315/BF315,
AND(L315="marginal_effect",M315="sd (X)"),O315/AQ315*AN315/BF315,
AND(L315="semi_elasticity",M315="level"),O315*AN315,
AND(L315="semi_elasticity",M315="sd (Y)"),O315*AN315*BH315,
AND(L315="semi_elasticity",M315="sd (X)"),O315*AN315/AQ315,
AND(L315="level-log",M315="level"),O315/BF315,
AND(L315="level-log",M315="sd (X)"),O315/BF315/AQ315,
AND(L315="level-log",M315="sd (Y)"),O315/BF315*BH315,
AND(L315="elasticity",M315="level"),O315,
AND(L315="elasticity",M315="sd (X)"),O315/AQ315,
AND(L315="elasticity",M315="sd (Y)"),O315*BH315,
AND(L315="marginal_effect",M315="percent_of_mean"),O315*AN315/BF315/10)</f>
        <v>1.202772</v>
      </c>
      <c r="AH315" s="49">
        <f t="shared" si="114"/>
        <v>1</v>
      </c>
      <c r="AI315" s="89">
        <f t="shared" si="125"/>
        <v>0.43640400000000001</v>
      </c>
      <c r="AJ315" s="35">
        <v>0</v>
      </c>
      <c r="AK315" s="35">
        <f t="shared" si="115"/>
        <v>1</v>
      </c>
      <c r="AL315" s="35" t="s">
        <v>431</v>
      </c>
      <c r="AM315" s="35" t="s">
        <v>737</v>
      </c>
      <c r="AN315" s="35">
        <v>53.22</v>
      </c>
      <c r="AO315" s="35">
        <v>0</v>
      </c>
      <c r="AP315" s="35">
        <f t="shared" si="121"/>
        <v>53.22</v>
      </c>
      <c r="AQ315" s="35">
        <v>15.91</v>
      </c>
      <c r="AR315" s="35">
        <v>27.13</v>
      </c>
      <c r="AS315" s="35">
        <v>102.8</v>
      </c>
      <c r="AT315" s="35" t="s">
        <v>83</v>
      </c>
      <c r="AU315" s="35" t="s">
        <v>109</v>
      </c>
      <c r="AV315" s="35" t="s">
        <v>133</v>
      </c>
      <c r="AW315" s="35" t="s">
        <v>85</v>
      </c>
      <c r="AX315" s="35" t="s">
        <v>86</v>
      </c>
      <c r="AY315" s="35">
        <v>0</v>
      </c>
      <c r="AZ315" s="35">
        <v>0</v>
      </c>
      <c r="BA315" s="35" t="s">
        <v>391</v>
      </c>
      <c r="BB315" s="35" t="s">
        <v>88</v>
      </c>
      <c r="BC315" s="35" t="s">
        <v>89</v>
      </c>
      <c r="BD315" s="35" t="s">
        <v>90</v>
      </c>
      <c r="BE315" s="35" t="s">
        <v>861</v>
      </c>
      <c r="BF315" s="35">
        <v>103.5</v>
      </c>
      <c r="BG315" s="35">
        <v>0</v>
      </c>
      <c r="BH315" s="35">
        <v>102.7</v>
      </c>
      <c r="BI315" s="35" t="s">
        <v>312</v>
      </c>
      <c r="BJ315" s="35" t="s">
        <v>312</v>
      </c>
      <c r="BK315" s="35" t="s">
        <v>91</v>
      </c>
      <c r="BL315" s="35" t="s">
        <v>84</v>
      </c>
      <c r="BM315" s="35">
        <v>1</v>
      </c>
      <c r="BN315" s="35" t="s">
        <v>428</v>
      </c>
      <c r="BO315" s="35" t="s">
        <v>872</v>
      </c>
      <c r="BP315" s="35" t="s">
        <v>312</v>
      </c>
      <c r="BQ315" s="35" t="s">
        <v>117</v>
      </c>
      <c r="BR315" s="35" t="s">
        <v>93</v>
      </c>
      <c r="BS315" s="35" t="s">
        <v>312</v>
      </c>
      <c r="BT315" s="35">
        <v>0</v>
      </c>
      <c r="BU315" s="61">
        <v>38169</v>
      </c>
      <c r="BV315" s="61">
        <v>42217</v>
      </c>
      <c r="BW315" s="35" t="s">
        <v>94</v>
      </c>
      <c r="BX315" s="35" t="s">
        <v>95</v>
      </c>
      <c r="BY315" s="35" t="s">
        <v>748</v>
      </c>
      <c r="BZ315" s="35">
        <v>1</v>
      </c>
      <c r="CA315" s="35">
        <v>1</v>
      </c>
      <c r="CB315" s="35" t="s">
        <v>871</v>
      </c>
      <c r="CC315" s="35" t="s">
        <v>314</v>
      </c>
      <c r="CD315" s="35">
        <v>1</v>
      </c>
      <c r="CE315" s="35" t="s">
        <v>866</v>
      </c>
      <c r="CF315" s="35">
        <v>0</v>
      </c>
      <c r="CG315" s="35" t="s">
        <v>97</v>
      </c>
      <c r="CH315" s="35">
        <v>1</v>
      </c>
      <c r="CI315" s="35" t="s">
        <v>97</v>
      </c>
      <c r="CJ315" s="35" t="s">
        <v>98</v>
      </c>
      <c r="CK315" s="35">
        <v>22</v>
      </c>
      <c r="CL315" s="35">
        <v>0</v>
      </c>
      <c r="CM315" s="35">
        <v>0</v>
      </c>
      <c r="CN315" s="35" t="s">
        <v>99</v>
      </c>
      <c r="CO315" s="35" t="s">
        <v>942</v>
      </c>
      <c r="CP315" s="35" t="s">
        <v>100</v>
      </c>
      <c r="CQ315" s="35" t="s">
        <v>126</v>
      </c>
      <c r="CR315" s="36">
        <v>46223</v>
      </c>
      <c r="CT315" s="35" t="s">
        <v>457</v>
      </c>
    </row>
    <row r="316" spans="1:98" s="35" customFormat="1" x14ac:dyDescent="0.35">
      <c r="A316" s="34" t="s">
        <v>857</v>
      </c>
      <c r="B316" s="34" t="s">
        <v>875</v>
      </c>
      <c r="C316" s="35" t="s">
        <v>858</v>
      </c>
      <c r="D316" s="35">
        <v>2021</v>
      </c>
      <c r="E316" s="37" t="s">
        <v>859</v>
      </c>
      <c r="F316" s="34" t="s">
        <v>860</v>
      </c>
      <c r="G316" s="35" t="s">
        <v>78</v>
      </c>
      <c r="H316" s="35">
        <v>1</v>
      </c>
      <c r="I316" s="35" t="s">
        <v>290</v>
      </c>
      <c r="J316" s="35" t="s">
        <v>79</v>
      </c>
      <c r="K316" s="35">
        <v>74</v>
      </c>
      <c r="L316" s="35" t="s">
        <v>104</v>
      </c>
      <c r="M316" s="35" t="s">
        <v>380</v>
      </c>
      <c r="N316" s="35">
        <v>-5.4999999999999997E-3</v>
      </c>
      <c r="O316" s="35">
        <v>1.9E-3</v>
      </c>
      <c r="P316" s="89">
        <f t="shared" si="108"/>
        <v>-2.8947368421052628</v>
      </c>
      <c r="Q316" s="35" t="s">
        <v>312</v>
      </c>
      <c r="R316" s="89">
        <f t="shared" si="109"/>
        <v>-9.2239999999999996E-3</v>
      </c>
      <c r="S316" s="89">
        <f t="shared" si="110"/>
        <v>-1.7759999999999998E-3</v>
      </c>
      <c r="T316" s="35">
        <v>1</v>
      </c>
      <c r="U316" s="35">
        <v>384735</v>
      </c>
      <c r="V316" s="35" t="s">
        <v>312</v>
      </c>
      <c r="W316" s="35" t="s">
        <v>312</v>
      </c>
      <c r="X316" s="35">
        <f t="shared" si="126"/>
        <v>384735</v>
      </c>
      <c r="Y316" s="89">
        <f t="shared" si="111"/>
        <v>-4.6668464392824668E-3</v>
      </c>
      <c r="Z316" s="89">
        <f t="shared" si="112"/>
        <v>1.6121833153884889E-3</v>
      </c>
      <c r="AA316" s="89">
        <f t="shared" si="124"/>
        <v>-4.6668464392824668E-3</v>
      </c>
      <c r="AB316" s="35" t="s">
        <v>81</v>
      </c>
      <c r="AC316" s="89">
        <f t="shared" si="127"/>
        <v>-0.29270999999999997</v>
      </c>
      <c r="AD316" s="89" cm="1">
        <f t="array" ref="AD316">_xlfn.IFS(
AND(L316="marginal_effect",M316="level"),N316*AN316/BF316,
AND(L316="marginal_effect",M316="sd (Y)"),N316*BH316*AN316/BF316,
AND(L316="marginal_effect",M316="sd (X)"),N316/AQ316*AN316/BF316,
AND(L316="semi_elasticity",M316="level"),N316*AN316,
AND(L316="semi_elasticity",M316="sd (Y)"),N316*AN316*BH316,
AND(L316="semi_elasticity",M316="sd (X)"),N316*AN316/AQ316,
AND(L316="level-log",M316="level"),N316/BF316,
AND(L316="level-log",M316="sd (X)"),N316/BF316/AQ316,
AND(L316="level-log",M316="sd (Y)"),N316/BF316*BH316,
AND(L316="elasticity",M316="level"),N316,
AND(L316="elasticity",M316="sd (X)"),N316/AQ316,
AND(L316="elasticity",M316="sd (Y)"),N316*BH316,
AND(L316="marginal_effect",M316="percent_of_mean"),N316*AN316/BF316/10)</f>
        <v>-0.29270999999999997</v>
      </c>
      <c r="AE316" s="49">
        <f t="shared" si="113"/>
        <v>1</v>
      </c>
      <c r="AF316" s="89">
        <f t="shared" si="128"/>
        <v>0.101118</v>
      </c>
      <c r="AG316" s="89" cm="1">
        <f t="array" ref="AG316">_xlfn.IFS(
AND(L316="marginal_effect",M316="level"),O316*AN316/BF316,
AND(L316="marginal_effect",M316="sd (Y)"),O316*BH316*AN316/BF316,
AND(L316="marginal_effect",M316="sd (X)"),O316/AQ316*AN316/BF316,
AND(L316="semi_elasticity",M316="level"),O316*AN316,
AND(L316="semi_elasticity",M316="sd (Y)"),O316*AN316*BH316,
AND(L316="semi_elasticity",M316="sd (X)"),O316*AN316/AQ316,
AND(L316="level-log",M316="level"),O316/BF316,
AND(L316="level-log",M316="sd (X)"),O316/BF316/AQ316,
AND(L316="level-log",M316="sd (Y)"),O316/BF316*BH316,
AND(L316="elasticity",M316="level"),O316,
AND(L316="elasticity",M316="sd (X)"),O316/AQ316,
AND(L316="elasticity",M316="sd (Y)"),O316*BH316,
AND(L316="marginal_effect",M316="percent_of_mean"),O316*AN316/BF316/10)</f>
        <v>0.101118</v>
      </c>
      <c r="AH316" s="49">
        <f t="shared" si="114"/>
        <v>1</v>
      </c>
      <c r="AI316" s="89">
        <f t="shared" si="125"/>
        <v>-0.29270999999999997</v>
      </c>
      <c r="AJ316" s="35">
        <v>0</v>
      </c>
      <c r="AK316" s="35">
        <f t="shared" si="115"/>
        <v>1</v>
      </c>
      <c r="AL316" s="35" t="s">
        <v>431</v>
      </c>
      <c r="AM316" s="35" t="s">
        <v>737</v>
      </c>
      <c r="AN316" s="35">
        <v>53.22</v>
      </c>
      <c r="AO316" s="35">
        <v>0</v>
      </c>
      <c r="AP316" s="35">
        <f t="shared" si="121"/>
        <v>53.22</v>
      </c>
      <c r="AQ316" s="35">
        <v>15.91</v>
      </c>
      <c r="AR316" s="35">
        <v>27.13</v>
      </c>
      <c r="AS316" s="35">
        <v>102.8</v>
      </c>
      <c r="AT316" s="35" t="s">
        <v>83</v>
      </c>
      <c r="AU316" s="35" t="s">
        <v>109</v>
      </c>
      <c r="AV316" s="35" t="s">
        <v>133</v>
      </c>
      <c r="AW316" s="35" t="s">
        <v>109</v>
      </c>
      <c r="AX316" s="35" t="s">
        <v>86</v>
      </c>
      <c r="AY316" s="35">
        <v>0</v>
      </c>
      <c r="AZ316" s="35">
        <v>0</v>
      </c>
      <c r="BA316" s="35" t="s">
        <v>391</v>
      </c>
      <c r="BB316" s="35" t="s">
        <v>88</v>
      </c>
      <c r="BC316" s="35" t="s">
        <v>89</v>
      </c>
      <c r="BD316" s="35" t="s">
        <v>90</v>
      </c>
      <c r="BE316" s="35" t="s">
        <v>861</v>
      </c>
      <c r="BF316" s="35">
        <v>66.099999999999994</v>
      </c>
      <c r="BG316" s="35">
        <v>0</v>
      </c>
      <c r="BH316" s="35">
        <v>97.2</v>
      </c>
      <c r="BI316" s="35" t="s">
        <v>312</v>
      </c>
      <c r="BJ316" s="35" t="s">
        <v>312</v>
      </c>
      <c r="BK316" s="35" t="s">
        <v>91</v>
      </c>
      <c r="BL316" s="35" t="s">
        <v>84</v>
      </c>
      <c r="BM316" s="35">
        <v>1</v>
      </c>
      <c r="BN316" s="35" t="s">
        <v>2177</v>
      </c>
      <c r="BO316" s="35" t="s">
        <v>375</v>
      </c>
      <c r="BP316" s="35" t="s">
        <v>312</v>
      </c>
      <c r="BQ316" s="35" t="s">
        <v>117</v>
      </c>
      <c r="BR316" s="35" t="s">
        <v>93</v>
      </c>
      <c r="BS316" s="35" t="s">
        <v>312</v>
      </c>
      <c r="BT316" s="35">
        <v>0</v>
      </c>
      <c r="BU316" s="61">
        <v>38169</v>
      </c>
      <c r="BV316" s="61">
        <v>42217</v>
      </c>
      <c r="BW316" s="35" t="s">
        <v>94</v>
      </c>
      <c r="BX316" s="35" t="s">
        <v>95</v>
      </c>
      <c r="BY316" s="35" t="s">
        <v>748</v>
      </c>
      <c r="BZ316" s="35">
        <v>1</v>
      </c>
      <c r="CA316" s="35">
        <v>1</v>
      </c>
      <c r="CB316" s="35" t="s">
        <v>871</v>
      </c>
      <c r="CC316" s="35" t="s">
        <v>314</v>
      </c>
      <c r="CD316" s="35">
        <v>1</v>
      </c>
      <c r="CE316" s="35" t="s">
        <v>866</v>
      </c>
      <c r="CF316" s="35">
        <v>0</v>
      </c>
      <c r="CG316" s="35" t="s">
        <v>97</v>
      </c>
      <c r="CH316" s="35">
        <v>1</v>
      </c>
      <c r="CI316" s="35" t="s">
        <v>97</v>
      </c>
      <c r="CJ316" s="35" t="s">
        <v>98</v>
      </c>
      <c r="CK316" s="35">
        <v>22</v>
      </c>
      <c r="CL316" s="35">
        <v>0</v>
      </c>
      <c r="CM316" s="35">
        <v>0</v>
      </c>
      <c r="CN316" s="35" t="s">
        <v>99</v>
      </c>
      <c r="CO316" s="35" t="s">
        <v>942</v>
      </c>
      <c r="CP316" s="35" t="s">
        <v>100</v>
      </c>
      <c r="CQ316" s="35" t="s">
        <v>126</v>
      </c>
      <c r="CR316" s="36">
        <v>46223</v>
      </c>
      <c r="CT316" s="35" t="s">
        <v>660</v>
      </c>
    </row>
    <row r="317" spans="1:98" s="35" customFormat="1" x14ac:dyDescent="0.35">
      <c r="A317" s="34" t="s">
        <v>857</v>
      </c>
      <c r="B317" s="34" t="s">
        <v>876</v>
      </c>
      <c r="C317" s="35" t="s">
        <v>858</v>
      </c>
      <c r="D317" s="35">
        <v>2021</v>
      </c>
      <c r="E317" s="37" t="s">
        <v>859</v>
      </c>
      <c r="F317" s="34" t="s">
        <v>860</v>
      </c>
      <c r="G317" s="35" t="s">
        <v>78</v>
      </c>
      <c r="H317" s="35">
        <v>1</v>
      </c>
      <c r="I317" s="35" t="s">
        <v>290</v>
      </c>
      <c r="J317" s="35" t="s">
        <v>79</v>
      </c>
      <c r="K317" s="35">
        <v>74</v>
      </c>
      <c r="L317" s="35" t="s">
        <v>104</v>
      </c>
      <c r="M317" s="35" t="s">
        <v>380</v>
      </c>
      <c r="N317" s="35">
        <v>-2.0799999999999999E-2</v>
      </c>
      <c r="O317" s="35">
        <v>4.4999999999999997E-3</v>
      </c>
      <c r="P317" s="89">
        <f t="shared" si="108"/>
        <v>-4.6222222222222227</v>
      </c>
      <c r="Q317" s="35" t="s">
        <v>312</v>
      </c>
      <c r="R317" s="89">
        <f t="shared" si="109"/>
        <v>-2.962E-2</v>
      </c>
      <c r="S317" s="89">
        <f t="shared" si="110"/>
        <v>-1.1979999999999999E-2</v>
      </c>
      <c r="T317" s="35">
        <v>1</v>
      </c>
      <c r="U317" s="35">
        <v>3309</v>
      </c>
      <c r="V317" s="35" t="s">
        <v>312</v>
      </c>
      <c r="W317" s="35" t="s">
        <v>312</v>
      </c>
      <c r="X317" s="35">
        <f t="shared" si="126"/>
        <v>3309</v>
      </c>
      <c r="Y317" s="89">
        <f t="shared" si="111"/>
        <v>-8.0094908270332554E-2</v>
      </c>
      <c r="Z317" s="89">
        <f t="shared" si="112"/>
        <v>1.7328225346946943E-2</v>
      </c>
      <c r="AA317" s="89">
        <f t="shared" si="124"/>
        <v>-8.0094908270332554E-2</v>
      </c>
      <c r="AB317" s="35" t="s">
        <v>81</v>
      </c>
      <c r="AC317" s="89">
        <f t="shared" si="127"/>
        <v>-1.106976</v>
      </c>
      <c r="AD317" s="89" cm="1">
        <f t="array" ref="AD317">_xlfn.IFS(
AND(L317="marginal_effect",M317="level"),N317*AN317/BF317,
AND(L317="marginal_effect",M317="sd (Y)"),N317*BH317*AN317/BF317,
AND(L317="marginal_effect",M317="sd (X)"),N317/AQ317*AN317/BF317,
AND(L317="semi_elasticity",M317="level"),N317*AN317,
AND(L317="semi_elasticity",M317="sd (Y)"),N317*AN317*BH317,
AND(L317="semi_elasticity",M317="sd (X)"),N317*AN317/AQ317,
AND(L317="level-log",M317="level"),N317/BF317,
AND(L317="level-log",M317="sd (X)"),N317/BF317/AQ317,
AND(L317="level-log",M317="sd (Y)"),N317/BF317*BH317,
AND(L317="elasticity",M317="level"),N317,
AND(L317="elasticity",M317="sd (X)"),N317/AQ317,
AND(L317="elasticity",M317="sd (Y)"),N317*BH317,
AND(L317="marginal_effect",M317="percent_of_mean"),N317*AN317/BF317/10)</f>
        <v>-1.106976</v>
      </c>
      <c r="AE317" s="49">
        <f t="shared" si="113"/>
        <v>1</v>
      </c>
      <c r="AF317" s="89">
        <f t="shared" si="128"/>
        <v>0.23948999999999998</v>
      </c>
      <c r="AG317" s="89" cm="1">
        <f t="array" ref="AG317">_xlfn.IFS(
AND(L317="marginal_effect",M317="level"),O317*AN317/BF317,
AND(L317="marginal_effect",M317="sd (Y)"),O317*BH317*AN317/BF317,
AND(L317="marginal_effect",M317="sd (X)"),O317/AQ317*AN317/BF317,
AND(L317="semi_elasticity",M317="level"),O317*AN317,
AND(L317="semi_elasticity",M317="sd (Y)"),O317*AN317*BH317,
AND(L317="semi_elasticity",M317="sd (X)"),O317*AN317/AQ317,
AND(L317="level-log",M317="level"),O317/BF317,
AND(L317="level-log",M317="sd (X)"),O317/BF317/AQ317,
AND(L317="level-log",M317="sd (Y)"),O317/BF317*BH317,
AND(L317="elasticity",M317="level"),O317,
AND(L317="elasticity",M317="sd (X)"),O317/AQ317,
AND(L317="elasticity",M317="sd (Y)"),O317*BH317,
AND(L317="marginal_effect",M317="percent_of_mean"),O317*AN317/BF317/10)</f>
        <v>0.23948999999999998</v>
      </c>
      <c r="AH317" s="49">
        <f t="shared" si="114"/>
        <v>1</v>
      </c>
      <c r="AI317" s="89">
        <f t="shared" si="125"/>
        <v>-1.106976</v>
      </c>
      <c r="AJ317" s="35">
        <v>0</v>
      </c>
      <c r="AK317" s="35">
        <f t="shared" si="115"/>
        <v>1</v>
      </c>
      <c r="AL317" s="35" t="s">
        <v>431</v>
      </c>
      <c r="AM317" s="35" t="s">
        <v>737</v>
      </c>
      <c r="AN317" s="35">
        <v>53.22</v>
      </c>
      <c r="AO317" s="35">
        <v>0</v>
      </c>
      <c r="AP317" s="35">
        <f t="shared" si="121"/>
        <v>53.22</v>
      </c>
      <c r="AQ317" s="35">
        <v>15.91</v>
      </c>
      <c r="AR317" s="35">
        <v>27.13</v>
      </c>
      <c r="AS317" s="35">
        <v>102.8</v>
      </c>
      <c r="AT317" s="35" t="s">
        <v>83</v>
      </c>
      <c r="AU317" s="35" t="s">
        <v>109</v>
      </c>
      <c r="AV317" s="35" t="s">
        <v>133</v>
      </c>
      <c r="AX317" s="35" t="s">
        <v>86</v>
      </c>
      <c r="AY317" s="35">
        <v>0</v>
      </c>
      <c r="AZ317" s="35">
        <v>0</v>
      </c>
      <c r="BA317" s="35" t="s">
        <v>391</v>
      </c>
      <c r="BB317" s="35" t="s">
        <v>88</v>
      </c>
      <c r="BC317" s="35" t="s">
        <v>89</v>
      </c>
      <c r="BD317" s="35" t="s">
        <v>90</v>
      </c>
      <c r="BE317" s="35" t="s">
        <v>861</v>
      </c>
      <c r="BF317" s="35">
        <v>92.5</v>
      </c>
      <c r="BG317" s="35">
        <v>0</v>
      </c>
      <c r="BH317" s="35">
        <v>79.8</v>
      </c>
      <c r="BI317" s="35" t="s">
        <v>312</v>
      </c>
      <c r="BJ317" s="35" t="s">
        <v>312</v>
      </c>
      <c r="BK317" s="35" t="s">
        <v>91</v>
      </c>
      <c r="BL317" s="35" t="s">
        <v>84</v>
      </c>
      <c r="BM317" s="35">
        <v>1</v>
      </c>
      <c r="BN317" s="35" t="s">
        <v>2177</v>
      </c>
      <c r="BO317" s="35" t="s">
        <v>375</v>
      </c>
      <c r="BP317" s="35" t="s">
        <v>312</v>
      </c>
      <c r="BQ317" s="35" t="s">
        <v>117</v>
      </c>
      <c r="BR317" s="35" t="s">
        <v>93</v>
      </c>
      <c r="BS317" s="35" t="s">
        <v>312</v>
      </c>
      <c r="BT317" s="35">
        <v>0</v>
      </c>
      <c r="BU317" s="61">
        <v>38169</v>
      </c>
      <c r="BV317" s="61">
        <v>42217</v>
      </c>
      <c r="BW317" s="35" t="s">
        <v>94</v>
      </c>
      <c r="BX317" s="35" t="s">
        <v>95</v>
      </c>
      <c r="BY317" s="35" t="s">
        <v>748</v>
      </c>
      <c r="BZ317" s="35">
        <v>1</v>
      </c>
      <c r="CA317" s="35">
        <v>1</v>
      </c>
      <c r="CB317" s="35" t="s">
        <v>871</v>
      </c>
      <c r="CC317" s="35" t="s">
        <v>314</v>
      </c>
      <c r="CD317" s="35">
        <v>1</v>
      </c>
      <c r="CE317" s="35" t="s">
        <v>866</v>
      </c>
      <c r="CF317" s="35">
        <v>0</v>
      </c>
      <c r="CG317" s="35" t="s">
        <v>97</v>
      </c>
      <c r="CH317" s="35">
        <v>1</v>
      </c>
      <c r="CI317" s="35" t="s">
        <v>97</v>
      </c>
      <c r="CJ317" s="35" t="s">
        <v>98</v>
      </c>
      <c r="CK317" s="35">
        <v>22</v>
      </c>
      <c r="CL317" s="35">
        <v>0</v>
      </c>
      <c r="CM317" s="35">
        <v>0</v>
      </c>
      <c r="CN317" s="35" t="s">
        <v>99</v>
      </c>
      <c r="CO317" s="35" t="s">
        <v>939</v>
      </c>
      <c r="CP317" s="35" t="s">
        <v>100</v>
      </c>
      <c r="CQ317" s="35" t="s">
        <v>126</v>
      </c>
      <c r="CR317" s="36">
        <v>46223</v>
      </c>
      <c r="CT317" s="35" t="s">
        <v>881</v>
      </c>
    </row>
    <row r="318" spans="1:98" s="35" customFormat="1" x14ac:dyDescent="0.35">
      <c r="A318" s="34" t="s">
        <v>857</v>
      </c>
      <c r="B318" s="34" t="s">
        <v>877</v>
      </c>
      <c r="C318" s="35" t="s">
        <v>858</v>
      </c>
      <c r="D318" s="35">
        <v>2021</v>
      </c>
      <c r="E318" s="37" t="s">
        <v>859</v>
      </c>
      <c r="F318" s="34" t="s">
        <v>860</v>
      </c>
      <c r="G318" s="35" t="s">
        <v>78</v>
      </c>
      <c r="H318" s="35">
        <v>1</v>
      </c>
      <c r="I318" s="35" t="s">
        <v>290</v>
      </c>
      <c r="J318" s="35" t="s">
        <v>79</v>
      </c>
      <c r="K318" s="35">
        <v>74</v>
      </c>
      <c r="L318" s="35" t="s">
        <v>104</v>
      </c>
      <c r="M318" s="35" t="s">
        <v>380</v>
      </c>
      <c r="N318" s="35">
        <v>-1.77E-2</v>
      </c>
      <c r="O318" s="35">
        <v>3.3E-3</v>
      </c>
      <c r="P318" s="89">
        <f t="shared" si="108"/>
        <v>-5.3636363636363642</v>
      </c>
      <c r="Q318" s="35" t="s">
        <v>312</v>
      </c>
      <c r="R318" s="89">
        <f t="shared" si="109"/>
        <v>-2.4168000000000002E-2</v>
      </c>
      <c r="S318" s="89">
        <f t="shared" si="110"/>
        <v>-1.1232000000000001E-2</v>
      </c>
      <c r="T318" s="35">
        <v>1</v>
      </c>
      <c r="U318" s="35">
        <v>154355</v>
      </c>
      <c r="V318" s="35" t="s">
        <v>312</v>
      </c>
      <c r="W318" s="35" t="s">
        <v>312</v>
      </c>
      <c r="X318" s="35">
        <f t="shared" si="126"/>
        <v>154355</v>
      </c>
      <c r="Y318" s="89">
        <f t="shared" si="111"/>
        <v>-1.3650812687521167E-2</v>
      </c>
      <c r="Z318" s="89">
        <f t="shared" si="112"/>
        <v>2.5450667722497085E-3</v>
      </c>
      <c r="AA318" s="89">
        <f t="shared" si="124"/>
        <v>-1.3650812687521167E-2</v>
      </c>
      <c r="AB318" s="35" t="s">
        <v>81</v>
      </c>
      <c r="AC318" s="89">
        <f t="shared" si="127"/>
        <v>-0.941994</v>
      </c>
      <c r="AD318" s="89" cm="1">
        <f t="array" ref="AD318">_xlfn.IFS(
AND(L318="marginal_effect",M318="level"),N318*AN318/BF318,
AND(L318="marginal_effect",M318="sd (Y)"),N318*BH318*AN318/BF318,
AND(L318="marginal_effect",M318="sd (X)"),N318/AQ318*AN318/BF318,
AND(L318="semi_elasticity",M318="level"),N318*AN318,
AND(L318="semi_elasticity",M318="sd (Y)"),N318*AN318*BH318,
AND(L318="semi_elasticity",M318="sd (X)"),N318*AN318/AQ318,
AND(L318="level-log",M318="level"),N318/BF318,
AND(L318="level-log",M318="sd (X)"),N318/BF318/AQ318,
AND(L318="level-log",M318="sd (Y)"),N318/BF318*BH318,
AND(L318="elasticity",M318="level"),N318,
AND(L318="elasticity",M318="sd (X)"),N318/AQ318,
AND(L318="elasticity",M318="sd (Y)"),N318*BH318,
AND(L318="marginal_effect",M318="percent_of_mean"),N318*AN318/BF318/10)</f>
        <v>-0.941994</v>
      </c>
      <c r="AE318" s="49">
        <f t="shared" si="113"/>
        <v>1</v>
      </c>
      <c r="AF318" s="89">
        <f t="shared" si="128"/>
        <v>0.175626</v>
      </c>
      <c r="AG318" s="89" cm="1">
        <f t="array" ref="AG318">_xlfn.IFS(
AND(L318="marginal_effect",M318="level"),O318*AN318/BF318,
AND(L318="marginal_effect",M318="sd (Y)"),O318*BH318*AN318/BF318,
AND(L318="marginal_effect",M318="sd (X)"),O318/AQ318*AN318/BF318,
AND(L318="semi_elasticity",M318="level"),O318*AN318,
AND(L318="semi_elasticity",M318="sd (Y)"),O318*AN318*BH318,
AND(L318="semi_elasticity",M318="sd (X)"),O318*AN318/AQ318,
AND(L318="level-log",M318="level"),O318/BF318,
AND(L318="level-log",M318="sd (X)"),O318/BF318/AQ318,
AND(L318="level-log",M318="sd (Y)"),O318/BF318*BH318,
AND(L318="elasticity",M318="level"),O318,
AND(L318="elasticity",M318="sd (X)"),O318/AQ318,
AND(L318="elasticity",M318="sd (Y)"),O318*BH318,
AND(L318="marginal_effect",M318="percent_of_mean"),O318*AN318/BF318/10)</f>
        <v>0.175626</v>
      </c>
      <c r="AH318" s="49">
        <f t="shared" si="114"/>
        <v>1</v>
      </c>
      <c r="AI318" s="89">
        <f t="shared" si="125"/>
        <v>-0.941994</v>
      </c>
      <c r="AJ318" s="35">
        <v>0</v>
      </c>
      <c r="AK318" s="35">
        <f t="shared" si="115"/>
        <v>1</v>
      </c>
      <c r="AL318" s="35" t="s">
        <v>431</v>
      </c>
      <c r="AM318" s="35" t="s">
        <v>737</v>
      </c>
      <c r="AN318" s="35">
        <v>53.22</v>
      </c>
      <c r="AO318" s="35">
        <v>0</v>
      </c>
      <c r="AP318" s="35">
        <f t="shared" si="121"/>
        <v>53.22</v>
      </c>
      <c r="AQ318" s="35">
        <v>15.91</v>
      </c>
      <c r="AR318" s="35">
        <v>27.13</v>
      </c>
      <c r="AS318" s="35">
        <v>102.8</v>
      </c>
      <c r="AT318" s="35" t="s">
        <v>83</v>
      </c>
      <c r="AU318" s="35" t="s">
        <v>109</v>
      </c>
      <c r="AV318" s="35" t="s">
        <v>133</v>
      </c>
      <c r="AX318" s="35" t="s">
        <v>86</v>
      </c>
      <c r="AY318" s="35">
        <v>0</v>
      </c>
      <c r="AZ318" s="35">
        <v>0</v>
      </c>
      <c r="BA318" s="35" t="s">
        <v>391</v>
      </c>
      <c r="BB318" s="35" t="s">
        <v>88</v>
      </c>
      <c r="BC318" s="35" t="s">
        <v>89</v>
      </c>
      <c r="BD318" s="35" t="s">
        <v>90</v>
      </c>
      <c r="BE318" s="35" t="s">
        <v>861</v>
      </c>
      <c r="BF318" s="35">
        <v>73.5</v>
      </c>
      <c r="BG318" s="35">
        <v>0</v>
      </c>
      <c r="BH318" s="35">
        <v>81.7</v>
      </c>
      <c r="BI318" s="35" t="s">
        <v>312</v>
      </c>
      <c r="BJ318" s="35" t="s">
        <v>312</v>
      </c>
      <c r="BK318" s="35" t="s">
        <v>91</v>
      </c>
      <c r="BL318" s="35" t="s">
        <v>84</v>
      </c>
      <c r="BM318" s="35">
        <v>1</v>
      </c>
      <c r="BN318" s="35" t="s">
        <v>2177</v>
      </c>
      <c r="BO318" s="35" t="s">
        <v>375</v>
      </c>
      <c r="BP318" s="35" t="s">
        <v>312</v>
      </c>
      <c r="BQ318" s="35" t="s">
        <v>117</v>
      </c>
      <c r="BR318" s="35" t="s">
        <v>93</v>
      </c>
      <c r="BS318" s="35" t="s">
        <v>312</v>
      </c>
      <c r="BT318" s="35">
        <v>0</v>
      </c>
      <c r="BU318" s="61">
        <v>38169</v>
      </c>
      <c r="BV318" s="61">
        <v>42217</v>
      </c>
      <c r="BW318" s="35" t="s">
        <v>94</v>
      </c>
      <c r="BX318" s="35" t="s">
        <v>95</v>
      </c>
      <c r="BY318" s="35" t="s">
        <v>748</v>
      </c>
      <c r="BZ318" s="35">
        <v>1</v>
      </c>
      <c r="CA318" s="35">
        <v>1</v>
      </c>
      <c r="CB318" s="35" t="s">
        <v>871</v>
      </c>
      <c r="CC318" s="35" t="s">
        <v>314</v>
      </c>
      <c r="CD318" s="35">
        <v>1</v>
      </c>
      <c r="CE318" s="35" t="s">
        <v>866</v>
      </c>
      <c r="CF318" s="35">
        <v>0</v>
      </c>
      <c r="CG318" s="35" t="s">
        <v>97</v>
      </c>
      <c r="CH318" s="35">
        <v>1</v>
      </c>
      <c r="CI318" s="35" t="s">
        <v>97</v>
      </c>
      <c r="CJ318" s="35" t="s">
        <v>98</v>
      </c>
      <c r="CK318" s="35">
        <v>22</v>
      </c>
      <c r="CL318" s="35">
        <v>0</v>
      </c>
      <c r="CM318" s="35">
        <v>0</v>
      </c>
      <c r="CN318" s="35" t="s">
        <v>99</v>
      </c>
      <c r="CO318" s="35" t="s">
        <v>939</v>
      </c>
      <c r="CP318" s="35" t="s">
        <v>100</v>
      </c>
      <c r="CQ318" s="35" t="s">
        <v>126</v>
      </c>
      <c r="CR318" s="36">
        <v>46223</v>
      </c>
      <c r="CT318" s="35" t="s">
        <v>882</v>
      </c>
    </row>
    <row r="319" spans="1:98" s="35" customFormat="1" x14ac:dyDescent="0.35">
      <c r="A319" s="34" t="s">
        <v>857</v>
      </c>
      <c r="B319" s="34" t="s">
        <v>878</v>
      </c>
      <c r="C319" s="35" t="s">
        <v>858</v>
      </c>
      <c r="D319" s="35">
        <v>2021</v>
      </c>
      <c r="E319" s="37" t="s">
        <v>859</v>
      </c>
      <c r="F319" s="34" t="s">
        <v>860</v>
      </c>
      <c r="G319" s="35" t="s">
        <v>78</v>
      </c>
      <c r="H319" s="35">
        <v>1</v>
      </c>
      <c r="I319" s="35" t="s">
        <v>290</v>
      </c>
      <c r="J319" s="35" t="s">
        <v>79</v>
      </c>
      <c r="K319" s="35">
        <v>74</v>
      </c>
      <c r="L319" s="35" t="s">
        <v>104</v>
      </c>
      <c r="M319" s="35" t="s">
        <v>380</v>
      </c>
      <c r="N319" s="35">
        <v>-5.7000000000000002E-3</v>
      </c>
      <c r="O319" s="35">
        <v>2.5999999999999999E-3</v>
      </c>
      <c r="P319" s="89">
        <f t="shared" si="108"/>
        <v>-2.1923076923076925</v>
      </c>
      <c r="Q319" s="35" t="s">
        <v>312</v>
      </c>
      <c r="R319" s="89">
        <f t="shared" si="109"/>
        <v>-1.0796E-2</v>
      </c>
      <c r="S319" s="89">
        <f t="shared" si="110"/>
        <v>-6.0400000000000037E-4</v>
      </c>
      <c r="T319" s="35">
        <v>1</v>
      </c>
      <c r="U319" s="35">
        <v>144012</v>
      </c>
      <c r="V319" s="35" t="s">
        <v>312</v>
      </c>
      <c r="W319" s="35" t="s">
        <v>312</v>
      </c>
      <c r="X319" s="35">
        <f t="shared" si="126"/>
        <v>144012</v>
      </c>
      <c r="Y319" s="89">
        <f t="shared" si="111"/>
        <v>-5.7769009323226997E-3</v>
      </c>
      <c r="Z319" s="89">
        <f t="shared" si="112"/>
        <v>2.6350776182524592E-3</v>
      </c>
      <c r="AA319" s="89">
        <f t="shared" si="124"/>
        <v>-5.7769009323226997E-3</v>
      </c>
      <c r="AB319" s="35" t="s">
        <v>81</v>
      </c>
      <c r="AC319" s="89">
        <f t="shared" si="127"/>
        <v>-0.30335400000000001</v>
      </c>
      <c r="AD319" s="89" cm="1">
        <f t="array" ref="AD319">_xlfn.IFS(
AND(L319="marginal_effect",M319="level"),N319*AN319/BF319,
AND(L319="marginal_effect",M319="sd (Y)"),N319*BH319*AN319/BF319,
AND(L319="marginal_effect",M319="sd (X)"),N319/AQ319*AN319/BF319,
AND(L319="semi_elasticity",M319="level"),N319*AN319,
AND(L319="semi_elasticity",M319="sd (Y)"),N319*AN319*BH319,
AND(L319="semi_elasticity",M319="sd (X)"),N319*AN319/AQ319,
AND(L319="level-log",M319="level"),N319/BF319,
AND(L319="level-log",M319="sd (X)"),N319/BF319/AQ319,
AND(L319="level-log",M319="sd (Y)"),N319/BF319*BH319,
AND(L319="elasticity",M319="level"),N319,
AND(L319="elasticity",M319="sd (X)"),N319/AQ319,
AND(L319="elasticity",M319="sd (Y)"),N319*BH319,
AND(L319="marginal_effect",M319="percent_of_mean"),N319*AN319/BF319/10)</f>
        <v>-0.30335400000000001</v>
      </c>
      <c r="AE319" s="49">
        <f t="shared" si="113"/>
        <v>1</v>
      </c>
      <c r="AF319" s="89">
        <f t="shared" si="128"/>
        <v>0.138372</v>
      </c>
      <c r="AG319" s="89" cm="1">
        <f t="array" ref="AG319">_xlfn.IFS(
AND(L319="marginal_effect",M319="level"),O319*AN319/BF319,
AND(L319="marginal_effect",M319="sd (Y)"),O319*BH319*AN319/BF319,
AND(L319="marginal_effect",M319="sd (X)"),O319/AQ319*AN319/BF319,
AND(L319="semi_elasticity",M319="level"),O319*AN319,
AND(L319="semi_elasticity",M319="sd (Y)"),O319*AN319*BH319,
AND(L319="semi_elasticity",M319="sd (X)"),O319*AN319/AQ319,
AND(L319="level-log",M319="level"),O319/BF319,
AND(L319="level-log",M319="sd (X)"),O319/BF319/AQ319,
AND(L319="level-log",M319="sd (Y)"),O319/BF319*BH319,
AND(L319="elasticity",M319="level"),O319,
AND(L319="elasticity",M319="sd (X)"),O319/AQ319,
AND(L319="elasticity",M319="sd (Y)"),O319*BH319,
AND(L319="marginal_effect",M319="percent_of_mean"),O319*AN319/BF319/10)</f>
        <v>0.138372</v>
      </c>
      <c r="AH319" s="49">
        <f t="shared" si="114"/>
        <v>1</v>
      </c>
      <c r="AI319" s="89">
        <f t="shared" si="125"/>
        <v>-0.30335400000000001</v>
      </c>
      <c r="AJ319" s="35">
        <v>0</v>
      </c>
      <c r="AK319" s="35">
        <f t="shared" si="115"/>
        <v>1</v>
      </c>
      <c r="AL319" s="35" t="s">
        <v>431</v>
      </c>
      <c r="AM319" s="35" t="s">
        <v>737</v>
      </c>
      <c r="AN319" s="35">
        <v>53.22</v>
      </c>
      <c r="AO319" s="35">
        <v>0</v>
      </c>
      <c r="AP319" s="35">
        <f t="shared" si="121"/>
        <v>53.22</v>
      </c>
      <c r="AQ319" s="35">
        <v>15.91</v>
      </c>
      <c r="AR319" s="35">
        <v>27.13</v>
      </c>
      <c r="AS319" s="35">
        <v>102.8</v>
      </c>
      <c r="AT319" s="35" t="s">
        <v>83</v>
      </c>
      <c r="AU319" s="35" t="s">
        <v>109</v>
      </c>
      <c r="AV319" s="35" t="s">
        <v>133</v>
      </c>
      <c r="AX319" s="35" t="s">
        <v>86</v>
      </c>
      <c r="AY319" s="35">
        <v>0</v>
      </c>
      <c r="AZ319" s="35">
        <v>0</v>
      </c>
      <c r="BA319" s="35" t="s">
        <v>391</v>
      </c>
      <c r="BB319" s="35" t="s">
        <v>88</v>
      </c>
      <c r="BC319" s="35" t="s">
        <v>89</v>
      </c>
      <c r="BD319" s="35" t="s">
        <v>90</v>
      </c>
      <c r="BE319" s="35" t="s">
        <v>861</v>
      </c>
      <c r="BF319" s="35">
        <v>62.1</v>
      </c>
      <c r="BG319" s="35">
        <v>0</v>
      </c>
      <c r="BH319" s="35">
        <v>72.900000000000006</v>
      </c>
      <c r="BI319" s="35" t="s">
        <v>312</v>
      </c>
      <c r="BJ319" s="35" t="s">
        <v>312</v>
      </c>
      <c r="BK319" s="35" t="s">
        <v>91</v>
      </c>
      <c r="BL319" s="35" t="s">
        <v>84</v>
      </c>
      <c r="BM319" s="35">
        <v>1</v>
      </c>
      <c r="BN319" s="35" t="s">
        <v>2177</v>
      </c>
      <c r="BO319" s="35" t="s">
        <v>375</v>
      </c>
      <c r="BP319" s="35" t="s">
        <v>312</v>
      </c>
      <c r="BQ319" s="35" t="s">
        <v>117</v>
      </c>
      <c r="BR319" s="35" t="s">
        <v>93</v>
      </c>
      <c r="BS319" s="35" t="s">
        <v>312</v>
      </c>
      <c r="BT319" s="35">
        <v>0</v>
      </c>
      <c r="BU319" s="61">
        <v>38169</v>
      </c>
      <c r="BV319" s="61">
        <v>42217</v>
      </c>
      <c r="BW319" s="35" t="s">
        <v>94</v>
      </c>
      <c r="BX319" s="35" t="s">
        <v>95</v>
      </c>
      <c r="BY319" s="35" t="s">
        <v>748</v>
      </c>
      <c r="BZ319" s="35">
        <v>1</v>
      </c>
      <c r="CA319" s="35">
        <v>1</v>
      </c>
      <c r="CB319" s="35" t="s">
        <v>871</v>
      </c>
      <c r="CC319" s="35" t="s">
        <v>314</v>
      </c>
      <c r="CD319" s="35">
        <v>1</v>
      </c>
      <c r="CE319" s="35" t="s">
        <v>866</v>
      </c>
      <c r="CF319" s="35">
        <v>0</v>
      </c>
      <c r="CG319" s="35" t="s">
        <v>97</v>
      </c>
      <c r="CH319" s="35">
        <v>1</v>
      </c>
      <c r="CI319" s="35" t="s">
        <v>97</v>
      </c>
      <c r="CJ319" s="35" t="s">
        <v>98</v>
      </c>
      <c r="CK319" s="35">
        <v>22</v>
      </c>
      <c r="CL319" s="35">
        <v>0</v>
      </c>
      <c r="CM319" s="35">
        <v>0</v>
      </c>
      <c r="CN319" s="35" t="s">
        <v>99</v>
      </c>
      <c r="CO319" s="35" t="s">
        <v>939</v>
      </c>
      <c r="CP319" s="35" t="s">
        <v>100</v>
      </c>
      <c r="CQ319" s="35" t="s">
        <v>126</v>
      </c>
      <c r="CR319" s="36">
        <v>46223</v>
      </c>
      <c r="CT319" s="35" t="s">
        <v>883</v>
      </c>
    </row>
    <row r="320" spans="1:98" s="35" customFormat="1" x14ac:dyDescent="0.35">
      <c r="A320" s="34" t="s">
        <v>857</v>
      </c>
      <c r="B320" s="34" t="s">
        <v>879</v>
      </c>
      <c r="C320" s="35" t="s">
        <v>858</v>
      </c>
      <c r="D320" s="35">
        <v>2021</v>
      </c>
      <c r="E320" s="37" t="s">
        <v>859</v>
      </c>
      <c r="F320" s="34" t="s">
        <v>860</v>
      </c>
      <c r="G320" s="35" t="s">
        <v>78</v>
      </c>
      <c r="H320" s="35">
        <v>1</v>
      </c>
      <c r="I320" s="35" t="s">
        <v>290</v>
      </c>
      <c r="J320" s="35" t="s">
        <v>79</v>
      </c>
      <c r="K320" s="35">
        <v>74</v>
      </c>
      <c r="L320" s="35" t="s">
        <v>104</v>
      </c>
      <c r="M320" s="35" t="s">
        <v>380</v>
      </c>
      <c r="N320" s="35">
        <v>-1.15E-2</v>
      </c>
      <c r="O320" s="35">
        <v>4.7000000000000002E-3</v>
      </c>
      <c r="P320" s="89">
        <f t="shared" si="108"/>
        <v>-2.4468085106382977</v>
      </c>
      <c r="Q320" s="35" t="s">
        <v>312</v>
      </c>
      <c r="R320" s="89">
        <f t="shared" si="109"/>
        <v>-2.0712000000000001E-2</v>
      </c>
      <c r="S320" s="89">
        <f t="shared" si="110"/>
        <v>-2.2880000000000001E-3</v>
      </c>
      <c r="T320" s="35">
        <v>1</v>
      </c>
      <c r="U320" s="35">
        <v>61767</v>
      </c>
      <c r="V320" s="35" t="s">
        <v>312</v>
      </c>
      <c r="W320" s="35" t="s">
        <v>312</v>
      </c>
      <c r="X320" s="35">
        <f t="shared" si="126"/>
        <v>61767</v>
      </c>
      <c r="Y320" s="89">
        <f t="shared" si="111"/>
        <v>-9.8446590973481889E-3</v>
      </c>
      <c r="Z320" s="89">
        <f t="shared" si="112"/>
        <v>4.0234693702205643E-3</v>
      </c>
      <c r="AA320" s="89">
        <f t="shared" si="124"/>
        <v>-9.8446590973481889E-3</v>
      </c>
      <c r="AB320" s="35" t="s">
        <v>81</v>
      </c>
      <c r="AC320" s="89">
        <f t="shared" si="127"/>
        <v>-0.61202999999999996</v>
      </c>
      <c r="AD320" s="89" cm="1">
        <f t="array" ref="AD320">_xlfn.IFS(
AND(L320="marginal_effect",M320="level"),N320*AN320/BF320,
AND(L320="marginal_effect",M320="sd (Y)"),N320*BH320*AN320/BF320,
AND(L320="marginal_effect",M320="sd (X)"),N320/AQ320*AN320/BF320,
AND(L320="semi_elasticity",M320="level"),N320*AN320,
AND(L320="semi_elasticity",M320="sd (Y)"),N320*AN320*BH320,
AND(L320="semi_elasticity",M320="sd (X)"),N320*AN320/AQ320,
AND(L320="level-log",M320="level"),N320/BF320,
AND(L320="level-log",M320="sd (X)"),N320/BF320/AQ320,
AND(L320="level-log",M320="sd (Y)"),N320/BF320*BH320,
AND(L320="elasticity",M320="level"),N320,
AND(L320="elasticity",M320="sd (X)"),N320/AQ320,
AND(L320="elasticity",M320="sd (Y)"),N320*BH320,
AND(L320="marginal_effect",M320="percent_of_mean"),N320*AN320/BF320/10)</f>
        <v>-0.61202999999999996</v>
      </c>
      <c r="AE320" s="49">
        <f t="shared" si="113"/>
        <v>1</v>
      </c>
      <c r="AF320" s="89">
        <f t="shared" si="128"/>
        <v>0.25013400000000002</v>
      </c>
      <c r="AG320" s="89" cm="1">
        <f t="array" ref="AG320">_xlfn.IFS(
AND(L320="marginal_effect",M320="level"),O320*AN320/BF320,
AND(L320="marginal_effect",M320="sd (Y)"),O320*BH320*AN320/BF320,
AND(L320="marginal_effect",M320="sd (X)"),O320/AQ320*AN320/BF320,
AND(L320="semi_elasticity",M320="level"),O320*AN320,
AND(L320="semi_elasticity",M320="sd (Y)"),O320*AN320*BH320,
AND(L320="semi_elasticity",M320="sd (X)"),O320*AN320/AQ320,
AND(L320="level-log",M320="level"),O320/BF320,
AND(L320="level-log",M320="sd (X)"),O320/BF320/AQ320,
AND(L320="level-log",M320="sd (Y)"),O320/BF320*BH320,
AND(L320="elasticity",M320="level"),O320,
AND(L320="elasticity",M320="sd (X)"),O320/AQ320,
AND(L320="elasticity",M320="sd (Y)"),O320*BH320,
AND(L320="marginal_effect",M320="percent_of_mean"),O320*AN320/BF320/10)</f>
        <v>0.25013400000000002</v>
      </c>
      <c r="AH320" s="49">
        <f t="shared" si="114"/>
        <v>1</v>
      </c>
      <c r="AI320" s="89">
        <f t="shared" si="125"/>
        <v>-0.61202999999999996</v>
      </c>
      <c r="AJ320" s="35">
        <v>0</v>
      </c>
      <c r="AK320" s="35">
        <f t="shared" si="115"/>
        <v>1</v>
      </c>
      <c r="AL320" s="35" t="s">
        <v>431</v>
      </c>
      <c r="AM320" s="35" t="s">
        <v>737</v>
      </c>
      <c r="AN320" s="35">
        <v>53.22</v>
      </c>
      <c r="AO320" s="35">
        <v>0</v>
      </c>
      <c r="AP320" s="35">
        <f t="shared" si="121"/>
        <v>53.22</v>
      </c>
      <c r="AQ320" s="35">
        <v>15.91</v>
      </c>
      <c r="AR320" s="35">
        <v>27.13</v>
      </c>
      <c r="AS320" s="35">
        <v>102.8</v>
      </c>
      <c r="AT320" s="35" t="s">
        <v>83</v>
      </c>
      <c r="AU320" s="35" t="s">
        <v>109</v>
      </c>
      <c r="AV320" s="35" t="s">
        <v>133</v>
      </c>
      <c r="AX320" s="35" t="s">
        <v>86</v>
      </c>
      <c r="AY320" s="35">
        <v>0</v>
      </c>
      <c r="AZ320" s="35">
        <v>0</v>
      </c>
      <c r="BA320" s="35" t="s">
        <v>391</v>
      </c>
      <c r="BB320" s="35" t="s">
        <v>88</v>
      </c>
      <c r="BC320" s="35" t="s">
        <v>89</v>
      </c>
      <c r="BD320" s="35" t="s">
        <v>90</v>
      </c>
      <c r="BE320" s="35" t="s">
        <v>861</v>
      </c>
      <c r="BF320" s="35">
        <v>56.8</v>
      </c>
      <c r="BG320" s="35">
        <v>0</v>
      </c>
      <c r="BH320" s="35">
        <v>67.900000000000006</v>
      </c>
      <c r="BI320" s="35" t="s">
        <v>312</v>
      </c>
      <c r="BJ320" s="35" t="s">
        <v>312</v>
      </c>
      <c r="BK320" s="35" t="s">
        <v>91</v>
      </c>
      <c r="BL320" s="35" t="s">
        <v>84</v>
      </c>
      <c r="BM320" s="35">
        <v>1</v>
      </c>
      <c r="BN320" s="35" t="s">
        <v>2177</v>
      </c>
      <c r="BO320" s="35" t="s">
        <v>375</v>
      </c>
      <c r="BP320" s="35" t="s">
        <v>312</v>
      </c>
      <c r="BQ320" s="35" t="s">
        <v>117</v>
      </c>
      <c r="BR320" s="35" t="s">
        <v>93</v>
      </c>
      <c r="BS320" s="35" t="s">
        <v>312</v>
      </c>
      <c r="BT320" s="35">
        <v>0</v>
      </c>
      <c r="BU320" s="61">
        <v>38169</v>
      </c>
      <c r="BV320" s="61">
        <v>42217</v>
      </c>
      <c r="BW320" s="35" t="s">
        <v>94</v>
      </c>
      <c r="BX320" s="35" t="s">
        <v>95</v>
      </c>
      <c r="BY320" s="35" t="s">
        <v>748</v>
      </c>
      <c r="BZ320" s="35">
        <v>1</v>
      </c>
      <c r="CA320" s="35">
        <v>1</v>
      </c>
      <c r="CB320" s="35" t="s">
        <v>871</v>
      </c>
      <c r="CC320" s="35" t="s">
        <v>314</v>
      </c>
      <c r="CD320" s="35">
        <v>1</v>
      </c>
      <c r="CE320" s="35" t="s">
        <v>866</v>
      </c>
      <c r="CF320" s="35">
        <v>0</v>
      </c>
      <c r="CG320" s="35" t="s">
        <v>97</v>
      </c>
      <c r="CH320" s="35">
        <v>1</v>
      </c>
      <c r="CI320" s="35" t="s">
        <v>97</v>
      </c>
      <c r="CJ320" s="35" t="s">
        <v>98</v>
      </c>
      <c r="CK320" s="35">
        <v>22</v>
      </c>
      <c r="CL320" s="35">
        <v>0</v>
      </c>
      <c r="CM320" s="35">
        <v>0</v>
      </c>
      <c r="CN320" s="35" t="s">
        <v>99</v>
      </c>
      <c r="CO320" s="35" t="s">
        <v>939</v>
      </c>
      <c r="CP320" s="35" t="s">
        <v>100</v>
      </c>
      <c r="CQ320" s="35" t="s">
        <v>126</v>
      </c>
      <c r="CR320" s="36">
        <v>46223</v>
      </c>
      <c r="CT320" s="35" t="s">
        <v>884</v>
      </c>
    </row>
    <row r="321" spans="1:99" s="35" customFormat="1" x14ac:dyDescent="0.35">
      <c r="A321" s="34" t="s">
        <v>857</v>
      </c>
      <c r="B321" s="34" t="s">
        <v>880</v>
      </c>
      <c r="C321" s="35" t="s">
        <v>858</v>
      </c>
      <c r="D321" s="35">
        <v>2021</v>
      </c>
      <c r="E321" s="37" t="s">
        <v>859</v>
      </c>
      <c r="F321" s="34" t="s">
        <v>860</v>
      </c>
      <c r="G321" s="35" t="s">
        <v>78</v>
      </c>
      <c r="H321" s="35">
        <v>1</v>
      </c>
      <c r="I321" s="35" t="s">
        <v>290</v>
      </c>
      <c r="J321" s="35" t="s">
        <v>79</v>
      </c>
      <c r="K321" s="35">
        <v>74</v>
      </c>
      <c r="L321" s="35" t="s">
        <v>104</v>
      </c>
      <c r="M321" s="35" t="s">
        <v>380</v>
      </c>
      <c r="N321" s="35">
        <v>-0.1069</v>
      </c>
      <c r="O321" s="35">
        <v>3.0200000000000001E-2</v>
      </c>
      <c r="P321" s="89">
        <f t="shared" si="108"/>
        <v>-3.5397350993377481</v>
      </c>
      <c r="Q321" s="35" t="s">
        <v>312</v>
      </c>
      <c r="R321" s="89">
        <f t="shared" si="109"/>
        <v>-0.16609199999999999</v>
      </c>
      <c r="S321" s="89">
        <f t="shared" si="110"/>
        <v>-4.7707999999999993E-2</v>
      </c>
      <c r="T321" s="35">
        <v>1</v>
      </c>
      <c r="U321" s="35">
        <v>21292</v>
      </c>
      <c r="V321" s="35" t="s">
        <v>312</v>
      </c>
      <c r="W321" s="35" t="s">
        <v>312</v>
      </c>
      <c r="X321" s="35">
        <f t="shared" si="126"/>
        <v>21292</v>
      </c>
      <c r="Y321" s="89">
        <f t="shared" si="111"/>
        <v>-2.425128671833178E-2</v>
      </c>
      <c r="Z321" s="89">
        <f t="shared" si="112"/>
        <v>6.8511586425970038E-3</v>
      </c>
      <c r="AA321" s="89">
        <f t="shared" si="124"/>
        <v>-2.425128671833178E-2</v>
      </c>
      <c r="AB321" s="35" t="s">
        <v>81</v>
      </c>
      <c r="AC321" s="89">
        <f t="shared" si="127"/>
        <v>-5.6892179999999994</v>
      </c>
      <c r="AD321" s="89" cm="1">
        <f t="array" ref="AD321">_xlfn.IFS(
AND(L321="marginal_effect",M321="level"),N321*AN321/BF321,
AND(L321="marginal_effect",M321="sd (Y)"),N321*BH321*AN321/BF321,
AND(L321="marginal_effect",M321="sd (X)"),N321/AQ321*AN321/BF321,
AND(L321="semi_elasticity",M321="level"),N321*AN321,
AND(L321="semi_elasticity",M321="sd (Y)"),N321*AN321*BH321,
AND(L321="semi_elasticity",M321="sd (X)"),N321*AN321/AQ321,
AND(L321="level-log",M321="level"),N321/BF321,
AND(L321="level-log",M321="sd (X)"),N321/BF321/AQ321,
AND(L321="level-log",M321="sd (Y)"),N321/BF321*BH321,
AND(L321="elasticity",M321="level"),N321,
AND(L321="elasticity",M321="sd (X)"),N321/AQ321,
AND(L321="elasticity",M321="sd (Y)"),N321*BH321,
AND(L321="marginal_effect",M321="percent_of_mean"),N321*AN321/BF321/10)</f>
        <v>-5.6892179999999994</v>
      </c>
      <c r="AE321" s="49">
        <f t="shared" si="113"/>
        <v>1</v>
      </c>
      <c r="AF321" s="89">
        <f t="shared" si="128"/>
        <v>1.6072440000000001</v>
      </c>
      <c r="AG321" s="89" cm="1">
        <f t="array" ref="AG321">_xlfn.IFS(
AND(L321="marginal_effect",M321="level"),O321*AN321/BF321,
AND(L321="marginal_effect",M321="sd (Y)"),O321*BH321*AN321/BF321,
AND(L321="marginal_effect",M321="sd (X)"),O321/AQ321*AN321/BF321,
AND(L321="semi_elasticity",M321="level"),O321*AN321,
AND(L321="semi_elasticity",M321="sd (Y)"),O321*AN321*BH321,
AND(L321="semi_elasticity",M321="sd (X)"),O321*AN321/AQ321,
AND(L321="level-log",M321="level"),O321/BF321,
AND(L321="level-log",M321="sd (X)"),O321/BF321/AQ321,
AND(L321="level-log",M321="sd (Y)"),O321/BF321*BH321,
AND(L321="elasticity",M321="level"),O321,
AND(L321="elasticity",M321="sd (X)"),O321/AQ321,
AND(L321="elasticity",M321="sd (Y)"),O321*BH321,
AND(L321="marginal_effect",M321="percent_of_mean"),O321*AN321/BF321/10)</f>
        <v>1.6072440000000001</v>
      </c>
      <c r="AH321" s="49">
        <f t="shared" si="114"/>
        <v>1</v>
      </c>
      <c r="AI321" s="89">
        <f t="shared" si="125"/>
        <v>-5.6892179999999994</v>
      </c>
      <c r="AJ321" s="35">
        <v>0</v>
      </c>
      <c r="AK321" s="35">
        <f t="shared" si="115"/>
        <v>1</v>
      </c>
      <c r="AL321" s="35" t="s">
        <v>431</v>
      </c>
      <c r="AM321" s="35" t="s">
        <v>737</v>
      </c>
      <c r="AN321" s="35">
        <v>53.22</v>
      </c>
      <c r="AO321" s="35">
        <v>0</v>
      </c>
      <c r="AP321" s="35">
        <f t="shared" si="121"/>
        <v>53.22</v>
      </c>
      <c r="AQ321" s="35">
        <v>15.91</v>
      </c>
      <c r="AR321" s="35">
        <v>27.13</v>
      </c>
      <c r="AS321" s="35">
        <v>102.8</v>
      </c>
      <c r="AT321" s="35" t="s">
        <v>83</v>
      </c>
      <c r="AU321" s="35" t="s">
        <v>109</v>
      </c>
      <c r="AV321" s="35" t="s">
        <v>133</v>
      </c>
      <c r="AX321" s="35" t="s">
        <v>86</v>
      </c>
      <c r="AY321" s="35">
        <v>0</v>
      </c>
      <c r="AZ321" s="35">
        <v>0</v>
      </c>
      <c r="BA321" s="35" t="s">
        <v>391</v>
      </c>
      <c r="BB321" s="35" t="s">
        <v>88</v>
      </c>
      <c r="BC321" s="35" t="s">
        <v>89</v>
      </c>
      <c r="BD321" s="35" t="s">
        <v>90</v>
      </c>
      <c r="BE321" s="35" t="s">
        <v>861</v>
      </c>
      <c r="BF321" s="35">
        <v>64.2</v>
      </c>
      <c r="BG321" s="35">
        <v>0</v>
      </c>
      <c r="BH321" s="35">
        <v>265.89999999999998</v>
      </c>
      <c r="BI321" s="35" t="s">
        <v>312</v>
      </c>
      <c r="BJ321" s="35" t="s">
        <v>312</v>
      </c>
      <c r="BK321" s="35" t="s">
        <v>91</v>
      </c>
      <c r="BL321" s="35" t="s">
        <v>84</v>
      </c>
      <c r="BM321" s="35">
        <v>1</v>
      </c>
      <c r="BN321" s="35" t="s">
        <v>2177</v>
      </c>
      <c r="BO321" s="35" t="s">
        <v>375</v>
      </c>
      <c r="BP321" s="35" t="s">
        <v>312</v>
      </c>
      <c r="BQ321" s="35" t="s">
        <v>117</v>
      </c>
      <c r="BR321" s="35" t="s">
        <v>93</v>
      </c>
      <c r="BS321" s="35" t="s">
        <v>312</v>
      </c>
      <c r="BT321" s="35">
        <v>0</v>
      </c>
      <c r="BU321" s="61">
        <v>38169</v>
      </c>
      <c r="BV321" s="61">
        <v>42217</v>
      </c>
      <c r="BW321" s="35" t="s">
        <v>94</v>
      </c>
      <c r="BX321" s="35" t="s">
        <v>95</v>
      </c>
      <c r="BY321" s="35" t="s">
        <v>748</v>
      </c>
      <c r="BZ321" s="35">
        <v>1</v>
      </c>
      <c r="CA321" s="35">
        <v>1</v>
      </c>
      <c r="CB321" s="35" t="s">
        <v>871</v>
      </c>
      <c r="CC321" s="35" t="s">
        <v>314</v>
      </c>
      <c r="CD321" s="35">
        <v>1</v>
      </c>
      <c r="CE321" s="35" t="s">
        <v>866</v>
      </c>
      <c r="CF321" s="35">
        <v>0</v>
      </c>
      <c r="CG321" s="35" t="s">
        <v>97</v>
      </c>
      <c r="CH321" s="35">
        <v>1</v>
      </c>
      <c r="CI321" s="35" t="s">
        <v>97</v>
      </c>
      <c r="CJ321" s="35" t="s">
        <v>98</v>
      </c>
      <c r="CK321" s="35">
        <v>22</v>
      </c>
      <c r="CL321" s="35">
        <v>0</v>
      </c>
      <c r="CM321" s="35">
        <v>0</v>
      </c>
      <c r="CN321" s="35" t="s">
        <v>99</v>
      </c>
      <c r="CO321" s="35" t="s">
        <v>939</v>
      </c>
      <c r="CP321" s="35" t="s">
        <v>100</v>
      </c>
      <c r="CQ321" s="35" t="s">
        <v>126</v>
      </c>
      <c r="CR321" s="36">
        <v>46223</v>
      </c>
      <c r="CT321" s="35" t="s">
        <v>885</v>
      </c>
    </row>
    <row r="322" spans="1:99" s="35" customFormat="1" x14ac:dyDescent="0.35">
      <c r="A322" s="34" t="s">
        <v>857</v>
      </c>
      <c r="B322" s="34" t="s">
        <v>891</v>
      </c>
      <c r="C322" s="35" t="s">
        <v>858</v>
      </c>
      <c r="D322" s="35">
        <v>2021</v>
      </c>
      <c r="E322" s="37" t="s">
        <v>859</v>
      </c>
      <c r="F322" s="34" t="s">
        <v>860</v>
      </c>
      <c r="G322" s="35" t="s">
        <v>78</v>
      </c>
      <c r="H322" s="35">
        <v>1</v>
      </c>
      <c r="I322" s="35" t="s">
        <v>290</v>
      </c>
      <c r="J322" s="35" t="s">
        <v>79</v>
      </c>
      <c r="K322" s="35">
        <v>74</v>
      </c>
      <c r="L322" s="35" t="s">
        <v>104</v>
      </c>
      <c r="M322" s="35" t="s">
        <v>380</v>
      </c>
      <c r="N322" s="35">
        <v>-1.7399999999999999E-2</v>
      </c>
      <c r="O322" s="35">
        <v>1.2500000000000001E-2</v>
      </c>
      <c r="P322" s="89">
        <f t="shared" si="108"/>
        <v>-1.3919999999999999</v>
      </c>
      <c r="Q322" s="35" t="s">
        <v>312</v>
      </c>
      <c r="R322" s="89">
        <f t="shared" si="109"/>
        <v>-4.19E-2</v>
      </c>
      <c r="S322" s="89">
        <f t="shared" si="110"/>
        <v>7.1000000000000021E-3</v>
      </c>
      <c r="T322" s="35">
        <v>1</v>
      </c>
      <c r="U322" s="35">
        <v>6288</v>
      </c>
      <c r="V322" s="35" t="s">
        <v>312</v>
      </c>
      <c r="W322" s="35" t="s">
        <v>312</v>
      </c>
      <c r="X322" s="35">
        <f t="shared" si="126"/>
        <v>6288</v>
      </c>
      <c r="Y322" s="89">
        <f t="shared" si="111"/>
        <v>-1.7551573802345569E-2</v>
      </c>
      <c r="Z322" s="89">
        <f t="shared" si="112"/>
        <v>1.260888922582297E-2</v>
      </c>
      <c r="AA322" s="89">
        <f t="shared" si="124"/>
        <v>-1.7551573802345569E-2</v>
      </c>
      <c r="AB322" s="35" t="s">
        <v>81</v>
      </c>
      <c r="AC322" s="89">
        <f t="shared" si="127"/>
        <v>-0.92602799999999996</v>
      </c>
      <c r="AD322" s="89" cm="1">
        <f t="array" ref="AD322">_xlfn.IFS(
AND(L322="marginal_effect",M322="level"),N322*AN322/BF322,
AND(L322="marginal_effect",M322="sd (Y)"),N322*BH322*AN322/BF322,
AND(L322="marginal_effect",M322="sd (X)"),N322/AQ322*AN322/BF322,
AND(L322="semi_elasticity",M322="level"),N322*AN322,
AND(L322="semi_elasticity",M322="sd (Y)"),N322*AN322*BH322,
AND(L322="semi_elasticity",M322="sd (X)"),N322*AN322/AQ322,
AND(L322="level-log",M322="level"),N322/BF322,
AND(L322="level-log",M322="sd (X)"),N322/BF322/AQ322,
AND(L322="level-log",M322="sd (Y)"),N322/BF322*BH322,
AND(L322="elasticity",M322="level"),N322,
AND(L322="elasticity",M322="sd (X)"),N322/AQ322,
AND(L322="elasticity",M322="sd (Y)"),N322*BH322,
AND(L322="marginal_effect",M322="percent_of_mean"),N322*AN322/BF322/10)</f>
        <v>-0.92602799999999996</v>
      </c>
      <c r="AE322" s="49">
        <f t="shared" si="113"/>
        <v>1</v>
      </c>
      <c r="AF322" s="89">
        <f t="shared" si="128"/>
        <v>0.66525000000000001</v>
      </c>
      <c r="AG322" s="89" cm="1">
        <f t="array" ref="AG322">_xlfn.IFS(
AND(L322="marginal_effect",M322="level"),O322*AN322/BF322,
AND(L322="marginal_effect",M322="sd (Y)"),O322*BH322*AN322/BF322,
AND(L322="marginal_effect",M322="sd (X)"),O322/AQ322*AN322/BF322,
AND(L322="semi_elasticity",M322="level"),O322*AN322,
AND(L322="semi_elasticity",M322="sd (Y)"),O322*AN322*BH322,
AND(L322="semi_elasticity",M322="sd (X)"),O322*AN322/AQ322,
AND(L322="level-log",M322="level"),O322/BF322,
AND(L322="level-log",M322="sd (X)"),O322/BF322/AQ322,
AND(L322="level-log",M322="sd (Y)"),O322/BF322*BH322,
AND(L322="elasticity",M322="level"),O322,
AND(L322="elasticity",M322="sd (X)"),O322/AQ322,
AND(L322="elasticity",M322="sd (Y)"),O322*BH322,
AND(L322="marginal_effect",M322="percent_of_mean"),O322*AN322/BF322/10)</f>
        <v>0.66525000000000001</v>
      </c>
      <c r="AH322" s="49">
        <f t="shared" si="114"/>
        <v>1</v>
      </c>
      <c r="AI322" s="89">
        <f t="shared" si="125"/>
        <v>-0.92602799999999996</v>
      </c>
      <c r="AJ322" s="35">
        <v>0</v>
      </c>
      <c r="AK322" s="35">
        <f t="shared" si="115"/>
        <v>1</v>
      </c>
      <c r="AL322" s="35" t="s">
        <v>431</v>
      </c>
      <c r="AM322" s="35" t="s">
        <v>737</v>
      </c>
      <c r="AN322" s="35">
        <v>53.22</v>
      </c>
      <c r="AO322" s="35">
        <v>0</v>
      </c>
      <c r="AP322" s="35">
        <f t="shared" si="121"/>
        <v>53.22</v>
      </c>
      <c r="AQ322" s="35">
        <v>15.91</v>
      </c>
      <c r="AR322" s="35">
        <v>27.13</v>
      </c>
      <c r="AS322" s="35">
        <v>102.8</v>
      </c>
      <c r="AT322" s="35" t="s">
        <v>83</v>
      </c>
      <c r="AU322" s="35" t="s">
        <v>109</v>
      </c>
      <c r="AV322" s="35" t="s">
        <v>133</v>
      </c>
      <c r="AX322" s="35" t="s">
        <v>86</v>
      </c>
      <c r="AY322" s="35">
        <v>0</v>
      </c>
      <c r="AZ322" s="35">
        <v>0</v>
      </c>
      <c r="BA322" s="35" t="s">
        <v>391</v>
      </c>
      <c r="BB322" s="35" t="s">
        <v>88</v>
      </c>
      <c r="BC322" s="35" t="s">
        <v>89</v>
      </c>
      <c r="BD322" s="35" t="s">
        <v>90</v>
      </c>
      <c r="BE322" s="35" t="s">
        <v>861</v>
      </c>
      <c r="BF322" s="35">
        <v>44.6</v>
      </c>
      <c r="BG322" s="35">
        <v>0</v>
      </c>
      <c r="BH322" s="35">
        <v>52.5</v>
      </c>
      <c r="BI322" s="35" t="s">
        <v>312</v>
      </c>
      <c r="BJ322" s="35" t="s">
        <v>312</v>
      </c>
      <c r="BK322" s="35" t="s">
        <v>91</v>
      </c>
      <c r="BL322" s="35" t="s">
        <v>84</v>
      </c>
      <c r="BM322" s="35">
        <v>1</v>
      </c>
      <c r="BN322" s="35" t="s">
        <v>2177</v>
      </c>
      <c r="BO322" s="35" t="s">
        <v>375</v>
      </c>
      <c r="BP322" s="35" t="s">
        <v>312</v>
      </c>
      <c r="BQ322" s="35" t="s">
        <v>117</v>
      </c>
      <c r="BR322" s="35" t="s">
        <v>93</v>
      </c>
      <c r="BS322" s="35" t="s">
        <v>312</v>
      </c>
      <c r="BT322" s="35">
        <v>0</v>
      </c>
      <c r="BU322" s="61">
        <v>38169</v>
      </c>
      <c r="BV322" s="61">
        <v>42217</v>
      </c>
      <c r="BW322" s="35" t="s">
        <v>94</v>
      </c>
      <c r="BX322" s="35" t="s">
        <v>95</v>
      </c>
      <c r="BY322" s="35" t="s">
        <v>748</v>
      </c>
      <c r="BZ322" s="35">
        <v>1</v>
      </c>
      <c r="CA322" s="35">
        <v>1</v>
      </c>
      <c r="CB322" s="35" t="s">
        <v>871</v>
      </c>
      <c r="CC322" s="35" t="s">
        <v>314</v>
      </c>
      <c r="CD322" s="35">
        <v>1</v>
      </c>
      <c r="CE322" s="35" t="s">
        <v>866</v>
      </c>
      <c r="CF322" s="35">
        <v>0</v>
      </c>
      <c r="CG322" s="35" t="s">
        <v>97</v>
      </c>
      <c r="CH322" s="35">
        <v>1</v>
      </c>
      <c r="CI322" s="35" t="s">
        <v>97</v>
      </c>
      <c r="CJ322" s="35" t="s">
        <v>98</v>
      </c>
      <c r="CK322" s="35">
        <v>22</v>
      </c>
      <c r="CL322" s="35">
        <v>0</v>
      </c>
      <c r="CM322" s="35">
        <v>0</v>
      </c>
      <c r="CN322" s="35" t="s">
        <v>99</v>
      </c>
      <c r="CO322" s="35" t="s">
        <v>941</v>
      </c>
      <c r="CP322" s="35" t="s">
        <v>100</v>
      </c>
      <c r="CQ322" s="35" t="s">
        <v>126</v>
      </c>
      <c r="CR322" s="36">
        <v>46223</v>
      </c>
      <c r="CT322" s="35" t="s">
        <v>886</v>
      </c>
    </row>
    <row r="323" spans="1:99" s="35" customFormat="1" x14ac:dyDescent="0.35">
      <c r="A323" s="34" t="s">
        <v>857</v>
      </c>
      <c r="B323" s="34" t="s">
        <v>892</v>
      </c>
      <c r="C323" s="35" t="s">
        <v>858</v>
      </c>
      <c r="D323" s="35">
        <v>2021</v>
      </c>
      <c r="E323" s="37" t="s">
        <v>859</v>
      </c>
      <c r="F323" s="34" t="s">
        <v>860</v>
      </c>
      <c r="G323" s="35" t="s">
        <v>78</v>
      </c>
      <c r="H323" s="35">
        <v>1</v>
      </c>
      <c r="I323" s="35" t="s">
        <v>290</v>
      </c>
      <c r="J323" s="35" t="s">
        <v>79</v>
      </c>
      <c r="K323" s="35">
        <v>74</v>
      </c>
      <c r="L323" s="35" t="s">
        <v>104</v>
      </c>
      <c r="M323" s="35" t="s">
        <v>380</v>
      </c>
      <c r="N323" s="35">
        <v>-7.9000000000000008E-3</v>
      </c>
      <c r="O323" s="35">
        <v>2.5000000000000001E-3</v>
      </c>
      <c r="P323" s="89">
        <f t="shared" si="108"/>
        <v>-3.16</v>
      </c>
      <c r="Q323" s="35" t="s">
        <v>312</v>
      </c>
      <c r="R323" s="89">
        <f t="shared" si="109"/>
        <v>-1.2800000000000001E-2</v>
      </c>
      <c r="S323" s="89">
        <f t="shared" si="110"/>
        <v>-3.0000000000000009E-3</v>
      </c>
      <c r="T323" s="35">
        <v>1</v>
      </c>
      <c r="U323" s="35">
        <v>104231</v>
      </c>
      <c r="V323" s="35" t="s">
        <v>312</v>
      </c>
      <c r="W323" s="35" t="s">
        <v>312</v>
      </c>
      <c r="X323" s="35">
        <f t="shared" si="126"/>
        <v>104231</v>
      </c>
      <c r="Y323" s="89">
        <f t="shared" si="111"/>
        <v>-9.7874110499914044E-3</v>
      </c>
      <c r="Z323" s="89">
        <f t="shared" si="112"/>
        <v>3.0972819778453805E-3</v>
      </c>
      <c r="AA323" s="89">
        <f t="shared" si="124"/>
        <v>-9.7874110499914044E-3</v>
      </c>
      <c r="AB323" s="35" t="s">
        <v>81</v>
      </c>
      <c r="AC323" s="89">
        <f t="shared" si="127"/>
        <v>-0.42043800000000003</v>
      </c>
      <c r="AD323" s="89" cm="1">
        <f t="array" ref="AD323">_xlfn.IFS(
AND(L323="marginal_effect",M323="level"),N323*AN323/BF323,
AND(L323="marginal_effect",M323="sd (Y)"),N323*BH323*AN323/BF323,
AND(L323="marginal_effect",M323="sd (X)"),N323/AQ323*AN323/BF323,
AND(L323="semi_elasticity",M323="level"),N323*AN323,
AND(L323="semi_elasticity",M323="sd (Y)"),N323*AN323*BH323,
AND(L323="semi_elasticity",M323="sd (X)"),N323*AN323/AQ323,
AND(L323="level-log",M323="level"),N323/BF323,
AND(L323="level-log",M323="sd (X)"),N323/BF323/AQ323,
AND(L323="level-log",M323="sd (Y)"),N323/BF323*BH323,
AND(L323="elasticity",M323="level"),N323,
AND(L323="elasticity",M323="sd (X)"),N323/AQ323,
AND(L323="elasticity",M323="sd (Y)"),N323*BH323,
AND(L323="marginal_effect",M323="percent_of_mean"),N323*AN323/BF323/10)</f>
        <v>-0.42043800000000003</v>
      </c>
      <c r="AE323" s="49">
        <f t="shared" si="113"/>
        <v>1</v>
      </c>
      <c r="AF323" s="89">
        <f t="shared" si="128"/>
        <v>0.13305</v>
      </c>
      <c r="AG323" s="89" cm="1">
        <f t="array" ref="AG323">_xlfn.IFS(
AND(L323="marginal_effect",M323="level"),O323*AN323/BF323,
AND(L323="marginal_effect",M323="sd (Y)"),O323*BH323*AN323/BF323,
AND(L323="marginal_effect",M323="sd (X)"),O323/AQ323*AN323/BF323,
AND(L323="semi_elasticity",M323="level"),O323*AN323,
AND(L323="semi_elasticity",M323="sd (Y)"),O323*AN323*BH323,
AND(L323="semi_elasticity",M323="sd (X)"),O323*AN323/AQ323,
AND(L323="level-log",M323="level"),O323/BF323,
AND(L323="level-log",M323="sd (X)"),O323/BF323/AQ323,
AND(L323="level-log",M323="sd (Y)"),O323/BF323*BH323,
AND(L323="elasticity",M323="level"),O323,
AND(L323="elasticity",M323="sd (X)"),O323/AQ323,
AND(L323="elasticity",M323="sd (Y)"),O323*BH323,
AND(L323="marginal_effect",M323="percent_of_mean"),O323*AN323/BF323/10)</f>
        <v>0.13305</v>
      </c>
      <c r="AH323" s="49">
        <f t="shared" si="114"/>
        <v>1</v>
      </c>
      <c r="AI323" s="89">
        <f t="shared" si="125"/>
        <v>-0.42043800000000003</v>
      </c>
      <c r="AJ323" s="35">
        <v>0</v>
      </c>
      <c r="AK323" s="35">
        <f t="shared" si="115"/>
        <v>1</v>
      </c>
      <c r="AL323" s="35" t="s">
        <v>431</v>
      </c>
      <c r="AM323" s="35" t="s">
        <v>737</v>
      </c>
      <c r="AN323" s="35">
        <v>53.22</v>
      </c>
      <c r="AO323" s="35">
        <v>0</v>
      </c>
      <c r="AP323" s="35">
        <f t="shared" si="121"/>
        <v>53.22</v>
      </c>
      <c r="AQ323" s="35">
        <v>15.91</v>
      </c>
      <c r="AR323" s="35">
        <v>27.13</v>
      </c>
      <c r="AS323" s="35">
        <v>102.8</v>
      </c>
      <c r="AT323" s="35" t="s">
        <v>83</v>
      </c>
      <c r="AU323" s="35" t="s">
        <v>109</v>
      </c>
      <c r="AV323" s="35" t="s">
        <v>133</v>
      </c>
      <c r="AX323" s="35" t="s">
        <v>86</v>
      </c>
      <c r="AY323" s="35">
        <v>0</v>
      </c>
      <c r="AZ323" s="35">
        <v>0</v>
      </c>
      <c r="BA323" s="35" t="s">
        <v>391</v>
      </c>
      <c r="BB323" s="35" t="s">
        <v>88</v>
      </c>
      <c r="BC323" s="35" t="s">
        <v>89</v>
      </c>
      <c r="BD323" s="35" t="s">
        <v>90</v>
      </c>
      <c r="BE323" s="35" t="s">
        <v>861</v>
      </c>
      <c r="BF323" s="35">
        <v>64.900000000000006</v>
      </c>
      <c r="BG323" s="35">
        <v>0</v>
      </c>
      <c r="BH323" s="35">
        <v>72.8</v>
      </c>
      <c r="BI323" s="35" t="s">
        <v>312</v>
      </c>
      <c r="BJ323" s="35" t="s">
        <v>312</v>
      </c>
      <c r="BK323" s="35" t="s">
        <v>91</v>
      </c>
      <c r="BL323" s="35" t="s">
        <v>84</v>
      </c>
      <c r="BM323" s="35">
        <v>1</v>
      </c>
      <c r="BN323" s="35" t="s">
        <v>2177</v>
      </c>
      <c r="BO323" s="35" t="s">
        <v>375</v>
      </c>
      <c r="BP323" s="35" t="s">
        <v>312</v>
      </c>
      <c r="BQ323" s="35" t="s">
        <v>117</v>
      </c>
      <c r="BR323" s="35" t="s">
        <v>93</v>
      </c>
      <c r="BS323" s="35" t="s">
        <v>312</v>
      </c>
      <c r="BT323" s="35">
        <v>0</v>
      </c>
      <c r="BU323" s="61">
        <v>38169</v>
      </c>
      <c r="BV323" s="61">
        <v>42217</v>
      </c>
      <c r="BW323" s="35" t="s">
        <v>94</v>
      </c>
      <c r="BX323" s="35" t="s">
        <v>95</v>
      </c>
      <c r="BY323" s="35" t="s">
        <v>748</v>
      </c>
      <c r="BZ323" s="35">
        <v>1</v>
      </c>
      <c r="CA323" s="35">
        <v>1</v>
      </c>
      <c r="CB323" s="35" t="s">
        <v>871</v>
      </c>
      <c r="CC323" s="35" t="s">
        <v>314</v>
      </c>
      <c r="CD323" s="35">
        <v>1</v>
      </c>
      <c r="CE323" s="35" t="s">
        <v>866</v>
      </c>
      <c r="CF323" s="35">
        <v>0</v>
      </c>
      <c r="CG323" s="35" t="s">
        <v>97</v>
      </c>
      <c r="CH323" s="35">
        <v>1</v>
      </c>
      <c r="CI323" s="35" t="s">
        <v>97</v>
      </c>
      <c r="CJ323" s="35" t="s">
        <v>98</v>
      </c>
      <c r="CK323" s="35">
        <v>22</v>
      </c>
      <c r="CL323" s="35">
        <v>0</v>
      </c>
      <c r="CM323" s="35">
        <v>0</v>
      </c>
      <c r="CN323" s="35" t="s">
        <v>99</v>
      </c>
      <c r="CO323" s="35" t="s">
        <v>941</v>
      </c>
      <c r="CP323" s="35" t="s">
        <v>100</v>
      </c>
      <c r="CQ323" s="35" t="s">
        <v>126</v>
      </c>
      <c r="CR323" s="36">
        <v>46223</v>
      </c>
      <c r="CT323" s="35" t="s">
        <v>887</v>
      </c>
    </row>
    <row r="324" spans="1:99" s="35" customFormat="1" x14ac:dyDescent="0.35">
      <c r="A324" s="34" t="s">
        <v>857</v>
      </c>
      <c r="B324" s="34" t="s">
        <v>893</v>
      </c>
      <c r="C324" s="35" t="s">
        <v>858</v>
      </c>
      <c r="D324" s="35">
        <v>2021</v>
      </c>
      <c r="E324" s="37" t="s">
        <v>859</v>
      </c>
      <c r="F324" s="34" t="s">
        <v>860</v>
      </c>
      <c r="G324" s="35" t="s">
        <v>78</v>
      </c>
      <c r="H324" s="35">
        <v>1</v>
      </c>
      <c r="I324" s="35" t="s">
        <v>290</v>
      </c>
      <c r="J324" s="35" t="s">
        <v>79</v>
      </c>
      <c r="K324" s="35">
        <v>74</v>
      </c>
      <c r="L324" s="35" t="s">
        <v>104</v>
      </c>
      <c r="M324" s="35" t="s">
        <v>380</v>
      </c>
      <c r="N324" s="35">
        <v>-1.06E-2</v>
      </c>
      <c r="O324" s="35">
        <v>4.7000000000000002E-3</v>
      </c>
      <c r="P324" s="89">
        <f t="shared" si="108"/>
        <v>-2.2553191489361701</v>
      </c>
      <c r="Q324" s="35" t="s">
        <v>312</v>
      </c>
      <c r="R324" s="89">
        <f t="shared" si="109"/>
        <v>-1.9812E-2</v>
      </c>
      <c r="S324" s="89">
        <f t="shared" si="110"/>
        <v>-1.3880000000000003E-3</v>
      </c>
      <c r="T324" s="35">
        <v>1</v>
      </c>
      <c r="U324" s="35">
        <v>212932</v>
      </c>
      <c r="V324" s="35" t="s">
        <v>312</v>
      </c>
      <c r="W324" s="35" t="s">
        <v>312</v>
      </c>
      <c r="X324" s="35">
        <f t="shared" si="126"/>
        <v>212932</v>
      </c>
      <c r="Y324" s="89">
        <f t="shared" si="111"/>
        <v>-4.8874502938771047E-3</v>
      </c>
      <c r="Z324" s="89">
        <f t="shared" si="112"/>
        <v>2.1670770170964518E-3</v>
      </c>
      <c r="AA324" s="89">
        <f t="shared" si="124"/>
        <v>-4.8874502938771047E-3</v>
      </c>
      <c r="AB324" s="35" t="s">
        <v>81</v>
      </c>
      <c r="AC324" s="89">
        <f t="shared" si="127"/>
        <v>-0.56413199999999997</v>
      </c>
      <c r="AD324" s="89" cm="1">
        <f t="array" ref="AD324">_xlfn.IFS(
AND(L324="marginal_effect",M324="level"),N324*AN324/BF324,
AND(L324="marginal_effect",M324="sd (Y)"),N324*BH324*AN324/BF324,
AND(L324="marginal_effect",M324="sd (X)"),N324/AQ324*AN324/BF324,
AND(L324="semi_elasticity",M324="level"),N324*AN324,
AND(L324="semi_elasticity",M324="sd (Y)"),N324*AN324*BH324,
AND(L324="semi_elasticity",M324="sd (X)"),N324*AN324/AQ324,
AND(L324="level-log",M324="level"),N324/BF324,
AND(L324="level-log",M324="sd (X)"),N324/BF324/AQ324,
AND(L324="level-log",M324="sd (Y)"),N324/BF324*BH324,
AND(L324="elasticity",M324="level"),N324,
AND(L324="elasticity",M324="sd (X)"),N324/AQ324,
AND(L324="elasticity",M324="sd (Y)"),N324*BH324,
AND(L324="marginal_effect",M324="percent_of_mean"),N324*AN324/BF324/10)</f>
        <v>-0.56413199999999997</v>
      </c>
      <c r="AE324" s="49">
        <f t="shared" si="113"/>
        <v>1</v>
      </c>
      <c r="AF324" s="89">
        <f t="shared" si="128"/>
        <v>0.25013400000000002</v>
      </c>
      <c r="AG324" s="89" cm="1">
        <f t="array" ref="AG324">_xlfn.IFS(
AND(L324="marginal_effect",M324="level"),O324*AN324/BF324,
AND(L324="marginal_effect",M324="sd (Y)"),O324*BH324*AN324/BF324,
AND(L324="marginal_effect",M324="sd (X)"),O324/AQ324*AN324/BF324,
AND(L324="semi_elasticity",M324="level"),O324*AN324,
AND(L324="semi_elasticity",M324="sd (Y)"),O324*AN324*BH324,
AND(L324="semi_elasticity",M324="sd (X)"),O324*AN324/AQ324,
AND(L324="level-log",M324="level"),O324/BF324,
AND(L324="level-log",M324="sd (X)"),O324/BF324/AQ324,
AND(L324="level-log",M324="sd (Y)"),O324/BF324*BH324,
AND(L324="elasticity",M324="level"),O324,
AND(L324="elasticity",M324="sd (X)"),O324/AQ324,
AND(L324="elasticity",M324="sd (Y)"),O324*BH324,
AND(L324="marginal_effect",M324="percent_of_mean"),O324*AN324/BF324/10)</f>
        <v>0.25013400000000002</v>
      </c>
      <c r="AH324" s="49">
        <f t="shared" si="114"/>
        <v>1</v>
      </c>
      <c r="AI324" s="89">
        <f t="shared" si="125"/>
        <v>-0.56413199999999997</v>
      </c>
      <c r="AJ324" s="35">
        <v>0</v>
      </c>
      <c r="AK324" s="35">
        <f t="shared" si="115"/>
        <v>1</v>
      </c>
      <c r="AL324" s="35" t="s">
        <v>431</v>
      </c>
      <c r="AM324" s="35" t="s">
        <v>737</v>
      </c>
      <c r="AN324" s="35">
        <v>53.22</v>
      </c>
      <c r="AO324" s="35">
        <v>0</v>
      </c>
      <c r="AP324" s="35">
        <f t="shared" si="121"/>
        <v>53.22</v>
      </c>
      <c r="AQ324" s="35">
        <v>15.91</v>
      </c>
      <c r="AR324" s="35">
        <v>27.13</v>
      </c>
      <c r="AS324" s="35">
        <v>102.8</v>
      </c>
      <c r="AT324" s="35" t="s">
        <v>83</v>
      </c>
      <c r="AU324" s="35" t="s">
        <v>109</v>
      </c>
      <c r="AV324" s="35" t="s">
        <v>133</v>
      </c>
      <c r="AX324" s="35" t="s">
        <v>86</v>
      </c>
      <c r="AY324" s="35">
        <v>0</v>
      </c>
      <c r="AZ324" s="35">
        <v>0</v>
      </c>
      <c r="BA324" s="35" t="s">
        <v>391</v>
      </c>
      <c r="BB324" s="35" t="s">
        <v>88</v>
      </c>
      <c r="BC324" s="35" t="s">
        <v>89</v>
      </c>
      <c r="BD324" s="35" t="s">
        <v>90</v>
      </c>
      <c r="BE324" s="35" t="s">
        <v>861</v>
      </c>
      <c r="BF324" s="35">
        <v>67.8</v>
      </c>
      <c r="BG324" s="35">
        <v>0</v>
      </c>
      <c r="BH324" s="35">
        <v>78.599999999999994</v>
      </c>
      <c r="BI324" s="35" t="s">
        <v>312</v>
      </c>
      <c r="BJ324" s="35" t="s">
        <v>312</v>
      </c>
      <c r="BK324" s="35" t="s">
        <v>91</v>
      </c>
      <c r="BL324" s="35" t="s">
        <v>84</v>
      </c>
      <c r="BM324" s="35">
        <v>1</v>
      </c>
      <c r="BN324" s="35" t="s">
        <v>2177</v>
      </c>
      <c r="BO324" s="35" t="s">
        <v>375</v>
      </c>
      <c r="BP324" s="35" t="s">
        <v>312</v>
      </c>
      <c r="BQ324" s="35" t="s">
        <v>117</v>
      </c>
      <c r="BR324" s="35" t="s">
        <v>93</v>
      </c>
      <c r="BS324" s="35" t="s">
        <v>312</v>
      </c>
      <c r="BT324" s="35">
        <v>0</v>
      </c>
      <c r="BU324" s="61">
        <v>38169</v>
      </c>
      <c r="BV324" s="61">
        <v>42217</v>
      </c>
      <c r="BW324" s="35" t="s">
        <v>94</v>
      </c>
      <c r="BX324" s="35" t="s">
        <v>95</v>
      </c>
      <c r="BY324" s="35" t="s">
        <v>748</v>
      </c>
      <c r="BZ324" s="35">
        <v>1</v>
      </c>
      <c r="CA324" s="35">
        <v>1</v>
      </c>
      <c r="CB324" s="35" t="s">
        <v>871</v>
      </c>
      <c r="CC324" s="35" t="s">
        <v>314</v>
      </c>
      <c r="CD324" s="35">
        <v>1</v>
      </c>
      <c r="CE324" s="35" t="s">
        <v>866</v>
      </c>
      <c r="CF324" s="35">
        <v>0</v>
      </c>
      <c r="CG324" s="35" t="s">
        <v>97</v>
      </c>
      <c r="CH324" s="35">
        <v>1</v>
      </c>
      <c r="CI324" s="35" t="s">
        <v>97</v>
      </c>
      <c r="CJ324" s="35" t="s">
        <v>98</v>
      </c>
      <c r="CK324" s="35">
        <v>22</v>
      </c>
      <c r="CL324" s="35">
        <v>0</v>
      </c>
      <c r="CM324" s="35">
        <v>0</v>
      </c>
      <c r="CN324" s="35" t="s">
        <v>99</v>
      </c>
      <c r="CO324" s="35" t="s">
        <v>941</v>
      </c>
      <c r="CP324" s="35" t="s">
        <v>100</v>
      </c>
      <c r="CQ324" s="35" t="s">
        <v>126</v>
      </c>
      <c r="CR324" s="36">
        <v>46223</v>
      </c>
      <c r="CT324" s="35" t="s">
        <v>888</v>
      </c>
    </row>
    <row r="325" spans="1:99" s="35" customFormat="1" x14ac:dyDescent="0.35">
      <c r="A325" s="34" t="s">
        <v>857</v>
      </c>
      <c r="B325" s="34" t="s">
        <v>894</v>
      </c>
      <c r="C325" s="35" t="s">
        <v>858</v>
      </c>
      <c r="D325" s="35">
        <v>2021</v>
      </c>
      <c r="E325" s="37" t="s">
        <v>859</v>
      </c>
      <c r="F325" s="34" t="s">
        <v>860</v>
      </c>
      <c r="G325" s="35" t="s">
        <v>78</v>
      </c>
      <c r="H325" s="35">
        <v>1</v>
      </c>
      <c r="I325" s="35" t="s">
        <v>290</v>
      </c>
      <c r="J325" s="35" t="s">
        <v>79</v>
      </c>
      <c r="K325" s="35">
        <v>74</v>
      </c>
      <c r="L325" s="35" t="s">
        <v>104</v>
      </c>
      <c r="M325" s="35" t="s">
        <v>380</v>
      </c>
      <c r="N325" s="35">
        <v>-1.17E-2</v>
      </c>
      <c r="O325" s="35">
        <v>3.3E-3</v>
      </c>
      <c r="P325" s="89">
        <f t="shared" si="108"/>
        <v>-3.5454545454545454</v>
      </c>
      <c r="Q325" s="35" t="s">
        <v>312</v>
      </c>
      <c r="R325" s="89">
        <f t="shared" si="109"/>
        <v>-1.8168E-2</v>
      </c>
      <c r="S325" s="89">
        <f t="shared" si="110"/>
        <v>-5.2320000000000005E-3</v>
      </c>
      <c r="T325" s="35">
        <v>1</v>
      </c>
      <c r="U325" s="35">
        <v>40127</v>
      </c>
      <c r="V325" s="35" t="s">
        <v>312</v>
      </c>
      <c r="W325" s="35" t="s">
        <v>312</v>
      </c>
      <c r="X325" s="35">
        <f t="shared" si="126"/>
        <v>40127</v>
      </c>
      <c r="Y325" s="89">
        <f t="shared" si="111"/>
        <v>-1.7696425930003493E-2</v>
      </c>
      <c r="Z325" s="89">
        <f t="shared" si="112"/>
        <v>4.9912996212830366E-3</v>
      </c>
      <c r="AA325" s="89">
        <f t="shared" si="124"/>
        <v>-1.7696425930003493E-2</v>
      </c>
      <c r="AB325" s="35" t="s">
        <v>81</v>
      </c>
      <c r="AC325" s="89">
        <f t="shared" si="127"/>
        <v>-0.62267399999999995</v>
      </c>
      <c r="AD325" s="89" cm="1">
        <f t="array" ref="AD325">_xlfn.IFS(
AND(L325="marginal_effect",M325="level"),N325*AN325/BF325,
AND(L325="marginal_effect",M325="sd (Y)"),N325*BH325*AN325/BF325,
AND(L325="marginal_effect",M325="sd (X)"),N325/AQ325*AN325/BF325,
AND(L325="semi_elasticity",M325="level"),N325*AN325,
AND(L325="semi_elasticity",M325="sd (Y)"),N325*AN325*BH325,
AND(L325="semi_elasticity",M325="sd (X)"),N325*AN325/AQ325,
AND(L325="level-log",M325="level"),N325/BF325,
AND(L325="level-log",M325="sd (X)"),N325/BF325/AQ325,
AND(L325="level-log",M325="sd (Y)"),N325/BF325*BH325,
AND(L325="elasticity",M325="level"),N325,
AND(L325="elasticity",M325="sd (X)"),N325/AQ325,
AND(L325="elasticity",M325="sd (Y)"),N325*BH325,
AND(L325="marginal_effect",M325="percent_of_mean"),N325*AN325/BF325/10)</f>
        <v>-0.62267399999999995</v>
      </c>
      <c r="AE325" s="49">
        <f t="shared" si="113"/>
        <v>1</v>
      </c>
      <c r="AF325" s="89">
        <f t="shared" si="128"/>
        <v>0.175626</v>
      </c>
      <c r="AG325" s="89" cm="1">
        <f t="array" ref="AG325">_xlfn.IFS(
AND(L325="marginal_effect",M325="level"),O325*AN325/BF325,
AND(L325="marginal_effect",M325="sd (Y)"),O325*BH325*AN325/BF325,
AND(L325="marginal_effect",M325="sd (X)"),O325/AQ325*AN325/BF325,
AND(L325="semi_elasticity",M325="level"),O325*AN325,
AND(L325="semi_elasticity",M325="sd (Y)"),O325*AN325*BH325,
AND(L325="semi_elasticity",M325="sd (X)"),O325*AN325/AQ325,
AND(L325="level-log",M325="level"),O325/BF325,
AND(L325="level-log",M325="sd (X)"),O325/BF325/AQ325,
AND(L325="level-log",M325="sd (Y)"),O325/BF325*BH325,
AND(L325="elasticity",M325="level"),O325,
AND(L325="elasticity",M325="sd (X)"),O325/AQ325,
AND(L325="elasticity",M325="sd (Y)"),O325*BH325,
AND(L325="marginal_effect",M325="percent_of_mean"),O325*AN325/BF325/10)</f>
        <v>0.175626</v>
      </c>
      <c r="AH325" s="49">
        <f t="shared" si="114"/>
        <v>1</v>
      </c>
      <c r="AI325" s="89">
        <f t="shared" si="125"/>
        <v>-0.62267399999999995</v>
      </c>
      <c r="AJ325" s="35">
        <v>0</v>
      </c>
      <c r="AK325" s="35">
        <f t="shared" si="115"/>
        <v>0</v>
      </c>
      <c r="AL325" s="35" t="s">
        <v>431</v>
      </c>
      <c r="AM325" s="35" t="s">
        <v>737</v>
      </c>
      <c r="AN325" s="35">
        <v>53.22</v>
      </c>
      <c r="AO325" s="35">
        <v>0</v>
      </c>
      <c r="AP325" s="35">
        <f t="shared" si="121"/>
        <v>53.22</v>
      </c>
      <c r="AQ325" s="35">
        <v>15.91</v>
      </c>
      <c r="AR325" s="35">
        <v>27.13</v>
      </c>
      <c r="AS325" s="35">
        <v>102.8</v>
      </c>
      <c r="AT325" s="35" t="s">
        <v>83</v>
      </c>
      <c r="AU325" s="35" t="s">
        <v>109</v>
      </c>
      <c r="AV325" s="35" t="s">
        <v>133</v>
      </c>
      <c r="AX325" s="35" t="s">
        <v>86</v>
      </c>
      <c r="AY325" s="35">
        <v>0</v>
      </c>
      <c r="AZ325" s="35">
        <v>0</v>
      </c>
      <c r="BA325" s="35" t="s">
        <v>391</v>
      </c>
      <c r="BB325" s="35" t="s">
        <v>88</v>
      </c>
      <c r="BC325" s="35" t="s">
        <v>89</v>
      </c>
      <c r="BD325" s="35" t="s">
        <v>90</v>
      </c>
      <c r="BE325" s="35" t="s">
        <v>861</v>
      </c>
      <c r="BF325" s="35">
        <v>59.5</v>
      </c>
      <c r="BG325" s="35">
        <v>0</v>
      </c>
      <c r="BH325" s="35">
        <v>72.099999999999994</v>
      </c>
      <c r="BI325" s="35" t="s">
        <v>312</v>
      </c>
      <c r="BJ325" s="35" t="s">
        <v>312</v>
      </c>
      <c r="BK325" s="35" t="s">
        <v>91</v>
      </c>
      <c r="BL325" s="35" t="s">
        <v>84</v>
      </c>
      <c r="BM325" s="35">
        <v>1</v>
      </c>
      <c r="BN325" s="35" t="s">
        <v>2177</v>
      </c>
      <c r="BO325" s="35" t="s">
        <v>375</v>
      </c>
      <c r="BP325" s="35" t="s">
        <v>312</v>
      </c>
      <c r="BQ325" s="35" t="s">
        <v>117</v>
      </c>
      <c r="BR325" s="35" t="s">
        <v>93</v>
      </c>
      <c r="BS325" s="35" t="s">
        <v>312</v>
      </c>
      <c r="BT325" s="35">
        <v>0</v>
      </c>
      <c r="BU325" s="61">
        <v>38169</v>
      </c>
      <c r="BV325" s="61">
        <v>42217</v>
      </c>
      <c r="BW325" s="35" t="s">
        <v>94</v>
      </c>
      <c r="BX325" s="35" t="s">
        <v>95</v>
      </c>
      <c r="BY325" s="35" t="s">
        <v>748</v>
      </c>
      <c r="BZ325" s="35">
        <v>1</v>
      </c>
      <c r="CA325" s="35">
        <v>1</v>
      </c>
      <c r="CB325" s="35" t="s">
        <v>871</v>
      </c>
      <c r="CC325" s="35" t="s">
        <v>314</v>
      </c>
      <c r="CD325" s="35">
        <v>1</v>
      </c>
      <c r="CE325" s="35" t="s">
        <v>866</v>
      </c>
      <c r="CF325" s="35">
        <v>0</v>
      </c>
      <c r="CG325" s="35" t="s">
        <v>97</v>
      </c>
      <c r="CH325" s="35">
        <v>1</v>
      </c>
      <c r="CI325" s="35" t="s">
        <v>97</v>
      </c>
      <c r="CJ325" s="35" t="s">
        <v>98</v>
      </c>
      <c r="CK325" s="35">
        <v>22</v>
      </c>
      <c r="CL325" s="35">
        <v>0</v>
      </c>
      <c r="CM325" s="35">
        <v>0</v>
      </c>
      <c r="CN325" s="35" t="s">
        <v>99</v>
      </c>
      <c r="CO325" s="35" t="s">
        <v>941</v>
      </c>
      <c r="CP325" s="35" t="s">
        <v>100</v>
      </c>
      <c r="CQ325" s="35" t="s">
        <v>126</v>
      </c>
      <c r="CR325" s="36">
        <v>46223</v>
      </c>
      <c r="CT325" s="35" t="s">
        <v>889</v>
      </c>
    </row>
    <row r="326" spans="1:99" s="35" customFormat="1" x14ac:dyDescent="0.35">
      <c r="A326" s="34" t="s">
        <v>857</v>
      </c>
      <c r="B326" s="34" t="s">
        <v>895</v>
      </c>
      <c r="C326" s="35" t="s">
        <v>858</v>
      </c>
      <c r="D326" s="35">
        <v>2021</v>
      </c>
      <c r="E326" s="37" t="s">
        <v>859</v>
      </c>
      <c r="F326" s="34" t="s">
        <v>860</v>
      </c>
      <c r="G326" s="35" t="s">
        <v>78</v>
      </c>
      <c r="H326" s="35">
        <v>1</v>
      </c>
      <c r="I326" s="35" t="s">
        <v>290</v>
      </c>
      <c r="J326" s="35" t="s">
        <v>79</v>
      </c>
      <c r="K326" s="35">
        <v>74</v>
      </c>
      <c r="L326" s="35" t="s">
        <v>104</v>
      </c>
      <c r="M326" s="35" t="s">
        <v>380</v>
      </c>
      <c r="N326" s="35">
        <v>-2.9700000000000001E-2</v>
      </c>
      <c r="O326" s="35">
        <v>1.3299999999999999E-2</v>
      </c>
      <c r="P326" s="89">
        <f t="shared" si="108"/>
        <v>-2.2330827067669174</v>
      </c>
      <c r="Q326" s="35" t="s">
        <v>312</v>
      </c>
      <c r="R326" s="89">
        <f t="shared" si="109"/>
        <v>-5.5767999999999998E-2</v>
      </c>
      <c r="S326" s="89">
        <f t="shared" si="110"/>
        <v>-3.6320000000000033E-3</v>
      </c>
      <c r="T326" s="35">
        <v>1</v>
      </c>
      <c r="U326" s="35">
        <v>12671</v>
      </c>
      <c r="V326" s="35" t="s">
        <v>312</v>
      </c>
      <c r="W326" s="35" t="s">
        <v>312</v>
      </c>
      <c r="X326" s="35">
        <f t="shared" si="126"/>
        <v>12671</v>
      </c>
      <c r="Y326" s="89">
        <f t="shared" si="111"/>
        <v>-1.9834164992777181E-2</v>
      </c>
      <c r="Z326" s="89">
        <f t="shared" si="112"/>
        <v>8.8819661415466822E-3</v>
      </c>
      <c r="AA326" s="89">
        <f t="shared" si="124"/>
        <v>-1.9834164992777181E-2</v>
      </c>
      <c r="AB326" s="35" t="s">
        <v>81</v>
      </c>
      <c r="AC326" s="89">
        <f t="shared" si="127"/>
        <v>-1.5806340000000001</v>
      </c>
      <c r="AD326" s="89" cm="1">
        <f t="array" ref="AD326">_xlfn.IFS(
AND(L326="marginal_effect",M326="level"),N326*AN326/BF326,
AND(L326="marginal_effect",M326="sd (Y)"),N326*BH326*AN326/BF326,
AND(L326="marginal_effect",M326="sd (X)"),N326/AQ326*AN326/BF326,
AND(L326="semi_elasticity",M326="level"),N326*AN326,
AND(L326="semi_elasticity",M326="sd (Y)"),N326*AN326*BH326,
AND(L326="semi_elasticity",M326="sd (X)"),N326*AN326/AQ326,
AND(L326="level-log",M326="level"),N326/BF326,
AND(L326="level-log",M326="sd (X)"),N326/BF326/AQ326,
AND(L326="level-log",M326="sd (Y)"),N326/BF326*BH326,
AND(L326="elasticity",M326="level"),N326,
AND(L326="elasticity",M326="sd (X)"),N326/AQ326,
AND(L326="elasticity",M326="sd (Y)"),N326*BH326,
AND(L326="marginal_effect",M326="percent_of_mean"),N326*AN326/BF326/10)</f>
        <v>-1.5806340000000001</v>
      </c>
      <c r="AE326" s="49">
        <f t="shared" si="113"/>
        <v>1</v>
      </c>
      <c r="AF326" s="89">
        <f t="shared" si="128"/>
        <v>0.70782599999999996</v>
      </c>
      <c r="AG326" s="89" cm="1">
        <f t="array" ref="AG326">_xlfn.IFS(
AND(L326="marginal_effect",M326="level"),O326*AN326/BF326,
AND(L326="marginal_effect",M326="sd (Y)"),O326*BH326*AN326/BF326,
AND(L326="marginal_effect",M326="sd (X)"),O326/AQ326*AN326/BF326,
AND(L326="semi_elasticity",M326="level"),O326*AN326,
AND(L326="semi_elasticity",M326="sd (Y)"),O326*AN326*BH326,
AND(L326="semi_elasticity",M326="sd (X)"),O326*AN326/AQ326,
AND(L326="level-log",M326="level"),O326/BF326,
AND(L326="level-log",M326="sd (X)"),O326/BF326/AQ326,
AND(L326="level-log",M326="sd (Y)"),O326/BF326*BH326,
AND(L326="elasticity",M326="level"),O326,
AND(L326="elasticity",M326="sd (X)"),O326/AQ326,
AND(L326="elasticity",M326="sd (Y)"),O326*BH326,
AND(L326="marginal_effect",M326="percent_of_mean"),O326*AN326/BF326/10)</f>
        <v>0.70782599999999996</v>
      </c>
      <c r="AH326" s="49">
        <f t="shared" si="114"/>
        <v>1</v>
      </c>
      <c r="AI326" s="89">
        <f t="shared" si="125"/>
        <v>-1.5806340000000001</v>
      </c>
      <c r="AJ326" s="35">
        <v>0</v>
      </c>
      <c r="AK326" s="35">
        <f t="shared" si="115"/>
        <v>1</v>
      </c>
      <c r="AL326" s="35" t="s">
        <v>431</v>
      </c>
      <c r="AM326" s="35" t="s">
        <v>737</v>
      </c>
      <c r="AN326" s="35">
        <v>53.22</v>
      </c>
      <c r="AO326" s="35">
        <v>0</v>
      </c>
      <c r="AP326" s="35">
        <f t="shared" si="121"/>
        <v>53.22</v>
      </c>
      <c r="AQ326" s="35">
        <v>15.91</v>
      </c>
      <c r="AR326" s="35">
        <v>27.13</v>
      </c>
      <c r="AS326" s="35">
        <v>102.8</v>
      </c>
      <c r="AT326" s="35" t="s">
        <v>83</v>
      </c>
      <c r="AU326" s="35" t="s">
        <v>109</v>
      </c>
      <c r="AV326" s="35" t="s">
        <v>133</v>
      </c>
      <c r="AX326" s="35" t="s">
        <v>86</v>
      </c>
      <c r="AY326" s="35">
        <v>0</v>
      </c>
      <c r="AZ326" s="35">
        <v>0</v>
      </c>
      <c r="BA326" s="35" t="s">
        <v>391</v>
      </c>
      <c r="BB326" s="35" t="s">
        <v>88</v>
      </c>
      <c r="BC326" s="35" t="s">
        <v>89</v>
      </c>
      <c r="BD326" s="35" t="s">
        <v>114</v>
      </c>
      <c r="BE326" s="35" t="s">
        <v>861</v>
      </c>
      <c r="BF326" s="35">
        <v>59.6</v>
      </c>
      <c r="BG326" s="35">
        <v>0</v>
      </c>
      <c r="BH326" s="35">
        <v>74</v>
      </c>
      <c r="BI326" s="35" t="s">
        <v>312</v>
      </c>
      <c r="BJ326" s="35" t="s">
        <v>312</v>
      </c>
      <c r="BK326" s="35" t="s">
        <v>91</v>
      </c>
      <c r="BL326" s="35" t="s">
        <v>84</v>
      </c>
      <c r="BM326" s="35">
        <v>1</v>
      </c>
      <c r="BN326" s="35" t="s">
        <v>2177</v>
      </c>
      <c r="BO326" s="35" t="s">
        <v>375</v>
      </c>
      <c r="BP326" s="35" t="s">
        <v>312</v>
      </c>
      <c r="BQ326" s="35" t="s">
        <v>117</v>
      </c>
      <c r="BR326" s="35" t="s">
        <v>93</v>
      </c>
      <c r="BS326" s="35" t="s">
        <v>312</v>
      </c>
      <c r="BT326" s="35">
        <v>0</v>
      </c>
      <c r="BU326" s="61">
        <v>38169</v>
      </c>
      <c r="BV326" s="61">
        <v>42217</v>
      </c>
      <c r="BW326" s="35" t="s">
        <v>94</v>
      </c>
      <c r="BX326" s="35" t="s">
        <v>95</v>
      </c>
      <c r="BY326" s="35" t="s">
        <v>748</v>
      </c>
      <c r="BZ326" s="35">
        <v>1</v>
      </c>
      <c r="CA326" s="35">
        <v>1</v>
      </c>
      <c r="CB326" s="35" t="s">
        <v>871</v>
      </c>
      <c r="CC326" s="35" t="s">
        <v>314</v>
      </c>
      <c r="CD326" s="35">
        <v>1</v>
      </c>
      <c r="CE326" s="35" t="s">
        <v>866</v>
      </c>
      <c r="CF326" s="35">
        <v>0</v>
      </c>
      <c r="CG326" s="35" t="s">
        <v>97</v>
      </c>
      <c r="CH326" s="35">
        <v>1</v>
      </c>
      <c r="CI326" s="35" t="s">
        <v>97</v>
      </c>
      <c r="CJ326" s="35" t="s">
        <v>98</v>
      </c>
      <c r="CK326" s="35">
        <v>22</v>
      </c>
      <c r="CL326" s="35">
        <v>0</v>
      </c>
      <c r="CM326" s="35">
        <v>0</v>
      </c>
      <c r="CN326" s="35" t="s">
        <v>99</v>
      </c>
      <c r="CO326" s="35" t="s">
        <v>941</v>
      </c>
      <c r="CP326" s="35" t="s">
        <v>100</v>
      </c>
      <c r="CQ326" s="35" t="s">
        <v>126</v>
      </c>
      <c r="CR326" s="36">
        <v>46223</v>
      </c>
      <c r="CT326" s="35" t="s">
        <v>890</v>
      </c>
    </row>
    <row r="327" spans="1:99" s="39" customFormat="1" x14ac:dyDescent="0.35">
      <c r="A327" s="38" t="s">
        <v>896</v>
      </c>
      <c r="B327" s="38" t="s">
        <v>904</v>
      </c>
      <c r="C327" s="39" t="s">
        <v>897</v>
      </c>
      <c r="D327" s="39">
        <v>2025</v>
      </c>
      <c r="E327" s="40" t="s">
        <v>898</v>
      </c>
      <c r="F327" s="38" t="s">
        <v>899</v>
      </c>
      <c r="G327" s="39" t="s">
        <v>78</v>
      </c>
      <c r="H327" s="39">
        <v>1</v>
      </c>
      <c r="I327" s="39" t="s">
        <v>290</v>
      </c>
      <c r="J327" s="39" t="s">
        <v>900</v>
      </c>
      <c r="K327" s="39">
        <v>0</v>
      </c>
      <c r="L327" s="39" t="s">
        <v>104</v>
      </c>
      <c r="M327" s="39" t="s">
        <v>380</v>
      </c>
      <c r="N327" s="39">
        <v>-7.0000000000000001E-3</v>
      </c>
      <c r="O327" s="39">
        <v>1.1999999999999999E-3</v>
      </c>
      <c r="P327" s="90">
        <f t="shared" si="108"/>
        <v>-5.8333333333333339</v>
      </c>
      <c r="Q327" s="39" t="s">
        <v>312</v>
      </c>
      <c r="R327" s="90">
        <f t="shared" si="109"/>
        <v>-9.3519999999999992E-3</v>
      </c>
      <c r="S327" s="90">
        <f t="shared" si="110"/>
        <v>-4.6480000000000002E-3</v>
      </c>
      <c r="T327" s="39">
        <v>1</v>
      </c>
      <c r="U327" s="39">
        <v>304550</v>
      </c>
      <c r="V327" s="39">
        <v>1</v>
      </c>
      <c r="W327" s="39">
        <v>1</v>
      </c>
      <c r="X327" s="39">
        <f>U327-V327</f>
        <v>304549</v>
      </c>
      <c r="Y327" s="90">
        <f t="shared" si="111"/>
        <v>-1.0569731232295987E-2</v>
      </c>
      <c r="Z327" s="90">
        <f t="shared" si="112"/>
        <v>1.8119539255364548E-3</v>
      </c>
      <c r="AA327" s="90">
        <f t="shared" si="124"/>
        <v>-1.0569731232295987E-2</v>
      </c>
      <c r="AB327" s="39" t="s">
        <v>81</v>
      </c>
      <c r="AC327" s="90">
        <f t="shared" si="127"/>
        <v>-0.37128</v>
      </c>
      <c r="AD327" s="90" cm="1">
        <f t="array" ref="AD327">_xlfn.IFS(
AND(L327="marginal_effect",M327="level"),N327*AN327/BF327,
AND(L327="marginal_effect",M327="sd (Y)"),N327*BH327*AN327/BF327,
AND(L327="marginal_effect",M327="sd (X)"),N327/AQ327*AN327/BF327,
AND(L327="semi_elasticity",M327="level"),N327*AN327,
AND(L327="semi_elasticity",M327="sd (Y)"),N327*AN327*BH327,
AND(L327="semi_elasticity",M327="sd (X)"),N327*AN327/AQ327,
AND(L327="level-log",M327="level"),N327/BF327,
AND(L327="level-log",M327="sd (X)"),N327/BF327/AQ327,
AND(L327="level-log",M327="sd (Y)"),N327/BF327*BH327,
AND(L327="elasticity",M327="level"),N327,
AND(L327="elasticity",M327="sd (X)"),N327/AQ327,
AND(L327="elasticity",M327="sd (Y)"),N327*BH327,
AND(L327="marginal_effect",M327="percent_of_mean"),N327*AN327/BF327/10)</f>
        <v>-0.37128</v>
      </c>
      <c r="AE327" s="41">
        <f t="shared" si="113"/>
        <v>1</v>
      </c>
      <c r="AF327" s="90">
        <f t="shared" si="128"/>
        <v>6.3647999999999996E-2</v>
      </c>
      <c r="AG327" s="90" cm="1">
        <f t="array" ref="AG327">_xlfn.IFS(
AND(L327="marginal_effect",M327="level"),O327*AN327/BF327,
AND(L327="marginal_effect",M327="sd (Y)"),O327*BH327*AN327/BF327,
AND(L327="marginal_effect",M327="sd (X)"),O327/AQ327*AN327/BF327,
AND(L327="semi_elasticity",M327="level"),O327*AN327,
AND(L327="semi_elasticity",M327="sd (Y)"),O327*AN327*BH327,
AND(L327="semi_elasticity",M327="sd (X)"),O327*AN327/AQ327,
AND(L327="level-log",M327="level"),O327/BF327,
AND(L327="level-log",M327="sd (X)"),O327/BF327/AQ327,
AND(L327="level-log",M327="sd (Y)"),O327/BF327*BH327,
AND(L327="elasticity",M327="level"),O327,
AND(L327="elasticity",M327="sd (X)"),O327/AQ327,
AND(L327="elasticity",M327="sd (Y)"),O327*BH327,
AND(L327="marginal_effect",M327="percent_of_mean"),O327*AN327/BF327/10)</f>
        <v>6.3647999999999996E-2</v>
      </c>
      <c r="AH327" s="41">
        <f t="shared" si="114"/>
        <v>1</v>
      </c>
      <c r="AI327" s="90">
        <f t="shared" si="125"/>
        <v>-0.37128</v>
      </c>
      <c r="AJ327" s="39">
        <v>0</v>
      </c>
      <c r="AK327" s="39">
        <f t="shared" si="115"/>
        <v>1</v>
      </c>
      <c r="AL327" s="39" t="s">
        <v>82</v>
      </c>
      <c r="AM327" s="39" t="s">
        <v>1333</v>
      </c>
      <c r="AN327" s="39">
        <v>53.04</v>
      </c>
      <c r="AO327" s="39">
        <v>0</v>
      </c>
      <c r="AP327" s="39">
        <f t="shared" si="121"/>
        <v>53.04</v>
      </c>
      <c r="AQ327" s="39">
        <v>18.27</v>
      </c>
      <c r="AR327" s="39">
        <v>12.77</v>
      </c>
      <c r="AS327" s="39">
        <v>132.4</v>
      </c>
      <c r="AT327" s="39" t="s">
        <v>107</v>
      </c>
      <c r="AU327" s="39" t="s">
        <v>109</v>
      </c>
      <c r="AV327" s="39" t="s">
        <v>133</v>
      </c>
      <c r="AW327" s="39" t="s">
        <v>85</v>
      </c>
      <c r="AX327" s="39" t="s">
        <v>86</v>
      </c>
      <c r="AY327" s="39">
        <v>0</v>
      </c>
      <c r="AZ327" s="39">
        <v>0</v>
      </c>
      <c r="BA327" s="39" t="s">
        <v>87</v>
      </c>
      <c r="BB327" s="39" t="s">
        <v>134</v>
      </c>
      <c r="BC327" s="39" t="s">
        <v>89</v>
      </c>
      <c r="BD327" s="39" t="s">
        <v>134</v>
      </c>
      <c r="BE327" s="39" t="s">
        <v>902</v>
      </c>
      <c r="BF327" s="39">
        <v>553.27</v>
      </c>
      <c r="BG327" s="39">
        <v>0</v>
      </c>
      <c r="BH327" s="39">
        <v>1781.61</v>
      </c>
      <c r="BI327" s="39">
        <v>0.1</v>
      </c>
      <c r="BJ327" s="39">
        <v>22690.799999999999</v>
      </c>
      <c r="BK327" s="39" t="s">
        <v>91</v>
      </c>
      <c r="BL327" s="39" t="s">
        <v>116</v>
      </c>
      <c r="BM327" s="39">
        <v>1</v>
      </c>
      <c r="BN327" s="39" t="s">
        <v>428</v>
      </c>
      <c r="BO327" s="39" t="s">
        <v>428</v>
      </c>
      <c r="BP327" s="39" t="s">
        <v>312</v>
      </c>
      <c r="BQ327" s="39" t="s">
        <v>117</v>
      </c>
      <c r="BR327" s="39" t="s">
        <v>134</v>
      </c>
      <c r="BS327" s="39" t="s">
        <v>312</v>
      </c>
      <c r="BT327" s="39" t="s">
        <v>312</v>
      </c>
      <c r="BU327" s="39">
        <v>2007</v>
      </c>
      <c r="BV327" s="39">
        <v>2016</v>
      </c>
      <c r="BW327" s="39" t="s">
        <v>901</v>
      </c>
      <c r="BX327" s="39" t="s">
        <v>95</v>
      </c>
      <c r="BY327" s="39" t="s">
        <v>96</v>
      </c>
      <c r="BZ327" s="39">
        <v>0</v>
      </c>
      <c r="CA327" s="39">
        <v>0</v>
      </c>
      <c r="CB327" s="39" t="s">
        <v>97</v>
      </c>
      <c r="CC327" s="39" t="s">
        <v>903</v>
      </c>
      <c r="CD327" s="39">
        <v>0</v>
      </c>
      <c r="CE327" s="39" t="s">
        <v>97</v>
      </c>
      <c r="CF327" s="39">
        <v>0</v>
      </c>
      <c r="CG327" s="39" t="s">
        <v>97</v>
      </c>
      <c r="CH327" s="39">
        <v>0</v>
      </c>
      <c r="CI327" s="39" t="s">
        <v>116</v>
      </c>
      <c r="CJ327" s="39" t="s">
        <v>98</v>
      </c>
      <c r="CK327" s="39">
        <v>35</v>
      </c>
      <c r="CL327" s="39">
        <v>0</v>
      </c>
      <c r="CM327" s="39">
        <v>0</v>
      </c>
      <c r="CN327" s="39" t="s">
        <v>99</v>
      </c>
      <c r="CO327" s="39" t="s">
        <v>97</v>
      </c>
      <c r="CP327" s="39" t="s">
        <v>100</v>
      </c>
      <c r="CQ327" s="39" t="s">
        <v>126</v>
      </c>
      <c r="CR327" s="42">
        <v>46223</v>
      </c>
      <c r="CT327" s="39" t="s">
        <v>543</v>
      </c>
      <c r="CU327" s="39" t="s">
        <v>994</v>
      </c>
    </row>
    <row r="328" spans="1:99" s="39" customFormat="1" x14ac:dyDescent="0.35">
      <c r="A328" s="38" t="s">
        <v>896</v>
      </c>
      <c r="B328" s="38" t="s">
        <v>905</v>
      </c>
      <c r="C328" s="39" t="s">
        <v>897</v>
      </c>
      <c r="D328" s="39">
        <v>2025</v>
      </c>
      <c r="E328" s="40" t="s">
        <v>898</v>
      </c>
      <c r="F328" s="38" t="s">
        <v>899</v>
      </c>
      <c r="G328" s="39" t="s">
        <v>78</v>
      </c>
      <c r="H328" s="39">
        <v>1</v>
      </c>
      <c r="I328" s="39" t="s">
        <v>290</v>
      </c>
      <c r="J328" s="39" t="s">
        <v>900</v>
      </c>
      <c r="K328" s="39">
        <v>0</v>
      </c>
      <c r="L328" s="39" t="s">
        <v>104</v>
      </c>
      <c r="M328" s="39" t="s">
        <v>380</v>
      </c>
      <c r="N328" s="39">
        <v>-5.5999999999999999E-3</v>
      </c>
      <c r="O328" s="39">
        <v>1.1999999999999999E-3</v>
      </c>
      <c r="P328" s="90">
        <f t="shared" si="108"/>
        <v>-4.666666666666667</v>
      </c>
      <c r="Q328" s="39" t="s">
        <v>312</v>
      </c>
      <c r="R328" s="90">
        <f t="shared" si="109"/>
        <v>-7.9520000000000007E-3</v>
      </c>
      <c r="S328" s="90">
        <f t="shared" si="110"/>
        <v>-3.248E-3</v>
      </c>
      <c r="T328" s="39">
        <v>1</v>
      </c>
      <c r="U328" s="39">
        <v>304550</v>
      </c>
      <c r="V328" s="39">
        <v>11</v>
      </c>
      <c r="W328" s="39">
        <v>1</v>
      </c>
      <c r="X328" s="39">
        <f>U328-V328</f>
        <v>304539</v>
      </c>
      <c r="Y328" s="90">
        <f t="shared" si="111"/>
        <v>-8.4560938532182387E-3</v>
      </c>
      <c r="Z328" s="90">
        <f t="shared" si="112"/>
        <v>1.8120201114039079E-3</v>
      </c>
      <c r="AA328" s="90">
        <f t="shared" si="124"/>
        <v>-8.4560938532182387E-3</v>
      </c>
      <c r="AB328" s="39" t="s">
        <v>81</v>
      </c>
      <c r="AC328" s="90">
        <f t="shared" si="127"/>
        <v>-0.29702400000000001</v>
      </c>
      <c r="AD328" s="90" cm="1">
        <f t="array" ref="AD328">_xlfn.IFS(
AND(L328="marginal_effect",M328="level"),N328*AN328/BF328,
AND(L328="marginal_effect",M328="sd (Y)"),N328*BH328*AN328/BF328,
AND(L328="marginal_effect",M328="sd (X)"),N328/AQ328*AN328/BF328,
AND(L328="semi_elasticity",M328="level"),N328*AN328,
AND(L328="semi_elasticity",M328="sd (Y)"),N328*AN328*BH328,
AND(L328="semi_elasticity",M328="sd (X)"),N328*AN328/AQ328,
AND(L328="level-log",M328="level"),N328/BF328,
AND(L328="level-log",M328="sd (X)"),N328/BF328/AQ328,
AND(L328="level-log",M328="sd (Y)"),N328/BF328*BH328,
AND(L328="elasticity",M328="level"),N328,
AND(L328="elasticity",M328="sd (X)"),N328/AQ328,
AND(L328="elasticity",M328="sd (Y)"),N328*BH328,
AND(L328="marginal_effect",M328="percent_of_mean"),N328*AN328/BF328/10)</f>
        <v>-0.29702400000000001</v>
      </c>
      <c r="AE328" s="41">
        <f t="shared" si="113"/>
        <v>1</v>
      </c>
      <c r="AF328" s="90">
        <f t="shared" si="128"/>
        <v>6.3647999999999996E-2</v>
      </c>
      <c r="AG328" s="90" cm="1">
        <f t="array" ref="AG328">_xlfn.IFS(
AND(L328="marginal_effect",M328="level"),O328*AN328/BF328,
AND(L328="marginal_effect",M328="sd (Y)"),O328*BH328*AN328/BF328,
AND(L328="marginal_effect",M328="sd (X)"),O328/AQ328*AN328/BF328,
AND(L328="semi_elasticity",M328="level"),O328*AN328,
AND(L328="semi_elasticity",M328="sd (Y)"),O328*AN328*BH328,
AND(L328="semi_elasticity",M328="sd (X)"),O328*AN328/AQ328,
AND(L328="level-log",M328="level"),O328/BF328,
AND(L328="level-log",M328="sd (X)"),O328/BF328/AQ328,
AND(L328="level-log",M328="sd (Y)"),O328/BF328*BH328,
AND(L328="elasticity",M328="level"),O328,
AND(L328="elasticity",M328="sd (X)"),O328/AQ328,
AND(L328="elasticity",M328="sd (Y)"),O328*BH328,
AND(L328="marginal_effect",M328="percent_of_mean"),O328*AN328/BF328/10)</f>
        <v>6.3647999999999996E-2</v>
      </c>
      <c r="AH328" s="41">
        <f t="shared" si="114"/>
        <v>1</v>
      </c>
      <c r="AI328" s="90">
        <f t="shared" si="125"/>
        <v>-0.29702400000000001</v>
      </c>
      <c r="AJ328" s="39">
        <v>0</v>
      </c>
      <c r="AK328" s="39">
        <f t="shared" si="115"/>
        <v>1</v>
      </c>
      <c r="AL328" s="39" t="s">
        <v>82</v>
      </c>
      <c r="AM328" s="39" t="s">
        <v>1333</v>
      </c>
      <c r="AN328" s="39">
        <v>53.04</v>
      </c>
      <c r="AO328" s="39">
        <v>0</v>
      </c>
      <c r="AP328" s="39">
        <f t="shared" si="121"/>
        <v>53.04</v>
      </c>
      <c r="AQ328" s="39">
        <v>18.27</v>
      </c>
      <c r="AR328" s="39">
        <v>12.77</v>
      </c>
      <c r="AS328" s="39">
        <v>132.4</v>
      </c>
      <c r="AT328" s="39" t="s">
        <v>107</v>
      </c>
      <c r="AU328" s="39" t="s">
        <v>109</v>
      </c>
      <c r="AV328" s="39" t="s">
        <v>133</v>
      </c>
      <c r="AW328" s="39" t="s">
        <v>85</v>
      </c>
      <c r="AX328" s="39" t="s">
        <v>86</v>
      </c>
      <c r="AY328" s="39">
        <v>0</v>
      </c>
      <c r="AZ328" s="39">
        <v>0</v>
      </c>
      <c r="BA328" s="39" t="s">
        <v>87</v>
      </c>
      <c r="BB328" s="39" t="s">
        <v>134</v>
      </c>
      <c r="BC328" s="39" t="s">
        <v>89</v>
      </c>
      <c r="BD328" s="39" t="s">
        <v>134</v>
      </c>
      <c r="BE328" s="39" t="s">
        <v>902</v>
      </c>
      <c r="BF328" s="39">
        <v>553.27</v>
      </c>
      <c r="BG328" s="39">
        <v>0</v>
      </c>
      <c r="BH328" s="39">
        <v>1781.61</v>
      </c>
      <c r="BI328" s="39">
        <v>0.1</v>
      </c>
      <c r="BJ328" s="39">
        <v>22690.799999999999</v>
      </c>
      <c r="BK328" s="39" t="s">
        <v>91</v>
      </c>
      <c r="BL328" s="39" t="s">
        <v>116</v>
      </c>
      <c r="BM328" s="39">
        <v>1</v>
      </c>
      <c r="BN328" s="39" t="s">
        <v>428</v>
      </c>
      <c r="BO328" s="39" t="s">
        <v>428</v>
      </c>
      <c r="BP328" s="39" t="s">
        <v>312</v>
      </c>
      <c r="BQ328" s="39" t="s">
        <v>117</v>
      </c>
      <c r="BR328" s="39" t="s">
        <v>134</v>
      </c>
      <c r="BS328" s="39" t="s">
        <v>312</v>
      </c>
      <c r="BT328" s="39" t="s">
        <v>312</v>
      </c>
      <c r="BU328" s="39">
        <v>2007</v>
      </c>
      <c r="BV328" s="39">
        <v>2016</v>
      </c>
      <c r="BW328" s="39" t="s">
        <v>901</v>
      </c>
      <c r="BX328" s="39" t="s">
        <v>95</v>
      </c>
      <c r="BY328" s="39" t="s">
        <v>96</v>
      </c>
      <c r="BZ328" s="39">
        <v>0</v>
      </c>
      <c r="CA328" s="39">
        <v>0</v>
      </c>
      <c r="CB328" s="39" t="s">
        <v>97</v>
      </c>
      <c r="CC328" s="39" t="s">
        <v>903</v>
      </c>
      <c r="CD328" s="39">
        <v>1</v>
      </c>
      <c r="CE328" s="39" t="s">
        <v>906</v>
      </c>
      <c r="CF328" s="39">
        <v>0</v>
      </c>
      <c r="CG328" s="39" t="s">
        <v>97</v>
      </c>
      <c r="CH328" s="39">
        <v>0</v>
      </c>
      <c r="CI328" s="39" t="s">
        <v>116</v>
      </c>
      <c r="CJ328" s="39" t="s">
        <v>98</v>
      </c>
      <c r="CK328" s="39">
        <v>35</v>
      </c>
      <c r="CL328" s="39">
        <v>0</v>
      </c>
      <c r="CM328" s="39">
        <v>0</v>
      </c>
      <c r="CN328" s="39" t="s">
        <v>99</v>
      </c>
      <c r="CO328" s="39" t="s">
        <v>97</v>
      </c>
      <c r="CP328" s="39" t="s">
        <v>100</v>
      </c>
      <c r="CQ328" s="39" t="s">
        <v>126</v>
      </c>
      <c r="CR328" s="42">
        <v>46223</v>
      </c>
      <c r="CT328" s="39" t="s">
        <v>549</v>
      </c>
    </row>
    <row r="329" spans="1:99" s="39" customFormat="1" x14ac:dyDescent="0.35">
      <c r="A329" s="38" t="s">
        <v>896</v>
      </c>
      <c r="B329" s="38" t="s">
        <v>909</v>
      </c>
      <c r="C329" s="39" t="s">
        <v>897</v>
      </c>
      <c r="D329" s="39">
        <v>2025</v>
      </c>
      <c r="E329" s="40" t="s">
        <v>898</v>
      </c>
      <c r="F329" s="38" t="s">
        <v>899</v>
      </c>
      <c r="G329" s="39" t="s">
        <v>78</v>
      </c>
      <c r="H329" s="39">
        <v>1</v>
      </c>
      <c r="I329" s="39" t="s">
        <v>290</v>
      </c>
      <c r="J329" s="39" t="s">
        <v>900</v>
      </c>
      <c r="K329" s="39">
        <v>0</v>
      </c>
      <c r="L329" s="39" t="s">
        <v>104</v>
      </c>
      <c r="M329" s="39" t="s">
        <v>380</v>
      </c>
      <c r="N329" s="39">
        <v>-3.5299999999999998E-2</v>
      </c>
      <c r="O329" s="39">
        <v>7.4999999999999997E-3</v>
      </c>
      <c r="P329" s="90">
        <f t="shared" si="108"/>
        <v>-4.706666666666667</v>
      </c>
      <c r="Q329" s="39" t="s">
        <v>312</v>
      </c>
      <c r="R329" s="90">
        <f t="shared" si="109"/>
        <v>-4.9999999999999996E-2</v>
      </c>
      <c r="S329" s="90">
        <f t="shared" si="110"/>
        <v>-2.06E-2</v>
      </c>
      <c r="T329" s="39">
        <v>1</v>
      </c>
      <c r="U329" s="39">
        <v>304550</v>
      </c>
      <c r="V329" s="39">
        <v>1</v>
      </c>
      <c r="W329" s="39">
        <v>1</v>
      </c>
      <c r="X329" s="39">
        <f>U329-V329</f>
        <v>304549</v>
      </c>
      <c r="Y329" s="90">
        <f t="shared" si="111"/>
        <v>-8.5284293974515323E-3</v>
      </c>
      <c r="Z329" s="90">
        <f t="shared" si="112"/>
        <v>1.8119892487503252E-3</v>
      </c>
      <c r="AA329" s="90">
        <f t="shared" si="124"/>
        <v>-8.5284293974515323E-3</v>
      </c>
      <c r="AB329" s="39" t="s">
        <v>81</v>
      </c>
      <c r="AC329" s="90">
        <f t="shared" si="127"/>
        <v>-1.872312</v>
      </c>
      <c r="AD329" s="90" cm="1">
        <f t="array" ref="AD329">_xlfn.IFS(
AND(L329="marginal_effect",M329="level"),N329*AN329/BF329,
AND(L329="marginal_effect",M329="sd (Y)"),N329*BH329*AN329/BF329,
AND(L329="marginal_effect",M329="sd (X)"),N329/AQ329*AN329/BF329,
AND(L329="semi_elasticity",M329="level"),N329*AN329,
AND(L329="semi_elasticity",M329="sd (Y)"),N329*AN329*BH329,
AND(L329="semi_elasticity",M329="sd (X)"),N329*AN329/AQ329,
AND(L329="level-log",M329="level"),N329/BF329,
AND(L329="level-log",M329="sd (X)"),N329/BF329/AQ329,
AND(L329="level-log",M329="sd (Y)"),N329/BF329*BH329,
AND(L329="elasticity",M329="level"),N329,
AND(L329="elasticity",M329="sd (X)"),N329/AQ329,
AND(L329="elasticity",M329="sd (Y)"),N329*BH329,
AND(L329="marginal_effect",M329="percent_of_mean"),N329*AN329/BF329/10)</f>
        <v>-1.872312</v>
      </c>
      <c r="AE329" s="41">
        <f t="shared" si="113"/>
        <v>1</v>
      </c>
      <c r="AF329" s="90">
        <f t="shared" si="128"/>
        <v>0.39779999999999999</v>
      </c>
      <c r="AG329" s="90" cm="1">
        <f t="array" ref="AG329">_xlfn.IFS(
AND(L329="marginal_effect",M329="level"),O329*AN329/BF329,
AND(L329="marginal_effect",M329="sd (Y)"),O329*BH329*AN329/BF329,
AND(L329="marginal_effect",M329="sd (X)"),O329/AQ329*AN329/BF329,
AND(L329="semi_elasticity",M329="level"),O329*AN329,
AND(L329="semi_elasticity",M329="sd (Y)"),O329*AN329*BH329,
AND(L329="semi_elasticity",M329="sd (X)"),O329*AN329/AQ329,
AND(L329="level-log",M329="level"),O329/BF329,
AND(L329="level-log",M329="sd (X)"),O329/BF329/AQ329,
AND(L329="level-log",M329="sd (Y)"),O329/BF329*BH329,
AND(L329="elasticity",M329="level"),O329,
AND(L329="elasticity",M329="sd (X)"),O329/AQ329,
AND(L329="elasticity",M329="sd (Y)"),O329*BH329,
AND(L329="marginal_effect",M329="percent_of_mean"),O329*AN329/BF329/10)</f>
        <v>0.39779999999999999</v>
      </c>
      <c r="AH329" s="41">
        <f t="shared" si="114"/>
        <v>1</v>
      </c>
      <c r="AI329" s="90">
        <f t="shared" si="125"/>
        <v>-1.872312</v>
      </c>
      <c r="AJ329" s="39">
        <v>0</v>
      </c>
      <c r="AK329" s="39">
        <f t="shared" si="115"/>
        <v>1</v>
      </c>
      <c r="AL329" s="39" t="s">
        <v>82</v>
      </c>
      <c r="AM329" s="39" t="s">
        <v>1333</v>
      </c>
      <c r="AN329" s="39">
        <v>53.04</v>
      </c>
      <c r="AO329" s="39">
        <v>0</v>
      </c>
      <c r="AP329" s="39">
        <f t="shared" si="121"/>
        <v>53.04</v>
      </c>
      <c r="AQ329" s="39">
        <v>18.27</v>
      </c>
      <c r="AR329" s="39">
        <v>12.77</v>
      </c>
      <c r="AS329" s="39">
        <v>132.4</v>
      </c>
      <c r="AT329" s="39" t="s">
        <v>107</v>
      </c>
      <c r="AU329" s="39" t="s">
        <v>109</v>
      </c>
      <c r="AV329" s="39" t="s">
        <v>133</v>
      </c>
      <c r="AW329" s="39" t="s">
        <v>85</v>
      </c>
      <c r="AX329" s="39" t="s">
        <v>86</v>
      </c>
      <c r="AY329" s="39">
        <v>0</v>
      </c>
      <c r="AZ329" s="39">
        <v>0</v>
      </c>
      <c r="BA329" s="39" t="s">
        <v>87</v>
      </c>
      <c r="BB329" s="39" t="s">
        <v>134</v>
      </c>
      <c r="BC329" s="39" t="s">
        <v>89</v>
      </c>
      <c r="BD329" s="39" t="s">
        <v>134</v>
      </c>
      <c r="BE329" s="39" t="s">
        <v>902</v>
      </c>
      <c r="BF329" s="39">
        <v>553.27</v>
      </c>
      <c r="BG329" s="39">
        <v>0</v>
      </c>
      <c r="BH329" s="39">
        <v>1781.61</v>
      </c>
      <c r="BI329" s="39">
        <v>0.1</v>
      </c>
      <c r="BJ329" s="39">
        <v>22690.799999999999</v>
      </c>
      <c r="BK329" s="39" t="s">
        <v>91</v>
      </c>
      <c r="BL329" s="39" t="s">
        <v>116</v>
      </c>
      <c r="BM329" s="39">
        <v>1</v>
      </c>
      <c r="BN329" s="39" t="s">
        <v>428</v>
      </c>
      <c r="BO329" s="39" t="s">
        <v>428</v>
      </c>
      <c r="BP329" s="39" t="s">
        <v>312</v>
      </c>
      <c r="BQ329" s="39" t="s">
        <v>117</v>
      </c>
      <c r="BR329" s="39" t="s">
        <v>134</v>
      </c>
      <c r="BS329" s="39" t="s">
        <v>312</v>
      </c>
      <c r="BT329" s="39" t="s">
        <v>312</v>
      </c>
      <c r="BU329" s="39">
        <v>2007</v>
      </c>
      <c r="BV329" s="39">
        <v>2016</v>
      </c>
      <c r="BW329" s="39" t="s">
        <v>901</v>
      </c>
      <c r="BX329" s="39" t="s">
        <v>95</v>
      </c>
      <c r="BY329" s="39" t="s">
        <v>748</v>
      </c>
      <c r="BZ329" s="39">
        <v>1</v>
      </c>
      <c r="CA329" s="39">
        <v>1</v>
      </c>
      <c r="CB329" s="39" t="s">
        <v>993</v>
      </c>
      <c r="CC329" s="39" t="s">
        <v>903</v>
      </c>
      <c r="CD329" s="39">
        <v>0</v>
      </c>
      <c r="CE329" s="39" t="s">
        <v>97</v>
      </c>
      <c r="CF329" s="39">
        <v>0</v>
      </c>
      <c r="CG329" s="39" t="s">
        <v>97</v>
      </c>
      <c r="CH329" s="39">
        <v>0</v>
      </c>
      <c r="CI329" s="39" t="s">
        <v>116</v>
      </c>
      <c r="CJ329" s="39" t="s">
        <v>98</v>
      </c>
      <c r="CK329" s="39">
        <v>35</v>
      </c>
      <c r="CL329" s="39">
        <v>0</v>
      </c>
      <c r="CM329" s="39">
        <v>0</v>
      </c>
      <c r="CN329" s="39" t="s">
        <v>99</v>
      </c>
      <c r="CO329" s="39" t="s">
        <v>97</v>
      </c>
      <c r="CP329" s="39" t="s">
        <v>100</v>
      </c>
      <c r="CQ329" s="39" t="s">
        <v>126</v>
      </c>
      <c r="CR329" s="42">
        <v>46223</v>
      </c>
      <c r="CT329" s="39" t="s">
        <v>550</v>
      </c>
    </row>
    <row r="330" spans="1:99" s="39" customFormat="1" x14ac:dyDescent="0.35">
      <c r="A330" s="38" t="s">
        <v>896</v>
      </c>
      <c r="B330" s="38" t="s">
        <v>910</v>
      </c>
      <c r="C330" s="39" t="s">
        <v>897</v>
      </c>
      <c r="D330" s="39">
        <v>2025</v>
      </c>
      <c r="E330" s="40" t="s">
        <v>898</v>
      </c>
      <c r="F330" s="38" t="s">
        <v>899</v>
      </c>
      <c r="G330" s="39" t="s">
        <v>78</v>
      </c>
      <c r="H330" s="39">
        <v>1</v>
      </c>
      <c r="I330" s="39" t="s">
        <v>290</v>
      </c>
      <c r="J330" s="39" t="s">
        <v>900</v>
      </c>
      <c r="K330" s="39">
        <v>0</v>
      </c>
      <c r="L330" s="39" t="s">
        <v>104</v>
      </c>
      <c r="M330" s="39" t="s">
        <v>380</v>
      </c>
      <c r="N330" s="39">
        <v>-2.1100000000000001E-2</v>
      </c>
      <c r="O330" s="39">
        <v>5.5999999999999999E-3</v>
      </c>
      <c r="P330" s="90">
        <f t="shared" si="108"/>
        <v>-3.7678571428571432</v>
      </c>
      <c r="Q330" s="39" t="s">
        <v>312</v>
      </c>
      <c r="R330" s="90">
        <f t="shared" si="109"/>
        <v>-3.2076E-2</v>
      </c>
      <c r="S330" s="90">
        <f t="shared" si="110"/>
        <v>-1.0124000000000001E-2</v>
      </c>
      <c r="T330" s="39">
        <v>1</v>
      </c>
      <c r="U330" s="39">
        <v>304550</v>
      </c>
      <c r="V330" s="39">
        <v>11</v>
      </c>
      <c r="W330" s="39">
        <v>1</v>
      </c>
      <c r="X330" s="39">
        <f>U330-V330</f>
        <v>304539</v>
      </c>
      <c r="Y330" s="90">
        <f t="shared" si="111"/>
        <v>-6.8275178944882933E-3</v>
      </c>
      <c r="Z330" s="90">
        <f t="shared" si="112"/>
        <v>1.8120426639400206E-3</v>
      </c>
      <c r="AA330" s="90">
        <f t="shared" si="124"/>
        <v>-6.8275178944882933E-3</v>
      </c>
      <c r="AB330" s="39" t="s">
        <v>81</v>
      </c>
      <c r="AC330" s="90">
        <f t="shared" si="127"/>
        <v>-1.1191439999999999</v>
      </c>
      <c r="AD330" s="90" cm="1">
        <f t="array" ref="AD330">_xlfn.IFS(
AND(L330="marginal_effect",M330="level"),N330*AN330/BF330,
AND(L330="marginal_effect",M330="sd (Y)"),N330*BH330*AN330/BF330,
AND(L330="marginal_effect",M330="sd (X)"),N330/AQ330*AN330/BF330,
AND(L330="semi_elasticity",M330="level"),N330*AN330,
AND(L330="semi_elasticity",M330="sd (Y)"),N330*AN330*BH330,
AND(L330="semi_elasticity",M330="sd (X)"),N330*AN330/AQ330,
AND(L330="level-log",M330="level"),N330/BF330,
AND(L330="level-log",M330="sd (X)"),N330/BF330/AQ330,
AND(L330="level-log",M330="sd (Y)"),N330/BF330*BH330,
AND(L330="elasticity",M330="level"),N330,
AND(L330="elasticity",M330="sd (X)"),N330/AQ330,
AND(L330="elasticity",M330="sd (Y)"),N330*BH330,
AND(L330="marginal_effect",M330="percent_of_mean"),N330*AN330/BF330/10)</f>
        <v>-1.1191439999999999</v>
      </c>
      <c r="AE330" s="41">
        <f t="shared" si="113"/>
        <v>1</v>
      </c>
      <c r="AF330" s="90">
        <f t="shared" si="128"/>
        <v>0.29702400000000001</v>
      </c>
      <c r="AG330" s="90" cm="1">
        <f t="array" ref="AG330">_xlfn.IFS(
AND(L330="marginal_effect",M330="level"),O330*AN330/BF330,
AND(L330="marginal_effect",M330="sd (Y)"),O330*BH330*AN330/BF330,
AND(L330="marginal_effect",M330="sd (X)"),O330/AQ330*AN330/BF330,
AND(L330="semi_elasticity",M330="level"),O330*AN330,
AND(L330="semi_elasticity",M330="sd (Y)"),O330*AN330*BH330,
AND(L330="semi_elasticity",M330="sd (X)"),O330*AN330/AQ330,
AND(L330="level-log",M330="level"),O330/BF330,
AND(L330="level-log",M330="sd (X)"),O330/BF330/AQ330,
AND(L330="level-log",M330="sd (Y)"),O330/BF330*BH330,
AND(L330="elasticity",M330="level"),O330,
AND(L330="elasticity",M330="sd (X)"),O330/AQ330,
AND(L330="elasticity",M330="sd (Y)"),O330*BH330,
AND(L330="marginal_effect",M330="percent_of_mean"),O330*AN330/BF330/10)</f>
        <v>0.29702400000000001</v>
      </c>
      <c r="AH330" s="41">
        <f t="shared" si="114"/>
        <v>1</v>
      </c>
      <c r="AI330" s="90">
        <f t="shared" si="125"/>
        <v>-1.1191439999999999</v>
      </c>
      <c r="AJ330" s="39">
        <v>0</v>
      </c>
      <c r="AK330" s="39">
        <f t="shared" si="115"/>
        <v>1</v>
      </c>
      <c r="AL330" s="39" t="s">
        <v>82</v>
      </c>
      <c r="AM330" s="39" t="s">
        <v>1333</v>
      </c>
      <c r="AN330" s="39">
        <v>53.04</v>
      </c>
      <c r="AO330" s="39">
        <v>0</v>
      </c>
      <c r="AP330" s="39">
        <f t="shared" si="121"/>
        <v>53.04</v>
      </c>
      <c r="AQ330" s="39">
        <v>18.27</v>
      </c>
      <c r="AR330" s="39">
        <v>12.77</v>
      </c>
      <c r="AS330" s="39">
        <v>132.4</v>
      </c>
      <c r="AT330" s="39" t="s">
        <v>107</v>
      </c>
      <c r="AU330" s="39" t="s">
        <v>109</v>
      </c>
      <c r="AV330" s="39" t="s">
        <v>133</v>
      </c>
      <c r="AW330" s="39" t="s">
        <v>85</v>
      </c>
      <c r="AX330" s="39" t="s">
        <v>86</v>
      </c>
      <c r="AY330" s="39">
        <v>0</v>
      </c>
      <c r="AZ330" s="39">
        <v>0</v>
      </c>
      <c r="BA330" s="39" t="s">
        <v>87</v>
      </c>
      <c r="BB330" s="39" t="s">
        <v>134</v>
      </c>
      <c r="BC330" s="39" t="s">
        <v>89</v>
      </c>
      <c r="BD330" s="39" t="s">
        <v>134</v>
      </c>
      <c r="BE330" s="39" t="s">
        <v>902</v>
      </c>
      <c r="BF330" s="39">
        <v>553.27</v>
      </c>
      <c r="BG330" s="39">
        <v>0</v>
      </c>
      <c r="BH330" s="39">
        <v>1781.61</v>
      </c>
      <c r="BI330" s="39">
        <v>0.1</v>
      </c>
      <c r="BJ330" s="39">
        <v>22690.799999999999</v>
      </c>
      <c r="BK330" s="39" t="s">
        <v>91</v>
      </c>
      <c r="BL330" s="39" t="s">
        <v>116</v>
      </c>
      <c r="BM330" s="39">
        <v>1</v>
      </c>
      <c r="BN330" s="39" t="s">
        <v>428</v>
      </c>
      <c r="BO330" s="39" t="s">
        <v>428</v>
      </c>
      <c r="BP330" s="39" t="s">
        <v>312</v>
      </c>
      <c r="BQ330" s="39" t="s">
        <v>117</v>
      </c>
      <c r="BR330" s="39" t="s">
        <v>134</v>
      </c>
      <c r="BS330" s="39" t="s">
        <v>312</v>
      </c>
      <c r="BT330" s="39" t="s">
        <v>312</v>
      </c>
      <c r="BU330" s="39">
        <v>2007</v>
      </c>
      <c r="BV330" s="39">
        <v>2016</v>
      </c>
      <c r="BW330" s="39" t="s">
        <v>901</v>
      </c>
      <c r="BX330" s="39" t="s">
        <v>95</v>
      </c>
      <c r="BY330" s="39" t="s">
        <v>748</v>
      </c>
      <c r="BZ330" s="39">
        <v>1</v>
      </c>
      <c r="CA330" s="39">
        <v>1</v>
      </c>
      <c r="CB330" s="39" t="s">
        <v>993</v>
      </c>
      <c r="CC330" s="39" t="s">
        <v>903</v>
      </c>
      <c r="CD330" s="39">
        <v>1</v>
      </c>
      <c r="CE330" s="39" t="s">
        <v>906</v>
      </c>
      <c r="CF330" s="39">
        <v>0</v>
      </c>
      <c r="CG330" s="39" t="s">
        <v>97</v>
      </c>
      <c r="CH330" s="39">
        <v>0</v>
      </c>
      <c r="CI330" s="39" t="s">
        <v>116</v>
      </c>
      <c r="CJ330" s="39" t="s">
        <v>98</v>
      </c>
      <c r="CK330" s="39">
        <v>35</v>
      </c>
      <c r="CL330" s="39">
        <v>1</v>
      </c>
      <c r="CM330" s="39">
        <v>1</v>
      </c>
      <c r="CN330" s="39" t="s">
        <v>99</v>
      </c>
      <c r="CO330" s="39" t="s">
        <v>97</v>
      </c>
      <c r="CP330" s="39" t="s">
        <v>100</v>
      </c>
      <c r="CQ330" s="39" t="s">
        <v>126</v>
      </c>
      <c r="CR330" s="42">
        <v>46223</v>
      </c>
      <c r="CT330" s="39" t="s">
        <v>551</v>
      </c>
    </row>
    <row r="331" spans="1:99" s="39" customFormat="1" x14ac:dyDescent="0.35">
      <c r="A331" s="38" t="s">
        <v>896</v>
      </c>
      <c r="B331" s="38" t="s">
        <v>907</v>
      </c>
      <c r="C331" s="39" t="s">
        <v>897</v>
      </c>
      <c r="D331" s="39">
        <v>2025</v>
      </c>
      <c r="E331" s="40" t="s">
        <v>898</v>
      </c>
      <c r="F331" s="38" t="s">
        <v>899</v>
      </c>
      <c r="G331" s="39" t="s">
        <v>78</v>
      </c>
      <c r="H331" s="39">
        <v>1</v>
      </c>
      <c r="I331" s="39" t="s">
        <v>290</v>
      </c>
      <c r="J331" s="39" t="s">
        <v>900</v>
      </c>
      <c r="K331" s="39">
        <v>0</v>
      </c>
      <c r="L331" s="39" t="s">
        <v>104</v>
      </c>
      <c r="M331" s="39" t="s">
        <v>380</v>
      </c>
      <c r="N331" s="39">
        <v>2.86E-2</v>
      </c>
      <c r="O331" s="39">
        <v>2.5000000000000001E-3</v>
      </c>
      <c r="P331" s="90">
        <v>-4.666666666666667</v>
      </c>
      <c r="Q331" s="39" t="s">
        <v>312</v>
      </c>
      <c r="R331" s="90">
        <v>-7.9520000000000007E-3</v>
      </c>
      <c r="S331" s="90">
        <v>-3.248E-3</v>
      </c>
      <c r="T331" s="39">
        <v>1</v>
      </c>
      <c r="U331" s="39">
        <v>280076</v>
      </c>
      <c r="V331" s="39">
        <v>11</v>
      </c>
      <c r="W331" s="39">
        <v>1</v>
      </c>
      <c r="X331" s="39">
        <v>304549</v>
      </c>
      <c r="Y331" s="90">
        <v>-8.4559550322301242E-3</v>
      </c>
      <c r="Z331" s="90">
        <v>1.8119903640493125E-3</v>
      </c>
      <c r="AA331" s="90">
        <v>-8.4559550322301242E-3</v>
      </c>
      <c r="AB331" s="39" t="s">
        <v>81</v>
      </c>
      <c r="AC331" s="90">
        <f t="shared" si="127"/>
        <v>1.5169440000000001</v>
      </c>
      <c r="AD331" s="90" cm="1">
        <f t="array" ref="AD331">_xlfn.IFS(
AND(L331="marginal_effect",M331="level"),N331*AN331/BF331,
AND(L331="marginal_effect",M331="sd (Y)"),N331*BH331*AN331/BF331,
AND(L331="marginal_effect",M331="sd (X)"),N331/AQ331*AN331/BF331,
AND(L331="semi_elasticity",M331="level"),N331*AN331,
AND(L331="semi_elasticity",M331="sd (Y)"),N331*AN331*BH331,
AND(L331="semi_elasticity",M331="sd (X)"),N331*AN331/AQ331,
AND(L331="level-log",M331="level"),N331/BF331,
AND(L331="level-log",M331="sd (X)"),N331/BF331/AQ331,
AND(L331="level-log",M331="sd (Y)"),N331/BF331*BH331,
AND(L331="elasticity",M331="level"),N331,
AND(L331="elasticity",M331="sd (X)"),N331/AQ331,
AND(L331="elasticity",M331="sd (Y)"),N331*BH331,
AND(L331="marginal_effect",M331="percent_of_mean"),N331*AN331/BF331/10)</f>
        <v>1.5169440000000001</v>
      </c>
      <c r="AE331" s="41">
        <f t="shared" si="113"/>
        <v>1</v>
      </c>
      <c r="AF331" s="90">
        <f t="shared" si="128"/>
        <v>0.1326</v>
      </c>
      <c r="AG331" s="90" cm="1">
        <f t="array" ref="AG331">_xlfn.IFS(
AND(L331="marginal_effect",M331="level"),O331*AN331/BF331,
AND(L331="marginal_effect",M331="sd (Y)"),O331*BH331*AN331/BF331,
AND(L331="marginal_effect",M331="sd (X)"),O331/AQ331*AN331/BF331,
AND(L331="semi_elasticity",M331="level"),O331*AN331,
AND(L331="semi_elasticity",M331="sd (Y)"),O331*AN331*BH331,
AND(L331="semi_elasticity",M331="sd (X)"),O331*AN331/AQ331,
AND(L331="level-log",M331="level"),O331/BF331,
AND(L331="level-log",M331="sd (X)"),O331/BF331/AQ331,
AND(L331="level-log",M331="sd (Y)"),O331/BF331*BH331,
AND(L331="elasticity",M331="level"),O331,
AND(L331="elasticity",M331="sd (X)"),O331/AQ331,
AND(L331="elasticity",M331="sd (Y)"),O331*BH331,
AND(L331="marginal_effect",M331="percent_of_mean"),O331*AN331/BF331/10)</f>
        <v>0.1326</v>
      </c>
      <c r="AH331" s="41">
        <f t="shared" si="114"/>
        <v>1</v>
      </c>
      <c r="AI331" s="90">
        <f t="shared" ref="AI331:AI362" si="129">AC331</f>
        <v>1.5169440000000001</v>
      </c>
      <c r="AJ331" s="39">
        <v>0</v>
      </c>
      <c r="AK331" s="39">
        <v>1</v>
      </c>
      <c r="AL331" s="39" t="s">
        <v>82</v>
      </c>
      <c r="AM331" s="39" t="s">
        <v>1333</v>
      </c>
      <c r="AN331" s="39">
        <v>53.04</v>
      </c>
      <c r="AO331" s="39">
        <v>1</v>
      </c>
      <c r="AP331" s="39">
        <f t="shared" si="121"/>
        <v>53.04</v>
      </c>
      <c r="AQ331" s="39" t="s">
        <v>312</v>
      </c>
      <c r="AR331" s="39" t="s">
        <v>312</v>
      </c>
      <c r="AS331" s="39" t="s">
        <v>312</v>
      </c>
      <c r="AT331" s="39" t="s">
        <v>107</v>
      </c>
      <c r="AU331" s="39" t="s">
        <v>109</v>
      </c>
      <c r="AV331" s="39" t="s">
        <v>133</v>
      </c>
      <c r="AW331" s="39" t="s">
        <v>85</v>
      </c>
      <c r="AX331" s="39" t="s">
        <v>110</v>
      </c>
      <c r="AY331" s="39">
        <v>0</v>
      </c>
      <c r="AZ331" s="39">
        <f>365*3</f>
        <v>1095</v>
      </c>
      <c r="BA331" s="39" t="s">
        <v>87</v>
      </c>
      <c r="BB331" s="39" t="s">
        <v>134</v>
      </c>
      <c r="BC331" s="39" t="s">
        <v>89</v>
      </c>
      <c r="BD331" s="39" t="s">
        <v>134</v>
      </c>
      <c r="BE331" s="39" t="s">
        <v>902</v>
      </c>
      <c r="BF331" s="39">
        <v>553.27</v>
      </c>
      <c r="BG331" s="39">
        <v>0</v>
      </c>
      <c r="BH331" s="39">
        <v>1781.61</v>
      </c>
      <c r="BI331" s="39">
        <v>0.1</v>
      </c>
      <c r="BJ331" s="39">
        <v>22690.799999999999</v>
      </c>
      <c r="BK331" s="39" t="s">
        <v>91</v>
      </c>
      <c r="BL331" s="39" t="s">
        <v>116</v>
      </c>
      <c r="BM331" s="39">
        <v>1</v>
      </c>
      <c r="BN331" s="39" t="s">
        <v>428</v>
      </c>
      <c r="BO331" s="39" t="s">
        <v>428</v>
      </c>
      <c r="BP331" s="39" t="s">
        <v>312</v>
      </c>
      <c r="BQ331" s="39" t="s">
        <v>117</v>
      </c>
      <c r="BR331" s="39" t="s">
        <v>134</v>
      </c>
      <c r="BS331" s="39" t="s">
        <v>312</v>
      </c>
      <c r="BT331" s="39" t="s">
        <v>312</v>
      </c>
      <c r="BU331" s="39">
        <v>2007</v>
      </c>
      <c r="BV331" s="39">
        <v>2016</v>
      </c>
      <c r="BW331" s="39" t="s">
        <v>901</v>
      </c>
      <c r="BX331" s="39" t="s">
        <v>95</v>
      </c>
      <c r="BY331" s="39" t="s">
        <v>96</v>
      </c>
      <c r="BZ331" s="39">
        <v>0</v>
      </c>
      <c r="CA331" s="39">
        <v>0</v>
      </c>
      <c r="CB331" s="39" t="s">
        <v>97</v>
      </c>
      <c r="CC331" s="39" t="s">
        <v>903</v>
      </c>
      <c r="CD331" s="39">
        <v>1</v>
      </c>
      <c r="CE331" s="39" t="s">
        <v>906</v>
      </c>
      <c r="CF331" s="39">
        <v>0</v>
      </c>
      <c r="CG331" s="39" t="s">
        <v>97</v>
      </c>
      <c r="CH331" s="39">
        <v>0</v>
      </c>
      <c r="CI331" s="39" t="s">
        <v>116</v>
      </c>
      <c r="CJ331" s="39" t="s">
        <v>98</v>
      </c>
      <c r="CK331" s="39">
        <v>35</v>
      </c>
      <c r="CL331" s="39">
        <v>0</v>
      </c>
      <c r="CM331" s="39">
        <v>0</v>
      </c>
      <c r="CN331" s="39" t="s">
        <v>99</v>
      </c>
      <c r="CO331" s="39" t="s">
        <v>97</v>
      </c>
      <c r="CP331" s="39" t="s">
        <v>100</v>
      </c>
      <c r="CQ331" s="39" t="s">
        <v>126</v>
      </c>
      <c r="CR331" s="42">
        <v>46223</v>
      </c>
      <c r="CT331" s="39" t="s">
        <v>437</v>
      </c>
    </row>
    <row r="332" spans="1:99" s="39" customFormat="1" x14ac:dyDescent="0.35">
      <c r="A332" s="38" t="s">
        <v>896</v>
      </c>
      <c r="B332" s="38" t="s">
        <v>908</v>
      </c>
      <c r="C332" s="39" t="s">
        <v>897</v>
      </c>
      <c r="D332" s="39">
        <v>2025</v>
      </c>
      <c r="E332" s="40" t="s">
        <v>898</v>
      </c>
      <c r="F332" s="38" t="s">
        <v>899</v>
      </c>
      <c r="G332" s="39" t="s">
        <v>78</v>
      </c>
      <c r="H332" s="39">
        <v>1</v>
      </c>
      <c r="I332" s="39" t="s">
        <v>290</v>
      </c>
      <c r="J332" s="39" t="s">
        <v>900</v>
      </c>
      <c r="K332" s="39">
        <v>0</v>
      </c>
      <c r="L332" s="39" t="s">
        <v>104</v>
      </c>
      <c r="M332" s="39" t="s">
        <v>380</v>
      </c>
      <c r="N332" s="39">
        <v>-6.7900000000000002E-2</v>
      </c>
      <c r="O332" s="39">
        <v>1.14E-2</v>
      </c>
      <c r="P332" s="90">
        <v>-3.7678571428571432</v>
      </c>
      <c r="Q332" s="39" t="s">
        <v>312</v>
      </c>
      <c r="R332" s="90">
        <v>-3.2076E-2</v>
      </c>
      <c r="S332" s="90">
        <v>-1.0124000000000001E-2</v>
      </c>
      <c r="T332" s="39">
        <v>1</v>
      </c>
      <c r="U332" s="39">
        <v>280076</v>
      </c>
      <c r="V332" s="39">
        <v>11</v>
      </c>
      <c r="W332" s="39">
        <v>1</v>
      </c>
      <c r="X332" s="39">
        <v>304549</v>
      </c>
      <c r="Y332" s="90">
        <v>-6.8274058065208067E-3</v>
      </c>
      <c r="Z332" s="90">
        <v>1.8120129154747162E-3</v>
      </c>
      <c r="AA332" s="90">
        <v>-6.8274058065208067E-3</v>
      </c>
      <c r="AB332" s="39" t="s">
        <v>81</v>
      </c>
      <c r="AC332" s="90">
        <f t="shared" si="127"/>
        <v>-3.601416</v>
      </c>
      <c r="AD332" s="90" cm="1">
        <f t="array" ref="AD332">_xlfn.IFS(
AND(L332="marginal_effect",M332="level"),N332*AN332/BF332,
AND(L332="marginal_effect",M332="sd (Y)"),N332*BH332*AN332/BF332,
AND(L332="marginal_effect",M332="sd (X)"),N332/AQ332*AN332/BF332,
AND(L332="semi_elasticity",M332="level"),N332*AN332,
AND(L332="semi_elasticity",M332="sd (Y)"),N332*AN332*BH332,
AND(L332="semi_elasticity",M332="sd (X)"),N332*AN332/AQ332,
AND(L332="level-log",M332="level"),N332/BF332,
AND(L332="level-log",M332="sd (X)"),N332/BF332/AQ332,
AND(L332="level-log",M332="sd (Y)"),N332/BF332*BH332,
AND(L332="elasticity",M332="level"),N332,
AND(L332="elasticity",M332="sd (X)"),N332/AQ332,
AND(L332="elasticity",M332="sd (Y)"),N332*BH332,
AND(L332="marginal_effect",M332="percent_of_mean"),N332*AN332/BF332/10)</f>
        <v>-3.601416</v>
      </c>
      <c r="AE332" s="41">
        <f t="shared" si="113"/>
        <v>1</v>
      </c>
      <c r="AF332" s="90">
        <f t="shared" si="128"/>
        <v>0.60465599999999997</v>
      </c>
      <c r="AG332" s="90" cm="1">
        <f t="array" ref="AG332">_xlfn.IFS(
AND(L332="marginal_effect",M332="level"),O332*AN332/BF332,
AND(L332="marginal_effect",M332="sd (Y)"),O332*BH332*AN332/BF332,
AND(L332="marginal_effect",M332="sd (X)"),O332/AQ332*AN332/BF332,
AND(L332="semi_elasticity",M332="level"),O332*AN332,
AND(L332="semi_elasticity",M332="sd (Y)"),O332*AN332*BH332,
AND(L332="semi_elasticity",M332="sd (X)"),O332*AN332/AQ332,
AND(L332="level-log",M332="level"),O332/BF332,
AND(L332="level-log",M332="sd (X)"),O332/BF332/AQ332,
AND(L332="level-log",M332="sd (Y)"),O332/BF332*BH332,
AND(L332="elasticity",M332="level"),O332,
AND(L332="elasticity",M332="sd (X)"),O332/AQ332,
AND(L332="elasticity",M332="sd (Y)"),O332*BH332,
AND(L332="marginal_effect",M332="percent_of_mean"),O332*AN332/BF332/10)</f>
        <v>0.60465599999999997</v>
      </c>
      <c r="AH332" s="41">
        <f t="shared" si="114"/>
        <v>1</v>
      </c>
      <c r="AI332" s="90">
        <f t="shared" si="129"/>
        <v>-3.601416</v>
      </c>
      <c r="AJ332" s="39">
        <v>0</v>
      </c>
      <c r="AK332" s="39">
        <v>1</v>
      </c>
      <c r="AL332" s="39" t="s">
        <v>82</v>
      </c>
      <c r="AM332" s="39" t="s">
        <v>1333</v>
      </c>
      <c r="AN332" s="39">
        <v>53.04</v>
      </c>
      <c r="AO332" s="39">
        <v>1</v>
      </c>
      <c r="AP332" s="39">
        <f t="shared" si="121"/>
        <v>53.04</v>
      </c>
      <c r="AQ332" s="39" t="s">
        <v>312</v>
      </c>
      <c r="AR332" s="39" t="s">
        <v>312</v>
      </c>
      <c r="AS332" s="39" t="s">
        <v>312</v>
      </c>
      <c r="AT332" s="39" t="s">
        <v>107</v>
      </c>
      <c r="AU332" s="39" t="s">
        <v>109</v>
      </c>
      <c r="AV332" s="39" t="s">
        <v>133</v>
      </c>
      <c r="AW332" s="39" t="s">
        <v>85</v>
      </c>
      <c r="AX332" s="39" t="s">
        <v>110</v>
      </c>
      <c r="AY332" s="39">
        <v>0</v>
      </c>
      <c r="AZ332" s="39">
        <v>1095</v>
      </c>
      <c r="BA332" s="39" t="s">
        <v>87</v>
      </c>
      <c r="BB332" s="39" t="s">
        <v>134</v>
      </c>
      <c r="BC332" s="39" t="s">
        <v>89</v>
      </c>
      <c r="BD332" s="39" t="s">
        <v>134</v>
      </c>
      <c r="BE332" s="39" t="s">
        <v>902</v>
      </c>
      <c r="BF332" s="39">
        <v>553.27</v>
      </c>
      <c r="BG332" s="39">
        <v>0</v>
      </c>
      <c r="BH332" s="39">
        <v>1781.61</v>
      </c>
      <c r="BI332" s="39">
        <v>0.1</v>
      </c>
      <c r="BJ332" s="39">
        <v>22690.799999999999</v>
      </c>
      <c r="BK332" s="39" t="s">
        <v>91</v>
      </c>
      <c r="BL332" s="39" t="s">
        <v>116</v>
      </c>
      <c r="BM332" s="39">
        <v>1</v>
      </c>
      <c r="BN332" s="39" t="s">
        <v>428</v>
      </c>
      <c r="BO332" s="39" t="s">
        <v>428</v>
      </c>
      <c r="BP332" s="39" t="s">
        <v>312</v>
      </c>
      <c r="BQ332" s="39" t="s">
        <v>117</v>
      </c>
      <c r="BR332" s="39" t="s">
        <v>134</v>
      </c>
      <c r="BS332" s="39" t="s">
        <v>312</v>
      </c>
      <c r="BT332" s="39" t="s">
        <v>312</v>
      </c>
      <c r="BU332" s="39">
        <v>2007</v>
      </c>
      <c r="BV332" s="39">
        <v>2016</v>
      </c>
      <c r="BW332" s="39" t="s">
        <v>901</v>
      </c>
      <c r="BX332" s="39" t="s">
        <v>95</v>
      </c>
      <c r="BY332" s="39" t="s">
        <v>748</v>
      </c>
      <c r="BZ332" s="39">
        <v>1</v>
      </c>
      <c r="CA332" s="39">
        <v>1</v>
      </c>
      <c r="CB332" s="39" t="s">
        <v>993</v>
      </c>
      <c r="CC332" s="39" t="s">
        <v>903</v>
      </c>
      <c r="CD332" s="39">
        <v>1</v>
      </c>
      <c r="CE332" s="39" t="s">
        <v>906</v>
      </c>
      <c r="CF332" s="39">
        <v>0</v>
      </c>
      <c r="CG332" s="39" t="s">
        <v>97</v>
      </c>
      <c r="CH332" s="39">
        <v>0</v>
      </c>
      <c r="CI332" s="39" t="s">
        <v>116</v>
      </c>
      <c r="CJ332" s="39" t="s">
        <v>98</v>
      </c>
      <c r="CK332" s="39">
        <v>35</v>
      </c>
      <c r="CL332" s="39">
        <v>0</v>
      </c>
      <c r="CM332" s="39">
        <v>1</v>
      </c>
      <c r="CN332" s="39" t="s">
        <v>99</v>
      </c>
      <c r="CO332" s="39" t="s">
        <v>97</v>
      </c>
      <c r="CP332" s="39" t="s">
        <v>100</v>
      </c>
      <c r="CQ332" s="39" t="s">
        <v>126</v>
      </c>
      <c r="CR332" s="42">
        <v>46223</v>
      </c>
      <c r="CT332" s="39" t="s">
        <v>438</v>
      </c>
    </row>
    <row r="333" spans="1:99" s="39" customFormat="1" x14ac:dyDescent="0.35">
      <c r="A333" s="38" t="s">
        <v>896</v>
      </c>
      <c r="B333" s="38" t="s">
        <v>911</v>
      </c>
      <c r="C333" s="39" t="s">
        <v>897</v>
      </c>
      <c r="D333" s="39">
        <v>2025</v>
      </c>
      <c r="E333" s="40" t="s">
        <v>898</v>
      </c>
      <c r="F333" s="38" t="s">
        <v>899</v>
      </c>
      <c r="G333" s="39" t="s">
        <v>78</v>
      </c>
      <c r="H333" s="39">
        <v>1</v>
      </c>
      <c r="I333" s="39" t="s">
        <v>290</v>
      </c>
      <c r="J333" s="39" t="s">
        <v>900</v>
      </c>
      <c r="K333" s="39">
        <v>0</v>
      </c>
      <c r="L333" s="39" t="s">
        <v>104</v>
      </c>
      <c r="M333" s="39" t="s">
        <v>380</v>
      </c>
      <c r="N333" s="39">
        <v>-3.73E-2</v>
      </c>
      <c r="O333" s="39">
        <v>1.03E-2</v>
      </c>
      <c r="P333" s="90">
        <f t="shared" ref="P333:P364" si="130">N333/O333</f>
        <v>-3.6213592233009706</v>
      </c>
      <c r="Q333" s="39" t="s">
        <v>312</v>
      </c>
      <c r="R333" s="90">
        <f t="shared" ref="R333:R364" si="131">N333-1.96*O333</f>
        <v>-5.7487999999999997E-2</v>
      </c>
      <c r="S333" s="90">
        <f t="shared" ref="S333:S364" si="132">N333+1.96*O333</f>
        <v>-1.7111999999999999E-2</v>
      </c>
      <c r="T333" s="39">
        <v>1</v>
      </c>
      <c r="U333" s="39">
        <v>93601</v>
      </c>
      <c r="V333" s="39">
        <v>11</v>
      </c>
      <c r="W333" s="39">
        <v>1</v>
      </c>
      <c r="X333" s="39">
        <f t="shared" ref="X333:X360" si="133">U333-V333</f>
        <v>93590</v>
      </c>
      <c r="Y333" s="90">
        <f t="shared" ref="Y333:Y364" si="134">P333/(P333^2 + X333)^(1/2)</f>
        <v>-1.1836586002921257E-2</v>
      </c>
      <c r="Z333" s="90">
        <f t="shared" ref="Z333:Z364" si="135">((1-Y333^2)/X333)^(1/2)</f>
        <v>3.2685478774822779E-3</v>
      </c>
      <c r="AA333" s="90">
        <f t="shared" ref="AA333:AA364" si="136">Y333</f>
        <v>-1.1836586002921257E-2</v>
      </c>
      <c r="AB333" s="39" t="s">
        <v>81</v>
      </c>
      <c r="AC333" s="90">
        <f t="shared" si="127"/>
        <v>-1.9783919999999999</v>
      </c>
      <c r="AD333" s="90" cm="1">
        <f t="array" ref="AD333">_xlfn.IFS(
AND(L333="marginal_effect",M333="level"),N333*AN333/BF333,
AND(L333="marginal_effect",M333="sd (Y)"),N333*BH333*AN333/BF333,
AND(L333="marginal_effect",M333="sd (X)"),N333/AQ333*AN333/BF333,
AND(L333="semi_elasticity",M333="level"),N333*AN333,
AND(L333="semi_elasticity",M333="sd (Y)"),N333*AN333*BH333,
AND(L333="semi_elasticity",M333="sd (X)"),N333*AN333/AQ333,
AND(L333="level-log",M333="level"),N333/BF333,
AND(L333="level-log",M333="sd (X)"),N333/BF333/AQ333,
AND(L333="level-log",M333="sd (Y)"),N333/BF333*BH333,
AND(L333="elasticity",M333="level"),N333,
AND(L333="elasticity",M333="sd (X)"),N333/AQ333,
AND(L333="elasticity",M333="sd (Y)"),N333*BH333,
AND(L333="marginal_effect",M333="percent_of_mean"),N333*AN333/BF333/10)</f>
        <v>-1.9783919999999999</v>
      </c>
      <c r="AE333" s="41">
        <f t="shared" si="113"/>
        <v>1</v>
      </c>
      <c r="AF333" s="90">
        <f t="shared" si="128"/>
        <v>0.54631200000000002</v>
      </c>
      <c r="AG333" s="90" cm="1">
        <f t="array" ref="AG333">_xlfn.IFS(
AND(L333="marginal_effect",M333="level"),O333*AN333/BF333,
AND(L333="marginal_effect",M333="sd (Y)"),O333*BH333*AN333/BF333,
AND(L333="marginal_effect",M333="sd (X)"),O333/AQ333*AN333/BF333,
AND(L333="semi_elasticity",M333="level"),O333*AN333,
AND(L333="semi_elasticity",M333="sd (Y)"),O333*AN333*BH333,
AND(L333="semi_elasticity",M333="sd (X)"),O333*AN333/AQ333,
AND(L333="level-log",M333="level"),O333/BF333,
AND(L333="level-log",M333="sd (X)"),O333/BF333/AQ333,
AND(L333="level-log",M333="sd (Y)"),O333/BF333*BH333,
AND(L333="elasticity",M333="level"),O333,
AND(L333="elasticity",M333="sd (X)"),O333/AQ333,
AND(L333="elasticity",M333="sd (Y)"),O333*BH333,
AND(L333="marginal_effect",M333="percent_of_mean"),O333*AN333/BF333/10)</f>
        <v>0.54631200000000002</v>
      </c>
      <c r="AH333" s="41">
        <f t="shared" si="114"/>
        <v>1</v>
      </c>
      <c r="AI333" s="90">
        <f t="shared" si="129"/>
        <v>-1.9783919999999999</v>
      </c>
      <c r="AJ333" s="39">
        <v>0</v>
      </c>
      <c r="AK333" s="39">
        <f t="shared" ref="AK333:AK364" si="137">IF(P333=(AC333/AF333),1,0)</f>
        <v>1</v>
      </c>
      <c r="AL333" s="39" t="s">
        <v>82</v>
      </c>
      <c r="AM333" s="39" t="s">
        <v>1333</v>
      </c>
      <c r="AN333" s="39">
        <v>53.04</v>
      </c>
      <c r="AO333" s="39">
        <v>1</v>
      </c>
      <c r="AP333" s="39">
        <f t="shared" si="121"/>
        <v>53.04</v>
      </c>
      <c r="AQ333" s="39">
        <v>18.27</v>
      </c>
      <c r="AR333" s="39">
        <v>12.77</v>
      </c>
      <c r="AS333" s="39">
        <v>132.4</v>
      </c>
      <c r="AT333" s="39" t="s">
        <v>107</v>
      </c>
      <c r="AU333" s="39" t="s">
        <v>109</v>
      </c>
      <c r="AV333" s="39" t="s">
        <v>133</v>
      </c>
      <c r="AW333" s="39" t="s">
        <v>85</v>
      </c>
      <c r="AX333" s="39" t="s">
        <v>86</v>
      </c>
      <c r="AY333" s="39">
        <v>0</v>
      </c>
      <c r="AZ333" s="39">
        <v>0</v>
      </c>
      <c r="BA333" s="39" t="s">
        <v>87</v>
      </c>
      <c r="BB333" s="39" t="s">
        <v>134</v>
      </c>
      <c r="BC333" s="39" t="s">
        <v>89</v>
      </c>
      <c r="BD333" s="39" t="s">
        <v>114</v>
      </c>
      <c r="BE333" s="39" t="s">
        <v>902</v>
      </c>
      <c r="BF333" s="39">
        <v>553.27</v>
      </c>
      <c r="BG333" s="39">
        <v>1</v>
      </c>
      <c r="BH333" s="39">
        <v>1781.61</v>
      </c>
      <c r="BI333" s="39">
        <v>0.1</v>
      </c>
      <c r="BJ333" s="39">
        <v>22690.799999999999</v>
      </c>
      <c r="BK333" s="39" t="s">
        <v>91</v>
      </c>
      <c r="BL333" s="39" t="s">
        <v>116</v>
      </c>
      <c r="BM333" s="39">
        <v>1</v>
      </c>
      <c r="BN333" s="39" t="s">
        <v>428</v>
      </c>
      <c r="BO333" s="39" t="s">
        <v>914</v>
      </c>
      <c r="BP333" s="39" t="s">
        <v>312</v>
      </c>
      <c r="BQ333" s="39" t="s">
        <v>117</v>
      </c>
      <c r="BR333" s="39" t="s">
        <v>134</v>
      </c>
      <c r="BS333" s="39" t="s">
        <v>312</v>
      </c>
      <c r="BT333" s="39" t="s">
        <v>312</v>
      </c>
      <c r="BU333" s="39">
        <v>2007</v>
      </c>
      <c r="BV333" s="39">
        <v>2016</v>
      </c>
      <c r="BW333" s="39" t="s">
        <v>901</v>
      </c>
      <c r="BX333" s="39" t="s">
        <v>95</v>
      </c>
      <c r="BY333" s="39" t="s">
        <v>748</v>
      </c>
      <c r="BZ333" s="39">
        <v>1</v>
      </c>
      <c r="CA333" s="39">
        <v>1</v>
      </c>
      <c r="CB333" s="39" t="s">
        <v>993</v>
      </c>
      <c r="CC333" s="39" t="s">
        <v>903</v>
      </c>
      <c r="CD333" s="39">
        <v>1</v>
      </c>
      <c r="CE333" s="39" t="s">
        <v>906</v>
      </c>
      <c r="CF333" s="39">
        <v>0</v>
      </c>
      <c r="CG333" s="39" t="s">
        <v>97</v>
      </c>
      <c r="CH333" s="39">
        <v>0</v>
      </c>
      <c r="CI333" s="39" t="s">
        <v>116</v>
      </c>
      <c r="CJ333" s="39" t="s">
        <v>98</v>
      </c>
      <c r="CK333" s="39">
        <v>35</v>
      </c>
      <c r="CL333" s="39">
        <v>0</v>
      </c>
      <c r="CM333" s="39">
        <v>0</v>
      </c>
      <c r="CN333" s="39" t="s">
        <v>99</v>
      </c>
      <c r="CO333" s="39" t="s">
        <v>942</v>
      </c>
      <c r="CP333" s="39" t="s">
        <v>100</v>
      </c>
      <c r="CQ333" s="39" t="s">
        <v>126</v>
      </c>
      <c r="CR333" s="42">
        <v>46223</v>
      </c>
      <c r="CT333" s="39" t="s">
        <v>704</v>
      </c>
    </row>
    <row r="334" spans="1:99" s="39" customFormat="1" x14ac:dyDescent="0.35">
      <c r="A334" s="38" t="s">
        <v>896</v>
      </c>
      <c r="B334" s="38" t="s">
        <v>912</v>
      </c>
      <c r="C334" s="39" t="s">
        <v>897</v>
      </c>
      <c r="D334" s="39">
        <v>2025</v>
      </c>
      <c r="E334" s="40" t="s">
        <v>898</v>
      </c>
      <c r="F334" s="38" t="s">
        <v>899</v>
      </c>
      <c r="G334" s="39" t="s">
        <v>78</v>
      </c>
      <c r="H334" s="39">
        <v>1</v>
      </c>
      <c r="I334" s="39" t="s">
        <v>290</v>
      </c>
      <c r="J334" s="39" t="s">
        <v>900</v>
      </c>
      <c r="K334" s="39">
        <v>0</v>
      </c>
      <c r="L334" s="39" t="s">
        <v>104</v>
      </c>
      <c r="M334" s="39" t="s">
        <v>380</v>
      </c>
      <c r="N334" s="39">
        <v>-1.67E-2</v>
      </c>
      <c r="O334" s="39">
        <v>7.4999999999999997E-3</v>
      </c>
      <c r="P334" s="90">
        <f t="shared" si="130"/>
        <v>-2.2266666666666666</v>
      </c>
      <c r="Q334" s="39" t="s">
        <v>312</v>
      </c>
      <c r="R334" s="90">
        <f t="shared" si="131"/>
        <v>-3.1399999999999997E-2</v>
      </c>
      <c r="S334" s="90">
        <f t="shared" si="132"/>
        <v>-2E-3</v>
      </c>
      <c r="T334" s="39">
        <v>1</v>
      </c>
      <c r="U334" s="39">
        <v>196010</v>
      </c>
      <c r="V334" s="39">
        <v>11</v>
      </c>
      <c r="W334" s="39">
        <v>1</v>
      </c>
      <c r="X334" s="39">
        <f t="shared" si="133"/>
        <v>195999</v>
      </c>
      <c r="Y334" s="90">
        <f t="shared" si="134"/>
        <v>-5.0294765435419725E-3</v>
      </c>
      <c r="Z334" s="90">
        <f t="shared" si="135"/>
        <v>2.2587469506925029E-3</v>
      </c>
      <c r="AA334" s="90">
        <f t="shared" si="136"/>
        <v>-5.0294765435419725E-3</v>
      </c>
      <c r="AB334" s="39" t="s">
        <v>81</v>
      </c>
      <c r="AC334" s="90">
        <f t="shared" si="127"/>
        <v>-0.885768</v>
      </c>
      <c r="AD334" s="90" cm="1">
        <f t="array" ref="AD334">_xlfn.IFS(
AND(L334="marginal_effect",M334="level"),N334*AN334/BF334,
AND(L334="marginal_effect",M334="sd (Y)"),N334*BH334*AN334/BF334,
AND(L334="marginal_effect",M334="sd (X)"),N334/AQ334*AN334/BF334,
AND(L334="semi_elasticity",M334="level"),N334*AN334,
AND(L334="semi_elasticity",M334="sd (Y)"),N334*AN334*BH334,
AND(L334="semi_elasticity",M334="sd (X)"),N334*AN334/AQ334,
AND(L334="level-log",M334="level"),N334/BF334,
AND(L334="level-log",M334="sd (X)"),N334/BF334/AQ334,
AND(L334="level-log",M334="sd (Y)"),N334/BF334*BH334,
AND(L334="elasticity",M334="level"),N334,
AND(L334="elasticity",M334="sd (X)"),N334/AQ334,
AND(L334="elasticity",M334="sd (Y)"),N334*BH334,
AND(L334="marginal_effect",M334="percent_of_mean"),N334*AN334/BF334/10)</f>
        <v>-0.885768</v>
      </c>
      <c r="AE334" s="41">
        <f t="shared" si="113"/>
        <v>1</v>
      </c>
      <c r="AF334" s="90">
        <f t="shared" si="128"/>
        <v>0.39779999999999999</v>
      </c>
      <c r="AG334" s="90" cm="1">
        <f t="array" ref="AG334">_xlfn.IFS(
AND(L334="marginal_effect",M334="level"),O334*AN334/BF334,
AND(L334="marginal_effect",M334="sd (Y)"),O334*BH334*AN334/BF334,
AND(L334="marginal_effect",M334="sd (X)"),O334/AQ334*AN334/BF334,
AND(L334="semi_elasticity",M334="level"),O334*AN334,
AND(L334="semi_elasticity",M334="sd (Y)"),O334*AN334*BH334,
AND(L334="semi_elasticity",M334="sd (X)"),O334*AN334/AQ334,
AND(L334="level-log",M334="level"),O334/BF334,
AND(L334="level-log",M334="sd (X)"),O334/BF334/AQ334,
AND(L334="level-log",M334="sd (Y)"),O334/BF334*BH334,
AND(L334="elasticity",M334="level"),O334,
AND(L334="elasticity",M334="sd (X)"),O334/AQ334,
AND(L334="elasticity",M334="sd (Y)"),O334*BH334,
AND(L334="marginal_effect",M334="percent_of_mean"),O334*AN334/BF334/10)</f>
        <v>0.39779999999999999</v>
      </c>
      <c r="AH334" s="41">
        <f t="shared" si="114"/>
        <v>1</v>
      </c>
      <c r="AI334" s="90">
        <f t="shared" si="129"/>
        <v>-0.885768</v>
      </c>
      <c r="AJ334" s="39">
        <v>0</v>
      </c>
      <c r="AK334" s="39">
        <f t="shared" si="137"/>
        <v>1</v>
      </c>
      <c r="AL334" s="39" t="s">
        <v>82</v>
      </c>
      <c r="AM334" s="39" t="s">
        <v>1333</v>
      </c>
      <c r="AN334" s="39">
        <v>53.04</v>
      </c>
      <c r="AO334" s="39">
        <v>1</v>
      </c>
      <c r="AP334" s="39">
        <f t="shared" si="121"/>
        <v>53.04</v>
      </c>
      <c r="AQ334" s="39">
        <v>18.27</v>
      </c>
      <c r="AR334" s="39">
        <v>12.77</v>
      </c>
      <c r="AS334" s="39">
        <v>132.4</v>
      </c>
      <c r="AT334" s="39" t="s">
        <v>107</v>
      </c>
      <c r="AU334" s="39" t="s">
        <v>109</v>
      </c>
      <c r="AV334" s="39" t="s">
        <v>133</v>
      </c>
      <c r="AW334" s="39" t="s">
        <v>85</v>
      </c>
      <c r="AX334" s="39" t="s">
        <v>86</v>
      </c>
      <c r="AY334" s="39">
        <v>0</v>
      </c>
      <c r="AZ334" s="39">
        <v>0</v>
      </c>
      <c r="BA334" s="39" t="s">
        <v>87</v>
      </c>
      <c r="BB334" s="39" t="s">
        <v>134</v>
      </c>
      <c r="BC334" s="39" t="s">
        <v>89</v>
      </c>
      <c r="BD334" s="39" t="s">
        <v>134</v>
      </c>
      <c r="BE334" s="39" t="s">
        <v>902</v>
      </c>
      <c r="BF334" s="39">
        <v>553.27</v>
      </c>
      <c r="BG334" s="39">
        <v>1</v>
      </c>
      <c r="BH334" s="39">
        <v>1781.61</v>
      </c>
      <c r="BI334" s="39">
        <v>0.1</v>
      </c>
      <c r="BJ334" s="39">
        <v>22690.799999999999</v>
      </c>
      <c r="BK334" s="39" t="s">
        <v>91</v>
      </c>
      <c r="BL334" s="39" t="s">
        <v>116</v>
      </c>
      <c r="BM334" s="39">
        <v>1</v>
      </c>
      <c r="BN334" s="39" t="s">
        <v>428</v>
      </c>
      <c r="BO334" s="39" t="s">
        <v>915</v>
      </c>
      <c r="BP334" s="39" t="s">
        <v>312</v>
      </c>
      <c r="BQ334" s="39" t="s">
        <v>117</v>
      </c>
      <c r="BR334" s="39" t="s">
        <v>134</v>
      </c>
      <c r="BS334" s="39" t="s">
        <v>312</v>
      </c>
      <c r="BT334" s="39" t="s">
        <v>312</v>
      </c>
      <c r="BU334" s="39">
        <v>2007</v>
      </c>
      <c r="BV334" s="39">
        <v>2016</v>
      </c>
      <c r="BW334" s="39" t="s">
        <v>901</v>
      </c>
      <c r="BX334" s="39" t="s">
        <v>95</v>
      </c>
      <c r="BY334" s="39" t="s">
        <v>748</v>
      </c>
      <c r="BZ334" s="39">
        <v>1</v>
      </c>
      <c r="CA334" s="39">
        <v>1</v>
      </c>
      <c r="CB334" s="39" t="s">
        <v>993</v>
      </c>
      <c r="CC334" s="39" t="s">
        <v>903</v>
      </c>
      <c r="CD334" s="39">
        <v>1</v>
      </c>
      <c r="CE334" s="39" t="s">
        <v>906</v>
      </c>
      <c r="CF334" s="39">
        <v>0</v>
      </c>
      <c r="CG334" s="39" t="s">
        <v>97</v>
      </c>
      <c r="CH334" s="39">
        <v>0</v>
      </c>
      <c r="CI334" s="39" t="s">
        <v>116</v>
      </c>
      <c r="CJ334" s="39" t="s">
        <v>98</v>
      </c>
      <c r="CK334" s="39">
        <v>35</v>
      </c>
      <c r="CL334" s="39">
        <v>0</v>
      </c>
      <c r="CM334" s="39">
        <v>0</v>
      </c>
      <c r="CN334" s="39" t="s">
        <v>99</v>
      </c>
      <c r="CO334" s="39" t="s">
        <v>942</v>
      </c>
      <c r="CP334" s="39" t="s">
        <v>100</v>
      </c>
      <c r="CQ334" s="39" t="s">
        <v>126</v>
      </c>
      <c r="CR334" s="42">
        <v>46223</v>
      </c>
      <c r="CT334" s="39" t="s">
        <v>457</v>
      </c>
    </row>
    <row r="335" spans="1:99" s="39" customFormat="1" x14ac:dyDescent="0.35">
      <c r="A335" s="38" t="s">
        <v>896</v>
      </c>
      <c r="B335" s="38" t="s">
        <v>913</v>
      </c>
      <c r="C335" s="39" t="s">
        <v>897</v>
      </c>
      <c r="D335" s="39">
        <v>2025</v>
      </c>
      <c r="E335" s="40" t="s">
        <v>898</v>
      </c>
      <c r="F335" s="38" t="s">
        <v>899</v>
      </c>
      <c r="G335" s="39" t="s">
        <v>78</v>
      </c>
      <c r="H335" s="39">
        <v>1</v>
      </c>
      <c r="I335" s="39" t="s">
        <v>290</v>
      </c>
      <c r="J335" s="39" t="s">
        <v>900</v>
      </c>
      <c r="K335" s="39">
        <v>0</v>
      </c>
      <c r="L335" s="39" t="s">
        <v>104</v>
      </c>
      <c r="M335" s="39" t="s">
        <v>380</v>
      </c>
      <c r="N335" s="39">
        <v>3.3E-3</v>
      </c>
      <c r="O335" s="39">
        <v>3.6799999999999999E-2</v>
      </c>
      <c r="P335" s="90">
        <f t="shared" si="130"/>
        <v>8.9673913043478257E-2</v>
      </c>
      <c r="Q335" s="39" t="s">
        <v>312</v>
      </c>
      <c r="R335" s="90">
        <f t="shared" si="131"/>
        <v>-6.8828E-2</v>
      </c>
      <c r="S335" s="90">
        <f t="shared" si="132"/>
        <v>7.5427999999999995E-2</v>
      </c>
      <c r="T335" s="39">
        <v>1</v>
      </c>
      <c r="U335" s="39">
        <v>4953</v>
      </c>
      <c r="V335" s="39">
        <v>11</v>
      </c>
      <c r="W335" s="39">
        <v>1</v>
      </c>
      <c r="X335" s="39">
        <f t="shared" si="133"/>
        <v>4942</v>
      </c>
      <c r="Y335" s="90">
        <f t="shared" si="134"/>
        <v>1.2755996674176074E-3</v>
      </c>
      <c r="Z335" s="90">
        <f t="shared" si="135"/>
        <v>1.4224869018475141E-2</v>
      </c>
      <c r="AA335" s="90">
        <f t="shared" si="136"/>
        <v>1.2755996674176074E-3</v>
      </c>
      <c r="AB335" s="39" t="s">
        <v>81</v>
      </c>
      <c r="AC335" s="90">
        <f t="shared" si="127"/>
        <v>0.17503199999999999</v>
      </c>
      <c r="AD335" s="90" cm="1">
        <f t="array" ref="AD335">_xlfn.IFS(
AND(L335="marginal_effect",M335="level"),N335*AN335/BF335,
AND(L335="marginal_effect",M335="sd (Y)"),N335*BH335*AN335/BF335,
AND(L335="marginal_effect",M335="sd (X)"),N335/AQ335*AN335/BF335,
AND(L335="semi_elasticity",M335="level"),N335*AN335,
AND(L335="semi_elasticity",M335="sd (Y)"),N335*AN335*BH335,
AND(L335="semi_elasticity",M335="sd (X)"),N335*AN335/AQ335,
AND(L335="level-log",M335="level"),N335/BF335,
AND(L335="level-log",M335="sd (X)"),N335/BF335/AQ335,
AND(L335="level-log",M335="sd (Y)"),N335/BF335*BH335,
AND(L335="elasticity",M335="level"),N335,
AND(L335="elasticity",M335="sd (X)"),N335/AQ335,
AND(L335="elasticity",M335="sd (Y)"),N335*BH335,
AND(L335="marginal_effect",M335="percent_of_mean"),N335*AN335/BF335/10)</f>
        <v>0.17503199999999999</v>
      </c>
      <c r="AE335" s="41">
        <f t="shared" ref="AE335:AE398" si="138">IF(AC335=AD335,1,0)</f>
        <v>1</v>
      </c>
      <c r="AF335" s="90">
        <f t="shared" si="128"/>
        <v>1.9518719999999998</v>
      </c>
      <c r="AG335" s="90" cm="1">
        <f t="array" ref="AG335">_xlfn.IFS(
AND(L335="marginal_effect",M335="level"),O335*AN335/BF335,
AND(L335="marginal_effect",M335="sd (Y)"),O335*BH335*AN335/BF335,
AND(L335="marginal_effect",M335="sd (X)"),O335/AQ335*AN335/BF335,
AND(L335="semi_elasticity",M335="level"),O335*AN335,
AND(L335="semi_elasticity",M335="sd (Y)"),O335*AN335*BH335,
AND(L335="semi_elasticity",M335="sd (X)"),O335*AN335/AQ335,
AND(L335="level-log",M335="level"),O335/BF335,
AND(L335="level-log",M335="sd (X)"),O335/BF335/AQ335,
AND(L335="level-log",M335="sd (Y)"),O335/BF335*BH335,
AND(L335="elasticity",M335="level"),O335,
AND(L335="elasticity",M335="sd (X)"),O335/AQ335,
AND(L335="elasticity",M335="sd (Y)"),O335*BH335,
AND(L335="marginal_effect",M335="percent_of_mean"),O335*AN335/BF335/10)</f>
        <v>1.9518719999999998</v>
      </c>
      <c r="AH335" s="41">
        <f t="shared" ref="AH335:AH398" si="139">IF(AF335=AG335,1,0)</f>
        <v>1</v>
      </c>
      <c r="AI335" s="90">
        <f t="shared" si="129"/>
        <v>0.17503199999999999</v>
      </c>
      <c r="AJ335" s="39">
        <v>0</v>
      </c>
      <c r="AK335" s="39">
        <f t="shared" si="137"/>
        <v>1</v>
      </c>
      <c r="AL335" s="39" t="s">
        <v>82</v>
      </c>
      <c r="AM335" s="39" t="s">
        <v>1333</v>
      </c>
      <c r="AN335" s="39">
        <v>53.04</v>
      </c>
      <c r="AO335" s="39">
        <v>1</v>
      </c>
      <c r="AP335" s="39">
        <f t="shared" si="121"/>
        <v>53.04</v>
      </c>
      <c r="AQ335" s="39">
        <v>18.27</v>
      </c>
      <c r="AR335" s="39">
        <v>12.77</v>
      </c>
      <c r="AS335" s="39">
        <v>132.4</v>
      </c>
      <c r="AT335" s="39" t="s">
        <v>107</v>
      </c>
      <c r="AU335" s="39" t="s">
        <v>109</v>
      </c>
      <c r="AV335" s="39" t="s">
        <v>133</v>
      </c>
      <c r="AW335" s="39" t="s">
        <v>85</v>
      </c>
      <c r="AX335" s="39" t="s">
        <v>86</v>
      </c>
      <c r="AY335" s="39">
        <v>0</v>
      </c>
      <c r="AZ335" s="39">
        <v>0</v>
      </c>
      <c r="BA335" s="39" t="s">
        <v>87</v>
      </c>
      <c r="BB335" s="39" t="s">
        <v>134</v>
      </c>
      <c r="BC335" s="39" t="s">
        <v>89</v>
      </c>
      <c r="BD335" s="39" t="s">
        <v>134</v>
      </c>
      <c r="BE335" s="39" t="s">
        <v>902</v>
      </c>
      <c r="BF335" s="39">
        <v>553.27</v>
      </c>
      <c r="BG335" s="39">
        <v>1</v>
      </c>
      <c r="BH335" s="39">
        <v>1781.61</v>
      </c>
      <c r="BI335" s="39">
        <v>0.1</v>
      </c>
      <c r="BJ335" s="39">
        <v>22690.799999999999</v>
      </c>
      <c r="BK335" s="39" t="s">
        <v>91</v>
      </c>
      <c r="BL335" s="39" t="s">
        <v>116</v>
      </c>
      <c r="BM335" s="39">
        <v>1</v>
      </c>
      <c r="BN335" s="39" t="s">
        <v>428</v>
      </c>
      <c r="BO335" s="39" t="s">
        <v>916</v>
      </c>
      <c r="BP335" s="39" t="s">
        <v>312</v>
      </c>
      <c r="BQ335" s="39" t="s">
        <v>117</v>
      </c>
      <c r="BR335" s="39" t="s">
        <v>134</v>
      </c>
      <c r="BS335" s="39" t="s">
        <v>312</v>
      </c>
      <c r="BT335" s="39" t="s">
        <v>312</v>
      </c>
      <c r="BU335" s="39">
        <v>2007</v>
      </c>
      <c r="BV335" s="39">
        <v>2016</v>
      </c>
      <c r="BW335" s="39" t="s">
        <v>901</v>
      </c>
      <c r="BX335" s="39" t="s">
        <v>95</v>
      </c>
      <c r="BY335" s="39" t="s">
        <v>748</v>
      </c>
      <c r="BZ335" s="39">
        <v>1</v>
      </c>
      <c r="CA335" s="39">
        <v>1</v>
      </c>
      <c r="CB335" s="39" t="s">
        <v>993</v>
      </c>
      <c r="CC335" s="39" t="s">
        <v>903</v>
      </c>
      <c r="CD335" s="39">
        <v>1</v>
      </c>
      <c r="CE335" s="39" t="s">
        <v>906</v>
      </c>
      <c r="CF335" s="39">
        <v>0</v>
      </c>
      <c r="CG335" s="39" t="s">
        <v>97</v>
      </c>
      <c r="CH335" s="39">
        <v>0</v>
      </c>
      <c r="CI335" s="39" t="s">
        <v>116</v>
      </c>
      <c r="CJ335" s="39" t="s">
        <v>98</v>
      </c>
      <c r="CK335" s="39">
        <v>35</v>
      </c>
      <c r="CL335" s="39">
        <v>0</v>
      </c>
      <c r="CM335" s="39">
        <v>0</v>
      </c>
      <c r="CN335" s="39" t="s">
        <v>99</v>
      </c>
      <c r="CO335" s="39" t="s">
        <v>942</v>
      </c>
      <c r="CP335" s="39" t="s">
        <v>100</v>
      </c>
      <c r="CQ335" s="39" t="s">
        <v>126</v>
      </c>
      <c r="CR335" s="42">
        <v>46223</v>
      </c>
      <c r="CT335" s="39" t="s">
        <v>660</v>
      </c>
    </row>
    <row r="336" spans="1:99" s="39" customFormat="1" x14ac:dyDescent="0.35">
      <c r="A336" s="38" t="s">
        <v>896</v>
      </c>
      <c r="B336" s="38" t="s">
        <v>917</v>
      </c>
      <c r="C336" s="39" t="s">
        <v>897</v>
      </c>
      <c r="D336" s="39">
        <v>2025</v>
      </c>
      <c r="E336" s="40" t="s">
        <v>898</v>
      </c>
      <c r="F336" s="38" t="s">
        <v>899</v>
      </c>
      <c r="G336" s="39" t="s">
        <v>78</v>
      </c>
      <c r="H336" s="39">
        <v>1</v>
      </c>
      <c r="I336" s="39" t="s">
        <v>290</v>
      </c>
      <c r="J336" s="39" t="s">
        <v>900</v>
      </c>
      <c r="K336" s="39">
        <v>0</v>
      </c>
      <c r="L336" s="39" t="s">
        <v>104</v>
      </c>
      <c r="M336" s="39" t="s">
        <v>380</v>
      </c>
      <c r="N336" s="39">
        <v>-1.47E-2</v>
      </c>
      <c r="O336" s="39">
        <v>1.6E-2</v>
      </c>
      <c r="P336" s="90">
        <f t="shared" si="130"/>
        <v>-0.91874999999999996</v>
      </c>
      <c r="Q336" s="39" t="s">
        <v>312</v>
      </c>
      <c r="R336" s="90">
        <f t="shared" si="131"/>
        <v>-4.6059999999999997E-2</v>
      </c>
      <c r="S336" s="90">
        <f t="shared" si="132"/>
        <v>1.6660000000000001E-2</v>
      </c>
      <c r="T336" s="39">
        <v>1</v>
      </c>
      <c r="U336" s="39">
        <v>86254</v>
      </c>
      <c r="V336" s="39">
        <v>11</v>
      </c>
      <c r="W336" s="39">
        <v>1</v>
      </c>
      <c r="X336" s="39">
        <f t="shared" si="133"/>
        <v>86243</v>
      </c>
      <c r="Y336" s="90">
        <f t="shared" si="134"/>
        <v>-3.128479396596814E-3</v>
      </c>
      <c r="Z336" s="90">
        <f t="shared" si="135"/>
        <v>3.4051476425543559E-3</v>
      </c>
      <c r="AA336" s="90">
        <f t="shared" si="136"/>
        <v>-3.128479396596814E-3</v>
      </c>
      <c r="AB336" s="39" t="s">
        <v>81</v>
      </c>
      <c r="AC336" s="90">
        <f t="shared" si="127"/>
        <v>-0.77968799999999994</v>
      </c>
      <c r="AD336" s="90" cm="1">
        <f t="array" ref="AD336">_xlfn.IFS(
AND(L336="marginal_effect",M336="level"),N336*AN336/BF336,
AND(L336="marginal_effect",M336="sd (Y)"),N336*BH336*AN336/BF336,
AND(L336="marginal_effect",M336="sd (X)"),N336/AQ336*AN336/BF336,
AND(L336="semi_elasticity",M336="level"),N336*AN336,
AND(L336="semi_elasticity",M336="sd (Y)"),N336*AN336*BH336,
AND(L336="semi_elasticity",M336="sd (X)"),N336*AN336/AQ336,
AND(L336="level-log",M336="level"),N336/BF336,
AND(L336="level-log",M336="sd (X)"),N336/BF336/AQ336,
AND(L336="level-log",M336="sd (Y)"),N336/BF336*BH336,
AND(L336="elasticity",M336="level"),N336,
AND(L336="elasticity",M336="sd (X)"),N336/AQ336,
AND(L336="elasticity",M336="sd (Y)"),N336*BH336,
AND(L336="marginal_effect",M336="percent_of_mean"),N336*AN336/BF336/10)</f>
        <v>-0.77968799999999994</v>
      </c>
      <c r="AE336" s="41">
        <f t="shared" si="138"/>
        <v>1</v>
      </c>
      <c r="AF336" s="90">
        <f t="shared" si="128"/>
        <v>0.84863999999999995</v>
      </c>
      <c r="AG336" s="90" cm="1">
        <f t="array" ref="AG336">_xlfn.IFS(
AND(L336="marginal_effect",M336="level"),O336*AN336/BF336,
AND(L336="marginal_effect",M336="sd (Y)"),O336*BH336*AN336/BF336,
AND(L336="marginal_effect",M336="sd (X)"),O336/AQ336*AN336/BF336,
AND(L336="semi_elasticity",M336="level"),O336*AN336,
AND(L336="semi_elasticity",M336="sd (Y)"),O336*AN336*BH336,
AND(L336="semi_elasticity",M336="sd (X)"),O336*AN336/AQ336,
AND(L336="level-log",M336="level"),O336/BF336,
AND(L336="level-log",M336="sd (X)"),O336/BF336/AQ336,
AND(L336="level-log",M336="sd (Y)"),O336/BF336*BH336,
AND(L336="elasticity",M336="level"),O336,
AND(L336="elasticity",M336="sd (X)"),O336/AQ336,
AND(L336="elasticity",M336="sd (Y)"),O336*BH336,
AND(L336="marginal_effect",M336="percent_of_mean"),O336*AN336/BF336/10)</f>
        <v>0.84863999999999995</v>
      </c>
      <c r="AH336" s="41">
        <f t="shared" si="139"/>
        <v>1</v>
      </c>
      <c r="AI336" s="90">
        <f t="shared" si="129"/>
        <v>-0.77968799999999994</v>
      </c>
      <c r="AJ336" s="39">
        <v>0</v>
      </c>
      <c r="AK336" s="39">
        <f t="shared" si="137"/>
        <v>1</v>
      </c>
      <c r="AL336" s="39" t="s">
        <v>82</v>
      </c>
      <c r="AM336" s="39" t="s">
        <v>1333</v>
      </c>
      <c r="AN336" s="39">
        <v>53.04</v>
      </c>
      <c r="AO336" s="39">
        <v>1</v>
      </c>
      <c r="AP336" s="39">
        <f t="shared" si="121"/>
        <v>53.04</v>
      </c>
      <c r="AQ336" s="39">
        <v>18.27</v>
      </c>
      <c r="AR336" s="39">
        <v>12.77</v>
      </c>
      <c r="AS336" s="39">
        <v>132.4</v>
      </c>
      <c r="AT336" s="39" t="s">
        <v>107</v>
      </c>
      <c r="AU336" s="39" t="s">
        <v>109</v>
      </c>
      <c r="AV336" s="39" t="s">
        <v>133</v>
      </c>
      <c r="AW336" s="39" t="s">
        <v>85</v>
      </c>
      <c r="AX336" s="39" t="s">
        <v>86</v>
      </c>
      <c r="AY336" s="39">
        <v>0</v>
      </c>
      <c r="AZ336" s="39">
        <v>0</v>
      </c>
      <c r="BA336" s="39" t="s">
        <v>87</v>
      </c>
      <c r="BB336" s="39" t="s">
        <v>134</v>
      </c>
      <c r="BC336" s="39" t="s">
        <v>89</v>
      </c>
      <c r="BD336" s="39" t="s">
        <v>134</v>
      </c>
      <c r="BE336" s="39" t="s">
        <v>902</v>
      </c>
      <c r="BF336" s="39">
        <v>553.27</v>
      </c>
      <c r="BG336" s="39">
        <v>1</v>
      </c>
      <c r="BH336" s="39">
        <v>1781.61</v>
      </c>
      <c r="BI336" s="39">
        <v>0.1</v>
      </c>
      <c r="BJ336" s="39">
        <v>22690.799999999999</v>
      </c>
      <c r="BK336" s="39" t="s">
        <v>91</v>
      </c>
      <c r="BL336" s="39" t="s">
        <v>116</v>
      </c>
      <c r="BM336" s="39">
        <v>1</v>
      </c>
      <c r="BN336" s="39" t="s">
        <v>428</v>
      </c>
      <c r="BO336" s="39" t="s">
        <v>428</v>
      </c>
      <c r="BP336" s="39" t="s">
        <v>312</v>
      </c>
      <c r="BQ336" s="39" t="s">
        <v>117</v>
      </c>
      <c r="BR336" s="39" t="s">
        <v>134</v>
      </c>
      <c r="BS336" s="39" t="s">
        <v>312</v>
      </c>
      <c r="BT336" s="39" t="s">
        <v>312</v>
      </c>
      <c r="BU336" s="39">
        <v>2007</v>
      </c>
      <c r="BV336" s="39">
        <v>2016</v>
      </c>
      <c r="BW336" s="39" t="s">
        <v>901</v>
      </c>
      <c r="BX336" s="39" t="s">
        <v>95</v>
      </c>
      <c r="BY336" s="39" t="s">
        <v>748</v>
      </c>
      <c r="BZ336" s="39">
        <v>1</v>
      </c>
      <c r="CA336" s="39">
        <v>1</v>
      </c>
      <c r="CB336" s="39" t="s">
        <v>993</v>
      </c>
      <c r="CC336" s="39" t="s">
        <v>903</v>
      </c>
      <c r="CD336" s="39">
        <v>1</v>
      </c>
      <c r="CE336" s="39" t="s">
        <v>906</v>
      </c>
      <c r="CF336" s="39">
        <v>0</v>
      </c>
      <c r="CG336" s="39" t="s">
        <v>97</v>
      </c>
      <c r="CH336" s="39">
        <v>0</v>
      </c>
      <c r="CI336" s="39" t="s">
        <v>116</v>
      </c>
      <c r="CJ336" s="39" t="s">
        <v>98</v>
      </c>
      <c r="CK336" s="39">
        <v>35</v>
      </c>
      <c r="CL336" s="39">
        <v>0</v>
      </c>
      <c r="CM336" s="39">
        <v>0</v>
      </c>
      <c r="CN336" s="39" t="s">
        <v>99</v>
      </c>
      <c r="CO336" s="39" t="s">
        <v>943</v>
      </c>
      <c r="CP336" s="39" t="s">
        <v>100</v>
      </c>
      <c r="CQ336" s="39" t="s">
        <v>126</v>
      </c>
      <c r="CR336" s="42">
        <v>46223</v>
      </c>
      <c r="CT336" s="39" t="s">
        <v>780</v>
      </c>
    </row>
    <row r="337" spans="1:98" s="39" customFormat="1" x14ac:dyDescent="0.35">
      <c r="A337" s="38" t="s">
        <v>896</v>
      </c>
      <c r="B337" s="38" t="s">
        <v>918</v>
      </c>
      <c r="C337" s="39" t="s">
        <v>897</v>
      </c>
      <c r="D337" s="39">
        <v>2025</v>
      </c>
      <c r="E337" s="40" t="s">
        <v>898</v>
      </c>
      <c r="F337" s="38" t="s">
        <v>899</v>
      </c>
      <c r="G337" s="39" t="s">
        <v>78</v>
      </c>
      <c r="H337" s="39">
        <v>1</v>
      </c>
      <c r="I337" s="39" t="s">
        <v>290</v>
      </c>
      <c r="J337" s="39" t="s">
        <v>900</v>
      </c>
      <c r="K337" s="39">
        <v>0</v>
      </c>
      <c r="L337" s="39" t="s">
        <v>104</v>
      </c>
      <c r="M337" s="39" t="s">
        <v>380</v>
      </c>
      <c r="N337" s="39">
        <v>-3.3799999999999997E-2</v>
      </c>
      <c r="O337" s="39">
        <v>6.8999999999999999E-3</v>
      </c>
      <c r="P337" s="90">
        <f t="shared" si="130"/>
        <v>-4.8985507246376807</v>
      </c>
      <c r="Q337" s="39" t="s">
        <v>312</v>
      </c>
      <c r="R337" s="90">
        <f t="shared" si="131"/>
        <v>-4.7323999999999998E-2</v>
      </c>
      <c r="S337" s="90">
        <f t="shared" si="132"/>
        <v>-2.0275999999999995E-2</v>
      </c>
      <c r="T337" s="39">
        <v>1</v>
      </c>
      <c r="U337" s="39">
        <v>204710</v>
      </c>
      <c r="V337" s="39">
        <v>11</v>
      </c>
      <c r="W337" s="39">
        <v>1</v>
      </c>
      <c r="X337" s="39">
        <f t="shared" si="133"/>
        <v>204699</v>
      </c>
      <c r="Y337" s="90">
        <f t="shared" si="134"/>
        <v>-1.0826405650336546E-2</v>
      </c>
      <c r="Z337" s="90">
        <f t="shared" si="135"/>
        <v>2.2101242303941473E-3</v>
      </c>
      <c r="AA337" s="90">
        <f t="shared" si="136"/>
        <v>-1.0826405650336546E-2</v>
      </c>
      <c r="AB337" s="39" t="s">
        <v>81</v>
      </c>
      <c r="AC337" s="90">
        <f t="shared" ref="AC337:AC361" si="140">N337*AN337</f>
        <v>-1.7927519999999999</v>
      </c>
      <c r="AD337" s="90" cm="1">
        <f t="array" ref="AD337">_xlfn.IFS(
AND(L337="marginal_effect",M337="level"),N337*AN337/BF337,
AND(L337="marginal_effect",M337="sd (Y)"),N337*BH337*AN337/BF337,
AND(L337="marginal_effect",M337="sd (X)"),N337/AQ337*AN337/BF337,
AND(L337="semi_elasticity",M337="level"),N337*AN337,
AND(L337="semi_elasticity",M337="sd (Y)"),N337*AN337*BH337,
AND(L337="semi_elasticity",M337="sd (X)"),N337*AN337/AQ337,
AND(L337="level-log",M337="level"),N337/BF337,
AND(L337="level-log",M337="sd (X)"),N337/BF337/AQ337,
AND(L337="level-log",M337="sd (Y)"),N337/BF337*BH337,
AND(L337="elasticity",M337="level"),N337,
AND(L337="elasticity",M337="sd (X)"),N337/AQ337,
AND(L337="elasticity",M337="sd (Y)"),N337*BH337,
AND(L337="marginal_effect",M337="percent_of_mean"),N337*AN337/BF337/10)</f>
        <v>-1.7927519999999999</v>
      </c>
      <c r="AE337" s="41">
        <f t="shared" si="138"/>
        <v>1</v>
      </c>
      <c r="AF337" s="90">
        <f t="shared" ref="AF337:AF361" si="141">O337*AN337</f>
        <v>0.36597599999999997</v>
      </c>
      <c r="AG337" s="90" cm="1">
        <f t="array" ref="AG337">_xlfn.IFS(
AND(L337="marginal_effect",M337="level"),O337*AN337/BF337,
AND(L337="marginal_effect",M337="sd (Y)"),O337*BH337*AN337/BF337,
AND(L337="marginal_effect",M337="sd (X)"),O337/AQ337*AN337/BF337,
AND(L337="semi_elasticity",M337="level"),O337*AN337,
AND(L337="semi_elasticity",M337="sd (Y)"),O337*AN337*BH337,
AND(L337="semi_elasticity",M337="sd (X)"),O337*AN337/AQ337,
AND(L337="level-log",M337="level"),O337/BF337,
AND(L337="level-log",M337="sd (X)"),O337/BF337/AQ337,
AND(L337="level-log",M337="sd (Y)"),O337/BF337*BH337,
AND(L337="elasticity",M337="level"),O337,
AND(L337="elasticity",M337="sd (X)"),O337/AQ337,
AND(L337="elasticity",M337="sd (Y)"),O337*BH337,
AND(L337="marginal_effect",M337="percent_of_mean"),O337*AN337/BF337/10)</f>
        <v>0.36597599999999997</v>
      </c>
      <c r="AH337" s="41">
        <f t="shared" si="139"/>
        <v>1</v>
      </c>
      <c r="AI337" s="90">
        <f t="shared" si="129"/>
        <v>-1.7927519999999999</v>
      </c>
      <c r="AJ337" s="39">
        <v>0</v>
      </c>
      <c r="AK337" s="39">
        <f t="shared" si="137"/>
        <v>1</v>
      </c>
      <c r="AL337" s="39" t="s">
        <v>82</v>
      </c>
      <c r="AM337" s="39" t="s">
        <v>1333</v>
      </c>
      <c r="AN337" s="39">
        <v>53.04</v>
      </c>
      <c r="AO337" s="39">
        <v>1</v>
      </c>
      <c r="AP337" s="39">
        <f t="shared" si="121"/>
        <v>53.04</v>
      </c>
      <c r="AQ337" s="39">
        <v>18.27</v>
      </c>
      <c r="AR337" s="39">
        <v>12.77</v>
      </c>
      <c r="AS337" s="39">
        <v>132.4</v>
      </c>
      <c r="AT337" s="39" t="s">
        <v>107</v>
      </c>
      <c r="AU337" s="39" t="s">
        <v>109</v>
      </c>
      <c r="AV337" s="39" t="s">
        <v>133</v>
      </c>
      <c r="AW337" s="39" t="s">
        <v>85</v>
      </c>
      <c r="AX337" s="39" t="s">
        <v>86</v>
      </c>
      <c r="AY337" s="39">
        <v>0</v>
      </c>
      <c r="AZ337" s="39">
        <v>0</v>
      </c>
      <c r="BA337" s="39" t="s">
        <v>87</v>
      </c>
      <c r="BB337" s="39" t="s">
        <v>134</v>
      </c>
      <c r="BC337" s="39" t="s">
        <v>89</v>
      </c>
      <c r="BD337" s="39" t="s">
        <v>134</v>
      </c>
      <c r="BE337" s="39" t="s">
        <v>902</v>
      </c>
      <c r="BF337" s="39">
        <v>553.27</v>
      </c>
      <c r="BG337" s="39">
        <v>1</v>
      </c>
      <c r="BH337" s="39">
        <v>1781.61</v>
      </c>
      <c r="BI337" s="39">
        <v>0.1</v>
      </c>
      <c r="BJ337" s="39">
        <v>22690.799999999999</v>
      </c>
      <c r="BK337" s="39" t="s">
        <v>91</v>
      </c>
      <c r="BL337" s="39" t="s">
        <v>116</v>
      </c>
      <c r="BM337" s="39">
        <v>1</v>
      </c>
      <c r="BN337" s="39" t="s">
        <v>428</v>
      </c>
      <c r="BO337" s="39" t="s">
        <v>428</v>
      </c>
      <c r="BP337" s="39" t="s">
        <v>312</v>
      </c>
      <c r="BQ337" s="39" t="s">
        <v>117</v>
      </c>
      <c r="BR337" s="39" t="s">
        <v>134</v>
      </c>
      <c r="BS337" s="39" t="s">
        <v>312</v>
      </c>
      <c r="BT337" s="39" t="s">
        <v>312</v>
      </c>
      <c r="BU337" s="39">
        <v>2007</v>
      </c>
      <c r="BV337" s="39">
        <v>2016</v>
      </c>
      <c r="BW337" s="39" t="s">
        <v>901</v>
      </c>
      <c r="BX337" s="39" t="s">
        <v>95</v>
      </c>
      <c r="BY337" s="39" t="s">
        <v>748</v>
      </c>
      <c r="BZ337" s="39">
        <v>1</v>
      </c>
      <c r="CA337" s="39">
        <v>1</v>
      </c>
      <c r="CB337" s="39" t="s">
        <v>993</v>
      </c>
      <c r="CC337" s="39" t="s">
        <v>903</v>
      </c>
      <c r="CD337" s="39">
        <v>1</v>
      </c>
      <c r="CE337" s="39" t="s">
        <v>906</v>
      </c>
      <c r="CF337" s="39">
        <v>0</v>
      </c>
      <c r="CG337" s="39" t="s">
        <v>97</v>
      </c>
      <c r="CH337" s="39">
        <v>0</v>
      </c>
      <c r="CI337" s="39" t="s">
        <v>116</v>
      </c>
      <c r="CJ337" s="39" t="s">
        <v>98</v>
      </c>
      <c r="CK337" s="39">
        <v>35</v>
      </c>
      <c r="CL337" s="39">
        <v>0</v>
      </c>
      <c r="CM337" s="39">
        <v>0</v>
      </c>
      <c r="CN337" s="39" t="s">
        <v>99</v>
      </c>
      <c r="CO337" s="39" t="s">
        <v>943</v>
      </c>
      <c r="CP337" s="39" t="s">
        <v>100</v>
      </c>
      <c r="CQ337" s="39" t="s">
        <v>126</v>
      </c>
      <c r="CR337" s="42">
        <v>46223</v>
      </c>
      <c r="CT337" s="39" t="s">
        <v>673</v>
      </c>
    </row>
    <row r="338" spans="1:98" s="39" customFormat="1" x14ac:dyDescent="0.35">
      <c r="A338" s="38" t="s">
        <v>896</v>
      </c>
      <c r="B338" s="38" t="s">
        <v>919</v>
      </c>
      <c r="C338" s="39" t="s">
        <v>897</v>
      </c>
      <c r="D338" s="39">
        <v>2025</v>
      </c>
      <c r="E338" s="40" t="s">
        <v>898</v>
      </c>
      <c r="F338" s="38" t="s">
        <v>899</v>
      </c>
      <c r="G338" s="39" t="s">
        <v>78</v>
      </c>
      <c r="H338" s="39">
        <v>1</v>
      </c>
      <c r="I338" s="39" t="s">
        <v>290</v>
      </c>
      <c r="J338" s="39" t="s">
        <v>900</v>
      </c>
      <c r="K338" s="39">
        <v>0</v>
      </c>
      <c r="L338" s="39" t="s">
        <v>104</v>
      </c>
      <c r="M338" s="39" t="s">
        <v>380</v>
      </c>
      <c r="N338" s="39">
        <v>-4.8300000000000003E-2</v>
      </c>
      <c r="O338" s="39">
        <v>1.12E-2</v>
      </c>
      <c r="P338" s="90">
        <f t="shared" si="130"/>
        <v>-4.3125</v>
      </c>
      <c r="Q338" s="39" t="s">
        <v>312</v>
      </c>
      <c r="R338" s="90">
        <f t="shared" si="131"/>
        <v>-7.0252000000000009E-2</v>
      </c>
      <c r="S338" s="90">
        <f t="shared" si="132"/>
        <v>-2.6348000000000003E-2</v>
      </c>
      <c r="T338" s="39">
        <v>1</v>
      </c>
      <c r="U338" s="39">
        <v>131794</v>
      </c>
      <c r="V338" s="39">
        <v>11</v>
      </c>
      <c r="W338" s="39">
        <v>1</v>
      </c>
      <c r="X338" s="39">
        <f t="shared" si="133"/>
        <v>131783</v>
      </c>
      <c r="Y338" s="90">
        <f t="shared" si="134"/>
        <v>-1.18786960753046E-2</v>
      </c>
      <c r="Z338" s="90">
        <f t="shared" si="135"/>
        <v>2.7544802493459945E-3</v>
      </c>
      <c r="AA338" s="90">
        <f t="shared" si="136"/>
        <v>-1.18786960753046E-2</v>
      </c>
      <c r="AB338" s="39" t="s">
        <v>81</v>
      </c>
      <c r="AC338" s="90">
        <f t="shared" si="140"/>
        <v>-2.5618319999999999</v>
      </c>
      <c r="AD338" s="90" cm="1">
        <f t="array" ref="AD338">_xlfn.IFS(
AND(L338="marginal_effect",M338="level"),N338*AN338/BF338,
AND(L338="marginal_effect",M338="sd (Y)"),N338*BH338*AN338/BF338,
AND(L338="marginal_effect",M338="sd (X)"),N338/AQ338*AN338/BF338,
AND(L338="semi_elasticity",M338="level"),N338*AN338,
AND(L338="semi_elasticity",M338="sd (Y)"),N338*AN338*BH338,
AND(L338="semi_elasticity",M338="sd (X)"),N338*AN338/AQ338,
AND(L338="level-log",M338="level"),N338/BF338,
AND(L338="level-log",M338="sd (X)"),N338/BF338/AQ338,
AND(L338="level-log",M338="sd (Y)"),N338/BF338*BH338,
AND(L338="elasticity",M338="level"),N338,
AND(L338="elasticity",M338="sd (X)"),N338/AQ338,
AND(L338="elasticity",M338="sd (Y)"),N338*BH338,
AND(L338="marginal_effect",M338="percent_of_mean"),N338*AN338/BF338/10)</f>
        <v>-2.5618319999999999</v>
      </c>
      <c r="AE338" s="41">
        <f t="shared" si="138"/>
        <v>1</v>
      </c>
      <c r="AF338" s="90">
        <f t="shared" si="141"/>
        <v>0.59404800000000002</v>
      </c>
      <c r="AG338" s="90" cm="1">
        <f t="array" ref="AG338">_xlfn.IFS(
AND(L338="marginal_effect",M338="level"),O338*AN338/BF338,
AND(L338="marginal_effect",M338="sd (Y)"),O338*BH338*AN338/BF338,
AND(L338="marginal_effect",M338="sd (X)"),O338/AQ338*AN338/BF338,
AND(L338="semi_elasticity",M338="level"),O338*AN338,
AND(L338="semi_elasticity",M338="sd (Y)"),O338*AN338*BH338,
AND(L338="semi_elasticity",M338="sd (X)"),O338*AN338/AQ338,
AND(L338="level-log",M338="level"),O338/BF338,
AND(L338="level-log",M338="sd (X)"),O338/BF338/AQ338,
AND(L338="level-log",M338="sd (Y)"),O338/BF338*BH338,
AND(L338="elasticity",M338="level"),O338,
AND(L338="elasticity",M338="sd (X)"),O338/AQ338,
AND(L338="elasticity",M338="sd (Y)"),O338*BH338,
AND(L338="marginal_effect",M338="percent_of_mean"),O338*AN338/BF338/10)</f>
        <v>0.59404800000000002</v>
      </c>
      <c r="AH338" s="41">
        <f t="shared" si="139"/>
        <v>1</v>
      </c>
      <c r="AI338" s="90">
        <f t="shared" si="129"/>
        <v>-2.5618319999999999</v>
      </c>
      <c r="AJ338" s="39">
        <v>0</v>
      </c>
      <c r="AK338" s="39">
        <f t="shared" si="137"/>
        <v>1</v>
      </c>
      <c r="AL338" s="39" t="s">
        <v>82</v>
      </c>
      <c r="AM338" s="39" t="s">
        <v>1333</v>
      </c>
      <c r="AN338" s="39">
        <v>53.04</v>
      </c>
      <c r="AO338" s="39">
        <v>1</v>
      </c>
      <c r="AP338" s="39">
        <f t="shared" si="121"/>
        <v>53.04</v>
      </c>
      <c r="AQ338" s="39">
        <v>18.27</v>
      </c>
      <c r="AR338" s="39">
        <v>12.77</v>
      </c>
      <c r="AS338" s="39">
        <v>132.4</v>
      </c>
      <c r="AT338" s="39" t="s">
        <v>107</v>
      </c>
      <c r="AU338" s="39" t="s">
        <v>109</v>
      </c>
      <c r="AV338" s="39" t="s">
        <v>133</v>
      </c>
      <c r="AW338" s="39" t="s">
        <v>85</v>
      </c>
      <c r="AX338" s="39" t="s">
        <v>86</v>
      </c>
      <c r="AY338" s="39">
        <v>0</v>
      </c>
      <c r="AZ338" s="39">
        <v>0</v>
      </c>
      <c r="BA338" s="39" t="s">
        <v>87</v>
      </c>
      <c r="BB338" s="39" t="s">
        <v>134</v>
      </c>
      <c r="BC338" s="39" t="s">
        <v>89</v>
      </c>
      <c r="BD338" s="39" t="s">
        <v>134</v>
      </c>
      <c r="BE338" s="39" t="s">
        <v>902</v>
      </c>
      <c r="BF338" s="39">
        <v>553.27</v>
      </c>
      <c r="BG338" s="39">
        <v>1</v>
      </c>
      <c r="BH338" s="39">
        <v>1781.61</v>
      </c>
      <c r="BI338" s="39">
        <v>0.1</v>
      </c>
      <c r="BJ338" s="39">
        <v>22690.799999999999</v>
      </c>
      <c r="BK338" s="39" t="s">
        <v>91</v>
      </c>
      <c r="BL338" s="39" t="s">
        <v>116</v>
      </c>
      <c r="BM338" s="39">
        <v>1</v>
      </c>
      <c r="BN338" s="39" t="s">
        <v>428</v>
      </c>
      <c r="BO338" s="39" t="s">
        <v>428</v>
      </c>
      <c r="BP338" s="39" t="s">
        <v>312</v>
      </c>
      <c r="BQ338" s="39" t="s">
        <v>117</v>
      </c>
      <c r="BR338" s="39" t="s">
        <v>134</v>
      </c>
      <c r="BS338" s="39" t="s">
        <v>312</v>
      </c>
      <c r="BT338" s="39" t="s">
        <v>312</v>
      </c>
      <c r="BU338" s="39">
        <v>2007</v>
      </c>
      <c r="BV338" s="39">
        <v>2016</v>
      </c>
      <c r="BW338" s="39" t="s">
        <v>901</v>
      </c>
      <c r="BX338" s="39" t="s">
        <v>95</v>
      </c>
      <c r="BY338" s="39" t="s">
        <v>748</v>
      </c>
      <c r="BZ338" s="39">
        <v>1</v>
      </c>
      <c r="CA338" s="39">
        <v>1</v>
      </c>
      <c r="CB338" s="39" t="s">
        <v>993</v>
      </c>
      <c r="CC338" s="39" t="s">
        <v>903</v>
      </c>
      <c r="CD338" s="39">
        <v>1</v>
      </c>
      <c r="CE338" s="39" t="s">
        <v>906</v>
      </c>
      <c r="CF338" s="39">
        <v>0</v>
      </c>
      <c r="CG338" s="39" t="s">
        <v>97</v>
      </c>
      <c r="CH338" s="39">
        <v>0</v>
      </c>
      <c r="CI338" s="39" t="s">
        <v>116</v>
      </c>
      <c r="CJ338" s="39" t="s">
        <v>98</v>
      </c>
      <c r="CK338" s="39">
        <v>35</v>
      </c>
      <c r="CL338" s="39">
        <v>0</v>
      </c>
      <c r="CM338" s="39">
        <v>0</v>
      </c>
      <c r="CN338" s="39" t="s">
        <v>99</v>
      </c>
      <c r="CO338" s="39" t="s">
        <v>943</v>
      </c>
      <c r="CP338" s="39" t="s">
        <v>100</v>
      </c>
      <c r="CQ338" s="39" t="s">
        <v>126</v>
      </c>
      <c r="CR338" s="42">
        <v>46223</v>
      </c>
      <c r="CT338" s="39" t="s">
        <v>782</v>
      </c>
    </row>
    <row r="339" spans="1:98" s="39" customFormat="1" x14ac:dyDescent="0.35">
      <c r="A339" s="38" t="s">
        <v>896</v>
      </c>
      <c r="B339" s="38" t="s">
        <v>920</v>
      </c>
      <c r="C339" s="39" t="s">
        <v>897</v>
      </c>
      <c r="D339" s="39">
        <v>2025</v>
      </c>
      <c r="E339" s="40" t="s">
        <v>898</v>
      </c>
      <c r="F339" s="38" t="s">
        <v>899</v>
      </c>
      <c r="G339" s="39" t="s">
        <v>78</v>
      </c>
      <c r="H339" s="39">
        <v>1</v>
      </c>
      <c r="I339" s="39" t="s">
        <v>290</v>
      </c>
      <c r="J339" s="39" t="s">
        <v>900</v>
      </c>
      <c r="K339" s="39">
        <v>0</v>
      </c>
      <c r="L339" s="39" t="s">
        <v>104</v>
      </c>
      <c r="M339" s="39" t="s">
        <v>380</v>
      </c>
      <c r="N339" s="39">
        <v>-4.6199999999999998E-2</v>
      </c>
      <c r="O339" s="39">
        <v>1.5800000000000002E-2</v>
      </c>
      <c r="P339" s="90">
        <f t="shared" si="130"/>
        <v>-2.924050632911392</v>
      </c>
      <c r="Q339" s="39" t="s">
        <v>312</v>
      </c>
      <c r="R339" s="90">
        <f t="shared" si="131"/>
        <v>-7.7168E-2</v>
      </c>
      <c r="S339" s="90">
        <f t="shared" si="132"/>
        <v>-1.5231999999999996E-2</v>
      </c>
      <c r="T339" s="39">
        <v>1</v>
      </c>
      <c r="U339" s="39">
        <v>172755</v>
      </c>
      <c r="V339" s="39">
        <v>11</v>
      </c>
      <c r="W339" s="39">
        <v>1</v>
      </c>
      <c r="X339" s="39">
        <f t="shared" si="133"/>
        <v>172744</v>
      </c>
      <c r="Y339" s="90">
        <f t="shared" si="134"/>
        <v>-7.0351385549406401E-3</v>
      </c>
      <c r="Z339" s="90">
        <f t="shared" si="135"/>
        <v>2.4059564754991803E-3</v>
      </c>
      <c r="AA339" s="90">
        <f t="shared" si="136"/>
        <v>-7.0351385549406401E-3</v>
      </c>
      <c r="AB339" s="39" t="s">
        <v>81</v>
      </c>
      <c r="AC339" s="90">
        <f t="shared" si="140"/>
        <v>-2.4504479999999997</v>
      </c>
      <c r="AD339" s="90" cm="1">
        <f t="array" ref="AD339">_xlfn.IFS(
AND(L339="marginal_effect",M339="level"),N339*AN339/BF339,
AND(L339="marginal_effect",M339="sd (Y)"),N339*BH339*AN339/BF339,
AND(L339="marginal_effect",M339="sd (X)"),N339/AQ339*AN339/BF339,
AND(L339="semi_elasticity",M339="level"),N339*AN339,
AND(L339="semi_elasticity",M339="sd (Y)"),N339*AN339*BH339,
AND(L339="semi_elasticity",M339="sd (X)"),N339*AN339/AQ339,
AND(L339="level-log",M339="level"),N339/BF339,
AND(L339="level-log",M339="sd (X)"),N339/BF339/AQ339,
AND(L339="level-log",M339="sd (Y)"),N339/BF339*BH339,
AND(L339="elasticity",M339="level"),N339,
AND(L339="elasticity",M339="sd (X)"),N339/AQ339,
AND(L339="elasticity",M339="sd (Y)"),N339*BH339,
AND(L339="marginal_effect",M339="percent_of_mean"),N339*AN339/BF339/10)</f>
        <v>-2.4504479999999997</v>
      </c>
      <c r="AE339" s="41">
        <f t="shared" si="138"/>
        <v>1</v>
      </c>
      <c r="AF339" s="90">
        <f t="shared" si="141"/>
        <v>0.83803200000000011</v>
      </c>
      <c r="AG339" s="90" cm="1">
        <f t="array" ref="AG339">_xlfn.IFS(
AND(L339="marginal_effect",M339="level"),O339*AN339/BF339,
AND(L339="marginal_effect",M339="sd (Y)"),O339*BH339*AN339/BF339,
AND(L339="marginal_effect",M339="sd (X)"),O339/AQ339*AN339/BF339,
AND(L339="semi_elasticity",M339="level"),O339*AN339,
AND(L339="semi_elasticity",M339="sd (Y)"),O339*AN339*BH339,
AND(L339="semi_elasticity",M339="sd (X)"),O339*AN339/AQ339,
AND(L339="level-log",M339="level"),O339/BF339,
AND(L339="level-log",M339="sd (X)"),O339/BF339/AQ339,
AND(L339="level-log",M339="sd (Y)"),O339/BF339*BH339,
AND(L339="elasticity",M339="level"),O339,
AND(L339="elasticity",M339="sd (X)"),O339/AQ339,
AND(L339="elasticity",M339="sd (Y)"),O339*BH339,
AND(L339="marginal_effect",M339="percent_of_mean"),O339*AN339/BF339/10)</f>
        <v>0.83803200000000011</v>
      </c>
      <c r="AH339" s="41">
        <f t="shared" si="139"/>
        <v>1</v>
      </c>
      <c r="AI339" s="90">
        <f t="shared" si="129"/>
        <v>-2.4504479999999997</v>
      </c>
      <c r="AJ339" s="39">
        <v>0</v>
      </c>
      <c r="AK339" s="39">
        <f t="shared" si="137"/>
        <v>1</v>
      </c>
      <c r="AL339" s="39" t="s">
        <v>82</v>
      </c>
      <c r="AM339" s="39" t="s">
        <v>1333</v>
      </c>
      <c r="AN339" s="39">
        <v>53.04</v>
      </c>
      <c r="AO339" s="39">
        <v>1</v>
      </c>
      <c r="AP339" s="39">
        <f t="shared" si="121"/>
        <v>53.04</v>
      </c>
      <c r="AQ339" s="39">
        <v>18.27</v>
      </c>
      <c r="AR339" s="39">
        <v>12.77</v>
      </c>
      <c r="AS339" s="39">
        <v>132.4</v>
      </c>
      <c r="AT339" s="39" t="s">
        <v>107</v>
      </c>
      <c r="AU339" s="39" t="s">
        <v>109</v>
      </c>
      <c r="AV339" s="39" t="s">
        <v>133</v>
      </c>
      <c r="AW339" s="39" t="s">
        <v>85</v>
      </c>
      <c r="AX339" s="39" t="s">
        <v>86</v>
      </c>
      <c r="AY339" s="39">
        <v>0</v>
      </c>
      <c r="AZ339" s="39">
        <v>0</v>
      </c>
      <c r="BA339" s="39" t="s">
        <v>87</v>
      </c>
      <c r="BB339" s="39" t="s">
        <v>134</v>
      </c>
      <c r="BC339" s="39" t="s">
        <v>89</v>
      </c>
      <c r="BD339" s="39" t="s">
        <v>134</v>
      </c>
      <c r="BE339" s="39" t="s">
        <v>902</v>
      </c>
      <c r="BF339" s="39">
        <v>553.27</v>
      </c>
      <c r="BG339" s="39">
        <v>1</v>
      </c>
      <c r="BH339" s="39">
        <v>1781.61</v>
      </c>
      <c r="BI339" s="39">
        <v>0.1</v>
      </c>
      <c r="BJ339" s="39">
        <v>22690.799999999999</v>
      </c>
      <c r="BK339" s="39" t="s">
        <v>91</v>
      </c>
      <c r="BL339" s="39" t="s">
        <v>116</v>
      </c>
      <c r="BM339" s="39">
        <v>1</v>
      </c>
      <c r="BN339" s="39" t="s">
        <v>428</v>
      </c>
      <c r="BO339" s="39" t="s">
        <v>428</v>
      </c>
      <c r="BP339" s="39" t="s">
        <v>312</v>
      </c>
      <c r="BQ339" s="39" t="s">
        <v>117</v>
      </c>
      <c r="BR339" s="39" t="s">
        <v>134</v>
      </c>
      <c r="BS339" s="39" t="s">
        <v>312</v>
      </c>
      <c r="BT339" s="39" t="s">
        <v>312</v>
      </c>
      <c r="BU339" s="39">
        <v>2007</v>
      </c>
      <c r="BV339" s="39">
        <v>2016</v>
      </c>
      <c r="BW339" s="39" t="s">
        <v>901</v>
      </c>
      <c r="BX339" s="39" t="s">
        <v>95</v>
      </c>
      <c r="BY339" s="39" t="s">
        <v>748</v>
      </c>
      <c r="BZ339" s="39">
        <v>1</v>
      </c>
      <c r="CA339" s="39">
        <v>1</v>
      </c>
      <c r="CB339" s="39" t="s">
        <v>993</v>
      </c>
      <c r="CC339" s="39" t="s">
        <v>903</v>
      </c>
      <c r="CD339" s="39">
        <v>1</v>
      </c>
      <c r="CE339" s="39" t="s">
        <v>906</v>
      </c>
      <c r="CF339" s="39">
        <v>0</v>
      </c>
      <c r="CG339" s="39" t="s">
        <v>97</v>
      </c>
      <c r="CH339" s="39">
        <v>0</v>
      </c>
      <c r="CI339" s="39" t="s">
        <v>116</v>
      </c>
      <c r="CJ339" s="39" t="s">
        <v>98</v>
      </c>
      <c r="CK339" s="39">
        <v>35</v>
      </c>
      <c r="CL339" s="39">
        <v>0</v>
      </c>
      <c r="CM339" s="39">
        <v>0</v>
      </c>
      <c r="CN339" s="39" t="s">
        <v>99</v>
      </c>
      <c r="CO339" s="39" t="s">
        <v>943</v>
      </c>
      <c r="CP339" s="39" t="s">
        <v>100</v>
      </c>
      <c r="CQ339" s="39" t="s">
        <v>126</v>
      </c>
      <c r="CR339" s="42">
        <v>46223</v>
      </c>
      <c r="CT339" s="39" t="s">
        <v>783</v>
      </c>
    </row>
    <row r="340" spans="1:98" s="39" customFormat="1" x14ac:dyDescent="0.35">
      <c r="A340" s="38" t="s">
        <v>896</v>
      </c>
      <c r="B340" s="38" t="s">
        <v>921</v>
      </c>
      <c r="C340" s="39" t="s">
        <v>897</v>
      </c>
      <c r="D340" s="39">
        <v>2025</v>
      </c>
      <c r="E340" s="40" t="s">
        <v>898</v>
      </c>
      <c r="F340" s="38" t="s">
        <v>899</v>
      </c>
      <c r="G340" s="39" t="s">
        <v>78</v>
      </c>
      <c r="H340" s="39">
        <v>1</v>
      </c>
      <c r="I340" s="39" t="s">
        <v>290</v>
      </c>
      <c r="J340" s="39" t="s">
        <v>900</v>
      </c>
      <c r="K340" s="39">
        <v>0</v>
      </c>
      <c r="L340" s="39" t="s">
        <v>104</v>
      </c>
      <c r="M340" s="39" t="s">
        <v>380</v>
      </c>
      <c r="N340" s="39">
        <v>-3.04E-2</v>
      </c>
      <c r="O340" s="39">
        <v>7.1999999999999998E-3</v>
      </c>
      <c r="P340" s="90">
        <f t="shared" si="130"/>
        <v>-4.2222222222222223</v>
      </c>
      <c r="Q340" s="39" t="s">
        <v>312</v>
      </c>
      <c r="R340" s="90">
        <f t="shared" si="131"/>
        <v>-4.4511999999999996E-2</v>
      </c>
      <c r="S340" s="90">
        <f t="shared" si="132"/>
        <v>-1.6288E-2</v>
      </c>
      <c r="T340" s="39">
        <v>1</v>
      </c>
      <c r="U340" s="39">
        <v>194612</v>
      </c>
      <c r="V340" s="39">
        <v>11</v>
      </c>
      <c r="W340" s="39">
        <v>1</v>
      </c>
      <c r="X340" s="39">
        <f t="shared" si="133"/>
        <v>194601</v>
      </c>
      <c r="Y340" s="90">
        <f t="shared" si="134"/>
        <v>-9.5708092722776219E-3</v>
      </c>
      <c r="Z340" s="90">
        <f t="shared" si="135"/>
        <v>2.2667706171183842E-3</v>
      </c>
      <c r="AA340" s="90">
        <f t="shared" si="136"/>
        <v>-9.5708092722776219E-3</v>
      </c>
      <c r="AB340" s="39" t="s">
        <v>81</v>
      </c>
      <c r="AC340" s="90">
        <f t="shared" si="140"/>
        <v>-1.6124160000000001</v>
      </c>
      <c r="AD340" s="90" cm="1">
        <f t="array" ref="AD340">_xlfn.IFS(
AND(L340="marginal_effect",M340="level"),N340*AN340/BF340,
AND(L340="marginal_effect",M340="sd (Y)"),N340*BH340*AN340/BF340,
AND(L340="marginal_effect",M340="sd (X)"),N340/AQ340*AN340/BF340,
AND(L340="semi_elasticity",M340="level"),N340*AN340,
AND(L340="semi_elasticity",M340="sd (Y)"),N340*AN340*BH340,
AND(L340="semi_elasticity",M340="sd (X)"),N340*AN340/AQ340,
AND(L340="level-log",M340="level"),N340/BF340,
AND(L340="level-log",M340="sd (X)"),N340/BF340/AQ340,
AND(L340="level-log",M340="sd (Y)"),N340/BF340*BH340,
AND(L340="elasticity",M340="level"),N340,
AND(L340="elasticity",M340="sd (X)"),N340/AQ340,
AND(L340="elasticity",M340="sd (Y)"),N340*BH340,
AND(L340="marginal_effect",M340="percent_of_mean"),N340*AN340/BF340/10)</f>
        <v>-1.6124160000000001</v>
      </c>
      <c r="AE340" s="41">
        <f t="shared" si="138"/>
        <v>1</v>
      </c>
      <c r="AF340" s="90">
        <f t="shared" si="141"/>
        <v>0.38188800000000001</v>
      </c>
      <c r="AG340" s="90" cm="1">
        <f t="array" ref="AG340">_xlfn.IFS(
AND(L340="marginal_effect",M340="level"),O340*AN340/BF340,
AND(L340="marginal_effect",M340="sd (Y)"),O340*BH340*AN340/BF340,
AND(L340="marginal_effect",M340="sd (X)"),O340/AQ340*AN340/BF340,
AND(L340="semi_elasticity",M340="level"),O340*AN340,
AND(L340="semi_elasticity",M340="sd (Y)"),O340*AN340*BH340,
AND(L340="semi_elasticity",M340="sd (X)"),O340*AN340/AQ340,
AND(L340="level-log",M340="level"),O340/BF340,
AND(L340="level-log",M340="sd (X)"),O340/BF340/AQ340,
AND(L340="level-log",M340="sd (Y)"),O340/BF340*BH340,
AND(L340="elasticity",M340="level"),O340,
AND(L340="elasticity",M340="sd (X)"),O340/AQ340,
AND(L340="elasticity",M340="sd (Y)"),O340*BH340,
AND(L340="marginal_effect",M340="percent_of_mean"),O340*AN340/BF340/10)</f>
        <v>0.38188800000000001</v>
      </c>
      <c r="AH340" s="41">
        <f t="shared" si="139"/>
        <v>1</v>
      </c>
      <c r="AI340" s="90">
        <f t="shared" si="129"/>
        <v>-1.6124160000000001</v>
      </c>
      <c r="AJ340" s="39">
        <v>0</v>
      </c>
      <c r="AK340" s="39">
        <f t="shared" si="137"/>
        <v>1</v>
      </c>
      <c r="AL340" s="39" t="s">
        <v>82</v>
      </c>
      <c r="AM340" s="39" t="s">
        <v>1333</v>
      </c>
      <c r="AN340" s="39">
        <v>53.04</v>
      </c>
      <c r="AO340" s="39">
        <v>1</v>
      </c>
      <c r="AP340" s="39">
        <f t="shared" si="121"/>
        <v>53.04</v>
      </c>
      <c r="AQ340" s="39">
        <v>18.27</v>
      </c>
      <c r="AR340" s="39">
        <v>12.77</v>
      </c>
      <c r="AS340" s="39">
        <v>132.4</v>
      </c>
      <c r="AT340" s="39" t="s">
        <v>107</v>
      </c>
      <c r="AU340" s="39" t="s">
        <v>109</v>
      </c>
      <c r="AV340" s="39" t="s">
        <v>133</v>
      </c>
      <c r="AW340" s="39" t="s">
        <v>85</v>
      </c>
      <c r="AX340" s="39" t="s">
        <v>86</v>
      </c>
      <c r="AY340" s="39">
        <v>0</v>
      </c>
      <c r="AZ340" s="39">
        <v>0</v>
      </c>
      <c r="BA340" s="39" t="s">
        <v>87</v>
      </c>
      <c r="BB340" s="39" t="s">
        <v>134</v>
      </c>
      <c r="BC340" s="39" t="s">
        <v>89</v>
      </c>
      <c r="BD340" s="39" t="s">
        <v>134</v>
      </c>
      <c r="BE340" s="39" t="s">
        <v>902</v>
      </c>
      <c r="BF340" s="39">
        <v>553.27</v>
      </c>
      <c r="BG340" s="39">
        <v>1</v>
      </c>
      <c r="BH340" s="39">
        <v>1781.61</v>
      </c>
      <c r="BI340" s="39">
        <v>0.1</v>
      </c>
      <c r="BJ340" s="39">
        <v>22690.799999999999</v>
      </c>
      <c r="BK340" s="39" t="s">
        <v>91</v>
      </c>
      <c r="BL340" s="39" t="s">
        <v>116</v>
      </c>
      <c r="BM340" s="39">
        <v>1</v>
      </c>
      <c r="BN340" s="39" t="s">
        <v>428</v>
      </c>
      <c r="BO340" s="39" t="s">
        <v>428</v>
      </c>
      <c r="BP340" s="39" t="s">
        <v>312</v>
      </c>
      <c r="BQ340" s="39" t="s">
        <v>117</v>
      </c>
      <c r="BR340" s="39" t="s">
        <v>134</v>
      </c>
      <c r="BS340" s="39" t="s">
        <v>312</v>
      </c>
      <c r="BT340" s="39" t="s">
        <v>312</v>
      </c>
      <c r="BU340" s="39">
        <v>2007</v>
      </c>
      <c r="BV340" s="39">
        <v>2016</v>
      </c>
      <c r="BW340" s="39" t="s">
        <v>901</v>
      </c>
      <c r="BX340" s="39" t="s">
        <v>95</v>
      </c>
      <c r="BY340" s="39" t="s">
        <v>748</v>
      </c>
      <c r="BZ340" s="39">
        <v>1</v>
      </c>
      <c r="CA340" s="39">
        <v>1</v>
      </c>
      <c r="CB340" s="39" t="s">
        <v>993</v>
      </c>
      <c r="CC340" s="39" t="s">
        <v>903</v>
      </c>
      <c r="CD340" s="39">
        <v>1</v>
      </c>
      <c r="CE340" s="39" t="s">
        <v>906</v>
      </c>
      <c r="CF340" s="39">
        <v>0</v>
      </c>
      <c r="CG340" s="39" t="s">
        <v>97</v>
      </c>
      <c r="CH340" s="39">
        <v>0</v>
      </c>
      <c r="CI340" s="39" t="s">
        <v>116</v>
      </c>
      <c r="CJ340" s="39" t="s">
        <v>98</v>
      </c>
      <c r="CK340" s="39">
        <v>35</v>
      </c>
      <c r="CL340" s="39">
        <v>0</v>
      </c>
      <c r="CM340" s="39">
        <v>0</v>
      </c>
      <c r="CN340" s="39" t="s">
        <v>99</v>
      </c>
      <c r="CO340" s="39" t="s">
        <v>943</v>
      </c>
      <c r="CP340" s="39" t="s">
        <v>100</v>
      </c>
      <c r="CQ340" s="39" t="s">
        <v>126</v>
      </c>
      <c r="CR340" s="42">
        <v>46223</v>
      </c>
      <c r="CT340" s="39" t="s">
        <v>784</v>
      </c>
    </row>
    <row r="341" spans="1:98" s="39" customFormat="1" x14ac:dyDescent="0.35">
      <c r="A341" s="38" t="s">
        <v>896</v>
      </c>
      <c r="B341" s="38" t="s">
        <v>922</v>
      </c>
      <c r="C341" s="39" t="s">
        <v>897</v>
      </c>
      <c r="D341" s="39">
        <v>2025</v>
      </c>
      <c r="E341" s="40" t="s">
        <v>898</v>
      </c>
      <c r="F341" s="38" t="s">
        <v>899</v>
      </c>
      <c r="G341" s="39" t="s">
        <v>78</v>
      </c>
      <c r="H341" s="39">
        <v>1</v>
      </c>
      <c r="I341" s="39" t="s">
        <v>290</v>
      </c>
      <c r="J341" s="39" t="s">
        <v>900</v>
      </c>
      <c r="K341" s="39">
        <v>0</v>
      </c>
      <c r="L341" s="39" t="s">
        <v>104</v>
      </c>
      <c r="M341" s="39" t="s">
        <v>380</v>
      </c>
      <c r="N341" s="39">
        <v>-3.7199999999999997E-2</v>
      </c>
      <c r="O341" s="39">
        <v>9.1000000000000004E-3</v>
      </c>
      <c r="P341" s="90">
        <f t="shared" si="130"/>
        <v>-4.0879120879120876</v>
      </c>
      <c r="Q341" s="39" t="s">
        <v>312</v>
      </c>
      <c r="R341" s="90">
        <f t="shared" si="131"/>
        <v>-5.5036000000000002E-2</v>
      </c>
      <c r="S341" s="90">
        <f t="shared" si="132"/>
        <v>-1.9363999999999996E-2</v>
      </c>
      <c r="T341" s="39">
        <v>1</v>
      </c>
      <c r="U341" s="39">
        <v>109935</v>
      </c>
      <c r="V341" s="39">
        <v>11</v>
      </c>
      <c r="W341" s="39">
        <v>1</v>
      </c>
      <c r="X341" s="39">
        <f t="shared" si="133"/>
        <v>109924</v>
      </c>
      <c r="Y341" s="90">
        <f t="shared" si="134"/>
        <v>-1.2328841714636841E-2</v>
      </c>
      <c r="Z341" s="90">
        <f t="shared" si="135"/>
        <v>3.0159263334192275E-3</v>
      </c>
      <c r="AA341" s="90">
        <f t="shared" si="136"/>
        <v>-1.2328841714636841E-2</v>
      </c>
      <c r="AB341" s="39" t="s">
        <v>81</v>
      </c>
      <c r="AC341" s="90">
        <f t="shared" si="140"/>
        <v>-1.9730879999999997</v>
      </c>
      <c r="AD341" s="90" cm="1">
        <f t="array" ref="AD341">_xlfn.IFS(
AND(L341="marginal_effect",M341="level"),N341*AN341/BF341,
AND(L341="marginal_effect",M341="sd (Y)"),N341*BH341*AN341/BF341,
AND(L341="marginal_effect",M341="sd (X)"),N341/AQ341*AN341/BF341,
AND(L341="semi_elasticity",M341="level"),N341*AN341,
AND(L341="semi_elasticity",M341="sd (Y)"),N341*AN341*BH341,
AND(L341="semi_elasticity",M341="sd (X)"),N341*AN341/AQ341,
AND(L341="level-log",M341="level"),N341/BF341,
AND(L341="level-log",M341="sd (X)"),N341/BF341/AQ341,
AND(L341="level-log",M341="sd (Y)"),N341/BF341*BH341,
AND(L341="elasticity",M341="level"),N341,
AND(L341="elasticity",M341="sd (X)"),N341/AQ341,
AND(L341="elasticity",M341="sd (Y)"),N341*BH341,
AND(L341="marginal_effect",M341="percent_of_mean"),N341*AN341/BF341/10)</f>
        <v>-1.9730879999999997</v>
      </c>
      <c r="AE341" s="41">
        <f t="shared" si="138"/>
        <v>1</v>
      </c>
      <c r="AF341" s="90">
        <f t="shared" si="141"/>
        <v>0.48266400000000004</v>
      </c>
      <c r="AG341" s="90" cm="1">
        <f t="array" ref="AG341">_xlfn.IFS(
AND(L341="marginal_effect",M341="level"),O341*AN341/BF341,
AND(L341="marginal_effect",M341="sd (Y)"),O341*BH341*AN341/BF341,
AND(L341="marginal_effect",M341="sd (X)"),O341/AQ341*AN341/BF341,
AND(L341="semi_elasticity",M341="level"),O341*AN341,
AND(L341="semi_elasticity",M341="sd (Y)"),O341*AN341*BH341,
AND(L341="semi_elasticity",M341="sd (X)"),O341*AN341/AQ341,
AND(L341="level-log",M341="level"),O341/BF341,
AND(L341="level-log",M341="sd (X)"),O341/BF341/AQ341,
AND(L341="level-log",M341="sd (Y)"),O341/BF341*BH341,
AND(L341="elasticity",M341="level"),O341,
AND(L341="elasticity",M341="sd (X)"),O341/AQ341,
AND(L341="elasticity",M341="sd (Y)"),O341*BH341,
AND(L341="marginal_effect",M341="percent_of_mean"),O341*AN341/BF341/10)</f>
        <v>0.48266400000000004</v>
      </c>
      <c r="AH341" s="41">
        <f t="shared" si="139"/>
        <v>1</v>
      </c>
      <c r="AI341" s="90">
        <f t="shared" si="129"/>
        <v>-1.9730879999999997</v>
      </c>
      <c r="AJ341" s="39">
        <v>0</v>
      </c>
      <c r="AK341" s="39">
        <f t="shared" si="137"/>
        <v>1</v>
      </c>
      <c r="AL341" s="39" t="s">
        <v>82</v>
      </c>
      <c r="AM341" s="39" t="s">
        <v>1333</v>
      </c>
      <c r="AN341" s="39">
        <v>53.04</v>
      </c>
      <c r="AO341" s="39">
        <v>1</v>
      </c>
      <c r="AP341" s="39">
        <f t="shared" si="121"/>
        <v>53.04</v>
      </c>
      <c r="AQ341" s="39">
        <v>18.27</v>
      </c>
      <c r="AR341" s="39">
        <v>12.77</v>
      </c>
      <c r="AS341" s="39">
        <v>132.4</v>
      </c>
      <c r="AT341" s="39" t="s">
        <v>107</v>
      </c>
      <c r="AU341" s="39" t="s">
        <v>109</v>
      </c>
      <c r="AV341" s="39" t="s">
        <v>133</v>
      </c>
      <c r="AW341" s="39" t="s">
        <v>85</v>
      </c>
      <c r="AX341" s="39" t="s">
        <v>86</v>
      </c>
      <c r="AY341" s="39">
        <v>0</v>
      </c>
      <c r="AZ341" s="39">
        <v>0</v>
      </c>
      <c r="BA341" s="39" t="s">
        <v>87</v>
      </c>
      <c r="BB341" s="39" t="s">
        <v>134</v>
      </c>
      <c r="BC341" s="39" t="s">
        <v>89</v>
      </c>
      <c r="BD341" s="39" t="s">
        <v>134</v>
      </c>
      <c r="BE341" s="39" t="s">
        <v>902</v>
      </c>
      <c r="BF341" s="39">
        <v>553.27</v>
      </c>
      <c r="BG341" s="39">
        <v>1</v>
      </c>
      <c r="BH341" s="39">
        <v>1781.61</v>
      </c>
      <c r="BI341" s="39">
        <v>0.1</v>
      </c>
      <c r="BJ341" s="39">
        <v>22690.799999999999</v>
      </c>
      <c r="BK341" s="39" t="s">
        <v>91</v>
      </c>
      <c r="BL341" s="39" t="s">
        <v>116</v>
      </c>
      <c r="BM341" s="39">
        <v>1</v>
      </c>
      <c r="BN341" s="39" t="s">
        <v>428</v>
      </c>
      <c r="BO341" s="39" t="s">
        <v>428</v>
      </c>
      <c r="BP341" s="39" t="s">
        <v>312</v>
      </c>
      <c r="BQ341" s="39" t="s">
        <v>117</v>
      </c>
      <c r="BR341" s="39" t="s">
        <v>134</v>
      </c>
      <c r="BS341" s="39" t="s">
        <v>312</v>
      </c>
      <c r="BT341" s="39" t="s">
        <v>312</v>
      </c>
      <c r="BU341" s="39">
        <v>2007</v>
      </c>
      <c r="BV341" s="39">
        <v>2016</v>
      </c>
      <c r="BW341" s="39" t="s">
        <v>901</v>
      </c>
      <c r="BX341" s="39" t="s">
        <v>95</v>
      </c>
      <c r="BY341" s="39" t="s">
        <v>748</v>
      </c>
      <c r="BZ341" s="39">
        <v>1</v>
      </c>
      <c r="CA341" s="39">
        <v>1</v>
      </c>
      <c r="CB341" s="39" t="s">
        <v>993</v>
      </c>
      <c r="CC341" s="39" t="s">
        <v>903</v>
      </c>
      <c r="CD341" s="39">
        <v>1</v>
      </c>
      <c r="CE341" s="39" t="s">
        <v>906</v>
      </c>
      <c r="CF341" s="39">
        <v>0</v>
      </c>
      <c r="CG341" s="39" t="s">
        <v>97</v>
      </c>
      <c r="CH341" s="39">
        <v>0</v>
      </c>
      <c r="CI341" s="39" t="s">
        <v>116</v>
      </c>
      <c r="CJ341" s="39" t="s">
        <v>98</v>
      </c>
      <c r="CK341" s="39">
        <v>35</v>
      </c>
      <c r="CL341" s="39">
        <v>0</v>
      </c>
      <c r="CM341" s="39">
        <v>0</v>
      </c>
      <c r="CN341" s="39" t="s">
        <v>99</v>
      </c>
      <c r="CO341" s="39" t="s">
        <v>943</v>
      </c>
      <c r="CP341" s="39" t="s">
        <v>100</v>
      </c>
      <c r="CQ341" s="39" t="s">
        <v>126</v>
      </c>
      <c r="CR341" s="42">
        <v>46223</v>
      </c>
      <c r="CT341" s="39" t="s">
        <v>785</v>
      </c>
    </row>
    <row r="342" spans="1:98" s="39" customFormat="1" x14ac:dyDescent="0.35">
      <c r="A342" s="38" t="s">
        <v>896</v>
      </c>
      <c r="B342" s="38" t="s">
        <v>923</v>
      </c>
      <c r="C342" s="39" t="s">
        <v>897</v>
      </c>
      <c r="D342" s="39">
        <v>2025</v>
      </c>
      <c r="E342" s="40" t="s">
        <v>898</v>
      </c>
      <c r="F342" s="38" t="s">
        <v>899</v>
      </c>
      <c r="G342" s="39" t="s">
        <v>78</v>
      </c>
      <c r="H342" s="39">
        <v>1</v>
      </c>
      <c r="I342" s="39" t="s">
        <v>290</v>
      </c>
      <c r="J342" s="39" t="s">
        <v>900</v>
      </c>
      <c r="K342" s="39">
        <v>0</v>
      </c>
      <c r="L342" s="39" t="s">
        <v>104</v>
      </c>
      <c r="M342" s="39" t="s">
        <v>380</v>
      </c>
      <c r="N342" s="39">
        <v>-3.2500000000000001E-2</v>
      </c>
      <c r="O342" s="39">
        <v>6.6E-3</v>
      </c>
      <c r="P342" s="90">
        <f t="shared" si="130"/>
        <v>-4.9242424242424248</v>
      </c>
      <c r="Q342" s="39" t="s">
        <v>312</v>
      </c>
      <c r="R342" s="90">
        <f t="shared" si="131"/>
        <v>-4.5436000000000004E-2</v>
      </c>
      <c r="S342" s="90">
        <f t="shared" si="132"/>
        <v>-1.9564000000000002E-2</v>
      </c>
      <c r="T342" s="39">
        <v>1</v>
      </c>
      <c r="U342" s="39">
        <v>170881</v>
      </c>
      <c r="V342" s="39">
        <v>11</v>
      </c>
      <c r="W342" s="39">
        <v>1</v>
      </c>
      <c r="X342" s="39">
        <f t="shared" si="133"/>
        <v>170870</v>
      </c>
      <c r="Y342" s="90">
        <f t="shared" si="134"/>
        <v>-1.1911753635128156E-2</v>
      </c>
      <c r="Z342" s="90">
        <f t="shared" si="135"/>
        <v>2.419002276672179E-3</v>
      </c>
      <c r="AA342" s="90">
        <f t="shared" si="136"/>
        <v>-1.1911753635128156E-2</v>
      </c>
      <c r="AB342" s="39" t="s">
        <v>81</v>
      </c>
      <c r="AC342" s="90">
        <f t="shared" si="140"/>
        <v>-1.7238</v>
      </c>
      <c r="AD342" s="90" cm="1">
        <f t="array" ref="AD342">_xlfn.IFS(
AND(L342="marginal_effect",M342="level"),N342*AN342/BF342,
AND(L342="marginal_effect",M342="sd (Y)"),N342*BH342*AN342/BF342,
AND(L342="marginal_effect",M342="sd (X)"),N342/AQ342*AN342/BF342,
AND(L342="semi_elasticity",M342="level"),N342*AN342,
AND(L342="semi_elasticity",M342="sd (Y)"),N342*AN342*BH342,
AND(L342="semi_elasticity",M342="sd (X)"),N342*AN342/AQ342,
AND(L342="level-log",M342="level"),N342/BF342,
AND(L342="level-log",M342="sd (X)"),N342/BF342/AQ342,
AND(L342="level-log",M342="sd (Y)"),N342/BF342*BH342,
AND(L342="elasticity",M342="level"),N342,
AND(L342="elasticity",M342="sd (X)"),N342/AQ342,
AND(L342="elasticity",M342="sd (Y)"),N342*BH342,
AND(L342="marginal_effect",M342="percent_of_mean"),N342*AN342/BF342/10)</f>
        <v>-1.7238</v>
      </c>
      <c r="AE342" s="41">
        <f t="shared" si="138"/>
        <v>1</v>
      </c>
      <c r="AF342" s="90">
        <f t="shared" si="141"/>
        <v>0.35006399999999999</v>
      </c>
      <c r="AG342" s="90" cm="1">
        <f t="array" ref="AG342">_xlfn.IFS(
AND(L342="marginal_effect",M342="level"),O342*AN342/BF342,
AND(L342="marginal_effect",M342="sd (Y)"),O342*BH342*AN342/BF342,
AND(L342="marginal_effect",M342="sd (X)"),O342/AQ342*AN342/BF342,
AND(L342="semi_elasticity",M342="level"),O342*AN342,
AND(L342="semi_elasticity",M342="sd (Y)"),O342*AN342*BH342,
AND(L342="semi_elasticity",M342="sd (X)"),O342*AN342/AQ342,
AND(L342="level-log",M342="level"),O342/BF342,
AND(L342="level-log",M342="sd (X)"),O342/BF342/AQ342,
AND(L342="level-log",M342="sd (Y)"),O342/BF342*BH342,
AND(L342="elasticity",M342="level"),O342,
AND(L342="elasticity",M342="sd (X)"),O342/AQ342,
AND(L342="elasticity",M342="sd (Y)"),O342*BH342,
AND(L342="marginal_effect",M342="percent_of_mean"),O342*AN342/BF342/10)</f>
        <v>0.35006399999999999</v>
      </c>
      <c r="AH342" s="41">
        <f t="shared" si="139"/>
        <v>1</v>
      </c>
      <c r="AI342" s="90">
        <f t="shared" si="129"/>
        <v>-1.7238</v>
      </c>
      <c r="AJ342" s="39">
        <v>0</v>
      </c>
      <c r="AK342" s="39">
        <f t="shared" si="137"/>
        <v>1</v>
      </c>
      <c r="AL342" s="39" t="s">
        <v>82</v>
      </c>
      <c r="AM342" s="39" t="s">
        <v>1333</v>
      </c>
      <c r="AN342" s="39">
        <v>53.04</v>
      </c>
      <c r="AO342" s="39">
        <v>1</v>
      </c>
      <c r="AP342" s="39">
        <f t="shared" si="121"/>
        <v>53.04</v>
      </c>
      <c r="AQ342" s="39">
        <v>18.27</v>
      </c>
      <c r="AR342" s="39">
        <v>12.77</v>
      </c>
      <c r="AS342" s="39">
        <v>132.4</v>
      </c>
      <c r="AT342" s="39" t="s">
        <v>107</v>
      </c>
      <c r="AU342" s="39" t="s">
        <v>109</v>
      </c>
      <c r="AV342" s="39" t="s">
        <v>133</v>
      </c>
      <c r="AW342" s="39" t="s">
        <v>85</v>
      </c>
      <c r="AX342" s="39" t="s">
        <v>86</v>
      </c>
      <c r="AY342" s="39">
        <v>0</v>
      </c>
      <c r="AZ342" s="39">
        <v>0</v>
      </c>
      <c r="BA342" s="39" t="s">
        <v>87</v>
      </c>
      <c r="BB342" s="39" t="s">
        <v>134</v>
      </c>
      <c r="BC342" s="39" t="s">
        <v>89</v>
      </c>
      <c r="BD342" s="39" t="s">
        <v>134</v>
      </c>
      <c r="BE342" s="39" t="s">
        <v>902</v>
      </c>
      <c r="BF342" s="39">
        <v>553.27</v>
      </c>
      <c r="BG342" s="39">
        <v>1</v>
      </c>
      <c r="BH342" s="39">
        <v>1781.61</v>
      </c>
      <c r="BI342" s="39">
        <v>0.1</v>
      </c>
      <c r="BJ342" s="39">
        <v>22690.799999999999</v>
      </c>
      <c r="BK342" s="39" t="s">
        <v>91</v>
      </c>
      <c r="BL342" s="39" t="s">
        <v>116</v>
      </c>
      <c r="BM342" s="39">
        <v>1</v>
      </c>
      <c r="BN342" s="39" t="s">
        <v>428</v>
      </c>
      <c r="BO342" s="39" t="s">
        <v>428</v>
      </c>
      <c r="BP342" s="39" t="s">
        <v>312</v>
      </c>
      <c r="BQ342" s="39" t="s">
        <v>117</v>
      </c>
      <c r="BR342" s="39" t="s">
        <v>134</v>
      </c>
      <c r="BS342" s="39" t="s">
        <v>312</v>
      </c>
      <c r="BT342" s="39" t="s">
        <v>312</v>
      </c>
      <c r="BU342" s="39">
        <v>2007</v>
      </c>
      <c r="BV342" s="39">
        <v>2016</v>
      </c>
      <c r="BW342" s="39" t="s">
        <v>901</v>
      </c>
      <c r="BX342" s="39" t="s">
        <v>95</v>
      </c>
      <c r="BY342" s="39" t="s">
        <v>748</v>
      </c>
      <c r="BZ342" s="39">
        <v>1</v>
      </c>
      <c r="CA342" s="39">
        <v>1</v>
      </c>
      <c r="CB342" s="39" t="s">
        <v>993</v>
      </c>
      <c r="CC342" s="39" t="s">
        <v>903</v>
      </c>
      <c r="CD342" s="39">
        <v>1</v>
      </c>
      <c r="CE342" s="39" t="s">
        <v>906</v>
      </c>
      <c r="CF342" s="39">
        <v>0</v>
      </c>
      <c r="CG342" s="39" t="s">
        <v>97</v>
      </c>
      <c r="CH342" s="39">
        <v>0</v>
      </c>
      <c r="CI342" s="39" t="s">
        <v>116</v>
      </c>
      <c r="CJ342" s="39" t="s">
        <v>98</v>
      </c>
      <c r="CK342" s="39">
        <v>35</v>
      </c>
      <c r="CL342" s="39">
        <v>0</v>
      </c>
      <c r="CM342" s="39">
        <v>0</v>
      </c>
      <c r="CN342" s="39" t="s">
        <v>99</v>
      </c>
      <c r="CO342" s="39" t="s">
        <v>943</v>
      </c>
      <c r="CP342" s="39" t="s">
        <v>100</v>
      </c>
      <c r="CQ342" s="39" t="s">
        <v>126</v>
      </c>
      <c r="CR342" s="42">
        <v>46223</v>
      </c>
      <c r="CT342" s="39" t="s">
        <v>786</v>
      </c>
    </row>
    <row r="343" spans="1:98" s="39" customFormat="1" x14ac:dyDescent="0.35">
      <c r="A343" s="38" t="s">
        <v>896</v>
      </c>
      <c r="B343" s="38" t="s">
        <v>924</v>
      </c>
      <c r="C343" s="39" t="s">
        <v>897</v>
      </c>
      <c r="D343" s="39">
        <v>2025</v>
      </c>
      <c r="E343" s="40" t="s">
        <v>898</v>
      </c>
      <c r="F343" s="38" t="s">
        <v>899</v>
      </c>
      <c r="G343" s="39" t="s">
        <v>78</v>
      </c>
      <c r="H343" s="39">
        <v>1</v>
      </c>
      <c r="I343" s="39" t="s">
        <v>290</v>
      </c>
      <c r="J343" s="39" t="s">
        <v>900</v>
      </c>
      <c r="K343" s="39">
        <v>0</v>
      </c>
      <c r="L343" s="39" t="s">
        <v>104</v>
      </c>
      <c r="M343" s="39" t="s">
        <v>380</v>
      </c>
      <c r="N343" s="39">
        <v>-3.1E-2</v>
      </c>
      <c r="O343" s="39">
        <v>1.1900000000000001E-2</v>
      </c>
      <c r="P343" s="90">
        <f t="shared" si="130"/>
        <v>-2.6050420168067223</v>
      </c>
      <c r="Q343" s="39" t="s">
        <v>312</v>
      </c>
      <c r="R343" s="90">
        <f t="shared" si="131"/>
        <v>-5.4323999999999997E-2</v>
      </c>
      <c r="S343" s="90">
        <f t="shared" si="132"/>
        <v>-7.6759999999999988E-3</v>
      </c>
      <c r="T343" s="39">
        <v>1</v>
      </c>
      <c r="U343" s="39">
        <v>133661</v>
      </c>
      <c r="V343" s="39">
        <v>11</v>
      </c>
      <c r="W343" s="39">
        <v>1</v>
      </c>
      <c r="X343" s="39">
        <f t="shared" si="133"/>
        <v>133650</v>
      </c>
      <c r="Y343" s="90">
        <f t="shared" si="134"/>
        <v>-7.1255636734802383E-3</v>
      </c>
      <c r="Z343" s="90">
        <f t="shared" si="135"/>
        <v>2.7352970230456403E-3</v>
      </c>
      <c r="AA343" s="90">
        <f t="shared" si="136"/>
        <v>-7.1255636734802383E-3</v>
      </c>
      <c r="AB343" s="39" t="s">
        <v>81</v>
      </c>
      <c r="AC343" s="90">
        <f t="shared" si="140"/>
        <v>-1.6442399999999999</v>
      </c>
      <c r="AD343" s="90" cm="1">
        <f t="array" ref="AD343">_xlfn.IFS(
AND(L343="marginal_effect",M343="level"),N343*AN343/BF343,
AND(L343="marginal_effect",M343="sd (Y)"),N343*BH343*AN343/BF343,
AND(L343="marginal_effect",M343="sd (X)"),N343/AQ343*AN343/BF343,
AND(L343="semi_elasticity",M343="level"),N343*AN343,
AND(L343="semi_elasticity",M343="sd (Y)"),N343*AN343*BH343,
AND(L343="semi_elasticity",M343="sd (X)"),N343*AN343/AQ343,
AND(L343="level-log",M343="level"),N343/BF343,
AND(L343="level-log",M343="sd (X)"),N343/BF343/AQ343,
AND(L343="level-log",M343="sd (Y)"),N343/BF343*BH343,
AND(L343="elasticity",M343="level"),N343,
AND(L343="elasticity",M343="sd (X)"),N343/AQ343,
AND(L343="elasticity",M343="sd (Y)"),N343*BH343,
AND(L343="marginal_effect",M343="percent_of_mean"),N343*AN343/BF343/10)</f>
        <v>-1.6442399999999999</v>
      </c>
      <c r="AE343" s="41">
        <f t="shared" si="138"/>
        <v>1</v>
      </c>
      <c r="AF343" s="90">
        <f t="shared" si="141"/>
        <v>0.63117600000000007</v>
      </c>
      <c r="AG343" s="90" cm="1">
        <f t="array" ref="AG343">_xlfn.IFS(
AND(L343="marginal_effect",M343="level"),O343*AN343/BF343,
AND(L343="marginal_effect",M343="sd (Y)"),O343*BH343*AN343/BF343,
AND(L343="marginal_effect",M343="sd (X)"),O343/AQ343*AN343/BF343,
AND(L343="semi_elasticity",M343="level"),O343*AN343,
AND(L343="semi_elasticity",M343="sd (Y)"),O343*AN343*BH343,
AND(L343="semi_elasticity",M343="sd (X)"),O343*AN343/AQ343,
AND(L343="level-log",M343="level"),O343/BF343,
AND(L343="level-log",M343="sd (X)"),O343/BF343/AQ343,
AND(L343="level-log",M343="sd (Y)"),O343/BF343*BH343,
AND(L343="elasticity",M343="level"),O343,
AND(L343="elasticity",M343="sd (X)"),O343/AQ343,
AND(L343="elasticity",M343="sd (Y)"),O343*BH343,
AND(L343="marginal_effect",M343="percent_of_mean"),O343*AN343/BF343/10)</f>
        <v>0.63117600000000007</v>
      </c>
      <c r="AH343" s="41">
        <f t="shared" si="139"/>
        <v>1</v>
      </c>
      <c r="AI343" s="90">
        <f t="shared" si="129"/>
        <v>-1.6442399999999999</v>
      </c>
      <c r="AJ343" s="39">
        <v>0</v>
      </c>
      <c r="AK343" s="39">
        <f t="shared" si="137"/>
        <v>1</v>
      </c>
      <c r="AL343" s="39" t="s">
        <v>82</v>
      </c>
      <c r="AM343" s="39" t="s">
        <v>1333</v>
      </c>
      <c r="AN343" s="39">
        <v>53.04</v>
      </c>
      <c r="AO343" s="39">
        <v>1</v>
      </c>
      <c r="AP343" s="39">
        <f t="shared" si="121"/>
        <v>53.04</v>
      </c>
      <c r="AQ343" s="39">
        <v>18.27</v>
      </c>
      <c r="AR343" s="39">
        <v>12.77</v>
      </c>
      <c r="AS343" s="39">
        <v>132.4</v>
      </c>
      <c r="AT343" s="39" t="s">
        <v>107</v>
      </c>
      <c r="AU343" s="39" t="s">
        <v>109</v>
      </c>
      <c r="AV343" s="39" t="s">
        <v>133</v>
      </c>
      <c r="AW343" s="39" t="s">
        <v>85</v>
      </c>
      <c r="AX343" s="39" t="s">
        <v>86</v>
      </c>
      <c r="AY343" s="39">
        <v>0</v>
      </c>
      <c r="AZ343" s="39">
        <v>0</v>
      </c>
      <c r="BA343" s="39" t="s">
        <v>87</v>
      </c>
      <c r="BB343" s="39" t="s">
        <v>134</v>
      </c>
      <c r="BC343" s="39" t="s">
        <v>89</v>
      </c>
      <c r="BD343" s="39" t="s">
        <v>134</v>
      </c>
      <c r="BE343" s="39" t="s">
        <v>902</v>
      </c>
      <c r="BF343" s="39">
        <v>553.27</v>
      </c>
      <c r="BG343" s="39">
        <v>1</v>
      </c>
      <c r="BH343" s="39">
        <v>1781.61</v>
      </c>
      <c r="BI343" s="39">
        <v>0.1</v>
      </c>
      <c r="BJ343" s="39">
        <v>22690.799999999999</v>
      </c>
      <c r="BK343" s="39" t="s">
        <v>91</v>
      </c>
      <c r="BL343" s="39" t="s">
        <v>116</v>
      </c>
      <c r="BM343" s="39">
        <v>1</v>
      </c>
      <c r="BN343" s="39" t="s">
        <v>428</v>
      </c>
      <c r="BO343" s="39" t="s">
        <v>428</v>
      </c>
      <c r="BP343" s="39" t="s">
        <v>312</v>
      </c>
      <c r="BQ343" s="39" t="s">
        <v>117</v>
      </c>
      <c r="BR343" s="39" t="s">
        <v>134</v>
      </c>
      <c r="BS343" s="39" t="s">
        <v>312</v>
      </c>
      <c r="BT343" s="39" t="s">
        <v>312</v>
      </c>
      <c r="BU343" s="39">
        <v>2007</v>
      </c>
      <c r="BV343" s="39">
        <v>2016</v>
      </c>
      <c r="BW343" s="39" t="s">
        <v>901</v>
      </c>
      <c r="BX343" s="39" t="s">
        <v>95</v>
      </c>
      <c r="BY343" s="39" t="s">
        <v>748</v>
      </c>
      <c r="BZ343" s="39">
        <v>1</v>
      </c>
      <c r="CA343" s="39">
        <v>1</v>
      </c>
      <c r="CB343" s="39" t="s">
        <v>993</v>
      </c>
      <c r="CC343" s="39" t="s">
        <v>903</v>
      </c>
      <c r="CD343" s="39">
        <v>1</v>
      </c>
      <c r="CE343" s="39" t="s">
        <v>906</v>
      </c>
      <c r="CF343" s="39">
        <v>0</v>
      </c>
      <c r="CG343" s="39" t="s">
        <v>97</v>
      </c>
      <c r="CH343" s="39">
        <v>0</v>
      </c>
      <c r="CI343" s="39" t="s">
        <v>116</v>
      </c>
      <c r="CJ343" s="39" t="s">
        <v>98</v>
      </c>
      <c r="CK343" s="39">
        <v>35</v>
      </c>
      <c r="CL343" s="39">
        <v>0</v>
      </c>
      <c r="CM343" s="39">
        <v>0</v>
      </c>
      <c r="CN343" s="39" t="s">
        <v>99</v>
      </c>
      <c r="CO343" s="39" t="s">
        <v>943</v>
      </c>
      <c r="CP343" s="39" t="s">
        <v>100</v>
      </c>
      <c r="CQ343" s="39" t="s">
        <v>126</v>
      </c>
      <c r="CR343" s="42">
        <v>46223</v>
      </c>
      <c r="CT343" s="39" t="s">
        <v>787</v>
      </c>
    </row>
    <row r="344" spans="1:98" s="39" customFormat="1" x14ac:dyDescent="0.35">
      <c r="A344" s="38" t="s">
        <v>896</v>
      </c>
      <c r="B344" s="38" t="s">
        <v>926</v>
      </c>
      <c r="C344" s="39" t="s">
        <v>897</v>
      </c>
      <c r="D344" s="39">
        <v>2025</v>
      </c>
      <c r="E344" s="40" t="s">
        <v>898</v>
      </c>
      <c r="F344" s="38" t="s">
        <v>899</v>
      </c>
      <c r="G344" s="39" t="s">
        <v>78</v>
      </c>
      <c r="H344" s="39">
        <v>1</v>
      </c>
      <c r="I344" s="39" t="s">
        <v>290</v>
      </c>
      <c r="J344" s="39" t="s">
        <v>900</v>
      </c>
      <c r="K344" s="39">
        <v>0</v>
      </c>
      <c r="L344" s="39" t="s">
        <v>104</v>
      </c>
      <c r="M344" s="39" t="s">
        <v>380</v>
      </c>
      <c r="N344" s="39">
        <v>-4.6199999999999998E-2</v>
      </c>
      <c r="O344" s="39">
        <v>1.6899999999999998E-2</v>
      </c>
      <c r="P344" s="90">
        <f t="shared" si="130"/>
        <v>-2.7337278106508878</v>
      </c>
      <c r="Q344" s="39" t="s">
        <v>312</v>
      </c>
      <c r="R344" s="90">
        <f t="shared" si="131"/>
        <v>-7.9323999999999992E-2</v>
      </c>
      <c r="S344" s="90">
        <f t="shared" si="132"/>
        <v>-1.3076000000000004E-2</v>
      </c>
      <c r="T344" s="39">
        <v>1</v>
      </c>
      <c r="U344" s="39">
        <v>111753</v>
      </c>
      <c r="V344" s="39">
        <v>11</v>
      </c>
      <c r="W344" s="39">
        <v>1</v>
      </c>
      <c r="X344" s="39">
        <f t="shared" si="133"/>
        <v>111742</v>
      </c>
      <c r="Y344" s="90">
        <f t="shared" si="134"/>
        <v>-8.1777254994863987E-3</v>
      </c>
      <c r="Z344" s="90">
        <f t="shared" si="135"/>
        <v>2.991419067993942E-3</v>
      </c>
      <c r="AA344" s="90">
        <f t="shared" si="136"/>
        <v>-8.1777254994863987E-3</v>
      </c>
      <c r="AB344" s="39" t="s">
        <v>81</v>
      </c>
      <c r="AC344" s="90">
        <f t="shared" si="140"/>
        <v>-2.4504479999999997</v>
      </c>
      <c r="AD344" s="90" cm="1">
        <f t="array" ref="AD344">_xlfn.IFS(
AND(L344="marginal_effect",M344="level"),N344*AN344/BF344,
AND(L344="marginal_effect",M344="sd (Y)"),N344*BH344*AN344/BF344,
AND(L344="marginal_effect",M344="sd (X)"),N344/AQ344*AN344/BF344,
AND(L344="semi_elasticity",M344="level"),N344*AN344,
AND(L344="semi_elasticity",M344="sd (Y)"),N344*AN344*BH344,
AND(L344="semi_elasticity",M344="sd (X)"),N344*AN344/AQ344,
AND(L344="level-log",M344="level"),N344/BF344,
AND(L344="level-log",M344="sd (X)"),N344/BF344/AQ344,
AND(L344="level-log",M344="sd (Y)"),N344/BF344*BH344,
AND(L344="elasticity",M344="level"),N344,
AND(L344="elasticity",M344="sd (X)"),N344/AQ344,
AND(L344="elasticity",M344="sd (Y)"),N344*BH344,
AND(L344="marginal_effect",M344="percent_of_mean"),N344*AN344/BF344/10)</f>
        <v>-2.4504479999999997</v>
      </c>
      <c r="AE344" s="41">
        <f t="shared" si="138"/>
        <v>1</v>
      </c>
      <c r="AF344" s="90">
        <f t="shared" si="141"/>
        <v>0.89637599999999995</v>
      </c>
      <c r="AG344" s="90" cm="1">
        <f t="array" ref="AG344">_xlfn.IFS(
AND(L344="marginal_effect",M344="level"),O344*AN344/BF344,
AND(L344="marginal_effect",M344="sd (Y)"),O344*BH344*AN344/BF344,
AND(L344="marginal_effect",M344="sd (X)"),O344/AQ344*AN344/BF344,
AND(L344="semi_elasticity",M344="level"),O344*AN344,
AND(L344="semi_elasticity",M344="sd (Y)"),O344*AN344*BH344,
AND(L344="semi_elasticity",M344="sd (X)"),O344*AN344/AQ344,
AND(L344="level-log",M344="level"),O344/BF344,
AND(L344="level-log",M344="sd (X)"),O344/BF344/AQ344,
AND(L344="level-log",M344="sd (Y)"),O344/BF344*BH344,
AND(L344="elasticity",M344="level"),O344,
AND(L344="elasticity",M344="sd (X)"),O344/AQ344,
AND(L344="elasticity",M344="sd (Y)"),O344*BH344,
AND(L344="marginal_effect",M344="percent_of_mean"),O344*AN344/BF344/10)</f>
        <v>0.89637599999999995</v>
      </c>
      <c r="AH344" s="41">
        <f t="shared" si="139"/>
        <v>1</v>
      </c>
      <c r="AI344" s="90">
        <f t="shared" si="129"/>
        <v>-2.4504479999999997</v>
      </c>
      <c r="AJ344" s="39">
        <v>0</v>
      </c>
      <c r="AK344" s="39">
        <f t="shared" si="137"/>
        <v>1</v>
      </c>
      <c r="AL344" s="39" t="s">
        <v>82</v>
      </c>
      <c r="AM344" s="39" t="s">
        <v>1333</v>
      </c>
      <c r="AN344" s="39">
        <v>53.04</v>
      </c>
      <c r="AO344" s="39">
        <v>1</v>
      </c>
      <c r="AP344" s="39">
        <f t="shared" si="121"/>
        <v>53.04</v>
      </c>
      <c r="AQ344" s="39">
        <v>18.27</v>
      </c>
      <c r="AR344" s="39">
        <v>12.77</v>
      </c>
      <c r="AS344" s="39">
        <v>132.4</v>
      </c>
      <c r="AT344" s="39" t="s">
        <v>107</v>
      </c>
      <c r="AU344" s="39" t="s">
        <v>109</v>
      </c>
      <c r="AV344" s="39" t="s">
        <v>133</v>
      </c>
      <c r="AW344" s="39" t="s">
        <v>85</v>
      </c>
      <c r="AX344" s="39" t="s">
        <v>86</v>
      </c>
      <c r="AY344" s="39">
        <v>0</v>
      </c>
      <c r="AZ344" s="39">
        <v>0</v>
      </c>
      <c r="BA344" s="39" t="s">
        <v>87</v>
      </c>
      <c r="BB344" s="39" t="s">
        <v>134</v>
      </c>
      <c r="BC344" s="39" t="s">
        <v>89</v>
      </c>
      <c r="BD344" s="39" t="s">
        <v>134</v>
      </c>
      <c r="BE344" s="39" t="s">
        <v>902</v>
      </c>
      <c r="BF344" s="39">
        <v>553.27</v>
      </c>
      <c r="BG344" s="39">
        <v>1</v>
      </c>
      <c r="BH344" s="39">
        <v>1781.61</v>
      </c>
      <c r="BI344" s="39">
        <v>0.1</v>
      </c>
      <c r="BJ344" s="39">
        <v>22690.799999999999</v>
      </c>
      <c r="BK344" s="39" t="s">
        <v>91</v>
      </c>
      <c r="BL344" s="39" t="s">
        <v>116</v>
      </c>
      <c r="BM344" s="39">
        <v>1</v>
      </c>
      <c r="BN344" s="39" t="s">
        <v>428</v>
      </c>
      <c r="BO344" s="39" t="s">
        <v>428</v>
      </c>
      <c r="BP344" s="39" t="s">
        <v>312</v>
      </c>
      <c r="BQ344" s="39" t="s">
        <v>117</v>
      </c>
      <c r="BR344" s="39" t="s">
        <v>134</v>
      </c>
      <c r="BS344" s="39" t="s">
        <v>312</v>
      </c>
      <c r="BT344" s="39" t="s">
        <v>312</v>
      </c>
      <c r="BU344" s="39">
        <v>2007</v>
      </c>
      <c r="BV344" s="39">
        <v>2016</v>
      </c>
      <c r="BW344" s="39" t="s">
        <v>901</v>
      </c>
      <c r="BX344" s="39" t="s">
        <v>95</v>
      </c>
      <c r="BY344" s="39" t="s">
        <v>748</v>
      </c>
      <c r="BZ344" s="39">
        <v>1</v>
      </c>
      <c r="CA344" s="39">
        <v>1</v>
      </c>
      <c r="CB344" s="39" t="s">
        <v>993</v>
      </c>
      <c r="CC344" s="39" t="s">
        <v>903</v>
      </c>
      <c r="CD344" s="39">
        <v>1</v>
      </c>
      <c r="CE344" s="39" t="s">
        <v>906</v>
      </c>
      <c r="CF344" s="39">
        <v>0</v>
      </c>
      <c r="CG344" s="39" t="s">
        <v>97</v>
      </c>
      <c r="CH344" s="39">
        <v>0</v>
      </c>
      <c r="CI344" s="39" t="s">
        <v>116</v>
      </c>
      <c r="CJ344" s="39" t="s">
        <v>98</v>
      </c>
      <c r="CK344" s="39">
        <v>35</v>
      </c>
      <c r="CL344" s="39">
        <v>0</v>
      </c>
      <c r="CM344" s="39">
        <v>0</v>
      </c>
      <c r="CN344" s="39" t="s">
        <v>99</v>
      </c>
      <c r="CO344" s="39" t="s">
        <v>944</v>
      </c>
      <c r="CP344" s="39" t="s">
        <v>100</v>
      </c>
      <c r="CQ344" s="39" t="s">
        <v>126</v>
      </c>
      <c r="CR344" s="42">
        <v>46223</v>
      </c>
      <c r="CT344" s="39" t="s">
        <v>932</v>
      </c>
    </row>
    <row r="345" spans="1:98" s="39" customFormat="1" x14ac:dyDescent="0.35">
      <c r="A345" s="38" t="s">
        <v>896</v>
      </c>
      <c r="B345" s="38" t="s">
        <v>927</v>
      </c>
      <c r="C345" s="39" t="s">
        <v>897</v>
      </c>
      <c r="D345" s="39">
        <v>2025</v>
      </c>
      <c r="E345" s="40" t="s">
        <v>898</v>
      </c>
      <c r="F345" s="38" t="s">
        <v>899</v>
      </c>
      <c r="G345" s="39" t="s">
        <v>78</v>
      </c>
      <c r="H345" s="39">
        <v>1</v>
      </c>
      <c r="I345" s="39" t="s">
        <v>290</v>
      </c>
      <c r="J345" s="39" t="s">
        <v>900</v>
      </c>
      <c r="K345" s="39">
        <v>0</v>
      </c>
      <c r="L345" s="39" t="s">
        <v>104</v>
      </c>
      <c r="M345" s="39" t="s">
        <v>380</v>
      </c>
      <c r="N345" s="39">
        <v>-5.7299999999999997E-2</v>
      </c>
      <c r="O345" s="39">
        <v>7.1999999999999998E-3</v>
      </c>
      <c r="P345" s="90">
        <f t="shared" si="130"/>
        <v>-7.958333333333333</v>
      </c>
      <c r="Q345" s="39" t="s">
        <v>312</v>
      </c>
      <c r="R345" s="90">
        <f t="shared" si="131"/>
        <v>-7.1412000000000003E-2</v>
      </c>
      <c r="S345" s="90">
        <f t="shared" si="132"/>
        <v>-4.3187999999999997E-2</v>
      </c>
      <c r="T345" s="39">
        <v>1</v>
      </c>
      <c r="U345" s="39">
        <v>138412</v>
      </c>
      <c r="V345" s="39">
        <v>11</v>
      </c>
      <c r="W345" s="39">
        <v>1</v>
      </c>
      <c r="X345" s="39">
        <f t="shared" si="133"/>
        <v>138401</v>
      </c>
      <c r="Y345" s="90">
        <f t="shared" si="134"/>
        <v>-2.1387162208496485E-2</v>
      </c>
      <c r="Z345" s="90">
        <f t="shared" si="135"/>
        <v>2.6873921099681447E-3</v>
      </c>
      <c r="AA345" s="90">
        <f t="shared" si="136"/>
        <v>-2.1387162208496485E-2</v>
      </c>
      <c r="AB345" s="39" t="s">
        <v>81</v>
      </c>
      <c r="AC345" s="90">
        <f t="shared" si="140"/>
        <v>-3.0391919999999999</v>
      </c>
      <c r="AD345" s="90" cm="1">
        <f t="array" ref="AD345">_xlfn.IFS(
AND(L345="marginal_effect",M345="level"),N345*AN345/BF345,
AND(L345="marginal_effect",M345="sd (Y)"),N345*BH345*AN345/BF345,
AND(L345="marginal_effect",M345="sd (X)"),N345/AQ345*AN345/BF345,
AND(L345="semi_elasticity",M345="level"),N345*AN345,
AND(L345="semi_elasticity",M345="sd (Y)"),N345*AN345*BH345,
AND(L345="semi_elasticity",M345="sd (X)"),N345*AN345/AQ345,
AND(L345="level-log",M345="level"),N345/BF345,
AND(L345="level-log",M345="sd (X)"),N345/BF345/AQ345,
AND(L345="level-log",M345="sd (Y)"),N345/BF345*BH345,
AND(L345="elasticity",M345="level"),N345,
AND(L345="elasticity",M345="sd (X)"),N345/AQ345,
AND(L345="elasticity",M345="sd (Y)"),N345*BH345,
AND(L345="marginal_effect",M345="percent_of_mean"),N345*AN345/BF345/10)</f>
        <v>-3.0391919999999999</v>
      </c>
      <c r="AE345" s="41">
        <f t="shared" si="138"/>
        <v>1</v>
      </c>
      <c r="AF345" s="90">
        <f t="shared" si="141"/>
        <v>0.38188800000000001</v>
      </c>
      <c r="AG345" s="90" cm="1">
        <f t="array" ref="AG345">_xlfn.IFS(
AND(L345="marginal_effect",M345="level"),O345*AN345/BF345,
AND(L345="marginal_effect",M345="sd (Y)"),O345*BH345*AN345/BF345,
AND(L345="marginal_effect",M345="sd (X)"),O345/AQ345*AN345/BF345,
AND(L345="semi_elasticity",M345="level"),O345*AN345,
AND(L345="semi_elasticity",M345="sd (Y)"),O345*AN345*BH345,
AND(L345="semi_elasticity",M345="sd (X)"),O345*AN345/AQ345,
AND(L345="level-log",M345="level"),O345/BF345,
AND(L345="level-log",M345="sd (X)"),O345/BF345/AQ345,
AND(L345="level-log",M345="sd (Y)"),O345/BF345*BH345,
AND(L345="elasticity",M345="level"),O345,
AND(L345="elasticity",M345="sd (X)"),O345/AQ345,
AND(L345="elasticity",M345="sd (Y)"),O345*BH345,
AND(L345="marginal_effect",M345="percent_of_mean"),O345*AN345/BF345/10)</f>
        <v>0.38188800000000001</v>
      </c>
      <c r="AH345" s="41">
        <f t="shared" si="139"/>
        <v>1</v>
      </c>
      <c r="AI345" s="90">
        <f t="shared" si="129"/>
        <v>-3.0391919999999999</v>
      </c>
      <c r="AJ345" s="39">
        <v>0</v>
      </c>
      <c r="AK345" s="39">
        <f t="shared" si="137"/>
        <v>1</v>
      </c>
      <c r="AL345" s="39" t="s">
        <v>82</v>
      </c>
      <c r="AM345" s="39" t="s">
        <v>1333</v>
      </c>
      <c r="AN345" s="39">
        <v>53.04</v>
      </c>
      <c r="AO345" s="39">
        <v>1</v>
      </c>
      <c r="AP345" s="39">
        <f t="shared" si="121"/>
        <v>53.04</v>
      </c>
      <c r="AQ345" s="39">
        <v>18.27</v>
      </c>
      <c r="AR345" s="39">
        <v>12.77</v>
      </c>
      <c r="AS345" s="39">
        <v>132.4</v>
      </c>
      <c r="AT345" s="39" t="s">
        <v>107</v>
      </c>
      <c r="AU345" s="39" t="s">
        <v>109</v>
      </c>
      <c r="AV345" s="39" t="s">
        <v>133</v>
      </c>
      <c r="AW345" s="39" t="s">
        <v>85</v>
      </c>
      <c r="AX345" s="39" t="s">
        <v>86</v>
      </c>
      <c r="AY345" s="39">
        <v>0</v>
      </c>
      <c r="AZ345" s="39">
        <v>0</v>
      </c>
      <c r="BA345" s="39" t="s">
        <v>87</v>
      </c>
      <c r="BB345" s="39" t="s">
        <v>134</v>
      </c>
      <c r="BC345" s="39" t="s">
        <v>89</v>
      </c>
      <c r="BD345" s="39" t="s">
        <v>134</v>
      </c>
      <c r="BE345" s="39" t="s">
        <v>902</v>
      </c>
      <c r="BF345" s="39">
        <v>553.27</v>
      </c>
      <c r="BG345" s="39">
        <v>1</v>
      </c>
      <c r="BH345" s="39">
        <v>1781.61</v>
      </c>
      <c r="BI345" s="39">
        <v>0.1</v>
      </c>
      <c r="BJ345" s="39">
        <v>22690.799999999999</v>
      </c>
      <c r="BK345" s="39" t="s">
        <v>91</v>
      </c>
      <c r="BL345" s="39" t="s">
        <v>116</v>
      </c>
      <c r="BM345" s="39">
        <v>1</v>
      </c>
      <c r="BN345" s="39" t="s">
        <v>428</v>
      </c>
      <c r="BO345" s="39" t="s">
        <v>428</v>
      </c>
      <c r="BP345" s="39" t="s">
        <v>312</v>
      </c>
      <c r="BQ345" s="39" t="s">
        <v>117</v>
      </c>
      <c r="BR345" s="39" t="s">
        <v>134</v>
      </c>
      <c r="BS345" s="39" t="s">
        <v>312</v>
      </c>
      <c r="BT345" s="39" t="s">
        <v>312</v>
      </c>
      <c r="BU345" s="39">
        <v>2007</v>
      </c>
      <c r="BV345" s="39">
        <v>2016</v>
      </c>
      <c r="BW345" s="39" t="s">
        <v>901</v>
      </c>
      <c r="BX345" s="39" t="s">
        <v>95</v>
      </c>
      <c r="BY345" s="39" t="s">
        <v>748</v>
      </c>
      <c r="BZ345" s="39">
        <v>1</v>
      </c>
      <c r="CA345" s="39">
        <v>1</v>
      </c>
      <c r="CB345" s="39" t="s">
        <v>993</v>
      </c>
      <c r="CC345" s="39" t="s">
        <v>903</v>
      </c>
      <c r="CD345" s="39">
        <v>1</v>
      </c>
      <c r="CE345" s="39" t="s">
        <v>906</v>
      </c>
      <c r="CF345" s="39">
        <v>0</v>
      </c>
      <c r="CG345" s="39" t="s">
        <v>97</v>
      </c>
      <c r="CH345" s="39">
        <v>0</v>
      </c>
      <c r="CI345" s="39" t="s">
        <v>116</v>
      </c>
      <c r="CJ345" s="39" t="s">
        <v>98</v>
      </c>
      <c r="CK345" s="39">
        <v>35</v>
      </c>
      <c r="CL345" s="39">
        <v>0</v>
      </c>
      <c r="CM345" s="39">
        <v>0</v>
      </c>
      <c r="CN345" s="39" t="s">
        <v>99</v>
      </c>
      <c r="CO345" s="39" t="s">
        <v>944</v>
      </c>
      <c r="CP345" s="39" t="s">
        <v>100</v>
      </c>
      <c r="CQ345" s="39" t="s">
        <v>126</v>
      </c>
      <c r="CR345" s="42">
        <v>46223</v>
      </c>
      <c r="CT345" s="39" t="s">
        <v>933</v>
      </c>
    </row>
    <row r="346" spans="1:98" s="39" customFormat="1" x14ac:dyDescent="0.35">
      <c r="A346" s="38" t="s">
        <v>896</v>
      </c>
      <c r="B346" s="38" t="s">
        <v>928</v>
      </c>
      <c r="C346" s="39" t="s">
        <v>897</v>
      </c>
      <c r="D346" s="39">
        <v>2025</v>
      </c>
      <c r="E346" s="40" t="s">
        <v>898</v>
      </c>
      <c r="F346" s="38" t="s">
        <v>899</v>
      </c>
      <c r="G346" s="39" t="s">
        <v>78</v>
      </c>
      <c r="H346" s="39">
        <v>1</v>
      </c>
      <c r="I346" s="39" t="s">
        <v>290</v>
      </c>
      <c r="J346" s="39" t="s">
        <v>900</v>
      </c>
      <c r="K346" s="39">
        <v>0</v>
      </c>
      <c r="L346" s="39" t="s">
        <v>104</v>
      </c>
      <c r="M346" s="39" t="s">
        <v>380</v>
      </c>
      <c r="N346" s="39">
        <v>-2.3099999999999999E-2</v>
      </c>
      <c r="O346" s="39">
        <v>4.19E-2</v>
      </c>
      <c r="P346" s="90">
        <f t="shared" si="130"/>
        <v>-0.55131264916467781</v>
      </c>
      <c r="Q346" s="39" t="s">
        <v>312</v>
      </c>
      <c r="R346" s="90">
        <f t="shared" si="131"/>
        <v>-0.105224</v>
      </c>
      <c r="S346" s="90">
        <f t="shared" si="132"/>
        <v>5.9024000000000007E-2</v>
      </c>
      <c r="T346" s="39">
        <v>1</v>
      </c>
      <c r="U346" s="39">
        <v>10519</v>
      </c>
      <c r="V346" s="39">
        <v>11</v>
      </c>
      <c r="W346" s="39">
        <v>1</v>
      </c>
      <c r="X346" s="39">
        <f t="shared" si="133"/>
        <v>10508</v>
      </c>
      <c r="Y346" s="90">
        <f t="shared" si="134"/>
        <v>-5.3781343116281544E-3</v>
      </c>
      <c r="Z346" s="90">
        <f t="shared" si="135"/>
        <v>9.755144054425095E-3</v>
      </c>
      <c r="AA346" s="90">
        <f t="shared" si="136"/>
        <v>-5.3781343116281544E-3</v>
      </c>
      <c r="AB346" s="39" t="s">
        <v>81</v>
      </c>
      <c r="AC346" s="90">
        <f t="shared" si="140"/>
        <v>-1.2252239999999999</v>
      </c>
      <c r="AD346" s="90" cm="1">
        <f t="array" ref="AD346">_xlfn.IFS(
AND(L346="marginal_effect",M346="level"),N346*AN346/BF346,
AND(L346="marginal_effect",M346="sd (Y)"),N346*BH346*AN346/BF346,
AND(L346="marginal_effect",M346="sd (X)"),N346/AQ346*AN346/BF346,
AND(L346="semi_elasticity",M346="level"),N346*AN346,
AND(L346="semi_elasticity",M346="sd (Y)"),N346*AN346*BH346,
AND(L346="semi_elasticity",M346="sd (X)"),N346*AN346/AQ346,
AND(L346="level-log",M346="level"),N346/BF346,
AND(L346="level-log",M346="sd (X)"),N346/BF346/AQ346,
AND(L346="level-log",M346="sd (Y)"),N346/BF346*BH346,
AND(L346="elasticity",M346="level"),N346,
AND(L346="elasticity",M346="sd (X)"),N346/AQ346,
AND(L346="elasticity",M346="sd (Y)"),N346*BH346,
AND(L346="marginal_effect",M346="percent_of_mean"),N346*AN346/BF346/10)</f>
        <v>-1.2252239999999999</v>
      </c>
      <c r="AE346" s="41">
        <f t="shared" si="138"/>
        <v>1</v>
      </c>
      <c r="AF346" s="90">
        <f t="shared" si="141"/>
        <v>2.2223760000000001</v>
      </c>
      <c r="AG346" s="90" cm="1">
        <f t="array" ref="AG346">_xlfn.IFS(
AND(L346="marginal_effect",M346="level"),O346*AN346/BF346,
AND(L346="marginal_effect",M346="sd (Y)"),O346*BH346*AN346/BF346,
AND(L346="marginal_effect",M346="sd (X)"),O346/AQ346*AN346/BF346,
AND(L346="semi_elasticity",M346="level"),O346*AN346,
AND(L346="semi_elasticity",M346="sd (Y)"),O346*AN346*BH346,
AND(L346="semi_elasticity",M346="sd (X)"),O346*AN346/AQ346,
AND(L346="level-log",M346="level"),O346/BF346,
AND(L346="level-log",M346="sd (X)"),O346/BF346/AQ346,
AND(L346="level-log",M346="sd (Y)"),O346/BF346*BH346,
AND(L346="elasticity",M346="level"),O346,
AND(L346="elasticity",M346="sd (X)"),O346/AQ346,
AND(L346="elasticity",M346="sd (Y)"),O346*BH346,
AND(L346="marginal_effect",M346="percent_of_mean"),O346*AN346/BF346/10)</f>
        <v>2.2223760000000001</v>
      </c>
      <c r="AH346" s="41">
        <f t="shared" si="139"/>
        <v>1</v>
      </c>
      <c r="AI346" s="90">
        <f t="shared" si="129"/>
        <v>-1.2252239999999999</v>
      </c>
      <c r="AJ346" s="39">
        <v>0</v>
      </c>
      <c r="AK346" s="39">
        <f t="shared" si="137"/>
        <v>1</v>
      </c>
      <c r="AL346" s="39" t="s">
        <v>82</v>
      </c>
      <c r="AM346" s="39" t="s">
        <v>1333</v>
      </c>
      <c r="AN346" s="39">
        <v>53.04</v>
      </c>
      <c r="AO346" s="39">
        <v>1</v>
      </c>
      <c r="AP346" s="39">
        <f t="shared" si="121"/>
        <v>53.04</v>
      </c>
      <c r="AQ346" s="39">
        <v>18.27</v>
      </c>
      <c r="AR346" s="39">
        <v>12.77</v>
      </c>
      <c r="AS346" s="39">
        <v>132.4</v>
      </c>
      <c r="AT346" s="39" t="s">
        <v>107</v>
      </c>
      <c r="AU346" s="39" t="s">
        <v>109</v>
      </c>
      <c r="AV346" s="39" t="s">
        <v>133</v>
      </c>
      <c r="AW346" s="39" t="s">
        <v>85</v>
      </c>
      <c r="AX346" s="39" t="s">
        <v>86</v>
      </c>
      <c r="AY346" s="39">
        <v>0</v>
      </c>
      <c r="AZ346" s="39">
        <v>0</v>
      </c>
      <c r="BA346" s="39" t="s">
        <v>87</v>
      </c>
      <c r="BB346" s="39" t="s">
        <v>134</v>
      </c>
      <c r="BC346" s="39" t="s">
        <v>89</v>
      </c>
      <c r="BD346" s="39" t="s">
        <v>134</v>
      </c>
      <c r="BE346" s="39" t="s">
        <v>902</v>
      </c>
      <c r="BF346" s="39">
        <v>553.27</v>
      </c>
      <c r="BG346" s="39">
        <v>1</v>
      </c>
      <c r="BH346" s="39">
        <v>1781.61</v>
      </c>
      <c r="BI346" s="39">
        <v>0.1</v>
      </c>
      <c r="BJ346" s="39">
        <v>22690.799999999999</v>
      </c>
      <c r="BK346" s="39" t="s">
        <v>91</v>
      </c>
      <c r="BL346" s="39" t="s">
        <v>116</v>
      </c>
      <c r="BM346" s="39">
        <v>1</v>
      </c>
      <c r="BN346" s="39" t="s">
        <v>428</v>
      </c>
      <c r="BO346" s="39" t="s">
        <v>428</v>
      </c>
      <c r="BP346" s="39" t="s">
        <v>312</v>
      </c>
      <c r="BQ346" s="39" t="s">
        <v>117</v>
      </c>
      <c r="BR346" s="39" t="s">
        <v>134</v>
      </c>
      <c r="BS346" s="39" t="s">
        <v>312</v>
      </c>
      <c r="BT346" s="39" t="s">
        <v>312</v>
      </c>
      <c r="BU346" s="39">
        <v>2007</v>
      </c>
      <c r="BV346" s="39">
        <v>2016</v>
      </c>
      <c r="BW346" s="39" t="s">
        <v>901</v>
      </c>
      <c r="BX346" s="39" t="s">
        <v>95</v>
      </c>
      <c r="BY346" s="39" t="s">
        <v>748</v>
      </c>
      <c r="BZ346" s="39">
        <v>1</v>
      </c>
      <c r="CA346" s="39">
        <v>1</v>
      </c>
      <c r="CB346" s="39" t="s">
        <v>993</v>
      </c>
      <c r="CC346" s="39" t="s">
        <v>903</v>
      </c>
      <c r="CD346" s="39">
        <v>1</v>
      </c>
      <c r="CE346" s="39" t="s">
        <v>906</v>
      </c>
      <c r="CF346" s="39">
        <v>0</v>
      </c>
      <c r="CG346" s="39" t="s">
        <v>97</v>
      </c>
      <c r="CH346" s="39">
        <v>0</v>
      </c>
      <c r="CI346" s="39" t="s">
        <v>116</v>
      </c>
      <c r="CJ346" s="39" t="s">
        <v>98</v>
      </c>
      <c r="CK346" s="39">
        <v>35</v>
      </c>
      <c r="CL346" s="39">
        <v>0</v>
      </c>
      <c r="CM346" s="39">
        <v>0</v>
      </c>
      <c r="CN346" s="39" t="s">
        <v>99</v>
      </c>
      <c r="CO346" s="39" t="s">
        <v>946</v>
      </c>
      <c r="CP346" s="39" t="s">
        <v>100</v>
      </c>
      <c r="CQ346" s="39" t="s">
        <v>126</v>
      </c>
      <c r="CR346" s="42">
        <v>46223</v>
      </c>
      <c r="CT346" s="39" t="s">
        <v>934</v>
      </c>
    </row>
    <row r="347" spans="1:98" s="39" customFormat="1" x14ac:dyDescent="0.35">
      <c r="A347" s="38" t="s">
        <v>896</v>
      </c>
      <c r="B347" s="38" t="s">
        <v>929</v>
      </c>
      <c r="C347" s="39" t="s">
        <v>897</v>
      </c>
      <c r="D347" s="39">
        <v>2025</v>
      </c>
      <c r="E347" s="40" t="s">
        <v>898</v>
      </c>
      <c r="F347" s="38" t="s">
        <v>899</v>
      </c>
      <c r="G347" s="39" t="s">
        <v>78</v>
      </c>
      <c r="H347" s="39">
        <v>1</v>
      </c>
      <c r="I347" s="39" t="s">
        <v>290</v>
      </c>
      <c r="J347" s="39" t="s">
        <v>900</v>
      </c>
      <c r="K347" s="39">
        <v>0</v>
      </c>
      <c r="L347" s="39" t="s">
        <v>104</v>
      </c>
      <c r="M347" s="39" t="s">
        <v>380</v>
      </c>
      <c r="N347" s="39">
        <v>-2.3E-2</v>
      </c>
      <c r="O347" s="39">
        <v>5.7999999999999996E-3</v>
      </c>
      <c r="P347" s="90">
        <f t="shared" si="130"/>
        <v>-3.9655172413793105</v>
      </c>
      <c r="Q347" s="39" t="s">
        <v>312</v>
      </c>
      <c r="R347" s="90">
        <f t="shared" si="131"/>
        <v>-3.4367999999999996E-2</v>
      </c>
      <c r="S347" s="90">
        <f t="shared" si="132"/>
        <v>-1.1632E-2</v>
      </c>
      <c r="T347" s="39">
        <v>1</v>
      </c>
      <c r="U347" s="39">
        <v>286319</v>
      </c>
      <c r="V347" s="39">
        <v>11</v>
      </c>
      <c r="W347" s="39">
        <v>1</v>
      </c>
      <c r="X347" s="39">
        <f t="shared" si="133"/>
        <v>286308</v>
      </c>
      <c r="Y347" s="90">
        <f t="shared" si="134"/>
        <v>-7.4109037775461238E-3</v>
      </c>
      <c r="Z347" s="90">
        <f t="shared" si="135"/>
        <v>1.8688366047725008E-3</v>
      </c>
      <c r="AA347" s="90">
        <f t="shared" si="136"/>
        <v>-7.4109037775461238E-3</v>
      </c>
      <c r="AB347" s="39" t="s">
        <v>81</v>
      </c>
      <c r="AC347" s="90">
        <f t="shared" si="140"/>
        <v>-1.2199199999999999</v>
      </c>
      <c r="AD347" s="90" cm="1">
        <f t="array" ref="AD347">_xlfn.IFS(
AND(L347="marginal_effect",M347="level"),N347*AN347/BF347,
AND(L347="marginal_effect",M347="sd (Y)"),N347*BH347*AN347/BF347,
AND(L347="marginal_effect",M347="sd (X)"),N347/AQ347*AN347/BF347,
AND(L347="semi_elasticity",M347="level"),N347*AN347,
AND(L347="semi_elasticity",M347="sd (Y)"),N347*AN347*BH347,
AND(L347="semi_elasticity",M347="sd (X)"),N347*AN347/AQ347,
AND(L347="level-log",M347="level"),N347/BF347,
AND(L347="level-log",M347="sd (X)"),N347/BF347/AQ347,
AND(L347="level-log",M347="sd (Y)"),N347/BF347*BH347,
AND(L347="elasticity",M347="level"),N347,
AND(L347="elasticity",M347="sd (X)"),N347/AQ347,
AND(L347="elasticity",M347="sd (Y)"),N347*BH347,
AND(L347="marginal_effect",M347="percent_of_mean"),N347*AN347/BF347/10)</f>
        <v>-1.2199199999999999</v>
      </c>
      <c r="AE347" s="41">
        <f t="shared" si="138"/>
        <v>1</v>
      </c>
      <c r="AF347" s="90">
        <f t="shared" si="141"/>
        <v>0.30763199999999996</v>
      </c>
      <c r="AG347" s="90" cm="1">
        <f t="array" ref="AG347">_xlfn.IFS(
AND(L347="marginal_effect",M347="level"),O347*AN347/BF347,
AND(L347="marginal_effect",M347="sd (Y)"),O347*BH347*AN347/BF347,
AND(L347="marginal_effect",M347="sd (X)"),O347/AQ347*AN347/BF347,
AND(L347="semi_elasticity",M347="level"),O347*AN347,
AND(L347="semi_elasticity",M347="sd (Y)"),O347*AN347*BH347,
AND(L347="semi_elasticity",M347="sd (X)"),O347*AN347/AQ347,
AND(L347="level-log",M347="level"),O347/BF347,
AND(L347="level-log",M347="sd (X)"),O347/BF347/AQ347,
AND(L347="level-log",M347="sd (Y)"),O347/BF347*BH347,
AND(L347="elasticity",M347="level"),O347,
AND(L347="elasticity",M347="sd (X)"),O347/AQ347,
AND(L347="elasticity",M347="sd (Y)"),O347*BH347,
AND(L347="marginal_effect",M347="percent_of_mean"),O347*AN347/BF347/10)</f>
        <v>0.30763199999999996</v>
      </c>
      <c r="AH347" s="41">
        <f t="shared" si="139"/>
        <v>1</v>
      </c>
      <c r="AI347" s="90">
        <f t="shared" si="129"/>
        <v>-1.2199199999999999</v>
      </c>
      <c r="AJ347" s="39">
        <v>0</v>
      </c>
      <c r="AK347" s="39">
        <f t="shared" si="137"/>
        <v>1</v>
      </c>
      <c r="AL347" s="39" t="s">
        <v>82</v>
      </c>
      <c r="AM347" s="39" t="s">
        <v>1333</v>
      </c>
      <c r="AN347" s="39">
        <v>53.04</v>
      </c>
      <c r="AO347" s="39">
        <v>1</v>
      </c>
      <c r="AP347" s="39">
        <f t="shared" si="121"/>
        <v>53.04</v>
      </c>
      <c r="AQ347" s="39">
        <v>18.27</v>
      </c>
      <c r="AR347" s="39">
        <v>12.77</v>
      </c>
      <c r="AS347" s="39">
        <v>132.4</v>
      </c>
      <c r="AT347" s="39" t="s">
        <v>107</v>
      </c>
      <c r="AU347" s="39" t="s">
        <v>109</v>
      </c>
      <c r="AV347" s="39" t="s">
        <v>133</v>
      </c>
      <c r="AW347" s="39" t="s">
        <v>85</v>
      </c>
      <c r="AX347" s="39" t="s">
        <v>86</v>
      </c>
      <c r="AY347" s="39">
        <v>0</v>
      </c>
      <c r="AZ347" s="39">
        <v>0</v>
      </c>
      <c r="BA347" s="39" t="s">
        <v>87</v>
      </c>
      <c r="BB347" s="39" t="s">
        <v>134</v>
      </c>
      <c r="BC347" s="39" t="s">
        <v>89</v>
      </c>
      <c r="BD347" s="39" t="s">
        <v>134</v>
      </c>
      <c r="BE347" s="39" t="s">
        <v>902</v>
      </c>
      <c r="BF347" s="39">
        <v>553.27</v>
      </c>
      <c r="BG347" s="39">
        <v>1</v>
      </c>
      <c r="BH347" s="39">
        <v>1781.61</v>
      </c>
      <c r="BI347" s="39">
        <v>0.1</v>
      </c>
      <c r="BJ347" s="39">
        <v>22690.799999999999</v>
      </c>
      <c r="BK347" s="39" t="s">
        <v>91</v>
      </c>
      <c r="BL347" s="39" t="s">
        <v>116</v>
      </c>
      <c r="BM347" s="39">
        <v>1</v>
      </c>
      <c r="BN347" s="39" t="s">
        <v>428</v>
      </c>
      <c r="BO347" s="39" t="s">
        <v>428</v>
      </c>
      <c r="BP347" s="39" t="s">
        <v>312</v>
      </c>
      <c r="BQ347" s="39" t="s">
        <v>117</v>
      </c>
      <c r="BR347" s="39" t="s">
        <v>134</v>
      </c>
      <c r="BS347" s="39" t="s">
        <v>312</v>
      </c>
      <c r="BT347" s="39" t="s">
        <v>312</v>
      </c>
      <c r="BU347" s="39">
        <v>2007</v>
      </c>
      <c r="BV347" s="39">
        <v>2016</v>
      </c>
      <c r="BW347" s="39" t="s">
        <v>901</v>
      </c>
      <c r="BX347" s="39" t="s">
        <v>95</v>
      </c>
      <c r="BY347" s="39" t="s">
        <v>748</v>
      </c>
      <c r="BZ347" s="39">
        <v>1</v>
      </c>
      <c r="CA347" s="39">
        <v>1</v>
      </c>
      <c r="CB347" s="39" t="s">
        <v>993</v>
      </c>
      <c r="CC347" s="39" t="s">
        <v>903</v>
      </c>
      <c r="CD347" s="39">
        <v>1</v>
      </c>
      <c r="CE347" s="39" t="s">
        <v>906</v>
      </c>
      <c r="CF347" s="39">
        <v>0</v>
      </c>
      <c r="CG347" s="39" t="s">
        <v>97</v>
      </c>
      <c r="CH347" s="39">
        <v>0</v>
      </c>
      <c r="CI347" s="39" t="s">
        <v>116</v>
      </c>
      <c r="CJ347" s="39" t="s">
        <v>98</v>
      </c>
      <c r="CK347" s="39">
        <v>35</v>
      </c>
      <c r="CL347" s="39">
        <v>0</v>
      </c>
      <c r="CM347" s="39">
        <v>0</v>
      </c>
      <c r="CN347" s="39" t="s">
        <v>99</v>
      </c>
      <c r="CO347" s="39" t="s">
        <v>946</v>
      </c>
      <c r="CP347" s="39" t="s">
        <v>100</v>
      </c>
      <c r="CQ347" s="39" t="s">
        <v>126</v>
      </c>
      <c r="CR347" s="42">
        <v>46223</v>
      </c>
      <c r="CT347" s="39" t="s">
        <v>935</v>
      </c>
    </row>
    <row r="348" spans="1:98" s="39" customFormat="1" x14ac:dyDescent="0.35">
      <c r="A348" s="38" t="s">
        <v>896</v>
      </c>
      <c r="B348" s="38" t="s">
        <v>931</v>
      </c>
      <c r="C348" s="39" t="s">
        <v>897</v>
      </c>
      <c r="D348" s="39">
        <v>2025</v>
      </c>
      <c r="E348" s="40" t="s">
        <v>898</v>
      </c>
      <c r="F348" s="38" t="s">
        <v>899</v>
      </c>
      <c r="G348" s="39" t="s">
        <v>78</v>
      </c>
      <c r="H348" s="39">
        <v>1</v>
      </c>
      <c r="I348" s="39" t="s">
        <v>290</v>
      </c>
      <c r="J348" s="39" t="s">
        <v>900</v>
      </c>
      <c r="K348" s="39">
        <v>0</v>
      </c>
      <c r="L348" s="39" t="s">
        <v>104</v>
      </c>
      <c r="M348" s="39" t="s">
        <v>380</v>
      </c>
      <c r="N348" s="39">
        <v>-2.5100000000000001E-2</v>
      </c>
      <c r="O348" s="39">
        <v>6.1999999999999998E-3</v>
      </c>
      <c r="P348" s="90">
        <f t="shared" si="130"/>
        <v>-4.0483870967741939</v>
      </c>
      <c r="Q348" s="39" t="s">
        <v>312</v>
      </c>
      <c r="R348" s="90">
        <f t="shared" si="131"/>
        <v>-3.7252E-2</v>
      </c>
      <c r="S348" s="90">
        <f t="shared" si="132"/>
        <v>-1.2948000000000001E-2</v>
      </c>
      <c r="T348" s="39">
        <v>1</v>
      </c>
      <c r="U348" s="39">
        <v>254564</v>
      </c>
      <c r="V348" s="39">
        <v>11</v>
      </c>
      <c r="W348" s="39">
        <v>1</v>
      </c>
      <c r="X348" s="39">
        <f t="shared" si="133"/>
        <v>254553</v>
      </c>
      <c r="Y348" s="90">
        <f t="shared" si="134"/>
        <v>-8.0237786889216615E-3</v>
      </c>
      <c r="Z348" s="90">
        <f t="shared" si="135"/>
        <v>1.9819692379009681E-3</v>
      </c>
      <c r="AA348" s="90">
        <f t="shared" si="136"/>
        <v>-8.0237786889216615E-3</v>
      </c>
      <c r="AB348" s="39" t="s">
        <v>81</v>
      </c>
      <c r="AC348" s="90">
        <f t="shared" si="140"/>
        <v>-1.331304</v>
      </c>
      <c r="AD348" s="90" cm="1">
        <f t="array" ref="AD348">_xlfn.IFS(
AND(L348="marginal_effect",M348="level"),N348*AN348/BF348,
AND(L348="marginal_effect",M348="sd (Y)"),N348*BH348*AN348/BF348,
AND(L348="marginal_effect",M348="sd (X)"),N348/AQ348*AN348/BF348,
AND(L348="semi_elasticity",M348="level"),N348*AN348,
AND(L348="semi_elasticity",M348="sd (Y)"),N348*AN348*BH348,
AND(L348="semi_elasticity",M348="sd (X)"),N348*AN348/AQ348,
AND(L348="level-log",M348="level"),N348/BF348,
AND(L348="level-log",M348="sd (X)"),N348/BF348/AQ348,
AND(L348="level-log",M348="sd (Y)"),N348/BF348*BH348,
AND(L348="elasticity",M348="level"),N348,
AND(L348="elasticity",M348="sd (X)"),N348/AQ348,
AND(L348="elasticity",M348="sd (Y)"),N348*BH348,
AND(L348="marginal_effect",M348="percent_of_mean"),N348*AN348/BF348/10)</f>
        <v>-1.331304</v>
      </c>
      <c r="AE348" s="41">
        <f t="shared" si="138"/>
        <v>1</v>
      </c>
      <c r="AF348" s="90">
        <f t="shared" si="141"/>
        <v>0.32884799999999997</v>
      </c>
      <c r="AG348" s="90" cm="1">
        <f t="array" ref="AG348">_xlfn.IFS(
AND(L348="marginal_effect",M348="level"),O348*AN348/BF348,
AND(L348="marginal_effect",M348="sd (Y)"),O348*BH348*AN348/BF348,
AND(L348="marginal_effect",M348="sd (X)"),O348/AQ348*AN348/BF348,
AND(L348="semi_elasticity",M348="level"),O348*AN348,
AND(L348="semi_elasticity",M348="sd (Y)"),O348*AN348*BH348,
AND(L348="semi_elasticity",M348="sd (X)"),O348*AN348/AQ348,
AND(L348="level-log",M348="level"),O348/BF348,
AND(L348="level-log",M348="sd (X)"),O348/BF348/AQ348,
AND(L348="level-log",M348="sd (Y)"),O348/BF348*BH348,
AND(L348="elasticity",M348="level"),O348,
AND(L348="elasticity",M348="sd (X)"),O348/AQ348,
AND(L348="elasticity",M348="sd (Y)"),O348*BH348,
AND(L348="marginal_effect",M348="percent_of_mean"),O348*AN348/BF348/10)</f>
        <v>0.32884799999999997</v>
      </c>
      <c r="AH348" s="41">
        <f t="shared" si="139"/>
        <v>1</v>
      </c>
      <c r="AI348" s="90">
        <f t="shared" si="129"/>
        <v>-1.331304</v>
      </c>
      <c r="AJ348" s="39">
        <v>0</v>
      </c>
      <c r="AK348" s="39">
        <f t="shared" si="137"/>
        <v>1</v>
      </c>
      <c r="AL348" s="39" t="s">
        <v>82</v>
      </c>
      <c r="AM348" s="39" t="s">
        <v>1333</v>
      </c>
      <c r="AN348" s="39">
        <v>53.04</v>
      </c>
      <c r="AO348" s="39">
        <v>1</v>
      </c>
      <c r="AP348" s="39">
        <f t="shared" si="121"/>
        <v>53.04</v>
      </c>
      <c r="AQ348" s="39">
        <v>18.27</v>
      </c>
      <c r="AR348" s="39">
        <v>12.77</v>
      </c>
      <c r="AS348" s="39">
        <v>132.4</v>
      </c>
      <c r="AT348" s="39" t="s">
        <v>107</v>
      </c>
      <c r="AU348" s="39" t="s">
        <v>109</v>
      </c>
      <c r="AV348" s="39" t="s">
        <v>133</v>
      </c>
      <c r="AW348" s="39" t="s">
        <v>85</v>
      </c>
      <c r="AX348" s="39" t="s">
        <v>86</v>
      </c>
      <c r="AY348" s="39">
        <v>0</v>
      </c>
      <c r="AZ348" s="39">
        <v>0</v>
      </c>
      <c r="BA348" s="39" t="s">
        <v>87</v>
      </c>
      <c r="BB348" s="39" t="s">
        <v>134</v>
      </c>
      <c r="BC348" s="39" t="s">
        <v>89</v>
      </c>
      <c r="BD348" s="39" t="s">
        <v>134</v>
      </c>
      <c r="BE348" s="39" t="s">
        <v>902</v>
      </c>
      <c r="BF348" s="39">
        <v>553.27</v>
      </c>
      <c r="BG348" s="39">
        <v>1</v>
      </c>
      <c r="BH348" s="39">
        <v>1781.61</v>
      </c>
      <c r="BI348" s="39">
        <v>0.1</v>
      </c>
      <c r="BJ348" s="39">
        <v>22690.799999999999</v>
      </c>
      <c r="BK348" s="39" t="s">
        <v>91</v>
      </c>
      <c r="BL348" s="39" t="s">
        <v>116</v>
      </c>
      <c r="BM348" s="39">
        <v>1</v>
      </c>
      <c r="BN348" s="39" t="s">
        <v>428</v>
      </c>
      <c r="BO348" s="39" t="s">
        <v>428</v>
      </c>
      <c r="BP348" s="39" t="s">
        <v>312</v>
      </c>
      <c r="BQ348" s="39" t="s">
        <v>117</v>
      </c>
      <c r="BR348" s="39" t="s">
        <v>134</v>
      </c>
      <c r="BS348" s="39" t="s">
        <v>312</v>
      </c>
      <c r="BT348" s="39" t="s">
        <v>312</v>
      </c>
      <c r="BU348" s="39">
        <v>2007</v>
      </c>
      <c r="BV348" s="39">
        <v>2016</v>
      </c>
      <c r="BW348" s="39" t="s">
        <v>901</v>
      </c>
      <c r="BX348" s="39" t="s">
        <v>95</v>
      </c>
      <c r="BY348" s="39" t="s">
        <v>748</v>
      </c>
      <c r="BZ348" s="39">
        <v>1</v>
      </c>
      <c r="CA348" s="39">
        <v>1</v>
      </c>
      <c r="CB348" s="39" t="s">
        <v>993</v>
      </c>
      <c r="CC348" s="39" t="s">
        <v>903</v>
      </c>
      <c r="CD348" s="39">
        <v>1</v>
      </c>
      <c r="CE348" s="39" t="s">
        <v>906</v>
      </c>
      <c r="CF348" s="39">
        <v>0</v>
      </c>
      <c r="CG348" s="39" t="s">
        <v>97</v>
      </c>
      <c r="CH348" s="39">
        <v>0</v>
      </c>
      <c r="CI348" s="39" t="s">
        <v>116</v>
      </c>
      <c r="CJ348" s="39" t="s">
        <v>98</v>
      </c>
      <c r="CK348" s="39">
        <v>35</v>
      </c>
      <c r="CL348" s="39">
        <v>0</v>
      </c>
      <c r="CM348" s="39">
        <v>0</v>
      </c>
      <c r="CN348" s="39" t="s">
        <v>99</v>
      </c>
      <c r="CO348" s="39" t="s">
        <v>1394</v>
      </c>
      <c r="CP348" s="39" t="s">
        <v>100</v>
      </c>
      <c r="CQ348" s="39" t="s">
        <v>126</v>
      </c>
      <c r="CR348" s="42">
        <v>46223</v>
      </c>
      <c r="CT348" s="39" t="s">
        <v>936</v>
      </c>
    </row>
    <row r="349" spans="1:98" s="39" customFormat="1" x14ac:dyDescent="0.35">
      <c r="A349" s="38" t="s">
        <v>896</v>
      </c>
      <c r="B349" s="38" t="s">
        <v>930</v>
      </c>
      <c r="C349" s="39" t="s">
        <v>897</v>
      </c>
      <c r="D349" s="39">
        <v>2025</v>
      </c>
      <c r="E349" s="40" t="s">
        <v>898</v>
      </c>
      <c r="F349" s="38" t="s">
        <v>899</v>
      </c>
      <c r="G349" s="39" t="s">
        <v>78</v>
      </c>
      <c r="H349" s="39">
        <v>1</v>
      </c>
      <c r="I349" s="39" t="s">
        <v>290</v>
      </c>
      <c r="J349" s="39" t="s">
        <v>900</v>
      </c>
      <c r="K349" s="39">
        <v>0</v>
      </c>
      <c r="L349" s="39" t="s">
        <v>104</v>
      </c>
      <c r="M349" s="39" t="s">
        <v>380</v>
      </c>
      <c r="N349" s="39">
        <v>-1.34E-2</v>
      </c>
      <c r="O349" s="39">
        <v>1.8200000000000001E-2</v>
      </c>
      <c r="P349" s="90">
        <f t="shared" si="130"/>
        <v>-0.7362637362637362</v>
      </c>
      <c r="Q349" s="39" t="s">
        <v>312</v>
      </c>
      <c r="R349" s="90">
        <f t="shared" si="131"/>
        <v>-4.9072000000000005E-2</v>
      </c>
      <c r="S349" s="90">
        <f t="shared" si="132"/>
        <v>2.2272E-2</v>
      </c>
      <c r="T349" s="39">
        <v>1</v>
      </c>
      <c r="U349" s="39">
        <v>38108</v>
      </c>
      <c r="V349" s="39">
        <v>11</v>
      </c>
      <c r="W349" s="39">
        <v>1</v>
      </c>
      <c r="X349" s="39">
        <f t="shared" si="133"/>
        <v>38097</v>
      </c>
      <c r="Y349" s="90">
        <f t="shared" si="134"/>
        <v>-3.7721150616352333E-3</v>
      </c>
      <c r="Z349" s="90">
        <f t="shared" si="135"/>
        <v>5.1233204568478545E-3</v>
      </c>
      <c r="AA349" s="90">
        <f t="shared" si="136"/>
        <v>-3.7721150616352333E-3</v>
      </c>
      <c r="AB349" s="39" t="s">
        <v>81</v>
      </c>
      <c r="AC349" s="90">
        <f t="shared" si="140"/>
        <v>-0.71073600000000003</v>
      </c>
      <c r="AD349" s="90" cm="1">
        <f t="array" ref="AD349">_xlfn.IFS(
AND(L349="marginal_effect",M349="level"),N349*AN349/BF349,
AND(L349="marginal_effect",M349="sd (Y)"),N349*BH349*AN349/BF349,
AND(L349="marginal_effect",M349="sd (X)"),N349/AQ349*AN349/BF349,
AND(L349="semi_elasticity",M349="level"),N349*AN349,
AND(L349="semi_elasticity",M349="sd (Y)"),N349*AN349*BH349,
AND(L349="semi_elasticity",M349="sd (X)"),N349*AN349/AQ349,
AND(L349="level-log",M349="level"),N349/BF349,
AND(L349="level-log",M349="sd (X)"),N349/BF349/AQ349,
AND(L349="level-log",M349="sd (Y)"),N349/BF349*BH349,
AND(L349="elasticity",M349="level"),N349,
AND(L349="elasticity",M349="sd (X)"),N349/AQ349,
AND(L349="elasticity",M349="sd (Y)"),N349*BH349,
AND(L349="marginal_effect",M349="percent_of_mean"),N349*AN349/BF349/10)</f>
        <v>-0.71073600000000003</v>
      </c>
      <c r="AE349" s="41">
        <f t="shared" si="138"/>
        <v>1</v>
      </c>
      <c r="AF349" s="90">
        <f t="shared" si="141"/>
        <v>0.96532800000000007</v>
      </c>
      <c r="AG349" s="90" cm="1">
        <f t="array" ref="AG349">_xlfn.IFS(
AND(L349="marginal_effect",M349="level"),O349*AN349/BF349,
AND(L349="marginal_effect",M349="sd (Y)"),O349*BH349*AN349/BF349,
AND(L349="marginal_effect",M349="sd (X)"),O349/AQ349*AN349/BF349,
AND(L349="semi_elasticity",M349="level"),O349*AN349,
AND(L349="semi_elasticity",M349="sd (Y)"),O349*AN349*BH349,
AND(L349="semi_elasticity",M349="sd (X)"),O349*AN349/AQ349,
AND(L349="level-log",M349="level"),O349/BF349,
AND(L349="level-log",M349="sd (X)"),O349/BF349/AQ349,
AND(L349="level-log",M349="sd (Y)"),O349/BF349*BH349,
AND(L349="elasticity",M349="level"),O349,
AND(L349="elasticity",M349="sd (X)"),O349/AQ349,
AND(L349="elasticity",M349="sd (Y)"),O349*BH349,
AND(L349="marginal_effect",M349="percent_of_mean"),O349*AN349/BF349/10)</f>
        <v>0.96532800000000007</v>
      </c>
      <c r="AH349" s="41">
        <f t="shared" si="139"/>
        <v>1</v>
      </c>
      <c r="AI349" s="90">
        <f t="shared" si="129"/>
        <v>-0.71073600000000003</v>
      </c>
      <c r="AJ349" s="39">
        <v>0</v>
      </c>
      <c r="AK349" s="39">
        <f t="shared" si="137"/>
        <v>1</v>
      </c>
      <c r="AL349" s="39" t="s">
        <v>82</v>
      </c>
      <c r="AM349" s="39" t="s">
        <v>1333</v>
      </c>
      <c r="AN349" s="39">
        <v>53.04</v>
      </c>
      <c r="AO349" s="39">
        <v>1</v>
      </c>
      <c r="AP349" s="39">
        <f t="shared" si="121"/>
        <v>53.04</v>
      </c>
      <c r="AQ349" s="39">
        <v>18.27</v>
      </c>
      <c r="AR349" s="39">
        <v>12.77</v>
      </c>
      <c r="AS349" s="39">
        <v>132.4</v>
      </c>
      <c r="AT349" s="39" t="s">
        <v>107</v>
      </c>
      <c r="AU349" s="39" t="s">
        <v>109</v>
      </c>
      <c r="AV349" s="39" t="s">
        <v>133</v>
      </c>
      <c r="AW349" s="39" t="s">
        <v>85</v>
      </c>
      <c r="AX349" s="39" t="s">
        <v>86</v>
      </c>
      <c r="AY349" s="39">
        <v>0</v>
      </c>
      <c r="AZ349" s="39">
        <v>0</v>
      </c>
      <c r="BA349" s="39" t="s">
        <v>87</v>
      </c>
      <c r="BB349" s="39" t="s">
        <v>134</v>
      </c>
      <c r="BC349" s="39" t="s">
        <v>89</v>
      </c>
      <c r="BD349" s="39" t="s">
        <v>134</v>
      </c>
      <c r="BE349" s="39" t="s">
        <v>902</v>
      </c>
      <c r="BF349" s="39">
        <v>553.27</v>
      </c>
      <c r="BG349" s="39">
        <v>1</v>
      </c>
      <c r="BH349" s="39">
        <v>1781.61</v>
      </c>
      <c r="BI349" s="39">
        <v>0.1</v>
      </c>
      <c r="BJ349" s="39">
        <v>22690.799999999999</v>
      </c>
      <c r="BK349" s="39" t="s">
        <v>91</v>
      </c>
      <c r="BL349" s="39" t="s">
        <v>116</v>
      </c>
      <c r="BM349" s="39">
        <v>1</v>
      </c>
      <c r="BN349" s="39" t="s">
        <v>428</v>
      </c>
      <c r="BO349" s="39" t="s">
        <v>428</v>
      </c>
      <c r="BP349" s="39" t="s">
        <v>312</v>
      </c>
      <c r="BQ349" s="39" t="s">
        <v>117</v>
      </c>
      <c r="BR349" s="39" t="s">
        <v>134</v>
      </c>
      <c r="BS349" s="39" t="s">
        <v>312</v>
      </c>
      <c r="BT349" s="39" t="s">
        <v>312</v>
      </c>
      <c r="BU349" s="39">
        <v>2007</v>
      </c>
      <c r="BV349" s="39">
        <v>2016</v>
      </c>
      <c r="BW349" s="39" t="s">
        <v>901</v>
      </c>
      <c r="BX349" s="39" t="s">
        <v>95</v>
      </c>
      <c r="BY349" s="39" t="s">
        <v>748</v>
      </c>
      <c r="BZ349" s="39">
        <v>1</v>
      </c>
      <c r="CA349" s="39">
        <v>1</v>
      </c>
      <c r="CB349" s="39" t="s">
        <v>993</v>
      </c>
      <c r="CC349" s="39" t="s">
        <v>903</v>
      </c>
      <c r="CD349" s="39">
        <v>1</v>
      </c>
      <c r="CE349" s="39" t="s">
        <v>906</v>
      </c>
      <c r="CF349" s="39">
        <v>0</v>
      </c>
      <c r="CG349" s="39" t="s">
        <v>97</v>
      </c>
      <c r="CH349" s="39">
        <v>0</v>
      </c>
      <c r="CI349" s="39" t="s">
        <v>116</v>
      </c>
      <c r="CJ349" s="39" t="s">
        <v>98</v>
      </c>
      <c r="CK349" s="39">
        <v>35</v>
      </c>
      <c r="CL349" s="39">
        <v>0</v>
      </c>
      <c r="CM349" s="39">
        <v>0</v>
      </c>
      <c r="CN349" s="39" t="s">
        <v>99</v>
      </c>
      <c r="CO349" s="39" t="s">
        <v>1394</v>
      </c>
      <c r="CP349" s="39" t="s">
        <v>100</v>
      </c>
      <c r="CQ349" s="39" t="s">
        <v>126</v>
      </c>
      <c r="CR349" s="42">
        <v>46223</v>
      </c>
      <c r="CT349" s="39" t="s">
        <v>937</v>
      </c>
    </row>
    <row r="350" spans="1:98" s="39" customFormat="1" x14ac:dyDescent="0.35">
      <c r="A350" s="38" t="s">
        <v>896</v>
      </c>
      <c r="B350" s="38" t="s">
        <v>977</v>
      </c>
      <c r="C350" s="39" t="s">
        <v>897</v>
      </c>
      <c r="D350" s="39">
        <v>2025</v>
      </c>
      <c r="E350" s="40" t="s">
        <v>898</v>
      </c>
      <c r="F350" s="38" t="s">
        <v>899</v>
      </c>
      <c r="G350" s="39" t="s">
        <v>78</v>
      </c>
      <c r="H350" s="39">
        <v>1</v>
      </c>
      <c r="I350" s="39" t="s">
        <v>290</v>
      </c>
      <c r="J350" s="39" t="s">
        <v>900</v>
      </c>
      <c r="K350" s="39">
        <v>0</v>
      </c>
      <c r="L350" s="39" t="s">
        <v>104</v>
      </c>
      <c r="M350" s="39" t="s">
        <v>380</v>
      </c>
      <c r="N350" s="39">
        <v>-3.5700000000000003E-2</v>
      </c>
      <c r="O350" s="39">
        <v>7.7999999999999996E-3</v>
      </c>
      <c r="P350" s="90">
        <f t="shared" si="130"/>
        <v>-4.5769230769230775</v>
      </c>
      <c r="Q350" s="39" t="s">
        <v>312</v>
      </c>
      <c r="R350" s="90">
        <f t="shared" si="131"/>
        <v>-5.0988000000000006E-2</v>
      </c>
      <c r="S350" s="90">
        <f t="shared" si="132"/>
        <v>-2.0412000000000003E-2</v>
      </c>
      <c r="T350" s="39">
        <v>1</v>
      </c>
      <c r="U350" s="39">
        <v>304550</v>
      </c>
      <c r="V350" s="39">
        <v>11</v>
      </c>
      <c r="W350" s="39">
        <v>1</v>
      </c>
      <c r="X350" s="39">
        <f t="shared" si="133"/>
        <v>304539</v>
      </c>
      <c r="Y350" s="90">
        <f t="shared" si="134"/>
        <v>-8.2934879585098605E-3</v>
      </c>
      <c r="Z350" s="90">
        <f t="shared" si="135"/>
        <v>1.8120225791702215E-3</v>
      </c>
      <c r="AA350" s="90">
        <f t="shared" si="136"/>
        <v>-8.2934879585098605E-3</v>
      </c>
      <c r="AB350" s="39" t="s">
        <v>81</v>
      </c>
      <c r="AC350" s="90">
        <f t="shared" si="140"/>
        <v>-1.8935280000000001</v>
      </c>
      <c r="AD350" s="90" cm="1">
        <f t="array" ref="AD350">_xlfn.IFS(
AND(L350="marginal_effect",M350="level"),N350*AN350/BF350,
AND(L350="marginal_effect",M350="sd (Y)"),N350*BH350*AN350/BF350,
AND(L350="marginal_effect",M350="sd (X)"),N350/AQ350*AN350/BF350,
AND(L350="semi_elasticity",M350="level"),N350*AN350,
AND(L350="semi_elasticity",M350="sd (Y)"),N350*AN350*BH350,
AND(L350="semi_elasticity",M350="sd (X)"),N350*AN350/AQ350,
AND(L350="level-log",M350="level"),N350/BF350,
AND(L350="level-log",M350="sd (X)"),N350/BF350/AQ350,
AND(L350="level-log",M350="sd (Y)"),N350/BF350*BH350,
AND(L350="elasticity",M350="level"),N350,
AND(L350="elasticity",M350="sd (X)"),N350/AQ350,
AND(L350="elasticity",M350="sd (Y)"),N350*BH350,
AND(L350="marginal_effect",M350="percent_of_mean"),N350*AN350/BF350/10)</f>
        <v>-1.8935280000000001</v>
      </c>
      <c r="AE350" s="41">
        <f t="shared" si="138"/>
        <v>1</v>
      </c>
      <c r="AF350" s="90">
        <f t="shared" si="141"/>
        <v>0.41371199999999997</v>
      </c>
      <c r="AG350" s="90" cm="1">
        <f t="array" ref="AG350">_xlfn.IFS(
AND(L350="marginal_effect",M350="level"),O350*AN350/BF350,
AND(L350="marginal_effect",M350="sd (Y)"),O350*BH350*AN350/BF350,
AND(L350="marginal_effect",M350="sd (X)"),O350/AQ350*AN350/BF350,
AND(L350="semi_elasticity",M350="level"),O350*AN350,
AND(L350="semi_elasticity",M350="sd (Y)"),O350*AN350*BH350,
AND(L350="semi_elasticity",M350="sd (X)"),O350*AN350/AQ350,
AND(L350="level-log",M350="level"),O350/BF350,
AND(L350="level-log",M350="sd (X)"),O350/BF350/AQ350,
AND(L350="level-log",M350="sd (Y)"),O350/BF350*BH350,
AND(L350="elasticity",M350="level"),O350,
AND(L350="elasticity",M350="sd (X)"),O350/AQ350,
AND(L350="elasticity",M350="sd (Y)"),O350*BH350,
AND(L350="marginal_effect",M350="percent_of_mean"),O350*AN350/BF350/10)</f>
        <v>0.41371199999999997</v>
      </c>
      <c r="AH350" s="41">
        <f t="shared" si="139"/>
        <v>1</v>
      </c>
      <c r="AI350" s="90">
        <f t="shared" si="129"/>
        <v>-1.8935280000000001</v>
      </c>
      <c r="AJ350" s="39">
        <v>0</v>
      </c>
      <c r="AK350" s="39">
        <f t="shared" si="137"/>
        <v>1</v>
      </c>
      <c r="AL350" s="39" t="s">
        <v>82</v>
      </c>
      <c r="AM350" s="39" t="s">
        <v>1333</v>
      </c>
      <c r="AN350" s="39">
        <v>53.04</v>
      </c>
      <c r="AO350" s="39">
        <v>0</v>
      </c>
      <c r="AP350" s="39">
        <f t="shared" si="121"/>
        <v>53.04</v>
      </c>
      <c r="AQ350" s="39">
        <v>18.27</v>
      </c>
      <c r="AR350" s="39">
        <v>12.77</v>
      </c>
      <c r="AS350" s="39">
        <v>132.4</v>
      </c>
      <c r="AT350" s="39" t="s">
        <v>107</v>
      </c>
      <c r="AU350" s="39" t="s">
        <v>109</v>
      </c>
      <c r="AV350" s="39" t="s">
        <v>133</v>
      </c>
      <c r="AW350" s="39" t="s">
        <v>85</v>
      </c>
      <c r="AX350" s="39" t="s">
        <v>86</v>
      </c>
      <c r="AY350" s="39">
        <v>0</v>
      </c>
      <c r="AZ350" s="39">
        <v>0</v>
      </c>
      <c r="BA350" s="39" t="s">
        <v>87</v>
      </c>
      <c r="BB350" s="39" t="s">
        <v>134</v>
      </c>
      <c r="BC350" s="39" t="s">
        <v>89</v>
      </c>
      <c r="BD350" s="39" t="s">
        <v>134</v>
      </c>
      <c r="BE350" s="39" t="s">
        <v>902</v>
      </c>
      <c r="BF350" s="39">
        <v>553.27</v>
      </c>
      <c r="BG350" s="39">
        <v>0</v>
      </c>
      <c r="BH350" s="39">
        <v>1781.61</v>
      </c>
      <c r="BI350" s="39">
        <v>0.1</v>
      </c>
      <c r="BJ350" s="39">
        <v>22690.799999999999</v>
      </c>
      <c r="BK350" s="39" t="s">
        <v>91</v>
      </c>
      <c r="BL350" s="39" t="s">
        <v>116</v>
      </c>
      <c r="BM350" s="39">
        <v>1</v>
      </c>
      <c r="BN350" s="39" t="s">
        <v>428</v>
      </c>
      <c r="BO350" s="39" t="s">
        <v>428</v>
      </c>
      <c r="BP350" s="39" t="s">
        <v>312</v>
      </c>
      <c r="BQ350" s="39" t="s">
        <v>117</v>
      </c>
      <c r="BR350" s="39" t="s">
        <v>134</v>
      </c>
      <c r="BS350" s="39" t="s">
        <v>312</v>
      </c>
      <c r="BT350" s="39" t="s">
        <v>312</v>
      </c>
      <c r="BU350" s="39">
        <v>2007</v>
      </c>
      <c r="BV350" s="39">
        <v>2016</v>
      </c>
      <c r="BW350" s="39" t="s">
        <v>901</v>
      </c>
      <c r="BX350" s="39" t="s">
        <v>95</v>
      </c>
      <c r="BY350" s="39" t="s">
        <v>748</v>
      </c>
      <c r="BZ350" s="39">
        <v>1</v>
      </c>
      <c r="CA350" s="39">
        <v>1</v>
      </c>
      <c r="CB350" s="39" t="s">
        <v>993</v>
      </c>
      <c r="CC350" s="39" t="s">
        <v>964</v>
      </c>
      <c r="CD350" s="39">
        <v>1</v>
      </c>
      <c r="CE350" s="39" t="s">
        <v>906</v>
      </c>
      <c r="CF350" s="39">
        <v>0</v>
      </c>
      <c r="CG350" s="39" t="s">
        <v>97</v>
      </c>
      <c r="CH350" s="39">
        <v>0</v>
      </c>
      <c r="CI350" s="39" t="s">
        <v>116</v>
      </c>
      <c r="CJ350" s="39" t="s">
        <v>98</v>
      </c>
      <c r="CK350" s="39">
        <v>35</v>
      </c>
      <c r="CL350" s="39">
        <v>0</v>
      </c>
      <c r="CM350" s="39">
        <v>0</v>
      </c>
      <c r="CN350" s="39" t="s">
        <v>124</v>
      </c>
      <c r="CO350" s="39" t="s">
        <v>97</v>
      </c>
      <c r="CP350" s="39" t="s">
        <v>100</v>
      </c>
      <c r="CQ350" s="39" t="s">
        <v>126</v>
      </c>
      <c r="CR350" s="42">
        <v>46224</v>
      </c>
      <c r="CT350" s="39" t="s">
        <v>968</v>
      </c>
    </row>
    <row r="351" spans="1:98" s="39" customFormat="1" x14ac:dyDescent="0.35">
      <c r="A351" s="38" t="s">
        <v>896</v>
      </c>
      <c r="B351" s="38" t="s">
        <v>978</v>
      </c>
      <c r="C351" s="39" t="s">
        <v>897</v>
      </c>
      <c r="D351" s="39">
        <v>2025</v>
      </c>
      <c r="E351" s="40" t="s">
        <v>898</v>
      </c>
      <c r="F351" s="38" t="s">
        <v>899</v>
      </c>
      <c r="G351" s="39" t="s">
        <v>78</v>
      </c>
      <c r="H351" s="39">
        <v>1</v>
      </c>
      <c r="I351" s="39" t="s">
        <v>290</v>
      </c>
      <c r="J351" s="39" t="s">
        <v>900</v>
      </c>
      <c r="K351" s="39">
        <v>0</v>
      </c>
      <c r="L351" s="39" t="s">
        <v>104</v>
      </c>
      <c r="M351" s="39" t="s">
        <v>380</v>
      </c>
      <c r="N351" s="39">
        <v>-4.8300000000000003E-2</v>
      </c>
      <c r="O351" s="39">
        <v>3.5999999999999999E-3</v>
      </c>
      <c r="P351" s="90">
        <f t="shared" si="130"/>
        <v>-13.416666666666668</v>
      </c>
      <c r="Q351" s="39" t="s">
        <v>312</v>
      </c>
      <c r="R351" s="90">
        <f t="shared" si="131"/>
        <v>-5.5356000000000002E-2</v>
      </c>
      <c r="S351" s="90">
        <f t="shared" si="132"/>
        <v>-4.1244000000000003E-2</v>
      </c>
      <c r="T351" s="39">
        <v>1</v>
      </c>
      <c r="U351" s="39">
        <v>304550</v>
      </c>
      <c r="V351" s="39">
        <v>11</v>
      </c>
      <c r="W351" s="39">
        <v>1</v>
      </c>
      <c r="X351" s="39">
        <f t="shared" si="133"/>
        <v>304539</v>
      </c>
      <c r="Y351" s="90">
        <f t="shared" si="134"/>
        <v>-2.4304957042491748E-2</v>
      </c>
      <c r="Z351" s="90">
        <f t="shared" si="135"/>
        <v>1.8115495932291984E-3</v>
      </c>
      <c r="AA351" s="90">
        <f t="shared" si="136"/>
        <v>-2.4304957042491748E-2</v>
      </c>
      <c r="AB351" s="39" t="s">
        <v>81</v>
      </c>
      <c r="AC351" s="90">
        <f t="shared" si="140"/>
        <v>-2.5618319999999999</v>
      </c>
      <c r="AD351" s="90" cm="1">
        <f t="array" ref="AD351">_xlfn.IFS(
AND(L351="marginal_effect",M351="level"),N351*AN351/BF351,
AND(L351="marginal_effect",M351="sd (Y)"),N351*BH351*AN351/BF351,
AND(L351="marginal_effect",M351="sd (X)"),N351/AQ351*AN351/BF351,
AND(L351="semi_elasticity",M351="level"),N351*AN351,
AND(L351="semi_elasticity",M351="sd (Y)"),N351*AN351*BH351,
AND(L351="semi_elasticity",M351="sd (X)"),N351*AN351/AQ351,
AND(L351="level-log",M351="level"),N351/BF351,
AND(L351="level-log",M351="sd (X)"),N351/BF351/AQ351,
AND(L351="level-log",M351="sd (Y)"),N351/BF351*BH351,
AND(L351="elasticity",M351="level"),N351,
AND(L351="elasticity",M351="sd (X)"),N351/AQ351,
AND(L351="elasticity",M351="sd (Y)"),N351*BH351,
AND(L351="marginal_effect",M351="percent_of_mean"),N351*AN351/BF351/10)</f>
        <v>-2.5618319999999999</v>
      </c>
      <c r="AE351" s="41">
        <f t="shared" si="138"/>
        <v>1</v>
      </c>
      <c r="AF351" s="90">
        <f t="shared" si="141"/>
        <v>0.190944</v>
      </c>
      <c r="AG351" s="90" cm="1">
        <f t="array" ref="AG351">_xlfn.IFS(
AND(L351="marginal_effect",M351="level"),O351*AN351/BF351,
AND(L351="marginal_effect",M351="sd (Y)"),O351*BH351*AN351/BF351,
AND(L351="marginal_effect",M351="sd (X)"),O351/AQ351*AN351/BF351,
AND(L351="semi_elasticity",M351="level"),O351*AN351,
AND(L351="semi_elasticity",M351="sd (Y)"),O351*AN351*BH351,
AND(L351="semi_elasticity",M351="sd (X)"),O351*AN351/AQ351,
AND(L351="level-log",M351="level"),O351/BF351,
AND(L351="level-log",M351="sd (X)"),O351/BF351/AQ351,
AND(L351="level-log",M351="sd (Y)"),O351/BF351*BH351,
AND(L351="elasticity",M351="level"),O351,
AND(L351="elasticity",M351="sd (X)"),O351/AQ351,
AND(L351="elasticity",M351="sd (Y)"),O351*BH351,
AND(L351="marginal_effect",M351="percent_of_mean"),O351*AN351/BF351/10)</f>
        <v>0.190944</v>
      </c>
      <c r="AH351" s="41">
        <f t="shared" si="139"/>
        <v>1</v>
      </c>
      <c r="AI351" s="90">
        <f t="shared" si="129"/>
        <v>-2.5618319999999999</v>
      </c>
      <c r="AJ351" s="39">
        <v>0</v>
      </c>
      <c r="AK351" s="39">
        <f t="shared" si="137"/>
        <v>1</v>
      </c>
      <c r="AL351" s="39" t="s">
        <v>82</v>
      </c>
      <c r="AM351" s="39" t="s">
        <v>1333</v>
      </c>
      <c r="AN351" s="39">
        <v>53.04</v>
      </c>
      <c r="AO351" s="39">
        <v>0</v>
      </c>
      <c r="AP351" s="39">
        <f t="shared" ref="AP351:AP414" si="142">AN351</f>
        <v>53.04</v>
      </c>
      <c r="AQ351" s="39">
        <v>18.27</v>
      </c>
      <c r="AR351" s="39">
        <v>12.77</v>
      </c>
      <c r="AS351" s="39">
        <v>132.4</v>
      </c>
      <c r="AT351" s="39" t="s">
        <v>107</v>
      </c>
      <c r="AU351" s="39" t="s">
        <v>109</v>
      </c>
      <c r="AV351" s="39" t="s">
        <v>133</v>
      </c>
      <c r="AW351" s="39" t="s">
        <v>85</v>
      </c>
      <c r="AX351" s="39" t="s">
        <v>86</v>
      </c>
      <c r="AY351" s="39">
        <v>0</v>
      </c>
      <c r="AZ351" s="39">
        <v>0</v>
      </c>
      <c r="BA351" s="39" t="s">
        <v>87</v>
      </c>
      <c r="BB351" s="39" t="s">
        <v>134</v>
      </c>
      <c r="BC351" s="39" t="s">
        <v>89</v>
      </c>
      <c r="BD351" s="39" t="s">
        <v>134</v>
      </c>
      <c r="BE351" s="39" t="s">
        <v>902</v>
      </c>
      <c r="BF351" s="39">
        <v>553.27</v>
      </c>
      <c r="BG351" s="39">
        <v>0</v>
      </c>
      <c r="BH351" s="39">
        <v>1781.61</v>
      </c>
      <c r="BI351" s="39">
        <v>0.1</v>
      </c>
      <c r="BJ351" s="39">
        <v>22690.799999999999</v>
      </c>
      <c r="BK351" s="39" t="s">
        <v>91</v>
      </c>
      <c r="BL351" s="39" t="s">
        <v>116</v>
      </c>
      <c r="BM351" s="39">
        <v>1</v>
      </c>
      <c r="BN351" s="39" t="s">
        <v>428</v>
      </c>
      <c r="BO351" s="39" t="s">
        <v>428</v>
      </c>
      <c r="BP351" s="39" t="s">
        <v>312</v>
      </c>
      <c r="BQ351" s="39" t="s">
        <v>117</v>
      </c>
      <c r="BR351" s="39" t="s">
        <v>134</v>
      </c>
      <c r="BS351" s="39" t="s">
        <v>312</v>
      </c>
      <c r="BT351" s="39" t="s">
        <v>312</v>
      </c>
      <c r="BU351" s="39">
        <v>2007</v>
      </c>
      <c r="BV351" s="39">
        <v>2016</v>
      </c>
      <c r="BW351" s="39" t="s">
        <v>901</v>
      </c>
      <c r="BX351" s="39" t="s">
        <v>95</v>
      </c>
      <c r="BY351" s="39" t="s">
        <v>748</v>
      </c>
      <c r="BZ351" s="39">
        <v>1</v>
      </c>
      <c r="CA351" s="39">
        <v>1</v>
      </c>
      <c r="CB351" s="39" t="s">
        <v>993</v>
      </c>
      <c r="CC351" s="39" t="s">
        <v>966</v>
      </c>
      <c r="CD351" s="39">
        <v>1</v>
      </c>
      <c r="CE351" s="39" t="s">
        <v>906</v>
      </c>
      <c r="CF351" s="39">
        <v>0</v>
      </c>
      <c r="CG351" s="39" t="s">
        <v>97</v>
      </c>
      <c r="CH351" s="39">
        <v>0</v>
      </c>
      <c r="CI351" s="39" t="s">
        <v>116</v>
      </c>
      <c r="CJ351" s="39" t="s">
        <v>98</v>
      </c>
      <c r="CK351" s="39">
        <v>35</v>
      </c>
      <c r="CL351" s="39">
        <v>0</v>
      </c>
      <c r="CM351" s="39">
        <v>0</v>
      </c>
      <c r="CN351" s="39" t="s">
        <v>124</v>
      </c>
      <c r="CO351" s="39" t="s">
        <v>97</v>
      </c>
      <c r="CP351" s="39" t="s">
        <v>100</v>
      </c>
      <c r="CQ351" s="39" t="s">
        <v>126</v>
      </c>
      <c r="CR351" s="42">
        <v>46224</v>
      </c>
      <c r="CT351" s="39" t="s">
        <v>969</v>
      </c>
    </row>
    <row r="352" spans="1:98" s="39" customFormat="1" x14ac:dyDescent="0.35">
      <c r="A352" s="38" t="s">
        <v>896</v>
      </c>
      <c r="B352" s="38" t="s">
        <v>979</v>
      </c>
      <c r="C352" s="39" t="s">
        <v>897</v>
      </c>
      <c r="D352" s="39">
        <v>2025</v>
      </c>
      <c r="E352" s="40" t="s">
        <v>898</v>
      </c>
      <c r="F352" s="38" t="s">
        <v>899</v>
      </c>
      <c r="G352" s="39" t="s">
        <v>78</v>
      </c>
      <c r="H352" s="39">
        <v>1</v>
      </c>
      <c r="I352" s="39" t="s">
        <v>290</v>
      </c>
      <c r="J352" s="39" t="s">
        <v>900</v>
      </c>
      <c r="K352" s="39">
        <v>0</v>
      </c>
      <c r="L352" s="39" t="s">
        <v>104</v>
      </c>
      <c r="M352" s="39" t="s">
        <v>380</v>
      </c>
      <c r="N352" s="39">
        <v>-4.2099999999999999E-2</v>
      </c>
      <c r="O352" s="39">
        <v>6.1999999999999998E-3</v>
      </c>
      <c r="P352" s="90">
        <f t="shared" si="130"/>
        <v>-6.790322580645161</v>
      </c>
      <c r="Q352" s="39" t="s">
        <v>312</v>
      </c>
      <c r="R352" s="90">
        <f t="shared" si="131"/>
        <v>-5.4251999999999995E-2</v>
      </c>
      <c r="S352" s="90">
        <f t="shared" si="132"/>
        <v>-2.9947999999999999E-2</v>
      </c>
      <c r="T352" s="39">
        <v>1</v>
      </c>
      <c r="U352" s="39">
        <v>304550</v>
      </c>
      <c r="V352" s="39">
        <v>11</v>
      </c>
      <c r="W352" s="39">
        <v>1</v>
      </c>
      <c r="X352" s="39">
        <f t="shared" si="133"/>
        <v>304539</v>
      </c>
      <c r="Y352" s="90">
        <f t="shared" si="134"/>
        <v>-1.2303709630465152E-2</v>
      </c>
      <c r="Z352" s="90">
        <f t="shared" si="135"/>
        <v>1.8119477365530628E-3</v>
      </c>
      <c r="AA352" s="90">
        <f t="shared" si="136"/>
        <v>-1.2303709630465152E-2</v>
      </c>
      <c r="AB352" s="39" t="s">
        <v>81</v>
      </c>
      <c r="AC352" s="90">
        <f t="shared" si="140"/>
        <v>-2.2329840000000001</v>
      </c>
      <c r="AD352" s="90" cm="1">
        <f t="array" ref="AD352">_xlfn.IFS(
AND(L352="marginal_effect",M352="level"),N352*AN352/BF352,
AND(L352="marginal_effect",M352="sd (Y)"),N352*BH352*AN352/BF352,
AND(L352="marginal_effect",M352="sd (X)"),N352/AQ352*AN352/BF352,
AND(L352="semi_elasticity",M352="level"),N352*AN352,
AND(L352="semi_elasticity",M352="sd (Y)"),N352*AN352*BH352,
AND(L352="semi_elasticity",M352="sd (X)"),N352*AN352/AQ352,
AND(L352="level-log",M352="level"),N352/BF352,
AND(L352="level-log",M352="sd (X)"),N352/BF352/AQ352,
AND(L352="level-log",M352="sd (Y)"),N352/BF352*BH352,
AND(L352="elasticity",M352="level"),N352,
AND(L352="elasticity",M352="sd (X)"),N352/AQ352,
AND(L352="elasticity",M352="sd (Y)"),N352*BH352,
AND(L352="marginal_effect",M352="percent_of_mean"),N352*AN352/BF352/10)</f>
        <v>-2.2329840000000001</v>
      </c>
      <c r="AE352" s="41">
        <f t="shared" si="138"/>
        <v>1</v>
      </c>
      <c r="AF352" s="90">
        <f t="shared" si="141"/>
        <v>0.32884799999999997</v>
      </c>
      <c r="AG352" s="90" cm="1">
        <f t="array" ref="AG352">_xlfn.IFS(
AND(L352="marginal_effect",M352="level"),O352*AN352/BF352,
AND(L352="marginal_effect",M352="sd (Y)"),O352*BH352*AN352/BF352,
AND(L352="marginal_effect",M352="sd (X)"),O352/AQ352*AN352/BF352,
AND(L352="semi_elasticity",M352="level"),O352*AN352,
AND(L352="semi_elasticity",M352="sd (Y)"),O352*AN352*BH352,
AND(L352="semi_elasticity",M352="sd (X)"),O352*AN352/AQ352,
AND(L352="level-log",M352="level"),O352/BF352,
AND(L352="level-log",M352="sd (X)"),O352/BF352/AQ352,
AND(L352="level-log",M352="sd (Y)"),O352/BF352*BH352,
AND(L352="elasticity",M352="level"),O352,
AND(L352="elasticity",M352="sd (X)"),O352/AQ352,
AND(L352="elasticity",M352="sd (Y)"),O352*BH352,
AND(L352="marginal_effect",M352="percent_of_mean"),O352*AN352/BF352/10)</f>
        <v>0.32884799999999997</v>
      </c>
      <c r="AH352" s="41">
        <f t="shared" si="139"/>
        <v>1</v>
      </c>
      <c r="AI352" s="90">
        <f t="shared" si="129"/>
        <v>-2.2329840000000001</v>
      </c>
      <c r="AJ352" s="39">
        <v>0</v>
      </c>
      <c r="AK352" s="39">
        <f t="shared" si="137"/>
        <v>1</v>
      </c>
      <c r="AL352" s="39" t="s">
        <v>82</v>
      </c>
      <c r="AM352" s="39" t="s">
        <v>1333</v>
      </c>
      <c r="AN352" s="39">
        <v>53.04</v>
      </c>
      <c r="AO352" s="39">
        <v>0</v>
      </c>
      <c r="AP352" s="39">
        <f t="shared" si="142"/>
        <v>53.04</v>
      </c>
      <c r="AQ352" s="39">
        <v>18.27</v>
      </c>
      <c r="AR352" s="39">
        <v>12.77</v>
      </c>
      <c r="AS352" s="39">
        <v>132.4</v>
      </c>
      <c r="AT352" s="39" t="s">
        <v>107</v>
      </c>
      <c r="AU352" s="39" t="s">
        <v>109</v>
      </c>
      <c r="AV352" s="39" t="s">
        <v>133</v>
      </c>
      <c r="AW352" s="39" t="s">
        <v>85</v>
      </c>
      <c r="AX352" s="39" t="s">
        <v>86</v>
      </c>
      <c r="AY352" s="39">
        <v>0</v>
      </c>
      <c r="AZ352" s="39">
        <v>0</v>
      </c>
      <c r="BA352" s="39" t="s">
        <v>87</v>
      </c>
      <c r="BB352" s="39" t="s">
        <v>134</v>
      </c>
      <c r="BC352" s="39" t="s">
        <v>89</v>
      </c>
      <c r="BD352" s="39" t="s">
        <v>134</v>
      </c>
      <c r="BE352" s="39" t="s">
        <v>902</v>
      </c>
      <c r="BF352" s="39">
        <v>553.27</v>
      </c>
      <c r="BG352" s="39">
        <v>0</v>
      </c>
      <c r="BH352" s="39">
        <v>1781.61</v>
      </c>
      <c r="BI352" s="39">
        <v>0.1</v>
      </c>
      <c r="BJ352" s="39">
        <v>22690.799999999999</v>
      </c>
      <c r="BK352" s="39" t="s">
        <v>91</v>
      </c>
      <c r="BL352" s="39" t="s">
        <v>116</v>
      </c>
      <c r="BM352" s="39">
        <v>1</v>
      </c>
      <c r="BN352" s="39" t="s">
        <v>428</v>
      </c>
      <c r="BO352" s="39" t="s">
        <v>428</v>
      </c>
      <c r="BP352" s="39" t="s">
        <v>312</v>
      </c>
      <c r="BQ352" s="39" t="s">
        <v>117</v>
      </c>
      <c r="BR352" s="39" t="s">
        <v>134</v>
      </c>
      <c r="BS352" s="39" t="s">
        <v>312</v>
      </c>
      <c r="BT352" s="39" t="s">
        <v>312</v>
      </c>
      <c r="BU352" s="39">
        <v>2007</v>
      </c>
      <c r="BV352" s="39">
        <v>2016</v>
      </c>
      <c r="BW352" s="39" t="s">
        <v>901</v>
      </c>
      <c r="BX352" s="39" t="s">
        <v>95</v>
      </c>
      <c r="BY352" s="39" t="s">
        <v>748</v>
      </c>
      <c r="BZ352" s="39">
        <v>1</v>
      </c>
      <c r="CA352" s="39">
        <v>1</v>
      </c>
      <c r="CB352" s="39" t="s">
        <v>993</v>
      </c>
      <c r="CC352" s="39" t="s">
        <v>965</v>
      </c>
      <c r="CD352" s="39">
        <v>1</v>
      </c>
      <c r="CE352" s="39" t="s">
        <v>906</v>
      </c>
      <c r="CF352" s="39">
        <v>0</v>
      </c>
      <c r="CG352" s="39" t="s">
        <v>97</v>
      </c>
      <c r="CH352" s="39">
        <v>0</v>
      </c>
      <c r="CI352" s="39" t="s">
        <v>116</v>
      </c>
      <c r="CJ352" s="39" t="s">
        <v>98</v>
      </c>
      <c r="CK352" s="39">
        <v>35</v>
      </c>
      <c r="CL352" s="39">
        <v>0</v>
      </c>
      <c r="CM352" s="39">
        <v>0</v>
      </c>
      <c r="CN352" s="39" t="s">
        <v>124</v>
      </c>
      <c r="CO352" s="39" t="s">
        <v>97</v>
      </c>
      <c r="CP352" s="39" t="s">
        <v>100</v>
      </c>
      <c r="CQ352" s="39" t="s">
        <v>126</v>
      </c>
      <c r="CR352" s="42">
        <v>46224</v>
      </c>
      <c r="CT352" s="39" t="s">
        <v>970</v>
      </c>
    </row>
    <row r="353" spans="1:98" s="39" customFormat="1" x14ac:dyDescent="0.35">
      <c r="A353" s="38" t="s">
        <v>896</v>
      </c>
      <c r="B353" s="38" t="s">
        <v>984</v>
      </c>
      <c r="C353" s="39" t="s">
        <v>897</v>
      </c>
      <c r="D353" s="39">
        <v>2025</v>
      </c>
      <c r="E353" s="40" t="s">
        <v>898</v>
      </c>
      <c r="F353" s="38" t="s">
        <v>899</v>
      </c>
      <c r="G353" s="39" t="s">
        <v>78</v>
      </c>
      <c r="H353" s="39">
        <v>1</v>
      </c>
      <c r="I353" s="39" t="s">
        <v>290</v>
      </c>
      <c r="J353" s="39" t="s">
        <v>900</v>
      </c>
      <c r="K353" s="39">
        <v>0</v>
      </c>
      <c r="L353" s="39" t="s">
        <v>104</v>
      </c>
      <c r="M353" s="39" t="s">
        <v>380</v>
      </c>
      <c r="N353" s="39">
        <v>-1.9800000000000002E-2</v>
      </c>
      <c r="O353" s="39">
        <v>5.7000000000000002E-3</v>
      </c>
      <c r="P353" s="90">
        <f t="shared" si="130"/>
        <v>-3.4736842105263159</v>
      </c>
      <c r="Q353" s="39" t="s">
        <v>312</v>
      </c>
      <c r="R353" s="90">
        <f t="shared" si="131"/>
        <v>-3.0972E-2</v>
      </c>
      <c r="S353" s="90">
        <f t="shared" si="132"/>
        <v>-8.628000000000002E-3</v>
      </c>
      <c r="T353" s="39">
        <v>1</v>
      </c>
      <c r="U353" s="39">
        <v>304550</v>
      </c>
      <c r="V353" s="39">
        <v>11</v>
      </c>
      <c r="W353" s="39">
        <v>1</v>
      </c>
      <c r="X353" s="39">
        <f t="shared" si="133"/>
        <v>304539</v>
      </c>
      <c r="Y353" s="90">
        <f t="shared" si="134"/>
        <v>-6.2944860046621172E-3</v>
      </c>
      <c r="Z353" s="90">
        <f t="shared" si="135"/>
        <v>1.8120490013421246E-3</v>
      </c>
      <c r="AA353" s="90">
        <f t="shared" si="136"/>
        <v>-6.2944860046621172E-3</v>
      </c>
      <c r="AB353" s="39" t="s">
        <v>81</v>
      </c>
      <c r="AC353" s="90">
        <f t="shared" si="140"/>
        <v>-1.050192</v>
      </c>
      <c r="AD353" s="90" cm="1">
        <f t="array" ref="AD353">_xlfn.IFS(
AND(L353="marginal_effect",M353="level"),N353*AN353/BF353,
AND(L353="marginal_effect",M353="sd (Y)"),N353*BH353*AN353/BF353,
AND(L353="marginal_effect",M353="sd (X)"),N353/AQ353*AN353/BF353,
AND(L353="semi_elasticity",M353="level"),N353*AN353,
AND(L353="semi_elasticity",M353="sd (Y)"),N353*AN353*BH353,
AND(L353="semi_elasticity",M353="sd (X)"),N353*AN353/AQ353,
AND(L353="level-log",M353="level"),N353/BF353,
AND(L353="level-log",M353="sd (X)"),N353/BF353/AQ353,
AND(L353="level-log",M353="sd (Y)"),N353/BF353*BH353,
AND(L353="elasticity",M353="level"),N353,
AND(L353="elasticity",M353="sd (X)"),N353/AQ353,
AND(L353="elasticity",M353="sd (Y)"),N353*BH353,
AND(L353="marginal_effect",M353="percent_of_mean"),N353*AN353/BF353/10)</f>
        <v>-1.050192</v>
      </c>
      <c r="AE353" s="41">
        <f t="shared" si="138"/>
        <v>1</v>
      </c>
      <c r="AF353" s="90">
        <f t="shared" si="141"/>
        <v>0.30232799999999999</v>
      </c>
      <c r="AG353" s="90" cm="1">
        <f t="array" ref="AG353">_xlfn.IFS(
AND(L353="marginal_effect",M353="level"),O353*AN353/BF353,
AND(L353="marginal_effect",M353="sd (Y)"),O353*BH353*AN353/BF353,
AND(L353="marginal_effect",M353="sd (X)"),O353/AQ353*AN353/BF353,
AND(L353="semi_elasticity",M353="level"),O353*AN353,
AND(L353="semi_elasticity",M353="sd (Y)"),O353*AN353*BH353,
AND(L353="semi_elasticity",M353="sd (X)"),O353*AN353/AQ353,
AND(L353="level-log",M353="level"),O353/BF353,
AND(L353="level-log",M353="sd (X)"),O353/BF353/AQ353,
AND(L353="level-log",M353="sd (Y)"),O353/BF353*BH353,
AND(L353="elasticity",M353="level"),O353,
AND(L353="elasticity",M353="sd (X)"),O353/AQ353,
AND(L353="elasticity",M353="sd (Y)"),O353*BH353,
AND(L353="marginal_effect",M353="percent_of_mean"),O353*AN353/BF353/10)</f>
        <v>0.30232799999999999</v>
      </c>
      <c r="AH353" s="41">
        <f t="shared" si="139"/>
        <v>1</v>
      </c>
      <c r="AI353" s="90">
        <f t="shared" si="129"/>
        <v>-1.050192</v>
      </c>
      <c r="AJ353" s="39">
        <v>0</v>
      </c>
      <c r="AK353" s="39">
        <f t="shared" si="137"/>
        <v>1</v>
      </c>
      <c r="AL353" s="39" t="s">
        <v>82</v>
      </c>
      <c r="AM353" s="39" t="s">
        <v>1333</v>
      </c>
      <c r="AN353" s="39">
        <v>53.04</v>
      </c>
      <c r="AO353" s="39">
        <v>0</v>
      </c>
      <c r="AP353" s="39">
        <f t="shared" si="142"/>
        <v>53.04</v>
      </c>
      <c r="AQ353" s="39">
        <v>18.27</v>
      </c>
      <c r="AR353" s="39">
        <v>12.77</v>
      </c>
      <c r="AS353" s="39">
        <v>132.4</v>
      </c>
      <c r="AT353" s="39" t="s">
        <v>107</v>
      </c>
      <c r="AU353" s="39" t="s">
        <v>109</v>
      </c>
      <c r="AV353" s="39" t="s">
        <v>133</v>
      </c>
      <c r="AW353" s="39" t="s">
        <v>85</v>
      </c>
      <c r="AX353" s="39" t="s">
        <v>86</v>
      </c>
      <c r="AY353" s="39">
        <v>0</v>
      </c>
      <c r="AZ353" s="39">
        <v>0</v>
      </c>
      <c r="BA353" s="39" t="s">
        <v>87</v>
      </c>
      <c r="BB353" s="39" t="s">
        <v>134</v>
      </c>
      <c r="BC353" s="39" t="s">
        <v>89</v>
      </c>
      <c r="BD353" s="39" t="s">
        <v>134</v>
      </c>
      <c r="BE353" s="39" t="s">
        <v>902</v>
      </c>
      <c r="BF353" s="39">
        <v>553.27</v>
      </c>
      <c r="BG353" s="39">
        <v>0</v>
      </c>
      <c r="BH353" s="39">
        <v>1781.61</v>
      </c>
      <c r="BI353" s="39">
        <v>0.1</v>
      </c>
      <c r="BJ353" s="39">
        <v>22690.799999999999</v>
      </c>
      <c r="BK353" s="39" t="s">
        <v>91</v>
      </c>
      <c r="BL353" s="39" t="s">
        <v>116</v>
      </c>
      <c r="BM353" s="39">
        <v>1</v>
      </c>
      <c r="BN353" s="39" t="s">
        <v>428</v>
      </c>
      <c r="BO353" s="39" t="s">
        <v>428</v>
      </c>
      <c r="BP353" s="39" t="s">
        <v>312</v>
      </c>
      <c r="BQ353" s="39" t="s">
        <v>117</v>
      </c>
      <c r="BR353" s="39" t="s">
        <v>134</v>
      </c>
      <c r="BS353" s="39" t="s">
        <v>312</v>
      </c>
      <c r="BT353" s="39" t="s">
        <v>312</v>
      </c>
      <c r="BU353" s="39">
        <v>2007</v>
      </c>
      <c r="BV353" s="39">
        <v>2016</v>
      </c>
      <c r="BW353" s="39" t="s">
        <v>901</v>
      </c>
      <c r="BX353" s="39" t="s">
        <v>95</v>
      </c>
      <c r="BY353" s="39" t="s">
        <v>748</v>
      </c>
      <c r="BZ353" s="39">
        <v>1</v>
      </c>
      <c r="CA353" s="39">
        <v>1</v>
      </c>
      <c r="CB353" s="39" t="s">
        <v>993</v>
      </c>
      <c r="CC353" s="39" t="s">
        <v>967</v>
      </c>
      <c r="CD353" s="39">
        <v>1</v>
      </c>
      <c r="CE353" s="39" t="s">
        <v>906</v>
      </c>
      <c r="CF353" s="39">
        <v>0</v>
      </c>
      <c r="CG353" s="39" t="s">
        <v>97</v>
      </c>
      <c r="CH353" s="39">
        <v>0</v>
      </c>
      <c r="CI353" s="39" t="s">
        <v>116</v>
      </c>
      <c r="CJ353" s="39" t="s">
        <v>98</v>
      </c>
      <c r="CK353" s="39">
        <v>35</v>
      </c>
      <c r="CL353" s="39">
        <v>0</v>
      </c>
      <c r="CM353" s="39">
        <v>0</v>
      </c>
      <c r="CN353" s="39" t="s">
        <v>124</v>
      </c>
      <c r="CO353" s="39" t="s">
        <v>97</v>
      </c>
      <c r="CP353" s="39" t="s">
        <v>100</v>
      </c>
      <c r="CQ353" s="39" t="s">
        <v>126</v>
      </c>
      <c r="CR353" s="42">
        <v>46224</v>
      </c>
      <c r="CT353" s="39" t="s">
        <v>971</v>
      </c>
    </row>
    <row r="354" spans="1:98" s="39" customFormat="1" x14ac:dyDescent="0.35">
      <c r="A354" s="38" t="s">
        <v>896</v>
      </c>
      <c r="B354" s="38" t="s">
        <v>980</v>
      </c>
      <c r="C354" s="39" t="s">
        <v>897</v>
      </c>
      <c r="D354" s="39">
        <v>2025</v>
      </c>
      <c r="E354" s="40" t="s">
        <v>898</v>
      </c>
      <c r="F354" s="38" t="s">
        <v>899</v>
      </c>
      <c r="G354" s="39" t="s">
        <v>78</v>
      </c>
      <c r="H354" s="39">
        <v>1</v>
      </c>
      <c r="I354" s="39" t="s">
        <v>290</v>
      </c>
      <c r="J354" s="39" t="s">
        <v>900</v>
      </c>
      <c r="K354" s="39">
        <v>0</v>
      </c>
      <c r="L354" s="39" t="s">
        <v>104</v>
      </c>
      <c r="M354" s="39" t="s">
        <v>380</v>
      </c>
      <c r="N354" s="39">
        <v>-7.6E-3</v>
      </c>
      <c r="O354" s="39">
        <v>4.3E-3</v>
      </c>
      <c r="P354" s="90">
        <f t="shared" si="130"/>
        <v>-1.7674418604651163</v>
      </c>
      <c r="Q354" s="39" t="s">
        <v>312</v>
      </c>
      <c r="R354" s="90">
        <f t="shared" si="131"/>
        <v>-1.6028000000000001E-2</v>
      </c>
      <c r="S354" s="90">
        <f t="shared" si="132"/>
        <v>8.2799999999999974E-4</v>
      </c>
      <c r="T354" s="39">
        <v>1</v>
      </c>
      <c r="U354" s="39">
        <v>304550</v>
      </c>
      <c r="V354" s="39">
        <v>11</v>
      </c>
      <c r="W354" s="39">
        <v>1</v>
      </c>
      <c r="X354" s="39">
        <f t="shared" si="133"/>
        <v>304539</v>
      </c>
      <c r="Y354" s="90">
        <f t="shared" si="134"/>
        <v>-3.2027382800501915E-3</v>
      </c>
      <c r="Z354" s="90">
        <f t="shared" si="135"/>
        <v>1.8120756058178714E-3</v>
      </c>
      <c r="AA354" s="90">
        <f t="shared" si="136"/>
        <v>-3.2027382800501915E-3</v>
      </c>
      <c r="AB354" s="39" t="s">
        <v>81</v>
      </c>
      <c r="AC354" s="90">
        <f t="shared" si="140"/>
        <v>-0.40310400000000002</v>
      </c>
      <c r="AD354" s="90" cm="1">
        <f t="array" ref="AD354">_xlfn.IFS(
AND(L354="marginal_effect",M354="level"),N354*AN354/BF354,
AND(L354="marginal_effect",M354="sd (Y)"),N354*BH354*AN354/BF354,
AND(L354="marginal_effect",M354="sd (X)"),N354/AQ354*AN354/BF354,
AND(L354="semi_elasticity",M354="level"),N354*AN354,
AND(L354="semi_elasticity",M354="sd (Y)"),N354*AN354*BH354,
AND(L354="semi_elasticity",M354="sd (X)"),N354*AN354/AQ354,
AND(L354="level-log",M354="level"),N354/BF354,
AND(L354="level-log",M354="sd (X)"),N354/BF354/AQ354,
AND(L354="level-log",M354="sd (Y)"),N354/BF354*BH354,
AND(L354="elasticity",M354="level"),N354,
AND(L354="elasticity",M354="sd (X)"),N354/AQ354,
AND(L354="elasticity",M354="sd (Y)"),N354*BH354,
AND(L354="marginal_effect",M354="percent_of_mean"),N354*AN354/BF354/10)</f>
        <v>-0.40310400000000002</v>
      </c>
      <c r="AE354" s="41">
        <f t="shared" si="138"/>
        <v>1</v>
      </c>
      <c r="AF354" s="90">
        <f t="shared" si="141"/>
        <v>0.228072</v>
      </c>
      <c r="AG354" s="90" cm="1">
        <f t="array" ref="AG354">_xlfn.IFS(
AND(L354="marginal_effect",M354="level"),O354*AN354/BF354,
AND(L354="marginal_effect",M354="sd (Y)"),O354*BH354*AN354/BF354,
AND(L354="marginal_effect",M354="sd (X)"),O354/AQ354*AN354/BF354,
AND(L354="semi_elasticity",M354="level"),O354*AN354,
AND(L354="semi_elasticity",M354="sd (Y)"),O354*AN354*BH354,
AND(L354="semi_elasticity",M354="sd (X)"),O354*AN354/AQ354,
AND(L354="level-log",M354="level"),O354/BF354,
AND(L354="level-log",M354="sd (X)"),O354/BF354/AQ354,
AND(L354="level-log",M354="sd (Y)"),O354/BF354*BH354,
AND(L354="elasticity",M354="level"),O354,
AND(L354="elasticity",M354="sd (X)"),O354/AQ354,
AND(L354="elasticity",M354="sd (Y)"),O354*BH354,
AND(L354="marginal_effect",M354="percent_of_mean"),O354*AN354/BF354/10)</f>
        <v>0.228072</v>
      </c>
      <c r="AH354" s="41">
        <f t="shared" si="139"/>
        <v>1</v>
      </c>
      <c r="AI354" s="90">
        <f t="shared" si="129"/>
        <v>-0.40310400000000002</v>
      </c>
      <c r="AJ354" s="39">
        <v>0</v>
      </c>
      <c r="AK354" s="39">
        <f t="shared" si="137"/>
        <v>1</v>
      </c>
      <c r="AL354" s="39" t="s">
        <v>82</v>
      </c>
      <c r="AM354" s="39" t="s">
        <v>1333</v>
      </c>
      <c r="AN354" s="39">
        <v>53.04</v>
      </c>
      <c r="AO354" s="39">
        <v>0</v>
      </c>
      <c r="AP354" s="39">
        <f t="shared" si="142"/>
        <v>53.04</v>
      </c>
      <c r="AQ354" s="39">
        <v>18.27</v>
      </c>
      <c r="AR354" s="39">
        <v>12.77</v>
      </c>
      <c r="AS354" s="39">
        <v>132.4</v>
      </c>
      <c r="AT354" s="39" t="s">
        <v>107</v>
      </c>
      <c r="AU354" s="39" t="s">
        <v>109</v>
      </c>
      <c r="AV354" s="39" t="s">
        <v>133</v>
      </c>
      <c r="AW354" s="39" t="s">
        <v>85</v>
      </c>
      <c r="AX354" s="39" t="s">
        <v>86</v>
      </c>
      <c r="AY354" s="39">
        <v>0</v>
      </c>
      <c r="AZ354" s="39">
        <v>0</v>
      </c>
      <c r="BA354" s="39" t="s">
        <v>87</v>
      </c>
      <c r="BB354" s="39" t="s">
        <v>134</v>
      </c>
      <c r="BC354" s="39" t="s">
        <v>89</v>
      </c>
      <c r="BD354" s="39" t="s">
        <v>134</v>
      </c>
      <c r="BE354" s="39" t="s">
        <v>902</v>
      </c>
      <c r="BF354" s="39">
        <v>553.27</v>
      </c>
      <c r="BG354" s="39">
        <v>0</v>
      </c>
      <c r="BH354" s="39">
        <v>1781.61</v>
      </c>
      <c r="BI354" s="39">
        <v>0.1</v>
      </c>
      <c r="BJ354" s="39">
        <v>22690.799999999999</v>
      </c>
      <c r="BK354" s="39" t="s">
        <v>91</v>
      </c>
      <c r="BL354" s="39" t="s">
        <v>116</v>
      </c>
      <c r="BM354" s="39">
        <v>1</v>
      </c>
      <c r="BN354" s="39" t="s">
        <v>428</v>
      </c>
      <c r="BO354" s="39" t="s">
        <v>428</v>
      </c>
      <c r="BP354" s="39" t="s">
        <v>312</v>
      </c>
      <c r="BQ354" s="39" t="s">
        <v>117</v>
      </c>
      <c r="BR354" s="39" t="s">
        <v>134</v>
      </c>
      <c r="BS354" s="39" t="s">
        <v>312</v>
      </c>
      <c r="BT354" s="39" t="s">
        <v>312</v>
      </c>
      <c r="BU354" s="39">
        <v>2007</v>
      </c>
      <c r="BV354" s="39">
        <v>2016</v>
      </c>
      <c r="BW354" s="39" t="s">
        <v>901</v>
      </c>
      <c r="BX354" s="39" t="s">
        <v>95</v>
      </c>
      <c r="BY354" s="39" t="s">
        <v>748</v>
      </c>
      <c r="BZ354" s="39">
        <v>1</v>
      </c>
      <c r="CA354" s="39">
        <v>1</v>
      </c>
      <c r="CB354" s="39" t="s">
        <v>303</v>
      </c>
      <c r="CC354" s="39" t="s">
        <v>903</v>
      </c>
      <c r="CD354" s="39">
        <v>1</v>
      </c>
      <c r="CE354" s="39" t="s">
        <v>906</v>
      </c>
      <c r="CF354" s="39">
        <v>0</v>
      </c>
      <c r="CG354" s="39" t="s">
        <v>97</v>
      </c>
      <c r="CH354" s="39">
        <v>0</v>
      </c>
      <c r="CI354" s="39" t="s">
        <v>116</v>
      </c>
      <c r="CJ354" s="39" t="s">
        <v>98</v>
      </c>
      <c r="CK354" s="39">
        <v>35</v>
      </c>
      <c r="CL354" s="39">
        <v>0</v>
      </c>
      <c r="CM354" s="39">
        <v>0</v>
      </c>
      <c r="CN354" s="39" t="s">
        <v>124</v>
      </c>
      <c r="CO354" s="39" t="s">
        <v>97</v>
      </c>
      <c r="CP354" s="39" t="s">
        <v>100</v>
      </c>
      <c r="CQ354" s="39" t="s">
        <v>126</v>
      </c>
      <c r="CR354" s="42">
        <v>46224</v>
      </c>
      <c r="CT354" s="39" t="s">
        <v>973</v>
      </c>
    </row>
    <row r="355" spans="1:98" s="39" customFormat="1" x14ac:dyDescent="0.35">
      <c r="A355" s="38" t="s">
        <v>896</v>
      </c>
      <c r="B355" s="38" t="s">
        <v>981</v>
      </c>
      <c r="C355" s="39" t="s">
        <v>897</v>
      </c>
      <c r="D355" s="39">
        <v>2025</v>
      </c>
      <c r="E355" s="40" t="s">
        <v>898</v>
      </c>
      <c r="F355" s="38" t="s">
        <v>899</v>
      </c>
      <c r="G355" s="39" t="s">
        <v>78</v>
      </c>
      <c r="H355" s="39">
        <v>1</v>
      </c>
      <c r="I355" s="39" t="s">
        <v>290</v>
      </c>
      <c r="J355" s="39" t="s">
        <v>900</v>
      </c>
      <c r="K355" s="39">
        <v>0</v>
      </c>
      <c r="L355" s="39" t="s">
        <v>104</v>
      </c>
      <c r="M355" s="39" t="s">
        <v>380</v>
      </c>
      <c r="N355" s="39">
        <v>-2.1700000000000001E-2</v>
      </c>
      <c r="O355" s="39">
        <v>4.1000000000000003E-3</v>
      </c>
      <c r="P355" s="90">
        <f t="shared" si="130"/>
        <v>-5.2926829268292677</v>
      </c>
      <c r="Q355" s="39" t="s">
        <v>312</v>
      </c>
      <c r="R355" s="90">
        <f t="shared" si="131"/>
        <v>-2.9735999999999999E-2</v>
      </c>
      <c r="S355" s="90">
        <f t="shared" si="132"/>
        <v>-1.3664000000000001E-2</v>
      </c>
      <c r="T355" s="39">
        <v>1</v>
      </c>
      <c r="U355" s="39">
        <v>304550</v>
      </c>
      <c r="V355" s="39">
        <v>11</v>
      </c>
      <c r="W355" s="39">
        <v>1</v>
      </c>
      <c r="X355" s="39">
        <f t="shared" si="133"/>
        <v>304539</v>
      </c>
      <c r="Y355" s="90">
        <f t="shared" si="134"/>
        <v>-9.5903497443716804E-3</v>
      </c>
      <c r="Z355" s="90">
        <f t="shared" si="135"/>
        <v>1.8120015646047878E-3</v>
      </c>
      <c r="AA355" s="90">
        <f t="shared" si="136"/>
        <v>-9.5903497443716804E-3</v>
      </c>
      <c r="AB355" s="39" t="s">
        <v>81</v>
      </c>
      <c r="AC355" s="90">
        <f t="shared" si="140"/>
        <v>-1.150968</v>
      </c>
      <c r="AD355" s="90" cm="1">
        <f t="array" ref="AD355">_xlfn.IFS(
AND(L355="marginal_effect",M355="level"),N355*AN355/BF355,
AND(L355="marginal_effect",M355="sd (Y)"),N355*BH355*AN355/BF355,
AND(L355="marginal_effect",M355="sd (X)"),N355/AQ355*AN355/BF355,
AND(L355="semi_elasticity",M355="level"),N355*AN355,
AND(L355="semi_elasticity",M355="sd (Y)"),N355*AN355*BH355,
AND(L355="semi_elasticity",M355="sd (X)"),N355*AN355/AQ355,
AND(L355="level-log",M355="level"),N355/BF355,
AND(L355="level-log",M355="sd (X)"),N355/BF355/AQ355,
AND(L355="level-log",M355="sd (Y)"),N355/BF355*BH355,
AND(L355="elasticity",M355="level"),N355,
AND(L355="elasticity",M355="sd (X)"),N355/AQ355,
AND(L355="elasticity",M355="sd (Y)"),N355*BH355,
AND(L355="marginal_effect",M355="percent_of_mean"),N355*AN355/BF355/10)</f>
        <v>-1.150968</v>
      </c>
      <c r="AE355" s="41">
        <f t="shared" si="138"/>
        <v>1</v>
      </c>
      <c r="AF355" s="90">
        <f t="shared" si="141"/>
        <v>0.21746400000000002</v>
      </c>
      <c r="AG355" s="90" cm="1">
        <f t="array" ref="AG355">_xlfn.IFS(
AND(L355="marginal_effect",M355="level"),O355*AN355/BF355,
AND(L355="marginal_effect",M355="sd (Y)"),O355*BH355*AN355/BF355,
AND(L355="marginal_effect",M355="sd (X)"),O355/AQ355*AN355/BF355,
AND(L355="semi_elasticity",M355="level"),O355*AN355,
AND(L355="semi_elasticity",M355="sd (Y)"),O355*AN355*BH355,
AND(L355="semi_elasticity",M355="sd (X)"),O355*AN355/AQ355,
AND(L355="level-log",M355="level"),O355/BF355,
AND(L355="level-log",M355="sd (X)"),O355/BF355/AQ355,
AND(L355="level-log",M355="sd (Y)"),O355/BF355*BH355,
AND(L355="elasticity",M355="level"),O355,
AND(L355="elasticity",M355="sd (X)"),O355/AQ355,
AND(L355="elasticity",M355="sd (Y)"),O355*BH355,
AND(L355="marginal_effect",M355="percent_of_mean"),O355*AN355/BF355/10)</f>
        <v>0.21746400000000002</v>
      </c>
      <c r="AH355" s="41">
        <f t="shared" si="139"/>
        <v>1</v>
      </c>
      <c r="AI355" s="90">
        <f t="shared" si="129"/>
        <v>-1.150968</v>
      </c>
      <c r="AJ355" s="39">
        <v>0</v>
      </c>
      <c r="AK355" s="39">
        <f t="shared" si="137"/>
        <v>1</v>
      </c>
      <c r="AL355" s="39" t="s">
        <v>82</v>
      </c>
      <c r="AM355" s="39" t="s">
        <v>1333</v>
      </c>
      <c r="AN355" s="39">
        <v>53.04</v>
      </c>
      <c r="AO355" s="39">
        <v>0</v>
      </c>
      <c r="AP355" s="39">
        <f t="shared" si="142"/>
        <v>53.04</v>
      </c>
      <c r="AQ355" s="39">
        <v>18.27</v>
      </c>
      <c r="AR355" s="39">
        <v>12.77</v>
      </c>
      <c r="AS355" s="39">
        <v>132.4</v>
      </c>
      <c r="AT355" s="39" t="s">
        <v>107</v>
      </c>
      <c r="AU355" s="39" t="s">
        <v>109</v>
      </c>
      <c r="AV355" s="39" t="s">
        <v>133</v>
      </c>
      <c r="AW355" s="39" t="s">
        <v>85</v>
      </c>
      <c r="AX355" s="39" t="s">
        <v>86</v>
      </c>
      <c r="AY355" s="39">
        <v>0</v>
      </c>
      <c r="AZ355" s="39">
        <v>0</v>
      </c>
      <c r="BA355" s="39" t="s">
        <v>87</v>
      </c>
      <c r="BB355" s="39" t="s">
        <v>134</v>
      </c>
      <c r="BC355" s="39" t="s">
        <v>89</v>
      </c>
      <c r="BD355" s="39" t="s">
        <v>134</v>
      </c>
      <c r="BE355" s="39" t="s">
        <v>902</v>
      </c>
      <c r="BF355" s="39">
        <v>553.27</v>
      </c>
      <c r="BG355" s="39">
        <v>0</v>
      </c>
      <c r="BH355" s="39">
        <v>1781.61</v>
      </c>
      <c r="BI355" s="39">
        <v>0.1</v>
      </c>
      <c r="BJ355" s="39">
        <v>22690.799999999999</v>
      </c>
      <c r="BK355" s="39" t="s">
        <v>91</v>
      </c>
      <c r="BL355" s="39" t="s">
        <v>116</v>
      </c>
      <c r="BM355" s="39">
        <v>1</v>
      </c>
      <c r="BN355" s="39" t="s">
        <v>428</v>
      </c>
      <c r="BO355" s="39" t="s">
        <v>428</v>
      </c>
      <c r="BP355" s="39" t="s">
        <v>312</v>
      </c>
      <c r="BQ355" s="39" t="s">
        <v>117</v>
      </c>
      <c r="BR355" s="39" t="s">
        <v>134</v>
      </c>
      <c r="BS355" s="39" t="s">
        <v>312</v>
      </c>
      <c r="BT355" s="39" t="s">
        <v>312</v>
      </c>
      <c r="BU355" s="39">
        <v>2007</v>
      </c>
      <c r="BV355" s="39">
        <v>2016</v>
      </c>
      <c r="BW355" s="39" t="s">
        <v>901</v>
      </c>
      <c r="BX355" s="39" t="s">
        <v>95</v>
      </c>
      <c r="BY355" s="39" t="s">
        <v>748</v>
      </c>
      <c r="BZ355" s="39">
        <v>1</v>
      </c>
      <c r="CA355" s="39">
        <v>1</v>
      </c>
      <c r="CB355" s="39" t="s">
        <v>303</v>
      </c>
      <c r="CC355" s="39" t="s">
        <v>903</v>
      </c>
      <c r="CD355" s="39">
        <v>1</v>
      </c>
      <c r="CE355" s="39" t="s">
        <v>906</v>
      </c>
      <c r="CF355" s="39">
        <v>0</v>
      </c>
      <c r="CG355" s="39" t="s">
        <v>97</v>
      </c>
      <c r="CH355" s="39">
        <v>0</v>
      </c>
      <c r="CI355" s="39" t="s">
        <v>116</v>
      </c>
      <c r="CJ355" s="39" t="s">
        <v>98</v>
      </c>
      <c r="CK355" s="39">
        <v>35</v>
      </c>
      <c r="CL355" s="39">
        <v>0</v>
      </c>
      <c r="CM355" s="39">
        <v>0</v>
      </c>
      <c r="CN355" s="39" t="s">
        <v>124</v>
      </c>
      <c r="CO355" s="39" t="s">
        <v>97</v>
      </c>
      <c r="CP355" s="39" t="s">
        <v>100</v>
      </c>
      <c r="CQ355" s="39" t="s">
        <v>126</v>
      </c>
      <c r="CR355" s="42">
        <v>46224</v>
      </c>
      <c r="CT355" s="39" t="s">
        <v>974</v>
      </c>
    </row>
    <row r="356" spans="1:98" s="39" customFormat="1" x14ac:dyDescent="0.35">
      <c r="A356" s="38" t="s">
        <v>896</v>
      </c>
      <c r="B356" s="38" t="s">
        <v>982</v>
      </c>
      <c r="C356" s="39" t="s">
        <v>897</v>
      </c>
      <c r="D356" s="39">
        <v>2025</v>
      </c>
      <c r="E356" s="40" t="s">
        <v>898</v>
      </c>
      <c r="F356" s="38" t="s">
        <v>899</v>
      </c>
      <c r="G356" s="39" t="s">
        <v>78</v>
      </c>
      <c r="H356" s="39">
        <v>1</v>
      </c>
      <c r="I356" s="39" t="s">
        <v>290</v>
      </c>
      <c r="J356" s="39" t="s">
        <v>900</v>
      </c>
      <c r="K356" s="39">
        <v>0</v>
      </c>
      <c r="L356" s="39" t="s">
        <v>104</v>
      </c>
      <c r="M356" s="39" t="s">
        <v>380</v>
      </c>
      <c r="N356" s="39">
        <v>-1.2500000000000001E-2</v>
      </c>
      <c r="O356" s="39">
        <v>3.7000000000000002E-3</v>
      </c>
      <c r="P356" s="90">
        <f t="shared" si="130"/>
        <v>-3.3783783783783785</v>
      </c>
      <c r="Q356" s="39" t="s">
        <v>312</v>
      </c>
      <c r="R356" s="90">
        <f t="shared" si="131"/>
        <v>-1.9751999999999999E-2</v>
      </c>
      <c r="S356" s="90">
        <f t="shared" si="132"/>
        <v>-5.2480000000000009E-3</v>
      </c>
      <c r="T356" s="39">
        <v>1</v>
      </c>
      <c r="U356" s="39">
        <v>304550</v>
      </c>
      <c r="V356" s="39">
        <v>11</v>
      </c>
      <c r="W356" s="39">
        <v>1</v>
      </c>
      <c r="X356" s="39">
        <f t="shared" si="133"/>
        <v>304539</v>
      </c>
      <c r="Y356" s="90">
        <f t="shared" si="134"/>
        <v>-6.1217937301074133E-3</v>
      </c>
      <c r="Z356" s="90">
        <f t="shared" si="135"/>
        <v>1.8120509441117945E-3</v>
      </c>
      <c r="AA356" s="90">
        <f t="shared" si="136"/>
        <v>-6.1217937301074133E-3</v>
      </c>
      <c r="AB356" s="39" t="s">
        <v>81</v>
      </c>
      <c r="AC356" s="90">
        <f t="shared" si="140"/>
        <v>-0.66300000000000003</v>
      </c>
      <c r="AD356" s="90" cm="1">
        <f t="array" ref="AD356">_xlfn.IFS(
AND(L356="marginal_effect",M356="level"),N356*AN356/BF356,
AND(L356="marginal_effect",M356="sd (Y)"),N356*BH356*AN356/BF356,
AND(L356="marginal_effect",M356="sd (X)"),N356/AQ356*AN356/BF356,
AND(L356="semi_elasticity",M356="level"),N356*AN356,
AND(L356="semi_elasticity",M356="sd (Y)"),N356*AN356*BH356,
AND(L356="semi_elasticity",M356="sd (X)"),N356*AN356/AQ356,
AND(L356="level-log",M356="level"),N356/BF356,
AND(L356="level-log",M356="sd (X)"),N356/BF356/AQ356,
AND(L356="level-log",M356="sd (Y)"),N356/BF356*BH356,
AND(L356="elasticity",M356="level"),N356,
AND(L356="elasticity",M356="sd (X)"),N356/AQ356,
AND(L356="elasticity",M356="sd (Y)"),N356*BH356,
AND(L356="marginal_effect",M356="percent_of_mean"),N356*AN356/BF356/10)</f>
        <v>-0.66300000000000003</v>
      </c>
      <c r="AE356" s="41">
        <f t="shared" si="138"/>
        <v>1</v>
      </c>
      <c r="AF356" s="90">
        <f t="shared" si="141"/>
        <v>0.19624800000000001</v>
      </c>
      <c r="AG356" s="90" cm="1">
        <f t="array" ref="AG356">_xlfn.IFS(
AND(L356="marginal_effect",M356="level"),O356*AN356/BF356,
AND(L356="marginal_effect",M356="sd (Y)"),O356*BH356*AN356/BF356,
AND(L356="marginal_effect",M356="sd (X)"),O356/AQ356*AN356/BF356,
AND(L356="semi_elasticity",M356="level"),O356*AN356,
AND(L356="semi_elasticity",M356="sd (Y)"),O356*AN356*BH356,
AND(L356="semi_elasticity",M356="sd (X)"),O356*AN356/AQ356,
AND(L356="level-log",M356="level"),O356/BF356,
AND(L356="level-log",M356="sd (X)"),O356/BF356/AQ356,
AND(L356="level-log",M356="sd (Y)"),O356/BF356*BH356,
AND(L356="elasticity",M356="level"),O356,
AND(L356="elasticity",M356="sd (X)"),O356/AQ356,
AND(L356="elasticity",M356="sd (Y)"),O356*BH356,
AND(L356="marginal_effect",M356="percent_of_mean"),O356*AN356/BF356/10)</f>
        <v>0.19624800000000001</v>
      </c>
      <c r="AH356" s="41">
        <f t="shared" si="139"/>
        <v>1</v>
      </c>
      <c r="AI356" s="90">
        <f t="shared" si="129"/>
        <v>-0.66300000000000003</v>
      </c>
      <c r="AJ356" s="39">
        <v>0</v>
      </c>
      <c r="AK356" s="39">
        <f t="shared" si="137"/>
        <v>1</v>
      </c>
      <c r="AL356" s="39" t="s">
        <v>82</v>
      </c>
      <c r="AM356" s="39" t="s">
        <v>1333</v>
      </c>
      <c r="AN356" s="39">
        <v>53.04</v>
      </c>
      <c r="AO356" s="39">
        <v>0</v>
      </c>
      <c r="AP356" s="39">
        <f t="shared" si="142"/>
        <v>53.04</v>
      </c>
      <c r="AQ356" s="39">
        <v>18.27</v>
      </c>
      <c r="AR356" s="39">
        <v>12.77</v>
      </c>
      <c r="AS356" s="39">
        <v>132.4</v>
      </c>
      <c r="AT356" s="39" t="s">
        <v>107</v>
      </c>
      <c r="AU356" s="39" t="s">
        <v>109</v>
      </c>
      <c r="AV356" s="39" t="s">
        <v>133</v>
      </c>
      <c r="AW356" s="39" t="s">
        <v>85</v>
      </c>
      <c r="AX356" s="39" t="s">
        <v>86</v>
      </c>
      <c r="AY356" s="39">
        <v>0</v>
      </c>
      <c r="AZ356" s="39">
        <v>0</v>
      </c>
      <c r="BA356" s="39" t="s">
        <v>87</v>
      </c>
      <c r="BB356" s="39" t="s">
        <v>134</v>
      </c>
      <c r="BC356" s="39" t="s">
        <v>89</v>
      </c>
      <c r="BD356" s="39" t="s">
        <v>134</v>
      </c>
      <c r="BE356" s="39" t="s">
        <v>902</v>
      </c>
      <c r="BF356" s="39">
        <v>553.27</v>
      </c>
      <c r="BG356" s="39">
        <v>0</v>
      </c>
      <c r="BH356" s="39">
        <v>1781.61</v>
      </c>
      <c r="BI356" s="39">
        <v>0.1</v>
      </c>
      <c r="BJ356" s="39">
        <v>22690.799999999999</v>
      </c>
      <c r="BK356" s="39" t="s">
        <v>91</v>
      </c>
      <c r="BL356" s="39" t="s">
        <v>116</v>
      </c>
      <c r="BM356" s="39">
        <v>1</v>
      </c>
      <c r="BN356" s="39" t="s">
        <v>428</v>
      </c>
      <c r="BO356" s="39" t="s">
        <v>428</v>
      </c>
      <c r="BP356" s="39" t="s">
        <v>312</v>
      </c>
      <c r="BQ356" s="39" t="s">
        <v>117</v>
      </c>
      <c r="BR356" s="39" t="s">
        <v>134</v>
      </c>
      <c r="BS356" s="39" t="s">
        <v>312</v>
      </c>
      <c r="BT356" s="39" t="s">
        <v>312</v>
      </c>
      <c r="BU356" s="39">
        <v>2007</v>
      </c>
      <c r="BV356" s="39">
        <v>2016</v>
      </c>
      <c r="BW356" s="39" t="s">
        <v>901</v>
      </c>
      <c r="BX356" s="39" t="s">
        <v>95</v>
      </c>
      <c r="BY356" s="39" t="s">
        <v>748</v>
      </c>
      <c r="BZ356" s="39">
        <v>1</v>
      </c>
      <c r="CA356" s="39">
        <v>1</v>
      </c>
      <c r="CB356" s="39" t="s">
        <v>993</v>
      </c>
      <c r="CC356" s="39" t="s">
        <v>903</v>
      </c>
      <c r="CD356" s="39">
        <v>1</v>
      </c>
      <c r="CE356" s="39" t="s">
        <v>906</v>
      </c>
      <c r="CF356" s="39">
        <v>0</v>
      </c>
      <c r="CG356" s="39" t="s">
        <v>97</v>
      </c>
      <c r="CH356" s="39">
        <v>0</v>
      </c>
      <c r="CI356" s="39" t="s">
        <v>116</v>
      </c>
      <c r="CJ356" s="39" t="s">
        <v>98</v>
      </c>
      <c r="CK356" s="39">
        <v>35</v>
      </c>
      <c r="CL356" s="39">
        <v>0</v>
      </c>
      <c r="CM356" s="39">
        <v>0</v>
      </c>
      <c r="CN356" s="39" t="s">
        <v>124</v>
      </c>
      <c r="CO356" s="39" t="s">
        <v>97</v>
      </c>
      <c r="CP356" s="39" t="s">
        <v>100</v>
      </c>
      <c r="CQ356" s="39" t="s">
        <v>126</v>
      </c>
      <c r="CR356" s="42">
        <v>46224</v>
      </c>
      <c r="CT356" s="39" t="s">
        <v>975</v>
      </c>
    </row>
    <row r="357" spans="1:98" s="39" customFormat="1" x14ac:dyDescent="0.35">
      <c r="A357" s="38" t="s">
        <v>896</v>
      </c>
      <c r="B357" s="38" t="s">
        <v>983</v>
      </c>
      <c r="C357" s="39" t="s">
        <v>897</v>
      </c>
      <c r="D357" s="39">
        <v>2025</v>
      </c>
      <c r="E357" s="40" t="s">
        <v>898</v>
      </c>
      <c r="F357" s="38" t="s">
        <v>899</v>
      </c>
      <c r="G357" s="39" t="s">
        <v>78</v>
      </c>
      <c r="H357" s="39">
        <v>1</v>
      </c>
      <c r="I357" s="39" t="s">
        <v>290</v>
      </c>
      <c r="J357" s="39" t="s">
        <v>900</v>
      </c>
      <c r="K357" s="39">
        <v>0</v>
      </c>
      <c r="L357" s="39" t="s">
        <v>104</v>
      </c>
      <c r="M357" s="39" t="s">
        <v>380</v>
      </c>
      <c r="N357" s="39">
        <v>-2.1899999999999999E-2</v>
      </c>
      <c r="O357" s="39">
        <v>5.7999999999999996E-3</v>
      </c>
      <c r="P357" s="90">
        <f t="shared" si="130"/>
        <v>-3.7758620689655173</v>
      </c>
      <c r="Q357" s="39" t="s">
        <v>312</v>
      </c>
      <c r="R357" s="90">
        <f t="shared" si="131"/>
        <v>-3.3267999999999999E-2</v>
      </c>
      <c r="S357" s="90">
        <f t="shared" si="132"/>
        <v>-1.0532E-2</v>
      </c>
      <c r="T357" s="39">
        <v>1</v>
      </c>
      <c r="U357" s="39">
        <v>304550</v>
      </c>
      <c r="V357" s="39">
        <v>11</v>
      </c>
      <c r="W357" s="39">
        <v>1</v>
      </c>
      <c r="X357" s="39">
        <f t="shared" si="133"/>
        <v>304539</v>
      </c>
      <c r="Y357" s="90">
        <f t="shared" si="134"/>
        <v>-6.8420224837990769E-3</v>
      </c>
      <c r="Z357" s="90">
        <f t="shared" si="135"/>
        <v>1.8120424842938193E-3</v>
      </c>
      <c r="AA357" s="90">
        <f t="shared" si="136"/>
        <v>-6.8420224837990769E-3</v>
      </c>
      <c r="AB357" s="39" t="s">
        <v>81</v>
      </c>
      <c r="AC357" s="90">
        <f t="shared" si="140"/>
        <v>-1.1615759999999999</v>
      </c>
      <c r="AD357" s="90" cm="1">
        <f t="array" ref="AD357">_xlfn.IFS(
AND(L357="marginal_effect",M357="level"),N357*AN357/BF357,
AND(L357="marginal_effect",M357="sd (Y)"),N357*BH357*AN357/BF357,
AND(L357="marginal_effect",M357="sd (X)"),N357/AQ357*AN357/BF357,
AND(L357="semi_elasticity",M357="level"),N357*AN357,
AND(L357="semi_elasticity",M357="sd (Y)"),N357*AN357*BH357,
AND(L357="semi_elasticity",M357="sd (X)"),N357*AN357/AQ357,
AND(L357="level-log",M357="level"),N357/BF357,
AND(L357="level-log",M357="sd (X)"),N357/BF357/AQ357,
AND(L357="level-log",M357="sd (Y)"),N357/BF357*BH357,
AND(L357="elasticity",M357="level"),N357,
AND(L357="elasticity",M357="sd (X)"),N357/AQ357,
AND(L357="elasticity",M357="sd (Y)"),N357*BH357,
AND(L357="marginal_effect",M357="percent_of_mean"),N357*AN357/BF357/10)</f>
        <v>-1.1615759999999999</v>
      </c>
      <c r="AE357" s="41">
        <f t="shared" si="138"/>
        <v>1</v>
      </c>
      <c r="AF357" s="90">
        <f t="shared" si="141"/>
        <v>0.30763199999999996</v>
      </c>
      <c r="AG357" s="90" cm="1">
        <f t="array" ref="AG357">_xlfn.IFS(
AND(L357="marginal_effect",M357="level"),O357*AN357/BF357,
AND(L357="marginal_effect",M357="sd (Y)"),O357*BH357*AN357/BF357,
AND(L357="marginal_effect",M357="sd (X)"),O357/AQ357*AN357/BF357,
AND(L357="semi_elasticity",M357="level"),O357*AN357,
AND(L357="semi_elasticity",M357="sd (Y)"),O357*AN357*BH357,
AND(L357="semi_elasticity",M357="sd (X)"),O357*AN357/AQ357,
AND(L357="level-log",M357="level"),O357/BF357,
AND(L357="level-log",M357="sd (X)"),O357/BF357/AQ357,
AND(L357="level-log",M357="sd (Y)"),O357/BF357*BH357,
AND(L357="elasticity",M357="level"),O357,
AND(L357="elasticity",M357="sd (X)"),O357/AQ357,
AND(L357="elasticity",M357="sd (Y)"),O357*BH357,
AND(L357="marginal_effect",M357="percent_of_mean"),O357*AN357/BF357/10)</f>
        <v>0.30763199999999996</v>
      </c>
      <c r="AH357" s="41">
        <f t="shared" si="139"/>
        <v>1</v>
      </c>
      <c r="AI357" s="90">
        <f t="shared" si="129"/>
        <v>-1.1615759999999999</v>
      </c>
      <c r="AJ357" s="39">
        <v>0</v>
      </c>
      <c r="AK357" s="39">
        <f t="shared" si="137"/>
        <v>1</v>
      </c>
      <c r="AL357" s="39" t="s">
        <v>82</v>
      </c>
      <c r="AM357" s="39" t="s">
        <v>1333</v>
      </c>
      <c r="AN357" s="39">
        <v>53.04</v>
      </c>
      <c r="AO357" s="39">
        <v>0</v>
      </c>
      <c r="AP357" s="39">
        <f t="shared" si="142"/>
        <v>53.04</v>
      </c>
      <c r="AQ357" s="39">
        <v>18.27</v>
      </c>
      <c r="AR357" s="39">
        <v>12.77</v>
      </c>
      <c r="AS357" s="39">
        <v>132.4</v>
      </c>
      <c r="AT357" s="39" t="s">
        <v>107</v>
      </c>
      <c r="AU357" s="39" t="s">
        <v>109</v>
      </c>
      <c r="AV357" s="39" t="s">
        <v>133</v>
      </c>
      <c r="AW357" s="39" t="s">
        <v>85</v>
      </c>
      <c r="AX357" s="39" t="s">
        <v>86</v>
      </c>
      <c r="AY357" s="39">
        <v>0</v>
      </c>
      <c r="AZ357" s="39">
        <v>0</v>
      </c>
      <c r="BA357" s="39" t="s">
        <v>87</v>
      </c>
      <c r="BB357" s="39" t="s">
        <v>134</v>
      </c>
      <c r="BC357" s="39" t="s">
        <v>89</v>
      </c>
      <c r="BD357" s="39" t="s">
        <v>134</v>
      </c>
      <c r="BE357" s="39" t="s">
        <v>902</v>
      </c>
      <c r="BF357" s="39">
        <v>553.27</v>
      </c>
      <c r="BG357" s="39">
        <v>0</v>
      </c>
      <c r="BH357" s="39">
        <v>1781.61</v>
      </c>
      <c r="BI357" s="39">
        <v>0.1</v>
      </c>
      <c r="BJ357" s="39">
        <v>22690.799999999999</v>
      </c>
      <c r="BK357" s="39" t="s">
        <v>91</v>
      </c>
      <c r="BL357" s="39" t="s">
        <v>116</v>
      </c>
      <c r="BM357" s="39">
        <v>1</v>
      </c>
      <c r="BN357" s="39" t="s">
        <v>428</v>
      </c>
      <c r="BO357" s="39" t="s">
        <v>428</v>
      </c>
      <c r="BP357" s="39" t="s">
        <v>312</v>
      </c>
      <c r="BQ357" s="39" t="s">
        <v>117</v>
      </c>
      <c r="BR357" s="39" t="s">
        <v>134</v>
      </c>
      <c r="BS357" s="39" t="s">
        <v>312</v>
      </c>
      <c r="BT357" s="39" t="s">
        <v>312</v>
      </c>
      <c r="BU357" s="39">
        <v>2007</v>
      </c>
      <c r="BV357" s="39">
        <v>2016</v>
      </c>
      <c r="BW357" s="39" t="s">
        <v>901</v>
      </c>
      <c r="BX357" s="39" t="s">
        <v>95</v>
      </c>
      <c r="BY357" s="39" t="s">
        <v>748</v>
      </c>
      <c r="BZ357" s="39">
        <v>1</v>
      </c>
      <c r="CA357" s="39">
        <v>1</v>
      </c>
      <c r="CB357" s="39" t="s">
        <v>972</v>
      </c>
      <c r="CC357" s="39" t="s">
        <v>903</v>
      </c>
      <c r="CD357" s="39">
        <v>1</v>
      </c>
      <c r="CE357" s="39" t="s">
        <v>906</v>
      </c>
      <c r="CF357" s="39">
        <v>0</v>
      </c>
      <c r="CG357" s="39" t="s">
        <v>97</v>
      </c>
      <c r="CH357" s="39">
        <v>0</v>
      </c>
      <c r="CI357" s="39" t="s">
        <v>116</v>
      </c>
      <c r="CJ357" s="39" t="s">
        <v>98</v>
      </c>
      <c r="CK357" s="39">
        <v>35</v>
      </c>
      <c r="CL357" s="39">
        <v>0</v>
      </c>
      <c r="CM357" s="39">
        <v>0</v>
      </c>
      <c r="CN357" s="39" t="s">
        <v>124</v>
      </c>
      <c r="CO357" s="39" t="s">
        <v>97</v>
      </c>
      <c r="CP357" s="39" t="s">
        <v>100</v>
      </c>
      <c r="CQ357" s="39" t="s">
        <v>126</v>
      </c>
      <c r="CR357" s="42">
        <v>46224</v>
      </c>
      <c r="CT357" s="39" t="s">
        <v>976</v>
      </c>
    </row>
    <row r="358" spans="1:98" s="39" customFormat="1" x14ac:dyDescent="0.35">
      <c r="A358" s="38" t="s">
        <v>896</v>
      </c>
      <c r="B358" s="38" t="s">
        <v>986</v>
      </c>
      <c r="C358" s="39" t="s">
        <v>897</v>
      </c>
      <c r="D358" s="39">
        <v>2025</v>
      </c>
      <c r="E358" s="40" t="s">
        <v>898</v>
      </c>
      <c r="F358" s="38" t="s">
        <v>899</v>
      </c>
      <c r="G358" s="39" t="s">
        <v>78</v>
      </c>
      <c r="H358" s="39">
        <v>1</v>
      </c>
      <c r="I358" s="39" t="s">
        <v>290</v>
      </c>
      <c r="J358" s="39" t="s">
        <v>900</v>
      </c>
      <c r="K358" s="39">
        <v>0</v>
      </c>
      <c r="L358" s="39" t="s">
        <v>104</v>
      </c>
      <c r="M358" s="39" t="s">
        <v>380</v>
      </c>
      <c r="N358" s="39">
        <v>-3.6999999999999998E-2</v>
      </c>
      <c r="O358" s="39">
        <v>6.1000000000000004E-3</v>
      </c>
      <c r="P358" s="90">
        <f t="shared" si="130"/>
        <v>-6.0655737704918025</v>
      </c>
      <c r="Q358" s="39" t="s">
        <v>312</v>
      </c>
      <c r="R358" s="90">
        <f t="shared" si="131"/>
        <v>-4.8956E-2</v>
      </c>
      <c r="S358" s="90">
        <f t="shared" si="132"/>
        <v>-2.5043999999999997E-2</v>
      </c>
      <c r="T358" s="39">
        <v>1</v>
      </c>
      <c r="U358" s="39">
        <v>313627</v>
      </c>
      <c r="V358" s="39">
        <v>11</v>
      </c>
      <c r="W358" s="39">
        <v>1</v>
      </c>
      <c r="X358" s="39">
        <f t="shared" si="133"/>
        <v>313616</v>
      </c>
      <c r="Y358" s="90">
        <f t="shared" si="134"/>
        <v>-1.0830470174831788E-2</v>
      </c>
      <c r="Z358" s="90">
        <f t="shared" si="135"/>
        <v>1.7855640017965925E-3</v>
      </c>
      <c r="AA358" s="90">
        <f t="shared" si="136"/>
        <v>-1.0830470174831788E-2</v>
      </c>
      <c r="AB358" s="39" t="s">
        <v>81</v>
      </c>
      <c r="AC358" s="90">
        <f t="shared" si="140"/>
        <v>-1.9624799999999998</v>
      </c>
      <c r="AD358" s="90" cm="1">
        <f t="array" ref="AD358">_xlfn.IFS(
AND(L358="marginal_effect",M358="level"),N358*AN358/BF358,
AND(L358="marginal_effect",M358="sd (Y)"),N358*BH358*AN358/BF358,
AND(L358="marginal_effect",M358="sd (X)"),N358/AQ358*AN358/BF358,
AND(L358="semi_elasticity",M358="level"),N358*AN358,
AND(L358="semi_elasticity",M358="sd (Y)"),N358*AN358*BH358,
AND(L358="semi_elasticity",M358="sd (X)"),N358*AN358/AQ358,
AND(L358="level-log",M358="level"),N358/BF358,
AND(L358="level-log",M358="sd (X)"),N358/BF358/AQ358,
AND(L358="level-log",M358="sd (Y)"),N358/BF358*BH358,
AND(L358="elasticity",M358="level"),N358,
AND(L358="elasticity",M358="sd (X)"),N358/AQ358,
AND(L358="elasticity",M358="sd (Y)"),N358*BH358,
AND(L358="marginal_effect",M358="percent_of_mean"),N358*AN358/BF358/10)</f>
        <v>-1.9624799999999998</v>
      </c>
      <c r="AE358" s="41">
        <f t="shared" si="138"/>
        <v>1</v>
      </c>
      <c r="AF358" s="90">
        <f t="shared" si="141"/>
        <v>0.323544</v>
      </c>
      <c r="AG358" s="90" cm="1">
        <f t="array" ref="AG358">_xlfn.IFS(
AND(L358="marginal_effect",M358="level"),O358*AN358/BF358,
AND(L358="marginal_effect",M358="sd (Y)"),O358*BH358*AN358/BF358,
AND(L358="marginal_effect",M358="sd (X)"),O358/AQ358*AN358/BF358,
AND(L358="semi_elasticity",M358="level"),O358*AN358,
AND(L358="semi_elasticity",M358="sd (Y)"),O358*AN358*BH358,
AND(L358="semi_elasticity",M358="sd (X)"),O358*AN358/AQ358,
AND(L358="level-log",M358="level"),O358/BF358,
AND(L358="level-log",M358="sd (X)"),O358/BF358/AQ358,
AND(L358="level-log",M358="sd (Y)"),O358/BF358*BH358,
AND(L358="elasticity",M358="level"),O358,
AND(L358="elasticity",M358="sd (X)"),O358/AQ358,
AND(L358="elasticity",M358="sd (Y)"),O358*BH358,
AND(L358="marginal_effect",M358="percent_of_mean"),O358*AN358/BF358/10)</f>
        <v>0.323544</v>
      </c>
      <c r="AH358" s="41">
        <f t="shared" si="139"/>
        <v>1</v>
      </c>
      <c r="AI358" s="90">
        <f t="shared" si="129"/>
        <v>-1.9624799999999998</v>
      </c>
      <c r="AJ358" s="39">
        <v>0</v>
      </c>
      <c r="AK358" s="39">
        <f t="shared" si="137"/>
        <v>1</v>
      </c>
      <c r="AL358" s="39" t="s">
        <v>82</v>
      </c>
      <c r="AM358" s="39" t="s">
        <v>1333</v>
      </c>
      <c r="AN358" s="39">
        <v>53.04</v>
      </c>
      <c r="AO358" s="39">
        <v>0</v>
      </c>
      <c r="AP358" s="39">
        <f t="shared" si="142"/>
        <v>53.04</v>
      </c>
      <c r="AQ358" s="39">
        <v>18.27</v>
      </c>
      <c r="AR358" s="39">
        <v>12.77</v>
      </c>
      <c r="AS358" s="39">
        <v>132.4</v>
      </c>
      <c r="AT358" s="39" t="s">
        <v>107</v>
      </c>
      <c r="AU358" s="39" t="s">
        <v>109</v>
      </c>
      <c r="AV358" s="39" t="s">
        <v>133</v>
      </c>
      <c r="AW358" s="39" t="s">
        <v>85</v>
      </c>
      <c r="AX358" s="39" t="s">
        <v>86</v>
      </c>
      <c r="AY358" s="39">
        <v>0</v>
      </c>
      <c r="AZ358" s="39">
        <v>0</v>
      </c>
      <c r="BA358" s="39" t="s">
        <v>87</v>
      </c>
      <c r="BB358" s="39" t="s">
        <v>134</v>
      </c>
      <c r="BC358" s="39" t="s">
        <v>89</v>
      </c>
      <c r="BD358" s="39" t="s">
        <v>134</v>
      </c>
      <c r="BE358" s="39" t="s">
        <v>902</v>
      </c>
      <c r="BF358" s="39">
        <v>553.27</v>
      </c>
      <c r="BG358" s="39">
        <v>0</v>
      </c>
      <c r="BH358" s="39">
        <v>1781.61</v>
      </c>
      <c r="BI358" s="39">
        <v>0.1</v>
      </c>
      <c r="BJ358" s="39">
        <v>22690.799999999999</v>
      </c>
      <c r="BK358" s="39" t="s">
        <v>91</v>
      </c>
      <c r="BL358" s="39" t="s">
        <v>116</v>
      </c>
      <c r="BM358" s="39">
        <v>1</v>
      </c>
      <c r="BN358" s="39" t="s">
        <v>428</v>
      </c>
      <c r="BO358" s="39" t="s">
        <v>428</v>
      </c>
      <c r="BP358" s="39" t="s">
        <v>312</v>
      </c>
      <c r="BQ358" s="39" t="s">
        <v>117</v>
      </c>
      <c r="BR358" s="39" t="s">
        <v>134</v>
      </c>
      <c r="BS358" s="39" t="s">
        <v>312</v>
      </c>
      <c r="BT358" s="39" t="s">
        <v>312</v>
      </c>
      <c r="BU358" s="39">
        <v>2007</v>
      </c>
      <c r="BV358" s="39">
        <v>2016</v>
      </c>
      <c r="BW358" s="39" t="s">
        <v>901</v>
      </c>
      <c r="BX358" s="39" t="s">
        <v>95</v>
      </c>
      <c r="BY358" s="39" t="s">
        <v>748</v>
      </c>
      <c r="BZ358" s="39">
        <v>1</v>
      </c>
      <c r="CA358" s="39">
        <v>1</v>
      </c>
      <c r="CB358" s="39" t="s">
        <v>993</v>
      </c>
      <c r="CC358" s="39" t="s">
        <v>903</v>
      </c>
      <c r="CD358" s="39">
        <v>1</v>
      </c>
      <c r="CE358" s="39" t="s">
        <v>906</v>
      </c>
      <c r="CF358" s="39">
        <v>0</v>
      </c>
      <c r="CG358" s="39" t="s">
        <v>97</v>
      </c>
      <c r="CH358" s="39">
        <v>0</v>
      </c>
      <c r="CI358" s="39" t="s">
        <v>116</v>
      </c>
      <c r="CJ358" s="39" t="s">
        <v>98</v>
      </c>
      <c r="CK358" s="39">
        <v>35</v>
      </c>
      <c r="CL358" s="39">
        <v>0</v>
      </c>
      <c r="CM358" s="39">
        <v>0</v>
      </c>
      <c r="CN358" s="39" t="s">
        <v>124</v>
      </c>
      <c r="CO358" s="39" t="s">
        <v>97</v>
      </c>
      <c r="CP358" s="39" t="s">
        <v>100</v>
      </c>
      <c r="CQ358" s="39" t="s">
        <v>126</v>
      </c>
      <c r="CR358" s="42">
        <v>46224</v>
      </c>
      <c r="CT358" s="39" t="s">
        <v>989</v>
      </c>
    </row>
    <row r="359" spans="1:98" s="39" customFormat="1" x14ac:dyDescent="0.35">
      <c r="A359" s="38" t="s">
        <v>896</v>
      </c>
      <c r="B359" s="38" t="s">
        <v>985</v>
      </c>
      <c r="C359" s="39" t="s">
        <v>897</v>
      </c>
      <c r="D359" s="39">
        <v>2025</v>
      </c>
      <c r="E359" s="40" t="s">
        <v>898</v>
      </c>
      <c r="F359" s="38" t="s">
        <v>899</v>
      </c>
      <c r="G359" s="39" t="s">
        <v>78</v>
      </c>
      <c r="H359" s="39">
        <v>1</v>
      </c>
      <c r="I359" s="39" t="s">
        <v>290</v>
      </c>
      <c r="J359" s="39" t="s">
        <v>900</v>
      </c>
      <c r="K359" s="39">
        <v>0</v>
      </c>
      <c r="L359" s="39" t="s">
        <v>104</v>
      </c>
      <c r="M359" s="39" t="s">
        <v>380</v>
      </c>
      <c r="N359" s="39">
        <v>-1.8499999999999999E-2</v>
      </c>
      <c r="O359" s="39">
        <v>5.4999999999999997E-3</v>
      </c>
      <c r="P359" s="90">
        <f t="shared" si="130"/>
        <v>-3.3636363636363638</v>
      </c>
      <c r="Q359" s="39" t="s">
        <v>312</v>
      </c>
      <c r="R359" s="90">
        <f t="shared" si="131"/>
        <v>-2.928E-2</v>
      </c>
      <c r="S359" s="90">
        <f t="shared" si="132"/>
        <v>-7.7199999999999994E-3</v>
      </c>
      <c r="T359" s="39">
        <v>1</v>
      </c>
      <c r="U359" s="39">
        <v>304550</v>
      </c>
      <c r="V359" s="39">
        <v>12</v>
      </c>
      <c r="W359" s="39">
        <v>1</v>
      </c>
      <c r="X359" s="39">
        <f t="shared" si="133"/>
        <v>304538</v>
      </c>
      <c r="Y359" s="90">
        <f t="shared" si="134"/>
        <v>-6.0950914496646713E-3</v>
      </c>
      <c r="Z359" s="90">
        <f t="shared" si="135"/>
        <v>1.8120542147651725E-3</v>
      </c>
      <c r="AA359" s="90">
        <f t="shared" si="136"/>
        <v>-6.0950914496646713E-3</v>
      </c>
      <c r="AB359" s="39" t="s">
        <v>81</v>
      </c>
      <c r="AC359" s="90">
        <f t="shared" si="140"/>
        <v>-0.98123999999999989</v>
      </c>
      <c r="AD359" s="90" cm="1">
        <f t="array" ref="AD359">_xlfn.IFS(
AND(L359="marginal_effect",M359="level"),N359*AN359/BF359,
AND(L359="marginal_effect",M359="sd (Y)"),N359*BH359*AN359/BF359,
AND(L359="marginal_effect",M359="sd (X)"),N359/AQ359*AN359/BF359,
AND(L359="semi_elasticity",M359="level"),N359*AN359,
AND(L359="semi_elasticity",M359="sd (Y)"),N359*AN359*BH359,
AND(L359="semi_elasticity",M359="sd (X)"),N359*AN359/AQ359,
AND(L359="level-log",M359="level"),N359/BF359,
AND(L359="level-log",M359="sd (X)"),N359/BF359/AQ359,
AND(L359="level-log",M359="sd (Y)"),N359/BF359*BH359,
AND(L359="elasticity",M359="level"),N359,
AND(L359="elasticity",M359="sd (X)"),N359/AQ359,
AND(L359="elasticity",M359="sd (Y)"),N359*BH359,
AND(L359="marginal_effect",M359="percent_of_mean"),N359*AN359/BF359/10)</f>
        <v>-0.98123999999999989</v>
      </c>
      <c r="AE359" s="41">
        <f t="shared" si="138"/>
        <v>1</v>
      </c>
      <c r="AF359" s="90">
        <f t="shared" si="141"/>
        <v>0.29171999999999998</v>
      </c>
      <c r="AG359" s="90" cm="1">
        <f t="array" ref="AG359">_xlfn.IFS(
AND(L359="marginal_effect",M359="level"),O359*AN359/BF359,
AND(L359="marginal_effect",M359="sd (Y)"),O359*BH359*AN359/BF359,
AND(L359="marginal_effect",M359="sd (X)"),O359/AQ359*AN359/BF359,
AND(L359="semi_elasticity",M359="level"),O359*AN359,
AND(L359="semi_elasticity",M359="sd (Y)"),O359*AN359*BH359,
AND(L359="semi_elasticity",M359="sd (X)"),O359*AN359/AQ359,
AND(L359="level-log",M359="level"),O359/BF359,
AND(L359="level-log",M359="sd (X)"),O359/BF359/AQ359,
AND(L359="level-log",M359="sd (Y)"),O359/BF359*BH359,
AND(L359="elasticity",M359="level"),O359,
AND(L359="elasticity",M359="sd (X)"),O359/AQ359,
AND(L359="elasticity",M359="sd (Y)"),O359*BH359,
AND(L359="marginal_effect",M359="percent_of_mean"),O359*AN359/BF359/10)</f>
        <v>0.29171999999999998</v>
      </c>
      <c r="AH359" s="41">
        <f t="shared" si="139"/>
        <v>1</v>
      </c>
      <c r="AI359" s="90">
        <f t="shared" si="129"/>
        <v>-0.98123999999999989</v>
      </c>
      <c r="AJ359" s="39">
        <v>0</v>
      </c>
      <c r="AK359" s="39">
        <f t="shared" si="137"/>
        <v>1</v>
      </c>
      <c r="AL359" s="39" t="s">
        <v>82</v>
      </c>
      <c r="AM359" s="39" t="s">
        <v>1333</v>
      </c>
      <c r="AN359" s="39">
        <v>53.04</v>
      </c>
      <c r="AO359" s="39">
        <v>0</v>
      </c>
      <c r="AP359" s="39">
        <f t="shared" si="142"/>
        <v>53.04</v>
      </c>
      <c r="AQ359" s="39">
        <v>18.27</v>
      </c>
      <c r="AR359" s="39">
        <v>12.77</v>
      </c>
      <c r="AS359" s="39">
        <v>132.4</v>
      </c>
      <c r="AT359" s="39" t="s">
        <v>107</v>
      </c>
      <c r="AU359" s="39" t="s">
        <v>109</v>
      </c>
      <c r="AV359" s="39" t="s">
        <v>133</v>
      </c>
      <c r="AW359" s="39" t="s">
        <v>85</v>
      </c>
      <c r="AX359" s="39" t="s">
        <v>86</v>
      </c>
      <c r="AY359" s="39">
        <v>0</v>
      </c>
      <c r="AZ359" s="39">
        <v>0</v>
      </c>
      <c r="BA359" s="39" t="s">
        <v>87</v>
      </c>
      <c r="BB359" s="39" t="s">
        <v>134</v>
      </c>
      <c r="BC359" s="39" t="s">
        <v>89</v>
      </c>
      <c r="BD359" s="39" t="s">
        <v>134</v>
      </c>
      <c r="BE359" s="39" t="s">
        <v>902</v>
      </c>
      <c r="BF359" s="39">
        <v>553.27</v>
      </c>
      <c r="BG359" s="39">
        <v>0</v>
      </c>
      <c r="BH359" s="39">
        <v>1781.61</v>
      </c>
      <c r="BI359" s="39">
        <v>0.1</v>
      </c>
      <c r="BJ359" s="39">
        <v>22690.799999999999</v>
      </c>
      <c r="BK359" s="39" t="s">
        <v>91</v>
      </c>
      <c r="BL359" s="39" t="s">
        <v>116</v>
      </c>
      <c r="BM359" s="39">
        <v>1</v>
      </c>
      <c r="BN359" s="39" t="s">
        <v>428</v>
      </c>
      <c r="BO359" s="39" t="s">
        <v>428</v>
      </c>
      <c r="BP359" s="39" t="s">
        <v>312</v>
      </c>
      <c r="BQ359" s="39" t="s">
        <v>117</v>
      </c>
      <c r="BR359" s="39" t="s">
        <v>134</v>
      </c>
      <c r="BS359" s="39" t="s">
        <v>312</v>
      </c>
      <c r="BT359" s="39" t="s">
        <v>312</v>
      </c>
      <c r="BU359" s="39">
        <v>2007</v>
      </c>
      <c r="BV359" s="39">
        <v>2016</v>
      </c>
      <c r="BW359" s="39" t="s">
        <v>901</v>
      </c>
      <c r="BX359" s="39" t="s">
        <v>95</v>
      </c>
      <c r="BY359" s="39" t="s">
        <v>748</v>
      </c>
      <c r="BZ359" s="39">
        <v>1</v>
      </c>
      <c r="CA359" s="39">
        <v>1</v>
      </c>
      <c r="CB359" s="39" t="s">
        <v>993</v>
      </c>
      <c r="CC359" s="39" t="s">
        <v>903</v>
      </c>
      <c r="CD359" s="39">
        <v>1</v>
      </c>
      <c r="CE359" s="39" t="s">
        <v>906</v>
      </c>
      <c r="CF359" s="39">
        <v>0</v>
      </c>
      <c r="CG359" s="39" t="s">
        <v>97</v>
      </c>
      <c r="CH359" s="39">
        <v>0</v>
      </c>
      <c r="CI359" s="39" t="s">
        <v>116</v>
      </c>
      <c r="CJ359" s="39" t="s">
        <v>98</v>
      </c>
      <c r="CK359" s="39">
        <v>35</v>
      </c>
      <c r="CL359" s="39">
        <v>0</v>
      </c>
      <c r="CM359" s="39">
        <v>0</v>
      </c>
      <c r="CN359" s="39" t="s">
        <v>124</v>
      </c>
      <c r="CO359" s="39" t="s">
        <v>97</v>
      </c>
      <c r="CP359" s="39" t="s">
        <v>100</v>
      </c>
      <c r="CQ359" s="39" t="s">
        <v>126</v>
      </c>
      <c r="CR359" s="42">
        <v>46224</v>
      </c>
      <c r="CT359" s="39" t="s">
        <v>990</v>
      </c>
    </row>
    <row r="360" spans="1:98" s="39" customFormat="1" x14ac:dyDescent="0.35">
      <c r="A360" s="38" t="s">
        <v>896</v>
      </c>
      <c r="B360" s="38" t="s">
        <v>987</v>
      </c>
      <c r="C360" s="39" t="s">
        <v>897</v>
      </c>
      <c r="D360" s="39">
        <v>2025</v>
      </c>
      <c r="E360" s="40" t="s">
        <v>898</v>
      </c>
      <c r="F360" s="38" t="s">
        <v>899</v>
      </c>
      <c r="G360" s="39" t="s">
        <v>78</v>
      </c>
      <c r="H360" s="39">
        <v>1</v>
      </c>
      <c r="I360" s="39" t="s">
        <v>290</v>
      </c>
      <c r="J360" s="39" t="s">
        <v>900</v>
      </c>
      <c r="K360" s="39">
        <v>0</v>
      </c>
      <c r="L360" s="39" t="s">
        <v>104</v>
      </c>
      <c r="M360" s="39" t="s">
        <v>380</v>
      </c>
      <c r="N360" s="39">
        <v>-2.1700000000000001E-2</v>
      </c>
      <c r="O360" s="39">
        <v>5.5999999999999999E-3</v>
      </c>
      <c r="P360" s="90">
        <f t="shared" si="130"/>
        <v>-3.875</v>
      </c>
      <c r="Q360" s="39" t="s">
        <v>312</v>
      </c>
      <c r="R360" s="90">
        <f t="shared" si="131"/>
        <v>-3.2675999999999997E-2</v>
      </c>
      <c r="S360" s="90">
        <f t="shared" si="132"/>
        <v>-1.0724000000000001E-2</v>
      </c>
      <c r="T360" s="39">
        <v>1</v>
      </c>
      <c r="U360" s="39">
        <v>297107</v>
      </c>
      <c r="V360" s="39">
        <v>11</v>
      </c>
      <c r="W360" s="39">
        <v>1</v>
      </c>
      <c r="X360" s="39">
        <f t="shared" si="133"/>
        <v>297096</v>
      </c>
      <c r="Y360" s="90">
        <f t="shared" si="134"/>
        <v>-7.1090624590749423E-3</v>
      </c>
      <c r="Z360" s="90">
        <f t="shared" si="135"/>
        <v>1.8345967636322431E-3</v>
      </c>
      <c r="AA360" s="90">
        <f t="shared" si="136"/>
        <v>-7.1090624590749423E-3</v>
      </c>
      <c r="AB360" s="39" t="s">
        <v>81</v>
      </c>
      <c r="AC360" s="90">
        <f t="shared" si="140"/>
        <v>-1.150968</v>
      </c>
      <c r="AD360" s="90" cm="1">
        <f t="array" ref="AD360">_xlfn.IFS(
AND(L360="marginal_effect",M360="level"),N360*AN360/BF360,
AND(L360="marginal_effect",M360="sd (Y)"),N360*BH360*AN360/BF360,
AND(L360="marginal_effect",M360="sd (X)"),N360/AQ360*AN360/BF360,
AND(L360="semi_elasticity",M360="level"),N360*AN360,
AND(L360="semi_elasticity",M360="sd (Y)"),N360*AN360*BH360,
AND(L360="semi_elasticity",M360="sd (X)"),N360*AN360/AQ360,
AND(L360="level-log",M360="level"),N360/BF360,
AND(L360="level-log",M360="sd (X)"),N360/BF360/AQ360,
AND(L360="level-log",M360="sd (Y)"),N360/BF360*BH360,
AND(L360="elasticity",M360="level"),N360,
AND(L360="elasticity",M360="sd (X)"),N360/AQ360,
AND(L360="elasticity",M360="sd (Y)"),N360*BH360,
AND(L360="marginal_effect",M360="percent_of_mean"),N360*AN360/BF360/10)</f>
        <v>-1.150968</v>
      </c>
      <c r="AE360" s="41">
        <f t="shared" si="138"/>
        <v>1</v>
      </c>
      <c r="AF360" s="90">
        <f t="shared" si="141"/>
        <v>0.29702400000000001</v>
      </c>
      <c r="AG360" s="90" cm="1">
        <f t="array" ref="AG360">_xlfn.IFS(
AND(L360="marginal_effect",M360="level"),O360*AN360/BF360,
AND(L360="marginal_effect",M360="sd (Y)"),O360*BH360*AN360/BF360,
AND(L360="marginal_effect",M360="sd (X)"),O360/AQ360*AN360/BF360,
AND(L360="semi_elasticity",M360="level"),O360*AN360,
AND(L360="semi_elasticity",M360="sd (Y)"),O360*AN360*BH360,
AND(L360="semi_elasticity",M360="sd (X)"),O360*AN360/AQ360,
AND(L360="level-log",M360="level"),O360/BF360,
AND(L360="level-log",M360="sd (X)"),O360/BF360/AQ360,
AND(L360="level-log",M360="sd (Y)"),O360/BF360*BH360,
AND(L360="elasticity",M360="level"),O360,
AND(L360="elasticity",M360="sd (X)"),O360/AQ360,
AND(L360="elasticity",M360="sd (Y)"),O360*BH360,
AND(L360="marginal_effect",M360="percent_of_mean"),O360*AN360/BF360/10)</f>
        <v>0.29702400000000001</v>
      </c>
      <c r="AH360" s="41">
        <f t="shared" si="139"/>
        <v>1</v>
      </c>
      <c r="AI360" s="90">
        <f t="shared" si="129"/>
        <v>-1.150968</v>
      </c>
      <c r="AJ360" s="39">
        <v>0</v>
      </c>
      <c r="AK360" s="39">
        <f t="shared" si="137"/>
        <v>1</v>
      </c>
      <c r="AL360" s="39" t="s">
        <v>82</v>
      </c>
      <c r="AM360" s="39" t="s">
        <v>1333</v>
      </c>
      <c r="AN360" s="39">
        <v>53.04</v>
      </c>
      <c r="AO360" s="39">
        <v>0</v>
      </c>
      <c r="AP360" s="39">
        <f t="shared" si="142"/>
        <v>53.04</v>
      </c>
      <c r="AQ360" s="39">
        <v>18.27</v>
      </c>
      <c r="AR360" s="39">
        <v>12.77</v>
      </c>
      <c r="AS360" s="39">
        <v>132.4</v>
      </c>
      <c r="AT360" s="39" t="s">
        <v>107</v>
      </c>
      <c r="AU360" s="39" t="s">
        <v>109</v>
      </c>
      <c r="AV360" s="39" t="s">
        <v>133</v>
      </c>
      <c r="AW360" s="39" t="s">
        <v>85</v>
      </c>
      <c r="AX360" s="39" t="s">
        <v>86</v>
      </c>
      <c r="AY360" s="39">
        <v>0</v>
      </c>
      <c r="AZ360" s="39">
        <v>0</v>
      </c>
      <c r="BA360" s="39" t="s">
        <v>87</v>
      </c>
      <c r="BB360" s="39" t="s">
        <v>134</v>
      </c>
      <c r="BC360" s="39" t="s">
        <v>89</v>
      </c>
      <c r="BD360" s="39" t="s">
        <v>134</v>
      </c>
      <c r="BE360" s="39" t="s">
        <v>902</v>
      </c>
      <c r="BF360" s="39">
        <v>553.27</v>
      </c>
      <c r="BG360" s="39">
        <v>0</v>
      </c>
      <c r="BH360" s="39">
        <v>1781.61</v>
      </c>
      <c r="BI360" s="39">
        <v>0.1</v>
      </c>
      <c r="BJ360" s="39">
        <v>22690.799999999999</v>
      </c>
      <c r="BK360" s="39" t="s">
        <v>91</v>
      </c>
      <c r="BL360" s="39" t="s">
        <v>116</v>
      </c>
      <c r="BM360" s="39">
        <v>1</v>
      </c>
      <c r="BN360" s="39" t="s">
        <v>428</v>
      </c>
      <c r="BO360" s="39" t="s">
        <v>428</v>
      </c>
      <c r="BP360" s="39" t="s">
        <v>312</v>
      </c>
      <c r="BQ360" s="39" t="s">
        <v>117</v>
      </c>
      <c r="BR360" s="39" t="s">
        <v>134</v>
      </c>
      <c r="BS360" s="39" t="s">
        <v>312</v>
      </c>
      <c r="BT360" s="39" t="s">
        <v>312</v>
      </c>
      <c r="BU360" s="39">
        <v>2007</v>
      </c>
      <c r="BV360" s="39">
        <v>2016</v>
      </c>
      <c r="BW360" s="39" t="s">
        <v>901</v>
      </c>
      <c r="BX360" s="39" t="s">
        <v>95</v>
      </c>
      <c r="BY360" s="39" t="s">
        <v>748</v>
      </c>
      <c r="BZ360" s="39">
        <v>1</v>
      </c>
      <c r="CA360" s="39">
        <v>1</v>
      </c>
      <c r="CB360" s="39" t="s">
        <v>993</v>
      </c>
      <c r="CC360" s="39" t="s">
        <v>903</v>
      </c>
      <c r="CD360" s="39">
        <v>1</v>
      </c>
      <c r="CE360" s="39" t="s">
        <v>906</v>
      </c>
      <c r="CF360" s="39">
        <v>0</v>
      </c>
      <c r="CG360" s="39" t="s">
        <v>97</v>
      </c>
      <c r="CH360" s="39">
        <v>0</v>
      </c>
      <c r="CI360" s="39" t="s">
        <v>116</v>
      </c>
      <c r="CJ360" s="39" t="s">
        <v>98</v>
      </c>
      <c r="CK360" s="39">
        <v>35</v>
      </c>
      <c r="CL360" s="39">
        <v>0</v>
      </c>
      <c r="CM360" s="39">
        <v>0</v>
      </c>
      <c r="CN360" s="39" t="s">
        <v>124</v>
      </c>
      <c r="CO360" s="39" t="s">
        <v>97</v>
      </c>
      <c r="CP360" s="39" t="s">
        <v>100</v>
      </c>
      <c r="CQ360" s="39" t="s">
        <v>126</v>
      </c>
      <c r="CR360" s="42">
        <v>46224</v>
      </c>
      <c r="CT360" s="39" t="s">
        <v>991</v>
      </c>
    </row>
    <row r="361" spans="1:98" s="39" customFormat="1" x14ac:dyDescent="0.35">
      <c r="A361" s="38" t="s">
        <v>896</v>
      </c>
      <c r="B361" s="38" t="s">
        <v>988</v>
      </c>
      <c r="C361" s="39" t="s">
        <v>897</v>
      </c>
      <c r="D361" s="39">
        <v>2025</v>
      </c>
      <c r="E361" s="40" t="s">
        <v>898</v>
      </c>
      <c r="F361" s="38" t="s">
        <v>899</v>
      </c>
      <c r="G361" s="39" t="s">
        <v>78</v>
      </c>
      <c r="H361" s="39">
        <v>1</v>
      </c>
      <c r="I361" s="39" t="s">
        <v>290</v>
      </c>
      <c r="J361" s="39" t="s">
        <v>900</v>
      </c>
      <c r="K361" s="39">
        <v>0</v>
      </c>
      <c r="L361" s="39" t="s">
        <v>104</v>
      </c>
      <c r="M361" s="39" t="s">
        <v>380</v>
      </c>
      <c r="N361" s="39">
        <v>-3.3599999999999998E-2</v>
      </c>
      <c r="O361" s="39">
        <v>6.4999999999999997E-3</v>
      </c>
      <c r="P361" s="90">
        <f t="shared" si="130"/>
        <v>-5.1692307692307695</v>
      </c>
      <c r="Q361" s="39" t="s">
        <v>312</v>
      </c>
      <c r="R361" s="90">
        <f t="shared" si="131"/>
        <v>-4.6339999999999999E-2</v>
      </c>
      <c r="S361" s="90">
        <f t="shared" si="132"/>
        <v>-2.0859999999999997E-2</v>
      </c>
      <c r="T361" s="39">
        <v>1</v>
      </c>
      <c r="U361" s="39">
        <v>235208</v>
      </c>
      <c r="V361" s="39" t="s">
        <v>312</v>
      </c>
      <c r="W361" s="39" t="s">
        <v>312</v>
      </c>
      <c r="X361" s="39">
        <f>U361</f>
        <v>235208</v>
      </c>
      <c r="Y361" s="90">
        <f t="shared" si="134"/>
        <v>-1.0657987547018539E-2</v>
      </c>
      <c r="Z361" s="90">
        <f t="shared" si="135"/>
        <v>2.0618130671315625E-3</v>
      </c>
      <c r="AA361" s="90">
        <f t="shared" si="136"/>
        <v>-1.0657987547018539E-2</v>
      </c>
      <c r="AB361" s="39" t="s">
        <v>81</v>
      </c>
      <c r="AC361" s="90">
        <f t="shared" si="140"/>
        <v>-1.782144</v>
      </c>
      <c r="AD361" s="90" cm="1">
        <f t="array" ref="AD361">_xlfn.IFS(
AND(L361="marginal_effect",M361="level"),N361*AN361/BF361,
AND(L361="marginal_effect",M361="sd (Y)"),N361*BH361*AN361/BF361,
AND(L361="marginal_effect",M361="sd (X)"),N361/AQ361*AN361/BF361,
AND(L361="semi_elasticity",M361="level"),N361*AN361,
AND(L361="semi_elasticity",M361="sd (Y)"),N361*AN361*BH361,
AND(L361="semi_elasticity",M361="sd (X)"),N361*AN361/AQ361,
AND(L361="level-log",M361="level"),N361/BF361,
AND(L361="level-log",M361="sd (X)"),N361/BF361/AQ361,
AND(L361="level-log",M361="sd (Y)"),N361/BF361*BH361,
AND(L361="elasticity",M361="level"),N361,
AND(L361="elasticity",M361="sd (X)"),N361/AQ361,
AND(L361="elasticity",M361="sd (Y)"),N361*BH361,
AND(L361="marginal_effect",M361="percent_of_mean"),N361*AN361/BF361/10)</f>
        <v>-1.782144</v>
      </c>
      <c r="AE361" s="41">
        <f t="shared" si="138"/>
        <v>1</v>
      </c>
      <c r="AF361" s="90">
        <f t="shared" si="141"/>
        <v>0.34475999999999996</v>
      </c>
      <c r="AG361" s="90" cm="1">
        <f t="array" ref="AG361">_xlfn.IFS(
AND(L361="marginal_effect",M361="level"),O361*AN361/BF361,
AND(L361="marginal_effect",M361="sd (Y)"),O361*BH361*AN361/BF361,
AND(L361="marginal_effect",M361="sd (X)"),O361/AQ361*AN361/BF361,
AND(L361="semi_elasticity",M361="level"),O361*AN361,
AND(L361="semi_elasticity",M361="sd (Y)"),O361*AN361*BH361,
AND(L361="semi_elasticity",M361="sd (X)"),O361*AN361/AQ361,
AND(L361="level-log",M361="level"),O361/BF361,
AND(L361="level-log",M361="sd (X)"),O361/BF361/AQ361,
AND(L361="level-log",M361="sd (Y)"),O361/BF361*BH361,
AND(L361="elasticity",M361="level"),O361,
AND(L361="elasticity",M361="sd (X)"),O361/AQ361,
AND(L361="elasticity",M361="sd (Y)"),O361*BH361,
AND(L361="marginal_effect",M361="percent_of_mean"),O361*AN361/BF361/10)</f>
        <v>0.34475999999999996</v>
      </c>
      <c r="AH361" s="41">
        <f t="shared" si="139"/>
        <v>1</v>
      </c>
      <c r="AI361" s="90">
        <f t="shared" si="129"/>
        <v>-1.782144</v>
      </c>
      <c r="AJ361" s="39">
        <v>0</v>
      </c>
      <c r="AK361" s="39">
        <f t="shared" si="137"/>
        <v>1</v>
      </c>
      <c r="AL361" s="39" t="s">
        <v>82</v>
      </c>
      <c r="AM361" s="39" t="s">
        <v>1333</v>
      </c>
      <c r="AN361" s="39">
        <v>53.04</v>
      </c>
      <c r="AO361" s="39">
        <v>0</v>
      </c>
      <c r="AP361" s="39">
        <f t="shared" si="142"/>
        <v>53.04</v>
      </c>
      <c r="AQ361" s="39">
        <v>18.27</v>
      </c>
      <c r="AR361" s="39">
        <v>12.77</v>
      </c>
      <c r="AS361" s="39">
        <v>132.4</v>
      </c>
      <c r="AT361" s="39" t="s">
        <v>107</v>
      </c>
      <c r="AU361" s="39" t="s">
        <v>109</v>
      </c>
      <c r="AV361" s="39" t="s">
        <v>133</v>
      </c>
      <c r="AW361" s="39" t="s">
        <v>85</v>
      </c>
      <c r="AX361" s="39" t="s">
        <v>86</v>
      </c>
      <c r="AY361" s="39">
        <v>0</v>
      </c>
      <c r="AZ361" s="39">
        <v>0</v>
      </c>
      <c r="BA361" s="39" t="s">
        <v>87</v>
      </c>
      <c r="BB361" s="39" t="s">
        <v>134</v>
      </c>
      <c r="BC361" s="39" t="s">
        <v>89</v>
      </c>
      <c r="BD361" s="39" t="s">
        <v>134</v>
      </c>
      <c r="BE361" s="39" t="s">
        <v>902</v>
      </c>
      <c r="BF361" s="39">
        <v>553.27</v>
      </c>
      <c r="BG361" s="39">
        <v>0</v>
      </c>
      <c r="BH361" s="39">
        <v>1781.61</v>
      </c>
      <c r="BI361" s="39">
        <v>0.1</v>
      </c>
      <c r="BJ361" s="39">
        <v>22690.799999999999</v>
      </c>
      <c r="BK361" s="39" t="s">
        <v>91</v>
      </c>
      <c r="BL361" s="39" t="s">
        <v>116</v>
      </c>
      <c r="BM361" s="39">
        <v>1</v>
      </c>
      <c r="BN361" s="39" t="s">
        <v>428</v>
      </c>
      <c r="BO361" s="39" t="s">
        <v>428</v>
      </c>
      <c r="BP361" s="39" t="s">
        <v>312</v>
      </c>
      <c r="BQ361" s="39" t="s">
        <v>117</v>
      </c>
      <c r="BR361" s="39" t="s">
        <v>134</v>
      </c>
      <c r="BS361" s="39" t="s">
        <v>312</v>
      </c>
      <c r="BT361" s="39" t="s">
        <v>312</v>
      </c>
      <c r="BU361" s="39">
        <v>2007</v>
      </c>
      <c r="BV361" s="39">
        <v>2016</v>
      </c>
      <c r="BW361" s="39" t="s">
        <v>901</v>
      </c>
      <c r="BX361" s="39" t="s">
        <v>95</v>
      </c>
      <c r="BY361" s="39" t="s">
        <v>748</v>
      </c>
      <c r="BZ361" s="39">
        <v>1</v>
      </c>
      <c r="CA361" s="39">
        <v>1</v>
      </c>
      <c r="CB361" s="39" t="s">
        <v>993</v>
      </c>
      <c r="CC361" s="39" t="s">
        <v>903</v>
      </c>
      <c r="CD361" s="39">
        <v>1</v>
      </c>
      <c r="CE361" s="39" t="s">
        <v>906</v>
      </c>
      <c r="CF361" s="39">
        <v>0</v>
      </c>
      <c r="CG361" s="39" t="s">
        <v>97</v>
      </c>
      <c r="CH361" s="39">
        <v>0</v>
      </c>
      <c r="CI361" s="39" t="s">
        <v>116</v>
      </c>
      <c r="CJ361" s="39" t="s">
        <v>98</v>
      </c>
      <c r="CK361" s="39">
        <v>35</v>
      </c>
      <c r="CL361" s="39">
        <v>0</v>
      </c>
      <c r="CM361" s="39">
        <v>0</v>
      </c>
      <c r="CN361" s="39" t="s">
        <v>124</v>
      </c>
      <c r="CO361" s="39" t="s">
        <v>97</v>
      </c>
      <c r="CP361" s="39" t="s">
        <v>100</v>
      </c>
      <c r="CQ361" s="39" t="s">
        <v>126</v>
      </c>
      <c r="CR361" s="42">
        <v>46224</v>
      </c>
      <c r="CT361" s="39" t="s">
        <v>992</v>
      </c>
    </row>
    <row r="362" spans="1:98" s="44" customFormat="1" x14ac:dyDescent="0.35">
      <c r="A362" s="64" t="s">
        <v>995</v>
      </c>
      <c r="B362" s="64" t="s">
        <v>1005</v>
      </c>
      <c r="C362" s="44" t="s">
        <v>996</v>
      </c>
      <c r="D362" s="44">
        <v>2025</v>
      </c>
      <c r="E362" s="43" t="s">
        <v>997</v>
      </c>
      <c r="F362" s="43" t="s">
        <v>998</v>
      </c>
      <c r="G362" s="44" t="s">
        <v>78</v>
      </c>
      <c r="H362" s="44">
        <v>1</v>
      </c>
      <c r="I362" s="44" t="s">
        <v>686</v>
      </c>
      <c r="J362" s="44" t="s">
        <v>79</v>
      </c>
      <c r="K362" s="44">
        <v>2</v>
      </c>
      <c r="L362" s="44" t="s">
        <v>129</v>
      </c>
      <c r="M362" s="44" t="s">
        <v>380</v>
      </c>
      <c r="N362" s="44">
        <v>-0.18920000000000001</v>
      </c>
      <c r="O362" s="44">
        <v>4.3099999999999999E-2</v>
      </c>
      <c r="P362" s="91">
        <f t="shared" si="130"/>
        <v>-4.3897911832946637</v>
      </c>
      <c r="Q362" s="44" t="s">
        <v>312</v>
      </c>
      <c r="R362" s="91">
        <f t="shared" si="131"/>
        <v>-0.27367600000000003</v>
      </c>
      <c r="S362" s="91">
        <f t="shared" si="132"/>
        <v>-0.10472400000000001</v>
      </c>
      <c r="T362" s="44">
        <v>1</v>
      </c>
      <c r="U362" s="44">
        <v>93971</v>
      </c>
      <c r="V362" s="44">
        <v>11</v>
      </c>
      <c r="W362" s="44">
        <v>1</v>
      </c>
      <c r="X362" s="44">
        <f t="shared" ref="X362:X367" si="143">U362-V362</f>
        <v>93960</v>
      </c>
      <c r="Y362" s="91">
        <f t="shared" si="134"/>
        <v>-1.4319499138561644E-2</v>
      </c>
      <c r="Z362" s="91">
        <f t="shared" si="135"/>
        <v>3.2620000680338625E-3</v>
      </c>
      <c r="AA362" s="91">
        <f t="shared" si="136"/>
        <v>-1.4319499138561644E-2</v>
      </c>
      <c r="AB362" s="44" t="s">
        <v>81</v>
      </c>
      <c r="AC362" s="91">
        <f t="shared" ref="AC362:AC397" si="144">N362*AN362/BF362</f>
        <v>-0.11417566905561098</v>
      </c>
      <c r="AD362" s="91" cm="1">
        <f t="array" ref="AD362">_xlfn.IFS(
AND(L362="marginal_effect",M362="level"),N362*AN362/BF362,
AND(L362="marginal_effect",M362="sd (Y)"),N362*BH362*AN362/BF362,
AND(L362="marginal_effect",M362="sd (X)"),N362/AQ362*AN362/BF362,
AND(L362="semi_elasticity",M362="level"),N362*AN362,
AND(L362="semi_elasticity",M362="sd (Y)"),N362*AN362*BH362,
AND(L362="semi_elasticity",M362="sd (X)"),N362*AN362/AQ362,
AND(L362="level-log",M362="level"),N362/BF362,
AND(L362="level-log",M362="sd (X)"),N362/BF362/AQ362,
AND(L362="level-log",M362="sd (Y)"),N362/BF362*BH362,
AND(L362="elasticity",M362="level"),N362,
AND(L362="elasticity",M362="sd (X)"),N362/AQ362,
AND(L362="elasticity",M362="sd (Y)"),N362*BH362,
AND(L362="marginal_effect",M362="percent_of_mean"),N362*AN362/BF362/10)</f>
        <v>-0.11417566905561098</v>
      </c>
      <c r="AE362" s="50">
        <f t="shared" si="138"/>
        <v>1</v>
      </c>
      <c r="AF362" s="91">
        <f t="shared" ref="AF362:AF397" si="145">O362*AN362/BF362</f>
        <v>2.6009362242583687E-2</v>
      </c>
      <c r="AG362" s="91" cm="1">
        <f t="array" ref="AG362">_xlfn.IFS(
AND(L362="marginal_effect",M362="level"),O362*AN362/BF362,
AND(L362="marginal_effect",M362="sd (Y)"),O362*BH362*AN362/BF362,
AND(L362="marginal_effect",M362="sd (X)"),O362/AQ362*AN362/BF362,
AND(L362="semi_elasticity",M362="level"),O362*AN362,
AND(L362="semi_elasticity",M362="sd (Y)"),O362*AN362*BH362,
AND(L362="semi_elasticity",M362="sd (X)"),O362*AN362/AQ362,
AND(L362="level-log",M362="level"),O362/BF362,
AND(L362="level-log",M362="sd (X)"),O362/BF362/AQ362,
AND(L362="level-log",M362="sd (Y)"),O362/BF362*BH362,
AND(L362="elasticity",M362="level"),O362,
AND(L362="elasticity",M362="sd (X)"),O362/AQ362,
AND(L362="elasticity",M362="sd (Y)"),O362*BH362,
AND(L362="marginal_effect",M362="percent_of_mean"),O362*AN362/BF362/10)</f>
        <v>2.6009362242583687E-2</v>
      </c>
      <c r="AH362" s="50">
        <f t="shared" si="139"/>
        <v>1</v>
      </c>
      <c r="AI362" s="91">
        <f t="shared" si="129"/>
        <v>-0.11417566905561098</v>
      </c>
      <c r="AJ362" s="44">
        <v>0</v>
      </c>
      <c r="AK362" s="44">
        <f t="shared" si="137"/>
        <v>1</v>
      </c>
      <c r="AL362" s="44" t="s">
        <v>82</v>
      </c>
      <c r="AM362" s="44" t="s">
        <v>1333</v>
      </c>
      <c r="AN362" s="44">
        <v>66.52</v>
      </c>
      <c r="AO362" s="44">
        <v>0</v>
      </c>
      <c r="AP362" s="44">
        <f t="shared" si="142"/>
        <v>66.52</v>
      </c>
      <c r="AQ362" s="44">
        <v>68.47</v>
      </c>
      <c r="AR362" s="44">
        <v>5.04</v>
      </c>
      <c r="AS362" s="44">
        <v>474.66</v>
      </c>
      <c r="AT362" s="44" t="s">
        <v>83</v>
      </c>
      <c r="AU362" s="44" t="s">
        <v>109</v>
      </c>
      <c r="AV362" s="44" t="s">
        <v>133</v>
      </c>
      <c r="AW362" s="44" t="s">
        <v>85</v>
      </c>
      <c r="AX362" s="44" t="s">
        <v>86</v>
      </c>
      <c r="AY362" s="44">
        <v>0</v>
      </c>
      <c r="AZ362" s="44">
        <v>0</v>
      </c>
      <c r="BA362" s="44" t="s">
        <v>87</v>
      </c>
      <c r="BB362" s="44" t="s">
        <v>88</v>
      </c>
      <c r="BC362" s="44" t="s">
        <v>113</v>
      </c>
      <c r="BD362" s="44" t="s">
        <v>433</v>
      </c>
      <c r="BE362" s="44" t="s">
        <v>434</v>
      </c>
      <c r="BF362" s="44">
        <v>110.23</v>
      </c>
      <c r="BG362" s="44">
        <v>0</v>
      </c>
      <c r="BH362" s="44">
        <v>86.32</v>
      </c>
      <c r="BI362" s="44" t="s">
        <v>312</v>
      </c>
      <c r="BJ362" s="44" t="s">
        <v>312</v>
      </c>
      <c r="BK362" s="44" t="s">
        <v>91</v>
      </c>
      <c r="BL362" s="44" t="s">
        <v>84</v>
      </c>
      <c r="BM362" s="44">
        <v>1</v>
      </c>
      <c r="BN362" s="44" t="s">
        <v>428</v>
      </c>
      <c r="BO362" s="44" t="s">
        <v>428</v>
      </c>
      <c r="BP362" s="44" t="s">
        <v>1001</v>
      </c>
      <c r="BQ362" s="44" t="s">
        <v>117</v>
      </c>
      <c r="BR362" s="44" t="s">
        <v>134</v>
      </c>
      <c r="BS362" s="44">
        <v>23</v>
      </c>
      <c r="BT362" s="44" t="s">
        <v>312</v>
      </c>
      <c r="BU362" s="65">
        <v>43405</v>
      </c>
      <c r="BV362" s="65">
        <v>43862</v>
      </c>
      <c r="BW362" s="44" t="s">
        <v>94</v>
      </c>
      <c r="BX362" s="44" t="s">
        <v>95</v>
      </c>
      <c r="BY362" s="44" t="s">
        <v>96</v>
      </c>
      <c r="BZ362" s="44">
        <v>0</v>
      </c>
      <c r="CA362" s="44">
        <v>0</v>
      </c>
      <c r="CB362" s="44" t="s">
        <v>97</v>
      </c>
      <c r="CC362" s="44" t="s">
        <v>314</v>
      </c>
      <c r="CD362" s="44">
        <v>1</v>
      </c>
      <c r="CE362" s="44" t="s">
        <v>1002</v>
      </c>
      <c r="CF362" s="44">
        <v>1</v>
      </c>
      <c r="CG362" s="44" t="s">
        <v>597</v>
      </c>
      <c r="CI362" s="44" t="s">
        <v>1465</v>
      </c>
      <c r="CJ362" s="44" t="s">
        <v>98</v>
      </c>
      <c r="CK362" s="44">
        <v>36</v>
      </c>
      <c r="CL362" s="44">
        <v>1</v>
      </c>
      <c r="CM362" s="44">
        <v>1</v>
      </c>
      <c r="CN362" s="44" t="s">
        <v>99</v>
      </c>
      <c r="CO362" s="44" t="s">
        <v>97</v>
      </c>
      <c r="CP362" s="44" t="s">
        <v>100</v>
      </c>
      <c r="CQ362" s="44" t="s">
        <v>126</v>
      </c>
      <c r="CR362" s="45">
        <v>46225</v>
      </c>
      <c r="CT362" s="44" t="s">
        <v>1003</v>
      </c>
    </row>
    <row r="363" spans="1:98" s="44" customFormat="1" x14ac:dyDescent="0.35">
      <c r="A363" s="64" t="s">
        <v>995</v>
      </c>
      <c r="B363" s="64" t="s">
        <v>1007</v>
      </c>
      <c r="C363" s="44" t="s">
        <v>996</v>
      </c>
      <c r="D363" s="44">
        <v>2025</v>
      </c>
      <c r="E363" s="43" t="s">
        <v>997</v>
      </c>
      <c r="F363" s="43" t="s">
        <v>998</v>
      </c>
      <c r="G363" s="44" t="s">
        <v>78</v>
      </c>
      <c r="H363" s="44">
        <v>1</v>
      </c>
      <c r="I363" s="44" t="s">
        <v>686</v>
      </c>
      <c r="J363" s="44" t="s">
        <v>79</v>
      </c>
      <c r="K363" s="44">
        <v>2</v>
      </c>
      <c r="L363" s="44" t="s">
        <v>129</v>
      </c>
      <c r="M363" s="44" t="s">
        <v>380</v>
      </c>
      <c r="N363" s="44">
        <v>-19.2987</v>
      </c>
      <c r="O363" s="44">
        <v>4.8798000000000004</v>
      </c>
      <c r="P363" s="91">
        <f t="shared" si="130"/>
        <v>-3.9548137218738471</v>
      </c>
      <c r="Q363" s="44" t="s">
        <v>312</v>
      </c>
      <c r="R363" s="91">
        <f t="shared" si="131"/>
        <v>-28.863108</v>
      </c>
      <c r="S363" s="91">
        <f t="shared" si="132"/>
        <v>-9.7342919999999999</v>
      </c>
      <c r="T363" s="44">
        <v>1</v>
      </c>
      <c r="U363" s="44">
        <v>93971</v>
      </c>
      <c r="V363" s="44">
        <v>11</v>
      </c>
      <c r="W363" s="44">
        <v>1</v>
      </c>
      <c r="X363" s="44">
        <f t="shared" si="143"/>
        <v>93960</v>
      </c>
      <c r="Y363" s="91">
        <f t="shared" si="134"/>
        <v>-1.2900851763840456E-2</v>
      </c>
      <c r="Z363" s="91">
        <f t="shared" si="135"/>
        <v>3.2620630631694705E-3</v>
      </c>
      <c r="AA363" s="91">
        <f t="shared" si="136"/>
        <v>-1.2900851763840456E-2</v>
      </c>
      <c r="AB363" s="44" t="s">
        <v>81</v>
      </c>
      <c r="AC363" s="91">
        <f t="shared" si="144"/>
        <v>-0.18383049079198041</v>
      </c>
      <c r="AD363" s="91" cm="1">
        <f t="array" ref="AD363">_xlfn.IFS(
AND(L363="marginal_effect",M363="level"),N363*AN363/BF363,
AND(L363="marginal_effect",M363="sd (Y)"),N363*BH363*AN363/BF363,
AND(L363="marginal_effect",M363="sd (X)"),N363/AQ363*AN363/BF363,
AND(L363="semi_elasticity",M363="level"),N363*AN363,
AND(L363="semi_elasticity",M363="sd (Y)"),N363*AN363*BH363,
AND(L363="semi_elasticity",M363="sd (X)"),N363*AN363/AQ363,
AND(L363="level-log",M363="level"),N363/BF363,
AND(L363="level-log",M363="sd (X)"),N363/BF363/AQ363,
AND(L363="level-log",M363="sd (Y)"),N363/BF363*BH363,
AND(L363="elasticity",M363="level"),N363,
AND(L363="elasticity",M363="sd (X)"),N363/AQ363,
AND(L363="elasticity",M363="sd (Y)"),N363*BH363,
AND(L363="marginal_effect",M363="percent_of_mean"),N363*AN363/BF363/10)</f>
        <v>-0.18383049079198041</v>
      </c>
      <c r="AE363" s="50">
        <f t="shared" si="138"/>
        <v>1</v>
      </c>
      <c r="AF363" s="91">
        <f t="shared" si="145"/>
        <v>4.648271795337023E-2</v>
      </c>
      <c r="AG363" s="91" cm="1">
        <f t="array" ref="AG363">_xlfn.IFS(
AND(L363="marginal_effect",M363="level"),O363*AN363/BF363,
AND(L363="marginal_effect",M363="sd (Y)"),O363*BH363*AN363/BF363,
AND(L363="marginal_effect",M363="sd (X)"),O363/AQ363*AN363/BF363,
AND(L363="semi_elasticity",M363="level"),O363*AN363,
AND(L363="semi_elasticity",M363="sd (Y)"),O363*AN363*BH363,
AND(L363="semi_elasticity",M363="sd (X)"),O363*AN363/AQ363,
AND(L363="level-log",M363="level"),O363/BF363,
AND(L363="level-log",M363="sd (X)"),O363/BF363/AQ363,
AND(L363="level-log",M363="sd (Y)"),O363/BF363*BH363,
AND(L363="elasticity",M363="level"),O363,
AND(L363="elasticity",M363="sd (X)"),O363/AQ363,
AND(L363="elasticity",M363="sd (Y)"),O363*BH363,
AND(L363="marginal_effect",M363="percent_of_mean"),O363*AN363/BF363/10)</f>
        <v>4.648271795337023E-2</v>
      </c>
      <c r="AH363" s="50">
        <f t="shared" si="139"/>
        <v>1</v>
      </c>
      <c r="AI363" s="91">
        <f t="shared" ref="AI363:AI397" si="146">AC363</f>
        <v>-0.18383049079198041</v>
      </c>
      <c r="AJ363" s="44">
        <v>0</v>
      </c>
      <c r="AK363" s="44">
        <f t="shared" si="137"/>
        <v>1</v>
      </c>
      <c r="AL363" s="44" t="s">
        <v>162</v>
      </c>
      <c r="AM363" s="44" t="s">
        <v>999</v>
      </c>
      <c r="AN363" s="44">
        <v>1.05</v>
      </c>
      <c r="AO363" s="44">
        <v>0</v>
      </c>
      <c r="AP363" s="44">
        <f t="shared" si="142"/>
        <v>1.05</v>
      </c>
      <c r="AQ363" s="44">
        <v>0.6</v>
      </c>
      <c r="AR363" s="44">
        <v>0.1</v>
      </c>
      <c r="AS363" s="44">
        <v>4.45</v>
      </c>
      <c r="AT363" s="44" t="s">
        <v>83</v>
      </c>
      <c r="AU363" s="44" t="s">
        <v>109</v>
      </c>
      <c r="AV363" s="44" t="s">
        <v>133</v>
      </c>
      <c r="AW363" s="44" t="s">
        <v>85</v>
      </c>
      <c r="AX363" s="44" t="s">
        <v>86</v>
      </c>
      <c r="AY363" s="44">
        <v>0</v>
      </c>
      <c r="AZ363" s="44">
        <v>0</v>
      </c>
      <c r="BA363" s="44" t="s">
        <v>87</v>
      </c>
      <c r="BB363" s="44" t="s">
        <v>88</v>
      </c>
      <c r="BC363" s="44" t="s">
        <v>113</v>
      </c>
      <c r="BD363" s="44" t="s">
        <v>433</v>
      </c>
      <c r="BE363" s="44" t="s">
        <v>434</v>
      </c>
      <c r="BF363" s="44">
        <v>110.23</v>
      </c>
      <c r="BG363" s="44">
        <v>0</v>
      </c>
      <c r="BH363" s="44">
        <v>86.32</v>
      </c>
      <c r="BI363" s="44" t="s">
        <v>312</v>
      </c>
      <c r="BJ363" s="44" t="s">
        <v>312</v>
      </c>
      <c r="BK363" s="44" t="s">
        <v>91</v>
      </c>
      <c r="BL363" s="44" t="s">
        <v>84</v>
      </c>
      <c r="BM363" s="44">
        <v>1</v>
      </c>
      <c r="BN363" s="44" t="s">
        <v>428</v>
      </c>
      <c r="BO363" s="44" t="s">
        <v>428</v>
      </c>
      <c r="BP363" s="44" t="s">
        <v>1001</v>
      </c>
      <c r="BQ363" s="44" t="s">
        <v>117</v>
      </c>
      <c r="BR363" s="44" t="s">
        <v>134</v>
      </c>
      <c r="BS363" s="44">
        <v>23</v>
      </c>
      <c r="BT363" s="44" t="s">
        <v>312</v>
      </c>
      <c r="BU363" s="65">
        <v>43405</v>
      </c>
      <c r="BV363" s="65">
        <v>43862</v>
      </c>
      <c r="BW363" s="44" t="s">
        <v>94</v>
      </c>
      <c r="BX363" s="44" t="s">
        <v>95</v>
      </c>
      <c r="BY363" s="44" t="s">
        <v>96</v>
      </c>
      <c r="BZ363" s="44">
        <v>0</v>
      </c>
      <c r="CA363" s="44">
        <v>0</v>
      </c>
      <c r="CB363" s="44" t="s">
        <v>97</v>
      </c>
      <c r="CC363" s="44" t="s">
        <v>314</v>
      </c>
      <c r="CD363" s="44">
        <v>1</v>
      </c>
      <c r="CE363" s="44" t="s">
        <v>1002</v>
      </c>
      <c r="CF363" s="44">
        <v>1</v>
      </c>
      <c r="CG363" s="44" t="s">
        <v>598</v>
      </c>
      <c r="CI363" s="44" t="s">
        <v>1465</v>
      </c>
      <c r="CJ363" s="44" t="s">
        <v>98</v>
      </c>
      <c r="CK363" s="44">
        <v>36</v>
      </c>
      <c r="CL363" s="44">
        <v>1</v>
      </c>
      <c r="CM363" s="44">
        <v>1</v>
      </c>
      <c r="CN363" s="44" t="s">
        <v>99</v>
      </c>
      <c r="CO363" s="44" t="s">
        <v>97</v>
      </c>
      <c r="CP363" s="44" t="s">
        <v>100</v>
      </c>
      <c r="CQ363" s="44" t="s">
        <v>126</v>
      </c>
      <c r="CR363" s="45">
        <v>46225</v>
      </c>
      <c r="CT363" s="44" t="s">
        <v>1003</v>
      </c>
    </row>
    <row r="364" spans="1:98" s="44" customFormat="1" x14ac:dyDescent="0.35">
      <c r="A364" s="64" t="s">
        <v>995</v>
      </c>
      <c r="B364" s="64" t="s">
        <v>1009</v>
      </c>
      <c r="C364" s="44" t="s">
        <v>996</v>
      </c>
      <c r="D364" s="44">
        <v>2025</v>
      </c>
      <c r="E364" s="43" t="s">
        <v>997</v>
      </c>
      <c r="F364" s="43" t="s">
        <v>998</v>
      </c>
      <c r="G364" s="44" t="s">
        <v>78</v>
      </c>
      <c r="H364" s="44">
        <v>1</v>
      </c>
      <c r="I364" s="44" t="s">
        <v>686</v>
      </c>
      <c r="J364" s="44" t="s">
        <v>79</v>
      </c>
      <c r="K364" s="44">
        <v>2</v>
      </c>
      <c r="L364" s="44" t="s">
        <v>129</v>
      </c>
      <c r="M364" s="44" t="s">
        <v>380</v>
      </c>
      <c r="N364" s="44">
        <v>-0.2147</v>
      </c>
      <c r="O364" s="44">
        <v>8.0799999999999997E-2</v>
      </c>
      <c r="P364" s="91">
        <f t="shared" si="130"/>
        <v>-2.6571782178217824</v>
      </c>
      <c r="Q364" s="44" t="s">
        <v>312</v>
      </c>
      <c r="R364" s="91">
        <f t="shared" si="131"/>
        <v>-0.37306799999999996</v>
      </c>
      <c r="S364" s="91">
        <f t="shared" si="132"/>
        <v>-5.6332000000000021E-2</v>
      </c>
      <c r="T364" s="44">
        <v>1</v>
      </c>
      <c r="U364" s="44">
        <v>93971</v>
      </c>
      <c r="V364" s="44">
        <v>11</v>
      </c>
      <c r="W364" s="44">
        <v>1</v>
      </c>
      <c r="X364" s="44">
        <f t="shared" si="143"/>
        <v>93960</v>
      </c>
      <c r="Y364" s="91">
        <f t="shared" si="134"/>
        <v>-8.6682786316218865E-3</v>
      </c>
      <c r="Z364" s="91">
        <f t="shared" si="135"/>
        <v>3.2622119861902576E-3</v>
      </c>
      <c r="AA364" s="91">
        <f t="shared" si="136"/>
        <v>-8.6682786316218865E-3</v>
      </c>
      <c r="AB364" s="44" t="s">
        <v>81</v>
      </c>
      <c r="AC364" s="91">
        <f t="shared" si="144"/>
        <v>-0.10040628685475822</v>
      </c>
      <c r="AD364" s="91" cm="1">
        <f t="array" ref="AD364">_xlfn.IFS(
AND(L364="marginal_effect",M364="level"),N364*AN364/BF364,
AND(L364="marginal_effect",M364="sd (Y)"),N364*BH364*AN364/BF364,
AND(L364="marginal_effect",M364="sd (X)"),N364/AQ364*AN364/BF364,
AND(L364="semi_elasticity",M364="level"),N364*AN364,
AND(L364="semi_elasticity",M364="sd (Y)"),N364*AN364*BH364,
AND(L364="semi_elasticity",M364="sd (X)"),N364*AN364/AQ364,
AND(L364="level-log",M364="level"),N364/BF364,
AND(L364="level-log",M364="sd (X)"),N364/BF364/AQ364,
AND(L364="level-log",M364="sd (Y)"),N364/BF364*BH364,
AND(L364="elasticity",M364="level"),N364,
AND(L364="elasticity",M364="sd (X)"),N364/AQ364,
AND(L364="elasticity",M364="sd (Y)"),N364*BH364,
AND(L364="marginal_effect",M364="percent_of_mean"),N364*AN364/BF364/10)</f>
        <v>-0.10040628685475822</v>
      </c>
      <c r="AE364" s="50">
        <f t="shared" si="138"/>
        <v>1</v>
      </c>
      <c r="AF364" s="91">
        <f t="shared" si="145"/>
        <v>3.7786809398530345E-2</v>
      </c>
      <c r="AG364" s="91" cm="1">
        <f t="array" ref="AG364">_xlfn.IFS(
AND(L364="marginal_effect",M364="level"),O364*AN364/BF364,
AND(L364="marginal_effect",M364="sd (Y)"),O364*BH364*AN364/BF364,
AND(L364="marginal_effect",M364="sd (X)"),O364/AQ364*AN364/BF364,
AND(L364="semi_elasticity",M364="level"),O364*AN364,
AND(L364="semi_elasticity",M364="sd (Y)"),O364*AN364*BH364,
AND(L364="semi_elasticity",M364="sd (X)"),O364*AN364/AQ364,
AND(L364="level-log",M364="level"),O364/BF364,
AND(L364="level-log",M364="sd (X)"),O364/BF364/AQ364,
AND(L364="level-log",M364="sd (Y)"),O364/BF364*BH364,
AND(L364="elasticity",M364="level"),O364,
AND(L364="elasticity",M364="sd (X)"),O364/AQ364,
AND(L364="elasticity",M364="sd (Y)"),O364*BH364,
AND(L364="marginal_effect",M364="percent_of_mean"),O364*AN364/BF364/10)</f>
        <v>3.7786809398530345E-2</v>
      </c>
      <c r="AH364" s="50">
        <f t="shared" si="139"/>
        <v>1</v>
      </c>
      <c r="AI364" s="91">
        <f t="shared" si="146"/>
        <v>-0.10040628685475822</v>
      </c>
      <c r="AJ364" s="44">
        <v>0</v>
      </c>
      <c r="AK364" s="44">
        <f t="shared" si="137"/>
        <v>1</v>
      </c>
      <c r="AL364" s="44" t="s">
        <v>148</v>
      </c>
      <c r="AM364" s="44" t="s">
        <v>1333</v>
      </c>
      <c r="AN364" s="44">
        <v>51.55</v>
      </c>
      <c r="AO364" s="44">
        <v>0</v>
      </c>
      <c r="AP364" s="44">
        <f t="shared" si="142"/>
        <v>51.55</v>
      </c>
      <c r="AQ364" s="44">
        <v>30.87</v>
      </c>
      <c r="AR364" s="44">
        <v>2.12</v>
      </c>
      <c r="AS364" s="44">
        <v>175.4</v>
      </c>
      <c r="AT364" s="44" t="s">
        <v>83</v>
      </c>
      <c r="AU364" s="44" t="s">
        <v>109</v>
      </c>
      <c r="AV364" s="44" t="s">
        <v>133</v>
      </c>
      <c r="AW364" s="44" t="s">
        <v>85</v>
      </c>
      <c r="AX364" s="44" t="s">
        <v>86</v>
      </c>
      <c r="AY364" s="44">
        <v>0</v>
      </c>
      <c r="AZ364" s="44">
        <v>0</v>
      </c>
      <c r="BA364" s="44" t="s">
        <v>87</v>
      </c>
      <c r="BB364" s="44" t="s">
        <v>88</v>
      </c>
      <c r="BC364" s="44" t="s">
        <v>113</v>
      </c>
      <c r="BD364" s="44" t="s">
        <v>433</v>
      </c>
      <c r="BE364" s="44" t="s">
        <v>434</v>
      </c>
      <c r="BF364" s="44">
        <v>110.23</v>
      </c>
      <c r="BG364" s="44">
        <v>0</v>
      </c>
      <c r="BH364" s="44">
        <v>86.32</v>
      </c>
      <c r="BI364" s="44" t="s">
        <v>312</v>
      </c>
      <c r="BJ364" s="44" t="s">
        <v>312</v>
      </c>
      <c r="BK364" s="44" t="s">
        <v>91</v>
      </c>
      <c r="BL364" s="44" t="s">
        <v>84</v>
      </c>
      <c r="BM364" s="44">
        <v>1</v>
      </c>
      <c r="BN364" s="44" t="s">
        <v>428</v>
      </c>
      <c r="BO364" s="44" t="s">
        <v>428</v>
      </c>
      <c r="BP364" s="44" t="s">
        <v>1001</v>
      </c>
      <c r="BQ364" s="44" t="s">
        <v>117</v>
      </c>
      <c r="BR364" s="44" t="s">
        <v>134</v>
      </c>
      <c r="BS364" s="44">
        <v>23</v>
      </c>
      <c r="BT364" s="44" t="s">
        <v>312</v>
      </c>
      <c r="BU364" s="65">
        <v>43405</v>
      </c>
      <c r="BV364" s="65">
        <v>43862</v>
      </c>
      <c r="BW364" s="44" t="s">
        <v>94</v>
      </c>
      <c r="BX364" s="44" t="s">
        <v>95</v>
      </c>
      <c r="BY364" s="44" t="s">
        <v>96</v>
      </c>
      <c r="BZ364" s="44">
        <v>0</v>
      </c>
      <c r="CA364" s="44">
        <v>0</v>
      </c>
      <c r="CB364" s="44" t="s">
        <v>97</v>
      </c>
      <c r="CC364" s="44" t="s">
        <v>314</v>
      </c>
      <c r="CD364" s="44">
        <v>1</v>
      </c>
      <c r="CE364" s="44" t="s">
        <v>1002</v>
      </c>
      <c r="CF364" s="44">
        <v>1</v>
      </c>
      <c r="CG364" s="44" t="s">
        <v>599</v>
      </c>
      <c r="CI364" s="44" t="s">
        <v>1465</v>
      </c>
      <c r="CJ364" s="44" t="s">
        <v>98</v>
      </c>
      <c r="CK364" s="44">
        <v>36</v>
      </c>
      <c r="CL364" s="44">
        <v>1</v>
      </c>
      <c r="CM364" s="44">
        <v>1</v>
      </c>
      <c r="CN364" s="44" t="s">
        <v>99</v>
      </c>
      <c r="CO364" s="44" t="s">
        <v>97</v>
      </c>
      <c r="CP364" s="44" t="s">
        <v>100</v>
      </c>
      <c r="CQ364" s="44" t="s">
        <v>126</v>
      </c>
      <c r="CR364" s="45">
        <v>46225</v>
      </c>
      <c r="CT364" s="44" t="s">
        <v>1003</v>
      </c>
    </row>
    <row r="365" spans="1:98" s="44" customFormat="1" x14ac:dyDescent="0.35">
      <c r="A365" s="64" t="s">
        <v>995</v>
      </c>
      <c r="B365" s="64" t="s">
        <v>1006</v>
      </c>
      <c r="C365" s="44" t="s">
        <v>996</v>
      </c>
      <c r="D365" s="44">
        <v>2025</v>
      </c>
      <c r="E365" s="43" t="s">
        <v>997</v>
      </c>
      <c r="F365" s="43" t="s">
        <v>998</v>
      </c>
      <c r="G365" s="44" t="s">
        <v>78</v>
      </c>
      <c r="H365" s="44">
        <v>1</v>
      </c>
      <c r="I365" s="44" t="s">
        <v>686</v>
      </c>
      <c r="J365" s="44" t="s">
        <v>79</v>
      </c>
      <c r="K365" s="44">
        <v>2</v>
      </c>
      <c r="L365" s="44" t="s">
        <v>129</v>
      </c>
      <c r="M365" s="44" t="s">
        <v>380</v>
      </c>
      <c r="N365" s="44">
        <v>-1.8499999999999999E-2</v>
      </c>
      <c r="O365" s="44">
        <v>4.4999999999999997E-3</v>
      </c>
      <c r="P365" s="91">
        <f t="shared" ref="P365:P396" si="147">N365/O365</f>
        <v>-4.1111111111111116</v>
      </c>
      <c r="Q365" s="44" t="s">
        <v>312</v>
      </c>
      <c r="R365" s="91">
        <f t="shared" ref="R365:R396" si="148">N365-1.96*O365</f>
        <v>-2.7319999999999997E-2</v>
      </c>
      <c r="S365" s="91">
        <f t="shared" ref="S365:S396" si="149">N365+1.96*O365</f>
        <v>-9.6799999999999994E-3</v>
      </c>
      <c r="T365" s="44">
        <v>1</v>
      </c>
      <c r="U365" s="44">
        <v>93971</v>
      </c>
      <c r="V365" s="44">
        <v>11</v>
      </c>
      <c r="W365" s="44">
        <v>1</v>
      </c>
      <c r="X365" s="44">
        <f t="shared" si="143"/>
        <v>93960</v>
      </c>
      <c r="Y365" s="91">
        <f t="shared" ref="Y365:Y396" si="150">P365/(P365^2 + X365)^(1/2)</f>
        <v>-1.3410613752767125E-2</v>
      </c>
      <c r="Z365" s="91">
        <f t="shared" ref="Z365:Z396" si="151">((1-Y365^2)/X365)^(1/2)</f>
        <v>3.2620411831055167E-3</v>
      </c>
      <c r="AA365" s="91">
        <f t="shared" ref="AA365:AA397" si="152">Y365</f>
        <v>-1.3410613752767125E-2</v>
      </c>
      <c r="AB365" s="44" t="s">
        <v>81</v>
      </c>
      <c r="AC365" s="91">
        <f t="shared" si="144"/>
        <v>-9.5842679127725844E-2</v>
      </c>
      <c r="AD365" s="91" cm="1">
        <f t="array" ref="AD365">_xlfn.IFS(
AND(L365="marginal_effect",M365="level"),N365*AN365/BF365,
AND(L365="marginal_effect",M365="sd (Y)"),N365*BH365*AN365/BF365,
AND(L365="marginal_effect",M365="sd (X)"),N365/AQ365*AN365/BF365,
AND(L365="semi_elasticity",M365="level"),N365*AN365,
AND(L365="semi_elasticity",M365="sd (Y)"),N365*AN365*BH365,
AND(L365="semi_elasticity",M365="sd (X)"),N365*AN365/AQ365,
AND(L365="level-log",M365="level"),N365/BF365,
AND(L365="level-log",M365="sd (X)"),N365/BF365/AQ365,
AND(L365="level-log",M365="sd (Y)"),N365/BF365*BH365,
AND(L365="elasticity",M365="level"),N365,
AND(L365="elasticity",M365="sd (X)"),N365/AQ365,
AND(L365="elasticity",M365="sd (Y)"),N365*BH365,
AND(L365="marginal_effect",M365="percent_of_mean"),N365*AN365/BF365/10)</f>
        <v>-9.5842679127725844E-2</v>
      </c>
      <c r="AE365" s="50">
        <f t="shared" si="138"/>
        <v>1</v>
      </c>
      <c r="AF365" s="91">
        <f t="shared" si="145"/>
        <v>2.3313084112149527E-2</v>
      </c>
      <c r="AG365" s="91" cm="1">
        <f t="array" ref="AG365">_xlfn.IFS(
AND(L365="marginal_effect",M365="level"),O365*AN365/BF365,
AND(L365="marginal_effect",M365="sd (Y)"),O365*BH365*AN365/BF365,
AND(L365="marginal_effect",M365="sd (X)"),O365/AQ365*AN365/BF365,
AND(L365="semi_elasticity",M365="level"),O365*AN365,
AND(L365="semi_elasticity",M365="sd (Y)"),O365*AN365*BH365,
AND(L365="semi_elasticity",M365="sd (X)"),O365*AN365/AQ365,
AND(L365="level-log",M365="level"),O365/BF365,
AND(L365="level-log",M365="sd (X)"),O365/BF365/AQ365,
AND(L365="level-log",M365="sd (Y)"),O365/BF365*BH365,
AND(L365="elasticity",M365="level"),O365,
AND(L365="elasticity",M365="sd (X)"),O365/AQ365,
AND(L365="elasticity",M365="sd (Y)"),O365*BH365,
AND(L365="marginal_effect",M365="percent_of_mean"),O365*AN365/BF365/10)</f>
        <v>2.3313084112149527E-2</v>
      </c>
      <c r="AH365" s="50">
        <f t="shared" si="139"/>
        <v>1</v>
      </c>
      <c r="AI365" s="91">
        <f t="shared" si="146"/>
        <v>-9.5842679127725844E-2</v>
      </c>
      <c r="AJ365" s="44">
        <v>0</v>
      </c>
      <c r="AK365" s="44">
        <f t="shared" ref="AK365:AK396" si="153">IF(P365=(AC365/AF365),1,0)</f>
        <v>1</v>
      </c>
      <c r="AL365" s="44" t="s">
        <v>82</v>
      </c>
      <c r="AM365" s="44" t="s">
        <v>1333</v>
      </c>
      <c r="AN365" s="44">
        <v>66.52</v>
      </c>
      <c r="AO365" s="44">
        <v>0</v>
      </c>
      <c r="AP365" s="44">
        <f t="shared" si="142"/>
        <v>66.52</v>
      </c>
      <c r="AQ365" s="44">
        <v>68.47</v>
      </c>
      <c r="AR365" s="44">
        <v>5.04</v>
      </c>
      <c r="AS365" s="44">
        <v>474.66</v>
      </c>
      <c r="AT365" s="44" t="s">
        <v>83</v>
      </c>
      <c r="AU365" s="44" t="s">
        <v>109</v>
      </c>
      <c r="AV365" s="44" t="s">
        <v>133</v>
      </c>
      <c r="AW365" s="44" t="s">
        <v>85</v>
      </c>
      <c r="AX365" s="44" t="s">
        <v>86</v>
      </c>
      <c r="AY365" s="44">
        <v>0</v>
      </c>
      <c r="AZ365" s="44">
        <v>0</v>
      </c>
      <c r="BA365" s="44" t="s">
        <v>87</v>
      </c>
      <c r="BB365" s="44" t="s">
        <v>88</v>
      </c>
      <c r="BC365" s="44" t="s">
        <v>113</v>
      </c>
      <c r="BD365" s="44" t="s">
        <v>433</v>
      </c>
      <c r="BE365" s="44" t="s">
        <v>1000</v>
      </c>
      <c r="BF365" s="44">
        <v>12.84</v>
      </c>
      <c r="BG365" s="44">
        <v>0</v>
      </c>
      <c r="BH365" s="44">
        <v>9.2799999999999994</v>
      </c>
      <c r="BI365" s="44" t="s">
        <v>312</v>
      </c>
      <c r="BJ365" s="44" t="s">
        <v>312</v>
      </c>
      <c r="BK365" s="44" t="s">
        <v>91</v>
      </c>
      <c r="BL365" s="44" t="s">
        <v>84</v>
      </c>
      <c r="BM365" s="44">
        <v>1</v>
      </c>
      <c r="BN365" s="44" t="s">
        <v>428</v>
      </c>
      <c r="BO365" s="44" t="s">
        <v>428</v>
      </c>
      <c r="BP365" s="44" t="s">
        <v>1001</v>
      </c>
      <c r="BQ365" s="44" t="s">
        <v>117</v>
      </c>
      <c r="BR365" s="44" t="s">
        <v>134</v>
      </c>
      <c r="BS365" s="44">
        <v>23</v>
      </c>
      <c r="BT365" s="44" t="s">
        <v>312</v>
      </c>
      <c r="BU365" s="65">
        <v>43405</v>
      </c>
      <c r="BV365" s="65">
        <v>43862</v>
      </c>
      <c r="BW365" s="44" t="s">
        <v>94</v>
      </c>
      <c r="BX365" s="44" t="s">
        <v>95</v>
      </c>
      <c r="BY365" s="44" t="s">
        <v>96</v>
      </c>
      <c r="BZ365" s="44">
        <v>0</v>
      </c>
      <c r="CA365" s="44">
        <v>0</v>
      </c>
      <c r="CB365" s="44" t="s">
        <v>97</v>
      </c>
      <c r="CC365" s="44" t="s">
        <v>314</v>
      </c>
      <c r="CD365" s="44">
        <v>1</v>
      </c>
      <c r="CE365" s="44" t="s">
        <v>1002</v>
      </c>
      <c r="CF365" s="44">
        <v>1</v>
      </c>
      <c r="CG365" s="44" t="s">
        <v>597</v>
      </c>
      <c r="CH365" s="44">
        <v>1</v>
      </c>
      <c r="CI365" s="44" t="s">
        <v>1465</v>
      </c>
      <c r="CJ365" s="44" t="s">
        <v>98</v>
      </c>
      <c r="CK365" s="44">
        <v>36</v>
      </c>
      <c r="CL365" s="44">
        <v>0</v>
      </c>
      <c r="CM365" s="44">
        <v>1</v>
      </c>
      <c r="CN365" s="44" t="s">
        <v>99</v>
      </c>
      <c r="CO365" s="44" t="s">
        <v>97</v>
      </c>
      <c r="CP365" s="44" t="s">
        <v>100</v>
      </c>
      <c r="CQ365" s="44" t="s">
        <v>126</v>
      </c>
      <c r="CR365" s="45">
        <v>46225</v>
      </c>
      <c r="CT365" s="44" t="s">
        <v>1004</v>
      </c>
    </row>
    <row r="366" spans="1:98" s="44" customFormat="1" x14ac:dyDescent="0.35">
      <c r="A366" s="64" t="s">
        <v>995</v>
      </c>
      <c r="B366" s="64" t="s">
        <v>1008</v>
      </c>
      <c r="C366" s="44" t="s">
        <v>996</v>
      </c>
      <c r="D366" s="44">
        <v>2025</v>
      </c>
      <c r="E366" s="43" t="s">
        <v>997</v>
      </c>
      <c r="F366" s="43" t="s">
        <v>998</v>
      </c>
      <c r="G366" s="44" t="s">
        <v>78</v>
      </c>
      <c r="H366" s="44">
        <v>1</v>
      </c>
      <c r="I366" s="44" t="s">
        <v>686</v>
      </c>
      <c r="J366" s="44" t="s">
        <v>79</v>
      </c>
      <c r="K366" s="44">
        <v>2</v>
      </c>
      <c r="L366" s="44" t="s">
        <v>129</v>
      </c>
      <c r="M366" s="44" t="s">
        <v>380</v>
      </c>
      <c r="N366" s="44">
        <v>-2.1583000000000001</v>
      </c>
      <c r="O366" s="44">
        <v>0.55169999999999997</v>
      </c>
      <c r="P366" s="91">
        <f t="shared" si="147"/>
        <v>-3.9120899039332975</v>
      </c>
      <c r="Q366" s="44" t="s">
        <v>312</v>
      </c>
      <c r="R366" s="91">
        <f t="shared" si="148"/>
        <v>-3.2396320000000003</v>
      </c>
      <c r="S366" s="91">
        <f t="shared" si="149"/>
        <v>-1.0769680000000001</v>
      </c>
      <c r="T366" s="44">
        <v>1</v>
      </c>
      <c r="U366" s="44">
        <v>93971</v>
      </c>
      <c r="V366" s="44">
        <v>11</v>
      </c>
      <c r="W366" s="44">
        <v>1</v>
      </c>
      <c r="X366" s="44">
        <f t="shared" si="143"/>
        <v>93960</v>
      </c>
      <c r="Y366" s="91">
        <f t="shared" si="150"/>
        <v>-1.2761506796222944E-2</v>
      </c>
      <c r="Z366" s="91">
        <f t="shared" si="151"/>
        <v>3.262068896574247E-3</v>
      </c>
      <c r="AA366" s="91">
        <f t="shared" si="152"/>
        <v>-1.2761506796222944E-2</v>
      </c>
      <c r="AB366" s="44" t="s">
        <v>81</v>
      </c>
      <c r="AC366" s="91">
        <f t="shared" si="144"/>
        <v>-0.17649649532710282</v>
      </c>
      <c r="AD366" s="91" cm="1">
        <f t="array" ref="AD366">_xlfn.IFS(
AND(L366="marginal_effect",M366="level"),N366*AN366/BF366,
AND(L366="marginal_effect",M366="sd (Y)"),N366*BH366*AN366/BF366,
AND(L366="marginal_effect",M366="sd (X)"),N366/AQ366*AN366/BF366,
AND(L366="semi_elasticity",M366="level"),N366*AN366,
AND(L366="semi_elasticity",M366="sd (Y)"),N366*AN366*BH366,
AND(L366="semi_elasticity",M366="sd (X)"),N366*AN366/AQ366,
AND(L366="level-log",M366="level"),N366/BF366,
AND(L366="level-log",M366="sd (X)"),N366/BF366/AQ366,
AND(L366="level-log",M366="sd (Y)"),N366/BF366*BH366,
AND(L366="elasticity",M366="level"),N366,
AND(L366="elasticity",M366="sd (X)"),N366/AQ366,
AND(L366="elasticity",M366="sd (Y)"),N366*BH366,
AND(L366="marginal_effect",M366="percent_of_mean"),N366*AN366/BF366/10)</f>
        <v>-0.17649649532710282</v>
      </c>
      <c r="AE366" s="50">
        <f t="shared" si="138"/>
        <v>1</v>
      </c>
      <c r="AF366" s="91">
        <f t="shared" si="145"/>
        <v>4.5115654205607474E-2</v>
      </c>
      <c r="AG366" s="91" cm="1">
        <f t="array" ref="AG366">_xlfn.IFS(
AND(L366="marginal_effect",M366="level"),O366*AN366/BF366,
AND(L366="marginal_effect",M366="sd (Y)"),O366*BH366*AN366/BF366,
AND(L366="marginal_effect",M366="sd (X)"),O366/AQ366*AN366/BF366,
AND(L366="semi_elasticity",M366="level"),O366*AN366,
AND(L366="semi_elasticity",M366="sd (Y)"),O366*AN366*BH366,
AND(L366="semi_elasticity",M366="sd (X)"),O366*AN366/AQ366,
AND(L366="level-log",M366="level"),O366/BF366,
AND(L366="level-log",M366="sd (X)"),O366/BF366/AQ366,
AND(L366="level-log",M366="sd (Y)"),O366/BF366*BH366,
AND(L366="elasticity",M366="level"),O366,
AND(L366="elasticity",M366="sd (X)"),O366/AQ366,
AND(L366="elasticity",M366="sd (Y)"),O366*BH366,
AND(L366="marginal_effect",M366="percent_of_mean"),O366*AN366/BF366/10)</f>
        <v>4.5115654205607474E-2</v>
      </c>
      <c r="AH366" s="50">
        <f t="shared" si="139"/>
        <v>1</v>
      </c>
      <c r="AI366" s="91">
        <f t="shared" si="146"/>
        <v>-0.17649649532710282</v>
      </c>
      <c r="AJ366" s="44">
        <v>0</v>
      </c>
      <c r="AK366" s="44">
        <f t="shared" si="153"/>
        <v>1</v>
      </c>
      <c r="AL366" s="44" t="s">
        <v>162</v>
      </c>
      <c r="AM366" s="44" t="s">
        <v>999</v>
      </c>
      <c r="AN366" s="44">
        <v>1.05</v>
      </c>
      <c r="AO366" s="44">
        <v>0</v>
      </c>
      <c r="AP366" s="44">
        <f t="shared" si="142"/>
        <v>1.05</v>
      </c>
      <c r="AQ366" s="44">
        <v>0.6</v>
      </c>
      <c r="AR366" s="44">
        <v>0.1</v>
      </c>
      <c r="AS366" s="44">
        <v>4.45</v>
      </c>
      <c r="AT366" s="44" t="s">
        <v>83</v>
      </c>
      <c r="AU366" s="44" t="s">
        <v>109</v>
      </c>
      <c r="AV366" s="44" t="s">
        <v>133</v>
      </c>
      <c r="AW366" s="44" t="s">
        <v>85</v>
      </c>
      <c r="AX366" s="44" t="s">
        <v>86</v>
      </c>
      <c r="AY366" s="44">
        <v>0</v>
      </c>
      <c r="AZ366" s="44">
        <v>0</v>
      </c>
      <c r="BA366" s="44" t="s">
        <v>87</v>
      </c>
      <c r="BB366" s="44" t="s">
        <v>88</v>
      </c>
      <c r="BC366" s="44" t="s">
        <v>113</v>
      </c>
      <c r="BD366" s="44" t="s">
        <v>433</v>
      </c>
      <c r="BE366" s="44" t="s">
        <v>1000</v>
      </c>
      <c r="BF366" s="44">
        <v>12.84</v>
      </c>
      <c r="BG366" s="44">
        <v>0</v>
      </c>
      <c r="BH366" s="44">
        <v>9.2799999999999994</v>
      </c>
      <c r="BI366" s="44" t="s">
        <v>312</v>
      </c>
      <c r="BJ366" s="44" t="s">
        <v>312</v>
      </c>
      <c r="BK366" s="44" t="s">
        <v>91</v>
      </c>
      <c r="BL366" s="44" t="s">
        <v>84</v>
      </c>
      <c r="BM366" s="44">
        <v>1</v>
      </c>
      <c r="BN366" s="44" t="s">
        <v>428</v>
      </c>
      <c r="BO366" s="44" t="s">
        <v>428</v>
      </c>
      <c r="BP366" s="44" t="s">
        <v>1001</v>
      </c>
      <c r="BQ366" s="44" t="s">
        <v>117</v>
      </c>
      <c r="BR366" s="44" t="s">
        <v>134</v>
      </c>
      <c r="BS366" s="44">
        <v>23</v>
      </c>
      <c r="BT366" s="44" t="s">
        <v>312</v>
      </c>
      <c r="BU366" s="65">
        <v>43405</v>
      </c>
      <c r="BV366" s="65">
        <v>43862</v>
      </c>
      <c r="BW366" s="44" t="s">
        <v>94</v>
      </c>
      <c r="BX366" s="44" t="s">
        <v>95</v>
      </c>
      <c r="BY366" s="44" t="s">
        <v>96</v>
      </c>
      <c r="BZ366" s="44">
        <v>0</v>
      </c>
      <c r="CA366" s="44">
        <v>0</v>
      </c>
      <c r="CB366" s="44" t="s">
        <v>97</v>
      </c>
      <c r="CC366" s="44" t="s">
        <v>314</v>
      </c>
      <c r="CD366" s="44">
        <v>1</v>
      </c>
      <c r="CE366" s="44" t="s">
        <v>1002</v>
      </c>
      <c r="CF366" s="44">
        <v>1</v>
      </c>
      <c r="CG366" s="44" t="s">
        <v>598</v>
      </c>
      <c r="CH366" s="44">
        <v>1</v>
      </c>
      <c r="CI366" s="44" t="s">
        <v>1465</v>
      </c>
      <c r="CJ366" s="44" t="s">
        <v>98</v>
      </c>
      <c r="CK366" s="44">
        <v>36</v>
      </c>
      <c r="CL366" s="44">
        <v>0</v>
      </c>
      <c r="CM366" s="44">
        <v>1</v>
      </c>
      <c r="CN366" s="44" t="s">
        <v>99</v>
      </c>
      <c r="CO366" s="44" t="s">
        <v>97</v>
      </c>
      <c r="CP366" s="44" t="s">
        <v>100</v>
      </c>
      <c r="CQ366" s="44" t="s">
        <v>126</v>
      </c>
      <c r="CR366" s="45">
        <v>46225</v>
      </c>
      <c r="CT366" s="44" t="s">
        <v>1004</v>
      </c>
    </row>
    <row r="367" spans="1:98" s="44" customFormat="1" x14ac:dyDescent="0.35">
      <c r="A367" s="64" t="s">
        <v>995</v>
      </c>
      <c r="B367" s="64" t="s">
        <v>1012</v>
      </c>
      <c r="C367" s="44" t="s">
        <v>996</v>
      </c>
      <c r="D367" s="44">
        <v>2025</v>
      </c>
      <c r="E367" s="43" t="s">
        <v>997</v>
      </c>
      <c r="F367" s="43" t="s">
        <v>998</v>
      </c>
      <c r="G367" s="44" t="s">
        <v>78</v>
      </c>
      <c r="H367" s="44">
        <v>1</v>
      </c>
      <c r="I367" s="44" t="s">
        <v>686</v>
      </c>
      <c r="J367" s="44" t="s">
        <v>79</v>
      </c>
      <c r="K367" s="44">
        <v>2</v>
      </c>
      <c r="L367" s="44" t="s">
        <v>129</v>
      </c>
      <c r="M367" s="44" t="s">
        <v>380</v>
      </c>
      <c r="N367" s="44">
        <v>-2.8400000000000002E-2</v>
      </c>
      <c r="O367" s="44">
        <v>8.6E-3</v>
      </c>
      <c r="P367" s="91">
        <f t="shared" si="147"/>
        <v>-3.3023255813953489</v>
      </c>
      <c r="Q367" s="44" t="s">
        <v>312</v>
      </c>
      <c r="R367" s="91">
        <f t="shared" si="148"/>
        <v>-4.5256000000000005E-2</v>
      </c>
      <c r="S367" s="91">
        <f t="shared" si="149"/>
        <v>-1.1544000000000002E-2</v>
      </c>
      <c r="T367" s="44">
        <v>1</v>
      </c>
      <c r="U367" s="44">
        <v>93971</v>
      </c>
      <c r="V367" s="44">
        <v>11</v>
      </c>
      <c r="W367" s="44">
        <v>1</v>
      </c>
      <c r="X367" s="44">
        <f t="shared" si="143"/>
        <v>93960</v>
      </c>
      <c r="Y367" s="91">
        <f t="shared" si="150"/>
        <v>-1.0772665708880193E-2</v>
      </c>
      <c r="Z367" s="91">
        <f t="shared" si="151"/>
        <v>3.2621452498721704E-3</v>
      </c>
      <c r="AA367" s="91">
        <f t="shared" si="152"/>
        <v>-1.0772665708880193E-2</v>
      </c>
      <c r="AB367" s="44" t="s">
        <v>81</v>
      </c>
      <c r="AC367" s="91">
        <f t="shared" si="144"/>
        <v>-0.11402024922118381</v>
      </c>
      <c r="AD367" s="91" cm="1">
        <f t="array" ref="AD367">_xlfn.IFS(
AND(L367="marginal_effect",M367="level"),N367*AN367/BF367,
AND(L367="marginal_effect",M367="sd (Y)"),N367*BH367*AN367/BF367,
AND(L367="marginal_effect",M367="sd (X)"),N367/AQ367*AN367/BF367,
AND(L367="semi_elasticity",M367="level"),N367*AN367,
AND(L367="semi_elasticity",M367="sd (Y)"),N367*AN367*BH367,
AND(L367="semi_elasticity",M367="sd (X)"),N367*AN367/AQ367,
AND(L367="level-log",M367="level"),N367/BF367,
AND(L367="level-log",M367="sd (X)"),N367/BF367/AQ367,
AND(L367="level-log",M367="sd (Y)"),N367/BF367*BH367,
AND(L367="elasticity",M367="level"),N367,
AND(L367="elasticity",M367="sd (X)"),N367/AQ367,
AND(L367="elasticity",M367="sd (Y)"),N367*BH367,
AND(L367="marginal_effect",M367="percent_of_mean"),N367*AN367/BF367/10)</f>
        <v>-0.11402024922118381</v>
      </c>
      <c r="AE367" s="50">
        <f t="shared" si="138"/>
        <v>1</v>
      </c>
      <c r="AF367" s="91">
        <f t="shared" si="145"/>
        <v>3.4527258566978192E-2</v>
      </c>
      <c r="AG367" s="91" cm="1">
        <f t="array" ref="AG367">_xlfn.IFS(
AND(L367="marginal_effect",M367="level"),O367*AN367/BF367,
AND(L367="marginal_effect",M367="sd (Y)"),O367*BH367*AN367/BF367,
AND(L367="marginal_effect",M367="sd (X)"),O367/AQ367*AN367/BF367,
AND(L367="semi_elasticity",M367="level"),O367*AN367,
AND(L367="semi_elasticity",M367="sd (Y)"),O367*AN367*BH367,
AND(L367="semi_elasticity",M367="sd (X)"),O367*AN367/AQ367,
AND(L367="level-log",M367="level"),O367/BF367,
AND(L367="level-log",M367="sd (X)"),O367/BF367/AQ367,
AND(L367="level-log",M367="sd (Y)"),O367/BF367*BH367,
AND(L367="elasticity",M367="level"),O367,
AND(L367="elasticity",M367="sd (X)"),O367/AQ367,
AND(L367="elasticity",M367="sd (Y)"),O367*BH367,
AND(L367="marginal_effect",M367="percent_of_mean"),O367*AN367/BF367/10)</f>
        <v>3.4527258566978192E-2</v>
      </c>
      <c r="AH367" s="50">
        <f t="shared" si="139"/>
        <v>1</v>
      </c>
      <c r="AI367" s="91">
        <f t="shared" si="146"/>
        <v>-0.11402024922118381</v>
      </c>
      <c r="AJ367" s="44">
        <v>0</v>
      </c>
      <c r="AK367" s="44">
        <f t="shared" si="153"/>
        <v>1</v>
      </c>
      <c r="AL367" s="44" t="s">
        <v>148</v>
      </c>
      <c r="AM367" s="44" t="s">
        <v>1333</v>
      </c>
      <c r="AN367" s="44">
        <v>51.55</v>
      </c>
      <c r="AO367" s="44">
        <v>0</v>
      </c>
      <c r="AP367" s="44">
        <f t="shared" si="142"/>
        <v>51.55</v>
      </c>
      <c r="AQ367" s="44">
        <v>30.87</v>
      </c>
      <c r="AR367" s="44">
        <v>2.12</v>
      </c>
      <c r="AS367" s="44">
        <v>175.4</v>
      </c>
      <c r="AT367" s="44" t="s">
        <v>83</v>
      </c>
      <c r="AU367" s="44" t="s">
        <v>109</v>
      </c>
      <c r="AV367" s="44" t="s">
        <v>133</v>
      </c>
      <c r="AW367" s="44" t="s">
        <v>85</v>
      </c>
      <c r="AX367" s="44" t="s">
        <v>86</v>
      </c>
      <c r="AY367" s="44">
        <v>0</v>
      </c>
      <c r="AZ367" s="44">
        <v>0</v>
      </c>
      <c r="BA367" s="44" t="s">
        <v>87</v>
      </c>
      <c r="BB367" s="44" t="s">
        <v>88</v>
      </c>
      <c r="BC367" s="44" t="s">
        <v>113</v>
      </c>
      <c r="BD367" s="44" t="s">
        <v>433</v>
      </c>
      <c r="BE367" s="44" t="s">
        <v>1000</v>
      </c>
      <c r="BF367" s="44">
        <v>12.84</v>
      </c>
      <c r="BG367" s="44">
        <v>0</v>
      </c>
      <c r="BH367" s="44">
        <v>9.2799999999999994</v>
      </c>
      <c r="BI367" s="44" t="s">
        <v>312</v>
      </c>
      <c r="BJ367" s="44" t="s">
        <v>312</v>
      </c>
      <c r="BK367" s="44" t="s">
        <v>91</v>
      </c>
      <c r="BL367" s="44" t="s">
        <v>84</v>
      </c>
      <c r="BM367" s="44">
        <v>1</v>
      </c>
      <c r="BN367" s="44" t="s">
        <v>428</v>
      </c>
      <c r="BO367" s="44" t="s">
        <v>428</v>
      </c>
      <c r="BP367" s="44" t="s">
        <v>1001</v>
      </c>
      <c r="BQ367" s="44" t="s">
        <v>117</v>
      </c>
      <c r="BR367" s="44" t="s">
        <v>134</v>
      </c>
      <c r="BS367" s="44">
        <v>23</v>
      </c>
      <c r="BT367" s="44" t="s">
        <v>312</v>
      </c>
      <c r="BU367" s="65">
        <v>43405</v>
      </c>
      <c r="BV367" s="65">
        <v>43862</v>
      </c>
      <c r="BW367" s="44" t="s">
        <v>94</v>
      </c>
      <c r="BX367" s="44" t="s">
        <v>95</v>
      </c>
      <c r="BY367" s="44" t="s">
        <v>96</v>
      </c>
      <c r="BZ367" s="44">
        <v>0</v>
      </c>
      <c r="CA367" s="44">
        <v>0</v>
      </c>
      <c r="CB367" s="44" t="s">
        <v>97</v>
      </c>
      <c r="CC367" s="44" t="s">
        <v>314</v>
      </c>
      <c r="CD367" s="44">
        <v>1</v>
      </c>
      <c r="CE367" s="44" t="s">
        <v>1002</v>
      </c>
      <c r="CF367" s="44">
        <v>1</v>
      </c>
      <c r="CG367" s="44" t="s">
        <v>599</v>
      </c>
      <c r="CH367" s="44">
        <v>1</v>
      </c>
      <c r="CI367" s="44" t="s">
        <v>1465</v>
      </c>
      <c r="CJ367" s="44" t="s">
        <v>98</v>
      </c>
      <c r="CK367" s="44">
        <v>36</v>
      </c>
      <c r="CL367" s="44">
        <v>0</v>
      </c>
      <c r="CM367" s="44">
        <v>1</v>
      </c>
      <c r="CN367" s="44" t="s">
        <v>99</v>
      </c>
      <c r="CO367" s="44" t="s">
        <v>97</v>
      </c>
      <c r="CP367" s="44" t="s">
        <v>100</v>
      </c>
      <c r="CQ367" s="44" t="s">
        <v>126</v>
      </c>
      <c r="CR367" s="45">
        <v>46225</v>
      </c>
      <c r="CT367" s="44" t="s">
        <v>1004</v>
      </c>
    </row>
    <row r="368" spans="1:98" s="44" customFormat="1" x14ac:dyDescent="0.35">
      <c r="A368" s="64" t="s">
        <v>995</v>
      </c>
      <c r="B368" s="64" t="s">
        <v>1010</v>
      </c>
      <c r="C368" s="44" t="s">
        <v>996</v>
      </c>
      <c r="D368" s="44">
        <v>2025</v>
      </c>
      <c r="E368" s="43" t="s">
        <v>997</v>
      </c>
      <c r="F368" s="43" t="s">
        <v>998</v>
      </c>
      <c r="G368" s="44" t="s">
        <v>78</v>
      </c>
      <c r="H368" s="44">
        <v>1</v>
      </c>
      <c r="I368" s="44" t="s">
        <v>686</v>
      </c>
      <c r="J368" s="44" t="s">
        <v>79</v>
      </c>
      <c r="K368" s="44">
        <v>2</v>
      </c>
      <c r="L368" s="44" t="s">
        <v>129</v>
      </c>
      <c r="M368" s="44" t="s">
        <v>380</v>
      </c>
      <c r="N368" s="44">
        <f>+-0.2128</f>
        <v>-0.21279999999999999</v>
      </c>
      <c r="O368" s="44">
        <v>4.2200000000000001E-2</v>
      </c>
      <c r="P368" s="91">
        <f t="shared" si="147"/>
        <v>-5.0426540284360186</v>
      </c>
      <c r="Q368" s="44" t="s">
        <v>312</v>
      </c>
      <c r="R368" s="91">
        <f t="shared" si="148"/>
        <v>-0.295512</v>
      </c>
      <c r="S368" s="91">
        <f t="shared" si="149"/>
        <v>-0.13008799999999998</v>
      </c>
      <c r="T368" s="44">
        <v>1</v>
      </c>
      <c r="U368" s="44">
        <v>93971</v>
      </c>
      <c r="V368" s="44">
        <v>9</v>
      </c>
      <c r="W368" s="44">
        <v>1</v>
      </c>
      <c r="X368" s="44">
        <v>93962</v>
      </c>
      <c r="Y368" s="91">
        <f t="shared" si="150"/>
        <v>-1.6448423877137092E-2</v>
      </c>
      <c r="Z368" s="91">
        <f t="shared" si="151"/>
        <v>3.2618584944322615E-3</v>
      </c>
      <c r="AA368" s="91">
        <f t="shared" si="152"/>
        <v>-1.6448423877137092E-2</v>
      </c>
      <c r="AB368" s="44" t="s">
        <v>81</v>
      </c>
      <c r="AC368" s="91">
        <f t="shared" si="144"/>
        <v>-0.12841745441349903</v>
      </c>
      <c r="AD368" s="91" cm="1">
        <f t="array" ref="AD368">_xlfn.IFS(
AND(L368="marginal_effect",M368="level"),N368*AN368/BF368,
AND(L368="marginal_effect",M368="sd (Y)"),N368*BH368*AN368/BF368,
AND(L368="marginal_effect",M368="sd (X)"),N368/AQ368*AN368/BF368,
AND(L368="semi_elasticity",M368="level"),N368*AN368,
AND(L368="semi_elasticity",M368="sd (Y)"),N368*AN368*BH368,
AND(L368="semi_elasticity",M368="sd (X)"),N368*AN368/AQ368,
AND(L368="level-log",M368="level"),N368/BF368,
AND(L368="level-log",M368="sd (X)"),N368/BF368/AQ368,
AND(L368="level-log",M368="sd (Y)"),N368/BF368*BH368,
AND(L368="elasticity",M368="level"),N368,
AND(L368="elasticity",M368="sd (X)"),N368/AQ368,
AND(L368="elasticity",M368="sd (Y)"),N368*BH368,
AND(L368="marginal_effect",M368="percent_of_mean"),N368*AN368/BF368/10)</f>
        <v>-0.12841745441349903</v>
      </c>
      <c r="AE368" s="50">
        <f t="shared" si="138"/>
        <v>1</v>
      </c>
      <c r="AF368" s="91">
        <f t="shared" si="145"/>
        <v>2.546624330944389E-2</v>
      </c>
      <c r="AG368" s="91" cm="1">
        <f t="array" ref="AG368">_xlfn.IFS(
AND(L368="marginal_effect",M368="level"),O368*AN368/BF368,
AND(L368="marginal_effect",M368="sd (Y)"),O368*BH368*AN368/BF368,
AND(L368="marginal_effect",M368="sd (X)"),O368/AQ368*AN368/BF368,
AND(L368="semi_elasticity",M368="level"),O368*AN368,
AND(L368="semi_elasticity",M368="sd (Y)"),O368*AN368*BH368,
AND(L368="semi_elasticity",M368="sd (X)"),O368*AN368/AQ368,
AND(L368="level-log",M368="level"),O368/BF368,
AND(L368="level-log",M368="sd (X)"),O368/BF368/AQ368,
AND(L368="level-log",M368="sd (Y)"),O368/BF368*BH368,
AND(L368="elasticity",M368="level"),O368,
AND(L368="elasticity",M368="sd (X)"),O368/AQ368,
AND(L368="elasticity",M368="sd (Y)"),O368*BH368,
AND(L368="marginal_effect",M368="percent_of_mean"),O368*AN368/BF368/10)</f>
        <v>2.546624330944389E-2</v>
      </c>
      <c r="AH368" s="50">
        <f t="shared" si="139"/>
        <v>1</v>
      </c>
      <c r="AI368" s="91">
        <f t="shared" si="146"/>
        <v>-0.12841745441349903</v>
      </c>
      <c r="AJ368" s="44">
        <v>0</v>
      </c>
      <c r="AK368" s="44">
        <f t="shared" si="153"/>
        <v>1</v>
      </c>
      <c r="AL368" s="44" t="s">
        <v>82</v>
      </c>
      <c r="AM368" s="44" t="s">
        <v>1333</v>
      </c>
      <c r="AN368" s="44">
        <v>66.52</v>
      </c>
      <c r="AO368" s="44">
        <v>0</v>
      </c>
      <c r="AP368" s="44">
        <f t="shared" si="142"/>
        <v>66.52</v>
      </c>
      <c r="AQ368" s="44">
        <v>68.47</v>
      </c>
      <c r="AR368" s="44">
        <v>5.04</v>
      </c>
      <c r="AS368" s="44">
        <v>474.66</v>
      </c>
      <c r="AT368" s="44" t="s">
        <v>83</v>
      </c>
      <c r="AU368" s="44" t="s">
        <v>109</v>
      </c>
      <c r="AV368" s="44" t="s">
        <v>133</v>
      </c>
      <c r="AW368" s="44" t="s">
        <v>85</v>
      </c>
      <c r="AX368" s="44" t="s">
        <v>86</v>
      </c>
      <c r="AY368" s="44">
        <v>0</v>
      </c>
      <c r="AZ368" s="44">
        <v>0</v>
      </c>
      <c r="BA368" s="44" t="s">
        <v>87</v>
      </c>
      <c r="BB368" s="44" t="s">
        <v>88</v>
      </c>
      <c r="BC368" s="44" t="s">
        <v>113</v>
      </c>
      <c r="BD368" s="44" t="s">
        <v>433</v>
      </c>
      <c r="BE368" s="44" t="s">
        <v>434</v>
      </c>
      <c r="BF368" s="44">
        <v>110.23</v>
      </c>
      <c r="BG368" s="44">
        <v>0</v>
      </c>
      <c r="BH368" s="44">
        <v>86.32</v>
      </c>
      <c r="BI368" s="44" t="s">
        <v>312</v>
      </c>
      <c r="BJ368" s="44" t="s">
        <v>312</v>
      </c>
      <c r="BK368" s="44" t="s">
        <v>91</v>
      </c>
      <c r="BL368" s="44" t="s">
        <v>84</v>
      </c>
      <c r="BM368" s="44">
        <v>1</v>
      </c>
      <c r="BN368" s="44" t="s">
        <v>428</v>
      </c>
      <c r="BO368" s="44" t="s">
        <v>428</v>
      </c>
      <c r="BP368" s="44" t="s">
        <v>1001</v>
      </c>
      <c r="BQ368" s="44" t="s">
        <v>117</v>
      </c>
      <c r="BR368" s="44" t="s">
        <v>134</v>
      </c>
      <c r="BS368" s="44">
        <v>23</v>
      </c>
      <c r="BT368" s="44" t="s">
        <v>312</v>
      </c>
      <c r="BU368" s="65">
        <v>43405</v>
      </c>
      <c r="BV368" s="65">
        <v>43862</v>
      </c>
      <c r="BW368" s="44" t="s">
        <v>94</v>
      </c>
      <c r="BX368" s="44" t="s">
        <v>95</v>
      </c>
      <c r="BY368" s="44" t="s">
        <v>96</v>
      </c>
      <c r="BZ368" s="44">
        <v>0</v>
      </c>
      <c r="CA368" s="44">
        <v>0</v>
      </c>
      <c r="CB368" s="44" t="s">
        <v>97</v>
      </c>
      <c r="CC368" s="44" t="s">
        <v>314</v>
      </c>
      <c r="CD368" s="44">
        <v>1</v>
      </c>
      <c r="CE368" s="44" t="s">
        <v>1002</v>
      </c>
      <c r="CF368" s="44">
        <v>0</v>
      </c>
      <c r="CG368" s="44" t="s">
        <v>97</v>
      </c>
      <c r="CI368" s="44" t="s">
        <v>1465</v>
      </c>
      <c r="CJ368" s="44" t="s">
        <v>98</v>
      </c>
      <c r="CK368" s="44">
        <v>36</v>
      </c>
      <c r="CL368" s="44">
        <v>0</v>
      </c>
      <c r="CM368" s="44">
        <v>0</v>
      </c>
      <c r="CN368" s="44" t="s">
        <v>124</v>
      </c>
      <c r="CO368" s="44" t="s">
        <v>97</v>
      </c>
      <c r="CP368" s="44" t="s">
        <v>100</v>
      </c>
      <c r="CQ368" s="44" t="s">
        <v>126</v>
      </c>
      <c r="CR368" s="45">
        <v>46225</v>
      </c>
      <c r="CT368" s="44" t="s">
        <v>1016</v>
      </c>
    </row>
    <row r="369" spans="1:98" s="44" customFormat="1" x14ac:dyDescent="0.35">
      <c r="A369" s="64" t="s">
        <v>995</v>
      </c>
      <c r="B369" s="64" t="s">
        <v>1011</v>
      </c>
      <c r="C369" s="44" t="s">
        <v>996</v>
      </c>
      <c r="D369" s="44">
        <v>2025</v>
      </c>
      <c r="E369" s="43" t="s">
        <v>997</v>
      </c>
      <c r="F369" s="43" t="s">
        <v>998</v>
      </c>
      <c r="G369" s="44" t="s">
        <v>78</v>
      </c>
      <c r="H369" s="44">
        <v>1</v>
      </c>
      <c r="I369" s="44" t="s">
        <v>686</v>
      </c>
      <c r="J369" s="44" t="s">
        <v>79</v>
      </c>
      <c r="K369" s="44">
        <v>2</v>
      </c>
      <c r="L369" s="44" t="s">
        <v>129</v>
      </c>
      <c r="M369" s="44" t="s">
        <v>380</v>
      </c>
      <c r="N369" s="44">
        <v>-2.07E-2</v>
      </c>
      <c r="O369" s="44">
        <v>4.4999999999999997E-3</v>
      </c>
      <c r="P369" s="91">
        <f t="shared" si="147"/>
        <v>-4.6000000000000005</v>
      </c>
      <c r="Q369" s="44" t="s">
        <v>312</v>
      </c>
      <c r="R369" s="91">
        <f t="shared" si="148"/>
        <v>-2.9519999999999998E-2</v>
      </c>
      <c r="S369" s="91">
        <f t="shared" si="149"/>
        <v>-1.188E-2</v>
      </c>
      <c r="T369" s="44">
        <v>1</v>
      </c>
      <c r="U369" s="44">
        <v>93971</v>
      </c>
      <c r="V369" s="44">
        <v>9</v>
      </c>
      <c r="W369" s="44">
        <v>1</v>
      </c>
      <c r="X369" s="44">
        <v>93962</v>
      </c>
      <c r="Y369" s="91">
        <f t="shared" si="150"/>
        <v>-1.5004889795453174E-2</v>
      </c>
      <c r="Z369" s="91">
        <f t="shared" si="151"/>
        <v>3.2619325642289508E-3</v>
      </c>
      <c r="AA369" s="91">
        <f t="shared" si="152"/>
        <v>-1.5004889795453174E-2</v>
      </c>
      <c r="AB369" s="44" t="s">
        <v>81</v>
      </c>
      <c r="AC369" s="91">
        <f t="shared" si="144"/>
        <v>-0.10724018691588784</v>
      </c>
      <c r="AD369" s="91" cm="1">
        <f t="array" ref="AD369">_xlfn.IFS(
AND(L369="marginal_effect",M369="level"),N369*AN369/BF369,
AND(L369="marginal_effect",M369="sd (Y)"),N369*BH369*AN369/BF369,
AND(L369="marginal_effect",M369="sd (X)"),N369/AQ369*AN369/BF369,
AND(L369="semi_elasticity",M369="level"),N369*AN369,
AND(L369="semi_elasticity",M369="sd (Y)"),N369*AN369*BH369,
AND(L369="semi_elasticity",M369="sd (X)"),N369*AN369/AQ369,
AND(L369="level-log",M369="level"),N369/BF369,
AND(L369="level-log",M369="sd (X)"),N369/BF369/AQ369,
AND(L369="level-log",M369="sd (Y)"),N369/BF369*BH369,
AND(L369="elasticity",M369="level"),N369,
AND(L369="elasticity",M369="sd (X)"),N369/AQ369,
AND(L369="elasticity",M369="sd (Y)"),N369*BH369,
AND(L369="marginal_effect",M369="percent_of_mean"),N369*AN369/BF369/10)</f>
        <v>-0.10724018691588784</v>
      </c>
      <c r="AE369" s="50">
        <f t="shared" si="138"/>
        <v>1</v>
      </c>
      <c r="AF369" s="91">
        <f t="shared" si="145"/>
        <v>2.3313084112149527E-2</v>
      </c>
      <c r="AG369" s="91" cm="1">
        <f t="array" ref="AG369">_xlfn.IFS(
AND(L369="marginal_effect",M369="level"),O369*AN369/BF369,
AND(L369="marginal_effect",M369="sd (Y)"),O369*BH369*AN369/BF369,
AND(L369="marginal_effect",M369="sd (X)"),O369/AQ369*AN369/BF369,
AND(L369="semi_elasticity",M369="level"),O369*AN369,
AND(L369="semi_elasticity",M369="sd (Y)"),O369*AN369*BH369,
AND(L369="semi_elasticity",M369="sd (X)"),O369*AN369/AQ369,
AND(L369="level-log",M369="level"),O369/BF369,
AND(L369="level-log",M369="sd (X)"),O369/BF369/AQ369,
AND(L369="level-log",M369="sd (Y)"),O369/BF369*BH369,
AND(L369="elasticity",M369="level"),O369,
AND(L369="elasticity",M369="sd (X)"),O369/AQ369,
AND(L369="elasticity",M369="sd (Y)"),O369*BH369,
AND(L369="marginal_effect",M369="percent_of_mean"),O369*AN369/BF369/10)</f>
        <v>2.3313084112149527E-2</v>
      </c>
      <c r="AH369" s="50">
        <f t="shared" si="139"/>
        <v>1</v>
      </c>
      <c r="AI369" s="91">
        <f t="shared" si="146"/>
        <v>-0.10724018691588784</v>
      </c>
      <c r="AJ369" s="44">
        <v>0</v>
      </c>
      <c r="AK369" s="44">
        <f t="shared" si="153"/>
        <v>1</v>
      </c>
      <c r="AL369" s="44" t="s">
        <v>82</v>
      </c>
      <c r="AM369" s="44" t="s">
        <v>1333</v>
      </c>
      <c r="AN369" s="44">
        <v>66.52</v>
      </c>
      <c r="AO369" s="44">
        <v>0</v>
      </c>
      <c r="AP369" s="44">
        <f t="shared" si="142"/>
        <v>66.52</v>
      </c>
      <c r="AQ369" s="44">
        <v>68.47</v>
      </c>
      <c r="AR369" s="44">
        <v>5.04</v>
      </c>
      <c r="AS369" s="44">
        <v>474.66</v>
      </c>
      <c r="AT369" s="44" t="s">
        <v>83</v>
      </c>
      <c r="AU369" s="44" t="s">
        <v>109</v>
      </c>
      <c r="AV369" s="44" t="s">
        <v>133</v>
      </c>
      <c r="AW369" s="44" t="s">
        <v>85</v>
      </c>
      <c r="AX369" s="44" t="s">
        <v>86</v>
      </c>
      <c r="AY369" s="44">
        <v>0</v>
      </c>
      <c r="AZ369" s="44">
        <v>0</v>
      </c>
      <c r="BA369" s="44" t="s">
        <v>87</v>
      </c>
      <c r="BB369" s="44" t="s">
        <v>88</v>
      </c>
      <c r="BC369" s="44" t="s">
        <v>113</v>
      </c>
      <c r="BD369" s="44" t="s">
        <v>433</v>
      </c>
      <c r="BE369" s="44" t="s">
        <v>1000</v>
      </c>
      <c r="BF369" s="44">
        <v>12.84</v>
      </c>
      <c r="BG369" s="44">
        <v>0</v>
      </c>
      <c r="BH369" s="44">
        <v>9.2799999999999994</v>
      </c>
      <c r="BI369" s="44" t="s">
        <v>312</v>
      </c>
      <c r="BJ369" s="44" t="s">
        <v>312</v>
      </c>
      <c r="BK369" s="44" t="s">
        <v>91</v>
      </c>
      <c r="BL369" s="44" t="s">
        <v>84</v>
      </c>
      <c r="BM369" s="44">
        <v>1</v>
      </c>
      <c r="BN369" s="44" t="s">
        <v>428</v>
      </c>
      <c r="BO369" s="44" t="s">
        <v>428</v>
      </c>
      <c r="BP369" s="44" t="s">
        <v>1001</v>
      </c>
      <c r="BQ369" s="44" t="s">
        <v>117</v>
      </c>
      <c r="BR369" s="44" t="s">
        <v>134</v>
      </c>
      <c r="BS369" s="44">
        <v>23</v>
      </c>
      <c r="BT369" s="44" t="s">
        <v>312</v>
      </c>
      <c r="BU369" s="65">
        <v>43405</v>
      </c>
      <c r="BV369" s="65">
        <v>43862</v>
      </c>
      <c r="BW369" s="44" t="s">
        <v>94</v>
      </c>
      <c r="BX369" s="44" t="s">
        <v>95</v>
      </c>
      <c r="BY369" s="44" t="s">
        <v>96</v>
      </c>
      <c r="BZ369" s="44">
        <v>0</v>
      </c>
      <c r="CA369" s="44">
        <v>0</v>
      </c>
      <c r="CB369" s="44" t="s">
        <v>97</v>
      </c>
      <c r="CC369" s="44" t="s">
        <v>314</v>
      </c>
      <c r="CD369" s="44">
        <v>1</v>
      </c>
      <c r="CE369" s="44" t="s">
        <v>1002</v>
      </c>
      <c r="CF369" s="44">
        <v>0</v>
      </c>
      <c r="CG369" s="44" t="s">
        <v>97</v>
      </c>
      <c r="CH369" s="44">
        <v>1</v>
      </c>
      <c r="CI369" s="44" t="s">
        <v>1465</v>
      </c>
      <c r="CJ369" s="44" t="s">
        <v>98</v>
      </c>
      <c r="CK369" s="44">
        <v>36</v>
      </c>
      <c r="CL369" s="44">
        <v>0</v>
      </c>
      <c r="CM369" s="44">
        <v>0</v>
      </c>
      <c r="CN369" s="44" t="s">
        <v>124</v>
      </c>
      <c r="CO369" s="44" t="s">
        <v>97</v>
      </c>
      <c r="CP369" s="44" t="s">
        <v>100</v>
      </c>
      <c r="CQ369" s="44" t="s">
        <v>126</v>
      </c>
      <c r="CR369" s="45">
        <v>46225</v>
      </c>
      <c r="CT369" s="44" t="s">
        <v>1017</v>
      </c>
    </row>
    <row r="370" spans="1:98" s="44" customFormat="1" x14ac:dyDescent="0.35">
      <c r="A370" s="64" t="s">
        <v>995</v>
      </c>
      <c r="B370" s="64" t="s">
        <v>1028</v>
      </c>
      <c r="C370" s="44" t="s">
        <v>996</v>
      </c>
      <c r="D370" s="44">
        <v>2025</v>
      </c>
      <c r="E370" s="43" t="s">
        <v>997</v>
      </c>
      <c r="F370" s="43" t="s">
        <v>998</v>
      </c>
      <c r="G370" s="44" t="s">
        <v>78</v>
      </c>
      <c r="H370" s="44">
        <v>1</v>
      </c>
      <c r="I370" s="44" t="s">
        <v>686</v>
      </c>
      <c r="J370" s="44" t="s">
        <v>79</v>
      </c>
      <c r="K370" s="44">
        <v>2</v>
      </c>
      <c r="L370" s="44" t="s">
        <v>129</v>
      </c>
      <c r="M370" s="44" t="s">
        <v>380</v>
      </c>
      <c r="N370" s="44">
        <v>-23.976299999999998</v>
      </c>
      <c r="O370" s="44">
        <v>4.9577999999999998</v>
      </c>
      <c r="P370" s="91">
        <f t="shared" si="147"/>
        <v>-4.8360764855379399</v>
      </c>
      <c r="Q370" s="44" t="s">
        <v>312</v>
      </c>
      <c r="R370" s="91">
        <f t="shared" si="148"/>
        <v>-33.693587999999998</v>
      </c>
      <c r="S370" s="91">
        <f t="shared" si="149"/>
        <v>-14.259011999999998</v>
      </c>
      <c r="T370" s="44">
        <v>1</v>
      </c>
      <c r="U370" s="44">
        <v>93971</v>
      </c>
      <c r="V370" s="44">
        <v>9</v>
      </c>
      <c r="W370" s="44">
        <v>1</v>
      </c>
      <c r="X370" s="44">
        <v>93962</v>
      </c>
      <c r="Y370" s="91">
        <f t="shared" si="150"/>
        <v>-1.5774768421668008E-2</v>
      </c>
      <c r="Z370" s="91">
        <f t="shared" si="151"/>
        <v>3.261893906939171E-3</v>
      </c>
      <c r="AA370" s="91">
        <f t="shared" si="152"/>
        <v>-1.5774768421668008E-2</v>
      </c>
      <c r="AB370" s="44" t="s">
        <v>81</v>
      </c>
      <c r="AC370" s="91">
        <f t="shared" si="144"/>
        <v>-0.22838714506032837</v>
      </c>
      <c r="AD370" s="91" cm="1">
        <f t="array" ref="AD370">_xlfn.IFS(
AND(L370="marginal_effect",M370="level"),N370*AN370/BF370,
AND(L370="marginal_effect",M370="sd (Y)"),N370*BH370*AN370/BF370,
AND(L370="marginal_effect",M370="sd (X)"),N370/AQ370*AN370/BF370,
AND(L370="semi_elasticity",M370="level"),N370*AN370,
AND(L370="semi_elasticity",M370="sd (Y)"),N370*AN370*BH370,
AND(L370="semi_elasticity",M370="sd (X)"),N370*AN370/AQ370,
AND(L370="level-log",M370="level"),N370/BF370,
AND(L370="level-log",M370="sd (X)"),N370/BF370/AQ370,
AND(L370="level-log",M370="sd (Y)"),N370/BF370*BH370,
AND(L370="elasticity",M370="level"),N370,
AND(L370="elasticity",M370="sd (X)"),N370/AQ370,
AND(L370="elasticity",M370="sd (Y)"),N370*BH370,
AND(L370="marginal_effect",M370="percent_of_mean"),N370*AN370/BF370/10)</f>
        <v>-0.22838714506032837</v>
      </c>
      <c r="AE370" s="50">
        <f t="shared" si="138"/>
        <v>1</v>
      </c>
      <c r="AF370" s="91">
        <f t="shared" si="145"/>
        <v>4.7225709879343186E-2</v>
      </c>
      <c r="AG370" s="91" cm="1">
        <f t="array" ref="AG370">_xlfn.IFS(
AND(L370="marginal_effect",M370="level"),O370*AN370/BF370,
AND(L370="marginal_effect",M370="sd (Y)"),O370*BH370*AN370/BF370,
AND(L370="marginal_effect",M370="sd (X)"),O370/AQ370*AN370/BF370,
AND(L370="semi_elasticity",M370="level"),O370*AN370,
AND(L370="semi_elasticity",M370="sd (Y)"),O370*AN370*BH370,
AND(L370="semi_elasticity",M370="sd (X)"),O370*AN370/AQ370,
AND(L370="level-log",M370="level"),O370/BF370,
AND(L370="level-log",M370="sd (X)"),O370/BF370/AQ370,
AND(L370="level-log",M370="sd (Y)"),O370/BF370*BH370,
AND(L370="elasticity",M370="level"),O370,
AND(L370="elasticity",M370="sd (X)"),O370/AQ370,
AND(L370="elasticity",M370="sd (Y)"),O370*BH370,
AND(L370="marginal_effect",M370="percent_of_mean"),O370*AN370/BF370/10)</f>
        <v>4.7225709879343186E-2</v>
      </c>
      <c r="AH370" s="50">
        <f t="shared" si="139"/>
        <v>1</v>
      </c>
      <c r="AI370" s="91">
        <f t="shared" si="146"/>
        <v>-0.22838714506032837</v>
      </c>
      <c r="AJ370" s="44">
        <v>0</v>
      </c>
      <c r="AK370" s="44">
        <f t="shared" si="153"/>
        <v>1</v>
      </c>
      <c r="AL370" s="44" t="s">
        <v>162</v>
      </c>
      <c r="AM370" s="44" t="s">
        <v>999</v>
      </c>
      <c r="AN370" s="44">
        <v>1.05</v>
      </c>
      <c r="AO370" s="44">
        <v>0</v>
      </c>
      <c r="AP370" s="44">
        <f t="shared" si="142"/>
        <v>1.05</v>
      </c>
      <c r="AQ370" s="44">
        <v>0.6</v>
      </c>
      <c r="AR370" s="44">
        <v>0.1</v>
      </c>
      <c r="AS370" s="44">
        <v>4.45</v>
      </c>
      <c r="AT370" s="44" t="s">
        <v>83</v>
      </c>
      <c r="AU370" s="44" t="s">
        <v>109</v>
      </c>
      <c r="AV370" s="44" t="s">
        <v>133</v>
      </c>
      <c r="AW370" s="44" t="s">
        <v>85</v>
      </c>
      <c r="AX370" s="44" t="s">
        <v>86</v>
      </c>
      <c r="AY370" s="44">
        <v>0</v>
      </c>
      <c r="AZ370" s="44">
        <v>0</v>
      </c>
      <c r="BA370" s="44" t="s">
        <v>87</v>
      </c>
      <c r="BB370" s="44" t="s">
        <v>88</v>
      </c>
      <c r="BC370" s="44" t="s">
        <v>113</v>
      </c>
      <c r="BD370" s="44" t="s">
        <v>433</v>
      </c>
      <c r="BE370" s="44" t="s">
        <v>434</v>
      </c>
      <c r="BF370" s="44">
        <v>110.23</v>
      </c>
      <c r="BG370" s="44">
        <v>0</v>
      </c>
      <c r="BH370" s="44">
        <v>86.32</v>
      </c>
      <c r="BI370" s="44" t="s">
        <v>312</v>
      </c>
      <c r="BJ370" s="44" t="s">
        <v>312</v>
      </c>
      <c r="BK370" s="44" t="s">
        <v>91</v>
      </c>
      <c r="BL370" s="44" t="s">
        <v>84</v>
      </c>
      <c r="BM370" s="44">
        <v>1</v>
      </c>
      <c r="BN370" s="44" t="s">
        <v>428</v>
      </c>
      <c r="BO370" s="44" t="s">
        <v>428</v>
      </c>
      <c r="BP370" s="44" t="s">
        <v>1001</v>
      </c>
      <c r="BQ370" s="44" t="s">
        <v>117</v>
      </c>
      <c r="BR370" s="44" t="s">
        <v>134</v>
      </c>
      <c r="BS370" s="44">
        <v>23</v>
      </c>
      <c r="BT370" s="44" t="s">
        <v>312</v>
      </c>
      <c r="BU370" s="65">
        <v>43405</v>
      </c>
      <c r="BV370" s="65">
        <v>43862</v>
      </c>
      <c r="BW370" s="44" t="s">
        <v>94</v>
      </c>
      <c r="BX370" s="44" t="s">
        <v>95</v>
      </c>
      <c r="BY370" s="44" t="s">
        <v>96</v>
      </c>
      <c r="BZ370" s="44">
        <v>0</v>
      </c>
      <c r="CA370" s="44">
        <v>0</v>
      </c>
      <c r="CB370" s="44" t="s">
        <v>97</v>
      </c>
      <c r="CC370" s="44" t="s">
        <v>314</v>
      </c>
      <c r="CD370" s="44">
        <v>1</v>
      </c>
      <c r="CE370" s="44" t="s">
        <v>1002</v>
      </c>
      <c r="CF370" s="44">
        <v>0</v>
      </c>
      <c r="CG370" s="44" t="s">
        <v>97</v>
      </c>
      <c r="CI370" s="44" t="s">
        <v>1465</v>
      </c>
      <c r="CJ370" s="44" t="s">
        <v>98</v>
      </c>
      <c r="CK370" s="44">
        <v>36</v>
      </c>
      <c r="CL370" s="44">
        <v>0</v>
      </c>
      <c r="CM370" s="44">
        <v>0</v>
      </c>
      <c r="CN370" s="44" t="s">
        <v>124</v>
      </c>
      <c r="CO370" s="44" t="s">
        <v>97</v>
      </c>
      <c r="CP370" s="44" t="s">
        <v>100</v>
      </c>
      <c r="CQ370" s="44" t="s">
        <v>126</v>
      </c>
      <c r="CR370" s="45">
        <v>46225</v>
      </c>
      <c r="CT370" s="44" t="s">
        <v>1018</v>
      </c>
    </row>
    <row r="371" spans="1:98" s="44" customFormat="1" x14ac:dyDescent="0.35">
      <c r="A371" s="64" t="s">
        <v>995</v>
      </c>
      <c r="B371" s="64" t="s">
        <v>1013</v>
      </c>
      <c r="C371" s="44" t="s">
        <v>996</v>
      </c>
      <c r="D371" s="44">
        <v>2025</v>
      </c>
      <c r="E371" s="43" t="s">
        <v>997</v>
      </c>
      <c r="F371" s="43" t="s">
        <v>998</v>
      </c>
      <c r="G371" s="44" t="s">
        <v>78</v>
      </c>
      <c r="H371" s="44">
        <v>1</v>
      </c>
      <c r="I371" s="44" t="s">
        <v>686</v>
      </c>
      <c r="J371" s="44" t="s">
        <v>79</v>
      </c>
      <c r="K371" s="44">
        <v>2</v>
      </c>
      <c r="L371" s="44" t="s">
        <v>129</v>
      </c>
      <c r="M371" s="44" t="s">
        <v>380</v>
      </c>
      <c r="N371" s="44">
        <v>-2.6177999999999999</v>
      </c>
      <c r="O371" s="44">
        <v>0.56130000000000002</v>
      </c>
      <c r="P371" s="91">
        <f t="shared" si="147"/>
        <v>-4.6638161411010151</v>
      </c>
      <c r="Q371" s="44" t="s">
        <v>312</v>
      </c>
      <c r="R371" s="91">
        <f t="shared" si="148"/>
        <v>-3.7179479999999998</v>
      </c>
      <c r="S371" s="91">
        <f t="shared" si="149"/>
        <v>-1.5176519999999998</v>
      </c>
      <c r="T371" s="44">
        <v>1</v>
      </c>
      <c r="U371" s="44">
        <v>93971</v>
      </c>
      <c r="V371" s="44">
        <v>9</v>
      </c>
      <c r="W371" s="44">
        <v>1</v>
      </c>
      <c r="X371" s="44">
        <v>93962</v>
      </c>
      <c r="Y371" s="91">
        <f t="shared" si="150"/>
        <v>-1.5213005897226808E-2</v>
      </c>
      <c r="Z371" s="91">
        <f t="shared" si="151"/>
        <v>3.2619223050322438E-3</v>
      </c>
      <c r="AA371" s="91">
        <f t="shared" si="152"/>
        <v>-1.5213005897226808E-2</v>
      </c>
      <c r="AB371" s="44" t="s">
        <v>81</v>
      </c>
      <c r="AC371" s="91">
        <f t="shared" si="144"/>
        <v>-0.21407242990654204</v>
      </c>
      <c r="AD371" s="91" cm="1">
        <f t="array" ref="AD371">_xlfn.IFS(
AND(L371="marginal_effect",M371="level"),N371*AN371/BF371,
AND(L371="marginal_effect",M371="sd (Y)"),N371*BH371*AN371/BF371,
AND(L371="marginal_effect",M371="sd (X)"),N371/AQ371*AN371/BF371,
AND(L371="semi_elasticity",M371="level"),N371*AN371,
AND(L371="semi_elasticity",M371="sd (Y)"),N371*AN371*BH371,
AND(L371="semi_elasticity",M371="sd (X)"),N371*AN371/AQ371,
AND(L371="level-log",M371="level"),N371/BF371,
AND(L371="level-log",M371="sd (X)"),N371/BF371/AQ371,
AND(L371="level-log",M371="sd (Y)"),N371/BF371*BH371,
AND(L371="elasticity",M371="level"),N371,
AND(L371="elasticity",M371="sd (X)"),N371/AQ371,
AND(L371="elasticity",M371="sd (Y)"),N371*BH371,
AND(L371="marginal_effect",M371="percent_of_mean"),N371*AN371/BF371/10)</f>
        <v>-0.21407242990654204</v>
      </c>
      <c r="AE371" s="50">
        <f t="shared" si="138"/>
        <v>1</v>
      </c>
      <c r="AF371" s="91">
        <f t="shared" si="145"/>
        <v>4.5900700934579444E-2</v>
      </c>
      <c r="AG371" s="91" cm="1">
        <f t="array" ref="AG371">_xlfn.IFS(
AND(L371="marginal_effect",M371="level"),O371*AN371/BF371,
AND(L371="marginal_effect",M371="sd (Y)"),O371*BH371*AN371/BF371,
AND(L371="marginal_effect",M371="sd (X)"),O371/AQ371*AN371/BF371,
AND(L371="semi_elasticity",M371="level"),O371*AN371,
AND(L371="semi_elasticity",M371="sd (Y)"),O371*AN371*BH371,
AND(L371="semi_elasticity",M371="sd (X)"),O371*AN371/AQ371,
AND(L371="level-log",M371="level"),O371/BF371,
AND(L371="level-log",M371="sd (X)"),O371/BF371/AQ371,
AND(L371="level-log",M371="sd (Y)"),O371/BF371*BH371,
AND(L371="elasticity",M371="level"),O371,
AND(L371="elasticity",M371="sd (X)"),O371/AQ371,
AND(L371="elasticity",M371="sd (Y)"),O371*BH371,
AND(L371="marginal_effect",M371="percent_of_mean"),O371*AN371/BF371/10)</f>
        <v>4.5900700934579444E-2</v>
      </c>
      <c r="AH371" s="50">
        <f t="shared" si="139"/>
        <v>1</v>
      </c>
      <c r="AI371" s="91">
        <f t="shared" si="146"/>
        <v>-0.21407242990654204</v>
      </c>
      <c r="AJ371" s="44">
        <v>0</v>
      </c>
      <c r="AK371" s="44">
        <f t="shared" si="153"/>
        <v>1</v>
      </c>
      <c r="AL371" s="44" t="s">
        <v>162</v>
      </c>
      <c r="AM371" s="44" t="s">
        <v>999</v>
      </c>
      <c r="AN371" s="44">
        <v>1.05</v>
      </c>
      <c r="AO371" s="44">
        <v>0</v>
      </c>
      <c r="AP371" s="44">
        <f t="shared" si="142"/>
        <v>1.05</v>
      </c>
      <c r="AQ371" s="44">
        <v>0.6</v>
      </c>
      <c r="AR371" s="44">
        <v>0.1</v>
      </c>
      <c r="AS371" s="44">
        <v>4.45</v>
      </c>
      <c r="AT371" s="44" t="s">
        <v>83</v>
      </c>
      <c r="AU371" s="44" t="s">
        <v>109</v>
      </c>
      <c r="AV371" s="44" t="s">
        <v>133</v>
      </c>
      <c r="AW371" s="44" t="s">
        <v>85</v>
      </c>
      <c r="AX371" s="44" t="s">
        <v>86</v>
      </c>
      <c r="AY371" s="44">
        <v>0</v>
      </c>
      <c r="AZ371" s="44">
        <v>0</v>
      </c>
      <c r="BA371" s="44" t="s">
        <v>87</v>
      </c>
      <c r="BB371" s="44" t="s">
        <v>88</v>
      </c>
      <c r="BC371" s="44" t="s">
        <v>113</v>
      </c>
      <c r="BD371" s="44" t="s">
        <v>433</v>
      </c>
      <c r="BE371" s="44" t="s">
        <v>1000</v>
      </c>
      <c r="BF371" s="44">
        <v>12.84</v>
      </c>
      <c r="BG371" s="44">
        <v>0</v>
      </c>
      <c r="BH371" s="44">
        <v>9.2799999999999994</v>
      </c>
      <c r="BI371" s="44" t="s">
        <v>312</v>
      </c>
      <c r="BJ371" s="44" t="s">
        <v>312</v>
      </c>
      <c r="BK371" s="44" t="s">
        <v>91</v>
      </c>
      <c r="BL371" s="44" t="s">
        <v>84</v>
      </c>
      <c r="BM371" s="44">
        <v>1</v>
      </c>
      <c r="BN371" s="44" t="s">
        <v>428</v>
      </c>
      <c r="BO371" s="44" t="s">
        <v>428</v>
      </c>
      <c r="BP371" s="44" t="s">
        <v>1001</v>
      </c>
      <c r="BQ371" s="44" t="s">
        <v>117</v>
      </c>
      <c r="BR371" s="44" t="s">
        <v>134</v>
      </c>
      <c r="BS371" s="44">
        <v>23</v>
      </c>
      <c r="BT371" s="44" t="s">
        <v>312</v>
      </c>
      <c r="BU371" s="65">
        <v>43405</v>
      </c>
      <c r="BV371" s="65">
        <v>43862</v>
      </c>
      <c r="BW371" s="44" t="s">
        <v>94</v>
      </c>
      <c r="BX371" s="44" t="s">
        <v>95</v>
      </c>
      <c r="BY371" s="44" t="s">
        <v>96</v>
      </c>
      <c r="BZ371" s="44">
        <v>0</v>
      </c>
      <c r="CA371" s="44">
        <v>0</v>
      </c>
      <c r="CB371" s="44" t="s">
        <v>97</v>
      </c>
      <c r="CC371" s="44" t="s">
        <v>314</v>
      </c>
      <c r="CD371" s="44">
        <v>1</v>
      </c>
      <c r="CE371" s="44" t="s">
        <v>1002</v>
      </c>
      <c r="CF371" s="44">
        <v>0</v>
      </c>
      <c r="CG371" s="44" t="s">
        <v>97</v>
      </c>
      <c r="CH371" s="44">
        <v>1</v>
      </c>
      <c r="CI371" s="44" t="s">
        <v>1465</v>
      </c>
      <c r="CJ371" s="44" t="s">
        <v>98</v>
      </c>
      <c r="CK371" s="44">
        <v>36</v>
      </c>
      <c r="CL371" s="44">
        <v>0</v>
      </c>
      <c r="CM371" s="44">
        <v>0</v>
      </c>
      <c r="CN371" s="44" t="s">
        <v>124</v>
      </c>
      <c r="CO371" s="44" t="s">
        <v>97</v>
      </c>
      <c r="CP371" s="44" t="s">
        <v>100</v>
      </c>
      <c r="CQ371" s="44" t="s">
        <v>126</v>
      </c>
      <c r="CR371" s="45">
        <v>46225</v>
      </c>
      <c r="CT371" s="44" t="s">
        <v>1019</v>
      </c>
    </row>
    <row r="372" spans="1:98" s="44" customFormat="1" x14ac:dyDescent="0.35">
      <c r="A372" s="64" t="s">
        <v>995</v>
      </c>
      <c r="B372" s="64" t="s">
        <v>1014</v>
      </c>
      <c r="C372" s="44" t="s">
        <v>996</v>
      </c>
      <c r="D372" s="44">
        <v>2025</v>
      </c>
      <c r="E372" s="43" t="s">
        <v>997</v>
      </c>
      <c r="F372" s="43" t="s">
        <v>998</v>
      </c>
      <c r="G372" s="44" t="s">
        <v>78</v>
      </c>
      <c r="H372" s="44">
        <v>1</v>
      </c>
      <c r="I372" s="44" t="s">
        <v>686</v>
      </c>
      <c r="J372" s="44" t="s">
        <v>79</v>
      </c>
      <c r="K372" s="44">
        <v>2</v>
      </c>
      <c r="L372" s="44" t="s">
        <v>129</v>
      </c>
      <c r="M372" s="44" t="s">
        <v>380</v>
      </c>
      <c r="N372" s="44">
        <v>-0.15340000000000001</v>
      </c>
      <c r="O372" s="44">
        <v>8.4400000000000003E-2</v>
      </c>
      <c r="P372" s="91">
        <f t="shared" si="147"/>
        <v>-1.8175355450236967</v>
      </c>
      <c r="Q372" s="44" t="s">
        <v>312</v>
      </c>
      <c r="R372" s="91">
        <f t="shared" si="148"/>
        <v>-0.318824</v>
      </c>
      <c r="S372" s="91">
        <f t="shared" si="149"/>
        <v>1.2024000000000007E-2</v>
      </c>
      <c r="T372" s="44">
        <v>1</v>
      </c>
      <c r="U372" s="44">
        <v>93971</v>
      </c>
      <c r="V372" s="44">
        <v>9</v>
      </c>
      <c r="W372" s="44">
        <v>1</v>
      </c>
      <c r="X372" s="44">
        <v>93962</v>
      </c>
      <c r="Y372" s="91">
        <f t="shared" si="150"/>
        <v>-5.9292416782334547E-3</v>
      </c>
      <c r="Z372" s="91">
        <f t="shared" si="151"/>
        <v>3.2622424878937647E-3</v>
      </c>
      <c r="AA372" s="91">
        <f t="shared" si="152"/>
        <v>-5.9292416782334547E-3</v>
      </c>
      <c r="AB372" s="44" t="s">
        <v>81</v>
      </c>
      <c r="AC372" s="91">
        <f t="shared" si="144"/>
        <v>-7.1738818833348456E-2</v>
      </c>
      <c r="AD372" s="91" cm="1">
        <f t="array" ref="AD372">_xlfn.IFS(
AND(L372="marginal_effect",M372="level"),N372*AN372/BF372,
AND(L372="marginal_effect",M372="sd (Y)"),N372*BH372*AN372/BF372,
AND(L372="marginal_effect",M372="sd (X)"),N372/AQ372*AN372/BF372,
AND(L372="semi_elasticity",M372="level"),N372*AN372,
AND(L372="semi_elasticity",M372="sd (Y)"),N372*AN372*BH372,
AND(L372="semi_elasticity",M372="sd (X)"),N372*AN372/AQ372,
AND(L372="level-log",M372="level"),N372/BF372,
AND(L372="level-log",M372="sd (X)"),N372/BF372/AQ372,
AND(L372="level-log",M372="sd (Y)"),N372/BF372*BH372,
AND(L372="elasticity",M372="level"),N372,
AND(L372="elasticity",M372="sd (X)"),N372/AQ372,
AND(L372="elasticity",M372="sd (Y)"),N372*BH372,
AND(L372="marginal_effect",M372="percent_of_mean"),N372*AN372/BF372/10)</f>
        <v>-7.1738818833348456E-2</v>
      </c>
      <c r="AE372" s="50">
        <f t="shared" si="138"/>
        <v>1</v>
      </c>
      <c r="AF372" s="91">
        <f t="shared" si="145"/>
        <v>3.9470380114306446E-2</v>
      </c>
      <c r="AG372" s="91" cm="1">
        <f t="array" ref="AG372">_xlfn.IFS(
AND(L372="marginal_effect",M372="level"),O372*AN372/BF372,
AND(L372="marginal_effect",M372="sd (Y)"),O372*BH372*AN372/BF372,
AND(L372="marginal_effect",M372="sd (X)"),O372/AQ372*AN372/BF372,
AND(L372="semi_elasticity",M372="level"),O372*AN372,
AND(L372="semi_elasticity",M372="sd (Y)"),O372*AN372*BH372,
AND(L372="semi_elasticity",M372="sd (X)"),O372*AN372/AQ372,
AND(L372="level-log",M372="level"),O372/BF372,
AND(L372="level-log",M372="sd (X)"),O372/BF372/AQ372,
AND(L372="level-log",M372="sd (Y)"),O372/BF372*BH372,
AND(L372="elasticity",M372="level"),O372,
AND(L372="elasticity",M372="sd (X)"),O372/AQ372,
AND(L372="elasticity",M372="sd (Y)"),O372*BH372,
AND(L372="marginal_effect",M372="percent_of_mean"),O372*AN372/BF372/10)</f>
        <v>3.9470380114306446E-2</v>
      </c>
      <c r="AH372" s="50">
        <f t="shared" si="139"/>
        <v>1</v>
      </c>
      <c r="AI372" s="91">
        <f t="shared" si="146"/>
        <v>-7.1738818833348456E-2</v>
      </c>
      <c r="AJ372" s="44">
        <v>0</v>
      </c>
      <c r="AK372" s="44">
        <f t="shared" si="153"/>
        <v>1</v>
      </c>
      <c r="AL372" s="44" t="s">
        <v>148</v>
      </c>
      <c r="AM372" s="44" t="s">
        <v>1333</v>
      </c>
      <c r="AN372" s="44">
        <v>51.55</v>
      </c>
      <c r="AO372" s="44">
        <v>0</v>
      </c>
      <c r="AP372" s="44">
        <f t="shared" si="142"/>
        <v>51.55</v>
      </c>
      <c r="AQ372" s="44">
        <v>30.87</v>
      </c>
      <c r="AR372" s="44">
        <v>2.12</v>
      </c>
      <c r="AS372" s="44">
        <v>175.4</v>
      </c>
      <c r="AT372" s="44" t="s">
        <v>83</v>
      </c>
      <c r="AU372" s="44" t="s">
        <v>109</v>
      </c>
      <c r="AV372" s="44" t="s">
        <v>133</v>
      </c>
      <c r="AW372" s="44" t="s">
        <v>85</v>
      </c>
      <c r="AX372" s="44" t="s">
        <v>86</v>
      </c>
      <c r="AY372" s="44">
        <v>0</v>
      </c>
      <c r="AZ372" s="44">
        <v>0</v>
      </c>
      <c r="BA372" s="44" t="s">
        <v>87</v>
      </c>
      <c r="BB372" s="44" t="s">
        <v>88</v>
      </c>
      <c r="BC372" s="44" t="s">
        <v>113</v>
      </c>
      <c r="BD372" s="44" t="s">
        <v>433</v>
      </c>
      <c r="BE372" s="44" t="s">
        <v>434</v>
      </c>
      <c r="BF372" s="44">
        <v>110.23</v>
      </c>
      <c r="BG372" s="44">
        <v>0</v>
      </c>
      <c r="BH372" s="44">
        <v>86.32</v>
      </c>
      <c r="BI372" s="44" t="s">
        <v>312</v>
      </c>
      <c r="BJ372" s="44" t="s">
        <v>312</v>
      </c>
      <c r="BK372" s="44" t="s">
        <v>91</v>
      </c>
      <c r="BL372" s="44" t="s">
        <v>84</v>
      </c>
      <c r="BM372" s="44">
        <v>1</v>
      </c>
      <c r="BN372" s="44" t="s">
        <v>428</v>
      </c>
      <c r="BO372" s="44" t="s">
        <v>428</v>
      </c>
      <c r="BP372" s="44" t="s">
        <v>1001</v>
      </c>
      <c r="BQ372" s="44" t="s">
        <v>117</v>
      </c>
      <c r="BR372" s="44" t="s">
        <v>134</v>
      </c>
      <c r="BS372" s="44">
        <v>23</v>
      </c>
      <c r="BT372" s="44" t="s">
        <v>312</v>
      </c>
      <c r="BU372" s="65">
        <v>43405</v>
      </c>
      <c r="BV372" s="65">
        <v>43862</v>
      </c>
      <c r="BW372" s="44" t="s">
        <v>94</v>
      </c>
      <c r="BX372" s="44" t="s">
        <v>95</v>
      </c>
      <c r="BY372" s="44" t="s">
        <v>96</v>
      </c>
      <c r="BZ372" s="44">
        <v>0</v>
      </c>
      <c r="CA372" s="44">
        <v>0</v>
      </c>
      <c r="CB372" s="44" t="s">
        <v>97</v>
      </c>
      <c r="CC372" s="44" t="s">
        <v>314</v>
      </c>
      <c r="CD372" s="44">
        <v>1</v>
      </c>
      <c r="CE372" s="44" t="s">
        <v>1002</v>
      </c>
      <c r="CF372" s="44">
        <v>0</v>
      </c>
      <c r="CG372" s="44" t="s">
        <v>97</v>
      </c>
      <c r="CI372" s="44" t="s">
        <v>1465</v>
      </c>
      <c r="CJ372" s="44" t="s">
        <v>98</v>
      </c>
      <c r="CK372" s="44">
        <v>36</v>
      </c>
      <c r="CL372" s="44">
        <v>0</v>
      </c>
      <c r="CM372" s="44">
        <v>0</v>
      </c>
      <c r="CN372" s="44" t="s">
        <v>124</v>
      </c>
      <c r="CO372" s="44" t="s">
        <v>97</v>
      </c>
      <c r="CP372" s="44" t="s">
        <v>100</v>
      </c>
      <c r="CQ372" s="44" t="s">
        <v>126</v>
      </c>
      <c r="CR372" s="45">
        <v>46225</v>
      </c>
      <c r="CT372" s="44" t="s">
        <v>1020</v>
      </c>
    </row>
    <row r="373" spans="1:98" s="44" customFormat="1" x14ac:dyDescent="0.35">
      <c r="A373" s="64" t="s">
        <v>995</v>
      </c>
      <c r="B373" s="64" t="s">
        <v>1015</v>
      </c>
      <c r="C373" s="44" t="s">
        <v>996</v>
      </c>
      <c r="D373" s="44">
        <v>2025</v>
      </c>
      <c r="E373" s="43" t="s">
        <v>997</v>
      </c>
      <c r="F373" s="43" t="s">
        <v>998</v>
      </c>
      <c r="G373" s="44" t="s">
        <v>78</v>
      </c>
      <c r="H373" s="44">
        <v>1</v>
      </c>
      <c r="I373" s="44" t="s">
        <v>686</v>
      </c>
      <c r="J373" s="44" t="s">
        <v>79</v>
      </c>
      <c r="K373" s="44">
        <v>2</v>
      </c>
      <c r="L373" s="44" t="s">
        <v>129</v>
      </c>
      <c r="M373" s="44" t="s">
        <v>380</v>
      </c>
      <c r="N373" s="44">
        <v>-2.24E-2</v>
      </c>
      <c r="O373" s="44">
        <v>8.8999999999999999E-3</v>
      </c>
      <c r="P373" s="91">
        <f t="shared" si="147"/>
        <v>-2.5168539325842696</v>
      </c>
      <c r="Q373" s="44" t="s">
        <v>312</v>
      </c>
      <c r="R373" s="91">
        <f t="shared" si="148"/>
        <v>-3.9844000000000004E-2</v>
      </c>
      <c r="S373" s="91">
        <f t="shared" si="149"/>
        <v>-4.9559999999999986E-3</v>
      </c>
      <c r="T373" s="44">
        <v>1</v>
      </c>
      <c r="U373" s="44">
        <v>93971</v>
      </c>
      <c r="V373" s="44">
        <v>9</v>
      </c>
      <c r="W373" s="44">
        <v>1</v>
      </c>
      <c r="X373" s="44">
        <v>93962</v>
      </c>
      <c r="Y373" s="91">
        <f t="shared" si="150"/>
        <v>-8.2104554099649164E-3</v>
      </c>
      <c r="Z373" s="91">
        <f t="shared" si="151"/>
        <v>3.2621898727092755E-3</v>
      </c>
      <c r="AA373" s="91">
        <f t="shared" si="152"/>
        <v>-8.2104554099649164E-3</v>
      </c>
      <c r="AB373" s="44" t="s">
        <v>81</v>
      </c>
      <c r="AC373" s="91">
        <f t="shared" si="144"/>
        <v>-8.9931464174454828E-2</v>
      </c>
      <c r="AD373" s="91" cm="1">
        <f t="array" ref="AD373">_xlfn.IFS(
AND(L373="marginal_effect",M373="level"),N373*AN373/BF373,
AND(L373="marginal_effect",M373="sd (Y)"),N373*BH373*AN373/BF373,
AND(L373="marginal_effect",M373="sd (X)"),N373/AQ373*AN373/BF373,
AND(L373="semi_elasticity",M373="level"),N373*AN373,
AND(L373="semi_elasticity",M373="sd (Y)"),N373*AN373*BH373,
AND(L373="semi_elasticity",M373="sd (X)"),N373*AN373/AQ373,
AND(L373="level-log",M373="level"),N373/BF373,
AND(L373="level-log",M373="sd (X)"),N373/BF373/AQ373,
AND(L373="level-log",M373="sd (Y)"),N373/BF373*BH373,
AND(L373="elasticity",M373="level"),N373,
AND(L373="elasticity",M373="sd (X)"),N373/AQ373,
AND(L373="elasticity",M373="sd (Y)"),N373*BH373,
AND(L373="marginal_effect",M373="percent_of_mean"),N373*AN373/BF373/10)</f>
        <v>-8.9931464174454828E-2</v>
      </c>
      <c r="AE373" s="50">
        <f t="shared" si="138"/>
        <v>1</v>
      </c>
      <c r="AF373" s="91">
        <f t="shared" si="145"/>
        <v>3.5731697819314637E-2</v>
      </c>
      <c r="AG373" s="91" cm="1">
        <f t="array" ref="AG373">_xlfn.IFS(
AND(L373="marginal_effect",M373="level"),O373*AN373/BF373,
AND(L373="marginal_effect",M373="sd (Y)"),O373*BH373*AN373/BF373,
AND(L373="marginal_effect",M373="sd (X)"),O373/AQ373*AN373/BF373,
AND(L373="semi_elasticity",M373="level"),O373*AN373,
AND(L373="semi_elasticity",M373="sd (Y)"),O373*AN373*BH373,
AND(L373="semi_elasticity",M373="sd (X)"),O373*AN373/AQ373,
AND(L373="level-log",M373="level"),O373/BF373,
AND(L373="level-log",M373="sd (X)"),O373/BF373/AQ373,
AND(L373="level-log",M373="sd (Y)"),O373/BF373*BH373,
AND(L373="elasticity",M373="level"),O373,
AND(L373="elasticity",M373="sd (X)"),O373/AQ373,
AND(L373="elasticity",M373="sd (Y)"),O373*BH373,
AND(L373="marginal_effect",M373="percent_of_mean"),O373*AN373/BF373/10)</f>
        <v>3.5731697819314637E-2</v>
      </c>
      <c r="AH373" s="50">
        <f t="shared" si="139"/>
        <v>1</v>
      </c>
      <c r="AI373" s="91">
        <f t="shared" si="146"/>
        <v>-8.9931464174454828E-2</v>
      </c>
      <c r="AJ373" s="44">
        <v>0</v>
      </c>
      <c r="AK373" s="44">
        <f t="shared" si="153"/>
        <v>1</v>
      </c>
      <c r="AL373" s="44" t="s">
        <v>148</v>
      </c>
      <c r="AM373" s="44" t="s">
        <v>1333</v>
      </c>
      <c r="AN373" s="44">
        <v>51.55</v>
      </c>
      <c r="AO373" s="44">
        <v>0</v>
      </c>
      <c r="AP373" s="44">
        <f t="shared" si="142"/>
        <v>51.55</v>
      </c>
      <c r="AQ373" s="44">
        <v>30.87</v>
      </c>
      <c r="AR373" s="44">
        <v>2.12</v>
      </c>
      <c r="AS373" s="44">
        <v>175.4</v>
      </c>
      <c r="AT373" s="44" t="s">
        <v>83</v>
      </c>
      <c r="AU373" s="44" t="s">
        <v>109</v>
      </c>
      <c r="AV373" s="44" t="s">
        <v>133</v>
      </c>
      <c r="AW373" s="44" t="s">
        <v>85</v>
      </c>
      <c r="AX373" s="44" t="s">
        <v>86</v>
      </c>
      <c r="AY373" s="44">
        <v>0</v>
      </c>
      <c r="AZ373" s="44">
        <v>0</v>
      </c>
      <c r="BA373" s="44" t="s">
        <v>87</v>
      </c>
      <c r="BB373" s="44" t="s">
        <v>88</v>
      </c>
      <c r="BC373" s="44" t="s">
        <v>113</v>
      </c>
      <c r="BD373" s="44" t="s">
        <v>433</v>
      </c>
      <c r="BE373" s="44" t="s">
        <v>1000</v>
      </c>
      <c r="BF373" s="44">
        <v>12.84</v>
      </c>
      <c r="BG373" s="44">
        <v>0</v>
      </c>
      <c r="BH373" s="44">
        <v>9.2799999999999994</v>
      </c>
      <c r="BI373" s="44" t="s">
        <v>312</v>
      </c>
      <c r="BJ373" s="44" t="s">
        <v>312</v>
      </c>
      <c r="BK373" s="44" t="s">
        <v>91</v>
      </c>
      <c r="BL373" s="44" t="s">
        <v>84</v>
      </c>
      <c r="BM373" s="44">
        <v>1</v>
      </c>
      <c r="BN373" s="44" t="s">
        <v>428</v>
      </c>
      <c r="BO373" s="44" t="s">
        <v>428</v>
      </c>
      <c r="BP373" s="44" t="s">
        <v>1001</v>
      </c>
      <c r="BQ373" s="44" t="s">
        <v>117</v>
      </c>
      <c r="BR373" s="44" t="s">
        <v>134</v>
      </c>
      <c r="BS373" s="44">
        <v>23</v>
      </c>
      <c r="BT373" s="44" t="s">
        <v>312</v>
      </c>
      <c r="BU373" s="65">
        <v>43405</v>
      </c>
      <c r="BV373" s="65">
        <v>43862</v>
      </c>
      <c r="BW373" s="44" t="s">
        <v>94</v>
      </c>
      <c r="BX373" s="44" t="s">
        <v>95</v>
      </c>
      <c r="BY373" s="44" t="s">
        <v>96</v>
      </c>
      <c r="BZ373" s="44">
        <v>0</v>
      </c>
      <c r="CA373" s="44">
        <v>0</v>
      </c>
      <c r="CB373" s="44" t="s">
        <v>97</v>
      </c>
      <c r="CC373" s="44" t="s">
        <v>314</v>
      </c>
      <c r="CD373" s="44">
        <v>1</v>
      </c>
      <c r="CE373" s="44" t="s">
        <v>1002</v>
      </c>
      <c r="CF373" s="44">
        <v>0</v>
      </c>
      <c r="CG373" s="44" t="s">
        <v>97</v>
      </c>
      <c r="CH373" s="44">
        <v>1</v>
      </c>
      <c r="CI373" s="44" t="s">
        <v>1465</v>
      </c>
      <c r="CJ373" s="44" t="s">
        <v>98</v>
      </c>
      <c r="CK373" s="44">
        <v>36</v>
      </c>
      <c r="CL373" s="44">
        <v>0</v>
      </c>
      <c r="CM373" s="44">
        <v>0</v>
      </c>
      <c r="CN373" s="44" t="s">
        <v>124</v>
      </c>
      <c r="CO373" s="44" t="s">
        <v>97</v>
      </c>
      <c r="CP373" s="44" t="s">
        <v>100</v>
      </c>
      <c r="CQ373" s="44" t="s">
        <v>126</v>
      </c>
      <c r="CR373" s="45">
        <v>46225</v>
      </c>
      <c r="CT373" s="44" t="s">
        <v>1021</v>
      </c>
    </row>
    <row r="374" spans="1:98" s="44" customFormat="1" x14ac:dyDescent="0.35">
      <c r="A374" s="64" t="s">
        <v>995</v>
      </c>
      <c r="B374" s="64" t="s">
        <v>1022</v>
      </c>
      <c r="C374" s="44" t="s">
        <v>996</v>
      </c>
      <c r="D374" s="44">
        <v>2025</v>
      </c>
      <c r="E374" s="43" t="s">
        <v>997</v>
      </c>
      <c r="F374" s="43" t="s">
        <v>998</v>
      </c>
      <c r="G374" s="44" t="s">
        <v>78</v>
      </c>
      <c r="H374" s="44">
        <v>1</v>
      </c>
      <c r="I374" s="44" t="s">
        <v>686</v>
      </c>
      <c r="J374" s="44" t="s">
        <v>79</v>
      </c>
      <c r="K374" s="44">
        <v>2</v>
      </c>
      <c r="L374" s="44" t="s">
        <v>129</v>
      </c>
      <c r="M374" s="44" t="s">
        <v>380</v>
      </c>
      <c r="N374" s="44">
        <v>-2.0999999999999999E-3</v>
      </c>
      <c r="O374" s="44">
        <v>5.0000000000000001E-4</v>
      </c>
      <c r="P374" s="91">
        <f t="shared" si="147"/>
        <v>-4.1999999999999993</v>
      </c>
      <c r="Q374" s="44" t="s">
        <v>312</v>
      </c>
      <c r="R374" s="91">
        <f t="shared" si="148"/>
        <v>-3.0799999999999998E-3</v>
      </c>
      <c r="S374" s="91">
        <f t="shared" si="149"/>
        <v>-1.1199999999999999E-3</v>
      </c>
      <c r="T374" s="44">
        <v>1</v>
      </c>
      <c r="U374" s="44">
        <v>93971</v>
      </c>
      <c r="V374" s="44">
        <v>11</v>
      </c>
      <c r="W374" s="44">
        <v>1</v>
      </c>
      <c r="X374" s="44">
        <f>U374-V374</f>
        <v>93960</v>
      </c>
      <c r="Y374" s="91">
        <f t="shared" si="150"/>
        <v>-1.3700519118310158E-2</v>
      </c>
      <c r="Z374" s="91">
        <f t="shared" si="151"/>
        <v>3.2620283615024189E-3</v>
      </c>
      <c r="AA374" s="91">
        <f t="shared" si="152"/>
        <v>-1.3700519118310158E-2</v>
      </c>
      <c r="AB374" s="44" t="s">
        <v>81</v>
      </c>
      <c r="AC374" s="91" t="e">
        <f t="shared" si="144"/>
        <v>#DIV/0!</v>
      </c>
      <c r="AD374" s="91" t="e" cm="1">
        <f t="array" ref="AD374">_xlfn.IFS(
AND(L374="marginal_effect",M374="level"),N374*AN374/BF374,
AND(L374="marginal_effect",M374="sd (Y)"),N374*BH374*AN374/BF374,
AND(L374="marginal_effect",M374="sd (X)"),N374/AQ374*AN374/BF374,
AND(L374="semi_elasticity",M374="level"),N374*AN374,
AND(L374="semi_elasticity",M374="sd (Y)"),N374*AN374*BH374,
AND(L374="semi_elasticity",M374="sd (X)"),N374*AN374/AQ374,
AND(L374="level-log",M374="level"),N374/BF374,
AND(L374="level-log",M374="sd (X)"),N374/BF374/AQ374,
AND(L374="level-log",M374="sd (Y)"),N374/BF374*BH374,
AND(L374="elasticity",M374="level"),N374,
AND(L374="elasticity",M374="sd (X)"),N374/AQ374,
AND(L374="elasticity",M374="sd (Y)"),N374*BH374,
AND(L374="marginal_effect",M374="percent_of_mean"),N374*AN374/BF374/10)</f>
        <v>#DIV/0!</v>
      </c>
      <c r="AE374" s="50" t="e">
        <f t="shared" si="138"/>
        <v>#DIV/0!</v>
      </c>
      <c r="AF374" s="91" t="e">
        <f t="shared" si="145"/>
        <v>#DIV/0!</v>
      </c>
      <c r="AG374" s="91" t="e" cm="1">
        <f t="array" ref="AG374">_xlfn.IFS(
AND(L374="marginal_effect",M374="level"),O374*AN374/BF374,
AND(L374="marginal_effect",M374="sd (Y)"),O374*BH374*AN374/BF374,
AND(L374="marginal_effect",M374="sd (X)"),O374/AQ374*AN374/BF374,
AND(L374="semi_elasticity",M374="level"),O374*AN374,
AND(L374="semi_elasticity",M374="sd (Y)"),O374*AN374*BH374,
AND(L374="semi_elasticity",M374="sd (X)"),O374*AN374/AQ374,
AND(L374="level-log",M374="level"),O374/BF374,
AND(L374="level-log",M374="sd (X)"),O374/BF374/AQ374,
AND(L374="level-log",M374="sd (Y)"),O374/BF374*BH374,
AND(L374="elasticity",M374="level"),O374,
AND(L374="elasticity",M374="sd (X)"),O374/AQ374,
AND(L374="elasticity",M374="sd (Y)"),O374*BH374,
AND(L374="marginal_effect",M374="percent_of_mean"),O374*AN374/BF374/10)</f>
        <v>#DIV/0!</v>
      </c>
      <c r="AH374" s="50" t="e">
        <f t="shared" si="139"/>
        <v>#DIV/0!</v>
      </c>
      <c r="AI374" s="91" t="e">
        <f t="shared" si="146"/>
        <v>#DIV/0!</v>
      </c>
      <c r="AJ374" s="44">
        <v>0</v>
      </c>
      <c r="AK374" s="44" t="e">
        <f t="shared" si="153"/>
        <v>#DIV/0!</v>
      </c>
      <c r="AL374" s="44" t="s">
        <v>82</v>
      </c>
      <c r="AM374" s="44" t="s">
        <v>1333</v>
      </c>
      <c r="AN374" s="44">
        <v>66.52</v>
      </c>
      <c r="AO374" s="44">
        <v>0</v>
      </c>
      <c r="AP374" s="44">
        <f t="shared" si="142"/>
        <v>66.52</v>
      </c>
      <c r="AQ374" s="44">
        <v>68.47</v>
      </c>
      <c r="AR374" s="44">
        <v>5.04</v>
      </c>
      <c r="AS374" s="44">
        <v>474.66</v>
      </c>
      <c r="AT374" s="44" t="s">
        <v>83</v>
      </c>
      <c r="AU374" s="44" t="s">
        <v>109</v>
      </c>
      <c r="AV374" s="44" t="s">
        <v>133</v>
      </c>
      <c r="AW374" s="44" t="s">
        <v>85</v>
      </c>
      <c r="AX374" s="44" t="s">
        <v>86</v>
      </c>
      <c r="AY374" s="44">
        <v>0</v>
      </c>
      <c r="AZ374" s="44">
        <v>0</v>
      </c>
      <c r="BA374" s="44" t="s">
        <v>1025</v>
      </c>
      <c r="BB374" s="44" t="s">
        <v>88</v>
      </c>
      <c r="BC374" s="44" t="s">
        <v>113</v>
      </c>
      <c r="BD374" s="44" t="s">
        <v>433</v>
      </c>
      <c r="BE374" s="44" t="s">
        <v>1026</v>
      </c>
      <c r="BF374" s="44">
        <v>0</v>
      </c>
      <c r="BG374" s="44">
        <v>0</v>
      </c>
      <c r="BH374" s="44">
        <v>1</v>
      </c>
      <c r="BI374" s="44" t="s">
        <v>312</v>
      </c>
      <c r="BJ374" s="44" t="s">
        <v>312</v>
      </c>
      <c r="BK374" s="44" t="s">
        <v>91</v>
      </c>
      <c r="BL374" s="44" t="s">
        <v>84</v>
      </c>
      <c r="BM374" s="44">
        <v>1</v>
      </c>
      <c r="BN374" s="44" t="s">
        <v>428</v>
      </c>
      <c r="BO374" s="44" t="s">
        <v>428</v>
      </c>
      <c r="BP374" s="44" t="s">
        <v>1001</v>
      </c>
      <c r="BQ374" s="44" t="s">
        <v>117</v>
      </c>
      <c r="BR374" s="44" t="s">
        <v>134</v>
      </c>
      <c r="BS374" s="44">
        <v>23</v>
      </c>
      <c r="BT374" s="44" t="s">
        <v>312</v>
      </c>
      <c r="BU374" s="65">
        <v>43405</v>
      </c>
      <c r="BV374" s="65">
        <v>43862</v>
      </c>
      <c r="BW374" s="44" t="s">
        <v>94</v>
      </c>
      <c r="BX374" s="44" t="s">
        <v>95</v>
      </c>
      <c r="BY374" s="44" t="s">
        <v>96</v>
      </c>
      <c r="BZ374" s="44">
        <v>0</v>
      </c>
      <c r="CA374" s="44">
        <v>0</v>
      </c>
      <c r="CB374" s="44" t="s">
        <v>97</v>
      </c>
      <c r="CC374" s="44" t="s">
        <v>314</v>
      </c>
      <c r="CD374" s="44">
        <v>1</v>
      </c>
      <c r="CE374" s="44" t="s">
        <v>1002</v>
      </c>
      <c r="CF374" s="44">
        <v>1</v>
      </c>
      <c r="CG374" s="44" t="s">
        <v>597</v>
      </c>
      <c r="CI374" s="44" t="s">
        <v>1465</v>
      </c>
      <c r="CJ374" s="44" t="s">
        <v>98</v>
      </c>
      <c r="CK374" s="44">
        <v>36</v>
      </c>
      <c r="CL374" s="44">
        <v>0</v>
      </c>
      <c r="CM374" s="44">
        <v>1</v>
      </c>
      <c r="CN374" s="44" t="s">
        <v>99</v>
      </c>
      <c r="CO374" s="44" t="s">
        <v>97</v>
      </c>
      <c r="CP374" s="44" t="s">
        <v>100</v>
      </c>
      <c r="CQ374" s="44" t="s">
        <v>126</v>
      </c>
      <c r="CR374" s="45">
        <v>46225</v>
      </c>
      <c r="CT374" s="44" t="s">
        <v>1027</v>
      </c>
    </row>
    <row r="375" spans="1:98" s="44" customFormat="1" x14ac:dyDescent="0.35">
      <c r="A375" s="64" t="s">
        <v>995</v>
      </c>
      <c r="B375" s="64" t="s">
        <v>1023</v>
      </c>
      <c r="C375" s="44" t="s">
        <v>996</v>
      </c>
      <c r="D375" s="44">
        <v>2025</v>
      </c>
      <c r="E375" s="43" t="s">
        <v>997</v>
      </c>
      <c r="F375" s="43" t="s">
        <v>998</v>
      </c>
      <c r="G375" s="44" t="s">
        <v>78</v>
      </c>
      <c r="H375" s="44">
        <v>1</v>
      </c>
      <c r="I375" s="44" t="s">
        <v>686</v>
      </c>
      <c r="J375" s="44" t="s">
        <v>79</v>
      </c>
      <c r="K375" s="44">
        <v>2</v>
      </c>
      <c r="L375" s="44" t="s">
        <v>129</v>
      </c>
      <c r="M375" s="44" t="s">
        <v>380</v>
      </c>
      <c r="N375" s="44">
        <v>-0.2311</v>
      </c>
      <c r="O375" s="44">
        <v>5.8400000000000001E-2</v>
      </c>
      <c r="P375" s="91">
        <f t="shared" si="147"/>
        <v>-3.9571917808219177</v>
      </c>
      <c r="Q375" s="44" t="s">
        <v>312</v>
      </c>
      <c r="R375" s="91">
        <f t="shared" si="148"/>
        <v>-0.34556399999999998</v>
      </c>
      <c r="S375" s="91">
        <f t="shared" si="149"/>
        <v>-0.116636</v>
      </c>
      <c r="T375" s="44">
        <v>1</v>
      </c>
      <c r="U375" s="44">
        <v>93971</v>
      </c>
      <c r="V375" s="44">
        <v>11</v>
      </c>
      <c r="W375" s="44">
        <v>1</v>
      </c>
      <c r="X375" s="44">
        <f>U375-V375</f>
        <v>93960</v>
      </c>
      <c r="Y375" s="91">
        <f t="shared" si="150"/>
        <v>-1.2908607849856663E-2</v>
      </c>
      <c r="Z375" s="91">
        <f t="shared" si="151"/>
        <v>3.2620627366145784E-3</v>
      </c>
      <c r="AA375" s="91">
        <f t="shared" si="152"/>
        <v>-1.2908607849856663E-2</v>
      </c>
      <c r="AB375" s="44" t="s">
        <v>81</v>
      </c>
      <c r="AC375" s="91" t="e">
        <f t="shared" si="144"/>
        <v>#DIV/0!</v>
      </c>
      <c r="AD375" s="91" t="e" cm="1">
        <f t="array" ref="AD375">_xlfn.IFS(
AND(L375="marginal_effect",M375="level"),N375*AN375/BF375,
AND(L375="marginal_effect",M375="sd (Y)"),N375*BH375*AN375/BF375,
AND(L375="marginal_effect",M375="sd (X)"),N375/AQ375*AN375/BF375,
AND(L375="semi_elasticity",M375="level"),N375*AN375,
AND(L375="semi_elasticity",M375="sd (Y)"),N375*AN375*BH375,
AND(L375="semi_elasticity",M375="sd (X)"),N375*AN375/AQ375,
AND(L375="level-log",M375="level"),N375/BF375,
AND(L375="level-log",M375="sd (X)"),N375/BF375/AQ375,
AND(L375="level-log",M375="sd (Y)"),N375/BF375*BH375,
AND(L375="elasticity",M375="level"),N375,
AND(L375="elasticity",M375="sd (X)"),N375/AQ375,
AND(L375="elasticity",M375="sd (Y)"),N375*BH375,
AND(L375="marginal_effect",M375="percent_of_mean"),N375*AN375/BF375/10)</f>
        <v>#DIV/0!</v>
      </c>
      <c r="AE375" s="50" t="e">
        <f t="shared" si="138"/>
        <v>#DIV/0!</v>
      </c>
      <c r="AF375" s="91" t="e">
        <f t="shared" si="145"/>
        <v>#DIV/0!</v>
      </c>
      <c r="AG375" s="91" t="e" cm="1">
        <f t="array" ref="AG375">_xlfn.IFS(
AND(L375="marginal_effect",M375="level"),O375*AN375/BF375,
AND(L375="marginal_effect",M375="sd (Y)"),O375*BH375*AN375/BF375,
AND(L375="marginal_effect",M375="sd (X)"),O375/AQ375*AN375/BF375,
AND(L375="semi_elasticity",M375="level"),O375*AN375,
AND(L375="semi_elasticity",M375="sd (Y)"),O375*AN375*BH375,
AND(L375="semi_elasticity",M375="sd (X)"),O375*AN375/AQ375,
AND(L375="level-log",M375="level"),O375/BF375,
AND(L375="level-log",M375="sd (X)"),O375/BF375/AQ375,
AND(L375="level-log",M375="sd (Y)"),O375/BF375*BH375,
AND(L375="elasticity",M375="level"),O375,
AND(L375="elasticity",M375="sd (X)"),O375/AQ375,
AND(L375="elasticity",M375="sd (Y)"),O375*BH375,
AND(L375="marginal_effect",M375="percent_of_mean"),O375*AN375/BF375/10)</f>
        <v>#DIV/0!</v>
      </c>
      <c r="AH375" s="50" t="e">
        <f t="shared" si="139"/>
        <v>#DIV/0!</v>
      </c>
      <c r="AI375" s="91" t="e">
        <f t="shared" si="146"/>
        <v>#DIV/0!</v>
      </c>
      <c r="AJ375" s="44">
        <v>0</v>
      </c>
      <c r="AK375" s="44" t="e">
        <f t="shared" si="153"/>
        <v>#DIV/0!</v>
      </c>
      <c r="AL375" s="44" t="s">
        <v>162</v>
      </c>
      <c r="AM375" s="44" t="s">
        <v>999</v>
      </c>
      <c r="AN375" s="44">
        <v>1.05</v>
      </c>
      <c r="AO375" s="44">
        <v>0</v>
      </c>
      <c r="AP375" s="44">
        <f t="shared" si="142"/>
        <v>1.05</v>
      </c>
      <c r="AQ375" s="44">
        <v>0.6</v>
      </c>
      <c r="AR375" s="44">
        <v>0.1</v>
      </c>
      <c r="AS375" s="44">
        <v>4.45</v>
      </c>
      <c r="AT375" s="44" t="s">
        <v>83</v>
      </c>
      <c r="AU375" s="44" t="s">
        <v>109</v>
      </c>
      <c r="AV375" s="44" t="s">
        <v>133</v>
      </c>
      <c r="AW375" s="44" t="s">
        <v>85</v>
      </c>
      <c r="AX375" s="44" t="s">
        <v>86</v>
      </c>
      <c r="AY375" s="44">
        <v>0</v>
      </c>
      <c r="AZ375" s="44">
        <v>0</v>
      </c>
      <c r="BA375" s="44" t="s">
        <v>1025</v>
      </c>
      <c r="BB375" s="44" t="s">
        <v>88</v>
      </c>
      <c r="BC375" s="44" t="s">
        <v>113</v>
      </c>
      <c r="BD375" s="44" t="s">
        <v>433</v>
      </c>
      <c r="BE375" s="44" t="s">
        <v>1026</v>
      </c>
      <c r="BF375" s="44">
        <v>0</v>
      </c>
      <c r="BG375" s="44">
        <v>0</v>
      </c>
      <c r="BH375" s="44">
        <v>1</v>
      </c>
      <c r="BI375" s="44" t="s">
        <v>312</v>
      </c>
      <c r="BJ375" s="44" t="s">
        <v>312</v>
      </c>
      <c r="BK375" s="44" t="s">
        <v>91</v>
      </c>
      <c r="BL375" s="44" t="s">
        <v>84</v>
      </c>
      <c r="BM375" s="44">
        <v>1</v>
      </c>
      <c r="BN375" s="44" t="s">
        <v>428</v>
      </c>
      <c r="BO375" s="44" t="s">
        <v>428</v>
      </c>
      <c r="BP375" s="44" t="s">
        <v>1001</v>
      </c>
      <c r="BQ375" s="44" t="s">
        <v>117</v>
      </c>
      <c r="BR375" s="44" t="s">
        <v>134</v>
      </c>
      <c r="BS375" s="44">
        <v>23</v>
      </c>
      <c r="BT375" s="44" t="s">
        <v>312</v>
      </c>
      <c r="BU375" s="65">
        <v>43405</v>
      </c>
      <c r="BV375" s="65">
        <v>43862</v>
      </c>
      <c r="BW375" s="44" t="s">
        <v>94</v>
      </c>
      <c r="BX375" s="44" t="s">
        <v>95</v>
      </c>
      <c r="BY375" s="44" t="s">
        <v>96</v>
      </c>
      <c r="BZ375" s="44">
        <v>0</v>
      </c>
      <c r="CA375" s="44">
        <v>0</v>
      </c>
      <c r="CB375" s="44" t="s">
        <v>97</v>
      </c>
      <c r="CC375" s="44" t="s">
        <v>314</v>
      </c>
      <c r="CD375" s="44">
        <v>1</v>
      </c>
      <c r="CE375" s="44" t="s">
        <v>1002</v>
      </c>
      <c r="CF375" s="44">
        <v>1</v>
      </c>
      <c r="CG375" s="44" t="s">
        <v>598</v>
      </c>
      <c r="CI375" s="44" t="s">
        <v>1465</v>
      </c>
      <c r="CJ375" s="44" t="s">
        <v>98</v>
      </c>
      <c r="CK375" s="44">
        <v>36</v>
      </c>
      <c r="CL375" s="44">
        <v>0</v>
      </c>
      <c r="CM375" s="44">
        <v>1</v>
      </c>
      <c r="CN375" s="44" t="s">
        <v>99</v>
      </c>
      <c r="CO375" s="44" t="s">
        <v>97</v>
      </c>
      <c r="CP375" s="44" t="s">
        <v>100</v>
      </c>
      <c r="CQ375" s="44" t="s">
        <v>126</v>
      </c>
      <c r="CR375" s="45">
        <v>46225</v>
      </c>
      <c r="CT375" s="44" t="s">
        <v>1027</v>
      </c>
    </row>
    <row r="376" spans="1:98" s="44" customFormat="1" x14ac:dyDescent="0.35">
      <c r="A376" s="64" t="s">
        <v>995</v>
      </c>
      <c r="B376" s="64" t="s">
        <v>1024</v>
      </c>
      <c r="C376" s="44" t="s">
        <v>996</v>
      </c>
      <c r="D376" s="44">
        <v>2025</v>
      </c>
      <c r="E376" s="43" t="s">
        <v>997</v>
      </c>
      <c r="F376" s="43" t="s">
        <v>998</v>
      </c>
      <c r="G376" s="44" t="s">
        <v>78</v>
      </c>
      <c r="H376" s="44">
        <v>1</v>
      </c>
      <c r="I376" s="44" t="s">
        <v>686</v>
      </c>
      <c r="J376" s="44" t="s">
        <v>79</v>
      </c>
      <c r="K376" s="44">
        <v>2</v>
      </c>
      <c r="L376" s="44" t="s">
        <v>129</v>
      </c>
      <c r="M376" s="44" t="s">
        <v>380</v>
      </c>
      <c r="N376" s="44">
        <v>-2.8E-3</v>
      </c>
      <c r="O376" s="44">
        <v>8.9999999999999998E-4</v>
      </c>
      <c r="P376" s="91">
        <f t="shared" si="147"/>
        <v>-3.1111111111111112</v>
      </c>
      <c r="Q376" s="44" t="s">
        <v>312</v>
      </c>
      <c r="R376" s="91">
        <f t="shared" si="148"/>
        <v>-4.5640000000000003E-3</v>
      </c>
      <c r="S376" s="91">
        <f t="shared" si="149"/>
        <v>-1.036E-3</v>
      </c>
      <c r="T376" s="44">
        <v>1</v>
      </c>
      <c r="U376" s="44">
        <v>93971</v>
      </c>
      <c r="V376" s="44">
        <v>11</v>
      </c>
      <c r="W376" s="44">
        <v>1</v>
      </c>
      <c r="X376" s="44">
        <f>U376-V376</f>
        <v>93960</v>
      </c>
      <c r="Y376" s="91">
        <f t="shared" si="150"/>
        <v>-1.0148962556297983E-2</v>
      </c>
      <c r="Z376" s="91">
        <f t="shared" si="151"/>
        <v>3.2621665359529226E-3</v>
      </c>
      <c r="AA376" s="91">
        <f t="shared" si="152"/>
        <v>-1.0148962556297983E-2</v>
      </c>
      <c r="AB376" s="44" t="s">
        <v>81</v>
      </c>
      <c r="AC376" s="91" t="e">
        <f t="shared" si="144"/>
        <v>#DIV/0!</v>
      </c>
      <c r="AD376" s="91" t="e" cm="1">
        <f t="array" ref="AD376">_xlfn.IFS(
AND(L376="marginal_effect",M376="level"),N376*AN376/BF376,
AND(L376="marginal_effect",M376="sd (Y)"),N376*BH376*AN376/BF376,
AND(L376="marginal_effect",M376="sd (X)"),N376/AQ376*AN376/BF376,
AND(L376="semi_elasticity",M376="level"),N376*AN376,
AND(L376="semi_elasticity",M376="sd (Y)"),N376*AN376*BH376,
AND(L376="semi_elasticity",M376="sd (X)"),N376*AN376/AQ376,
AND(L376="level-log",M376="level"),N376/BF376,
AND(L376="level-log",M376="sd (X)"),N376/BF376/AQ376,
AND(L376="level-log",M376="sd (Y)"),N376/BF376*BH376,
AND(L376="elasticity",M376="level"),N376,
AND(L376="elasticity",M376="sd (X)"),N376/AQ376,
AND(L376="elasticity",M376="sd (Y)"),N376*BH376,
AND(L376="marginal_effect",M376="percent_of_mean"),N376*AN376/BF376/10)</f>
        <v>#DIV/0!</v>
      </c>
      <c r="AE376" s="50" t="e">
        <f t="shared" si="138"/>
        <v>#DIV/0!</v>
      </c>
      <c r="AF376" s="91" t="e">
        <f t="shared" si="145"/>
        <v>#DIV/0!</v>
      </c>
      <c r="AG376" s="91" t="e" cm="1">
        <f t="array" ref="AG376">_xlfn.IFS(
AND(L376="marginal_effect",M376="level"),O376*AN376/BF376,
AND(L376="marginal_effect",M376="sd (Y)"),O376*BH376*AN376/BF376,
AND(L376="marginal_effect",M376="sd (X)"),O376/AQ376*AN376/BF376,
AND(L376="semi_elasticity",M376="level"),O376*AN376,
AND(L376="semi_elasticity",M376="sd (Y)"),O376*AN376*BH376,
AND(L376="semi_elasticity",M376="sd (X)"),O376*AN376/AQ376,
AND(L376="level-log",M376="level"),O376/BF376,
AND(L376="level-log",M376="sd (X)"),O376/BF376/AQ376,
AND(L376="level-log",M376="sd (Y)"),O376/BF376*BH376,
AND(L376="elasticity",M376="level"),O376,
AND(L376="elasticity",M376="sd (X)"),O376/AQ376,
AND(L376="elasticity",M376="sd (Y)"),O376*BH376,
AND(L376="marginal_effect",M376="percent_of_mean"),O376*AN376/BF376/10)</f>
        <v>#DIV/0!</v>
      </c>
      <c r="AH376" s="50" t="e">
        <f t="shared" si="139"/>
        <v>#DIV/0!</v>
      </c>
      <c r="AI376" s="91" t="e">
        <f t="shared" si="146"/>
        <v>#DIV/0!</v>
      </c>
      <c r="AJ376" s="44">
        <v>0</v>
      </c>
      <c r="AK376" s="44" t="e">
        <f t="shared" si="153"/>
        <v>#DIV/0!</v>
      </c>
      <c r="AL376" s="44" t="s">
        <v>148</v>
      </c>
      <c r="AM376" s="44" t="s">
        <v>1333</v>
      </c>
      <c r="AN376" s="44">
        <v>51.55</v>
      </c>
      <c r="AO376" s="44">
        <v>0</v>
      </c>
      <c r="AP376" s="44">
        <f t="shared" si="142"/>
        <v>51.55</v>
      </c>
      <c r="AQ376" s="44">
        <v>30.87</v>
      </c>
      <c r="AR376" s="44">
        <v>2.12</v>
      </c>
      <c r="AS376" s="44">
        <v>175.4</v>
      </c>
      <c r="AT376" s="44" t="s">
        <v>83</v>
      </c>
      <c r="AU376" s="44" t="s">
        <v>109</v>
      </c>
      <c r="AV376" s="44" t="s">
        <v>133</v>
      </c>
      <c r="AW376" s="44" t="s">
        <v>85</v>
      </c>
      <c r="AX376" s="44" t="s">
        <v>86</v>
      </c>
      <c r="AY376" s="44">
        <v>0</v>
      </c>
      <c r="AZ376" s="44">
        <v>0</v>
      </c>
      <c r="BA376" s="44" t="s">
        <v>1025</v>
      </c>
      <c r="BB376" s="44" t="s">
        <v>88</v>
      </c>
      <c r="BC376" s="44" t="s">
        <v>113</v>
      </c>
      <c r="BD376" s="44" t="s">
        <v>433</v>
      </c>
      <c r="BE376" s="44" t="s">
        <v>1026</v>
      </c>
      <c r="BF376" s="44">
        <v>0</v>
      </c>
      <c r="BG376" s="44">
        <v>0</v>
      </c>
      <c r="BH376" s="44">
        <v>1</v>
      </c>
      <c r="BI376" s="44" t="s">
        <v>312</v>
      </c>
      <c r="BJ376" s="44" t="s">
        <v>312</v>
      </c>
      <c r="BK376" s="44" t="s">
        <v>91</v>
      </c>
      <c r="BL376" s="44" t="s">
        <v>84</v>
      </c>
      <c r="BM376" s="44">
        <v>1</v>
      </c>
      <c r="BN376" s="44" t="s">
        <v>428</v>
      </c>
      <c r="BO376" s="44" t="s">
        <v>428</v>
      </c>
      <c r="BP376" s="44" t="s">
        <v>1001</v>
      </c>
      <c r="BQ376" s="44" t="s">
        <v>117</v>
      </c>
      <c r="BR376" s="44" t="s">
        <v>134</v>
      </c>
      <c r="BS376" s="44">
        <v>23</v>
      </c>
      <c r="BT376" s="44" t="s">
        <v>312</v>
      </c>
      <c r="BU376" s="65">
        <v>43405</v>
      </c>
      <c r="BV376" s="65">
        <v>43862</v>
      </c>
      <c r="BW376" s="44" t="s">
        <v>94</v>
      </c>
      <c r="BX376" s="44" t="s">
        <v>95</v>
      </c>
      <c r="BY376" s="44" t="s">
        <v>96</v>
      </c>
      <c r="BZ376" s="44">
        <v>0</v>
      </c>
      <c r="CA376" s="44">
        <v>0</v>
      </c>
      <c r="CB376" s="44" t="s">
        <v>97</v>
      </c>
      <c r="CC376" s="44" t="s">
        <v>314</v>
      </c>
      <c r="CD376" s="44">
        <v>1</v>
      </c>
      <c r="CE376" s="44" t="s">
        <v>1002</v>
      </c>
      <c r="CF376" s="44">
        <v>1</v>
      </c>
      <c r="CG376" s="44" t="s">
        <v>599</v>
      </c>
      <c r="CI376" s="44" t="s">
        <v>1465</v>
      </c>
      <c r="CJ376" s="44" t="s">
        <v>98</v>
      </c>
      <c r="CK376" s="44">
        <v>36</v>
      </c>
      <c r="CL376" s="44">
        <v>0</v>
      </c>
      <c r="CM376" s="44">
        <v>1</v>
      </c>
      <c r="CN376" s="44" t="s">
        <v>99</v>
      </c>
      <c r="CO376" s="44" t="s">
        <v>97</v>
      </c>
      <c r="CP376" s="44" t="s">
        <v>100</v>
      </c>
      <c r="CQ376" s="44" t="s">
        <v>126</v>
      </c>
      <c r="CR376" s="45">
        <v>46225</v>
      </c>
      <c r="CT376" s="44" t="s">
        <v>1027</v>
      </c>
    </row>
    <row r="377" spans="1:98" s="44" customFormat="1" x14ac:dyDescent="0.35">
      <c r="A377" s="64" t="s">
        <v>995</v>
      </c>
      <c r="B377" s="64" t="s">
        <v>1032</v>
      </c>
      <c r="C377" s="44" t="s">
        <v>996</v>
      </c>
      <c r="D377" s="44">
        <v>2025</v>
      </c>
      <c r="E377" s="43" t="s">
        <v>997</v>
      </c>
      <c r="F377" s="43" t="s">
        <v>998</v>
      </c>
      <c r="G377" s="44" t="s">
        <v>78</v>
      </c>
      <c r="H377" s="44">
        <v>1</v>
      </c>
      <c r="I377" s="44" t="s">
        <v>686</v>
      </c>
      <c r="J377" s="44" t="s">
        <v>79</v>
      </c>
      <c r="K377" s="44">
        <v>2</v>
      </c>
      <c r="L377" s="44" t="s">
        <v>129</v>
      </c>
      <c r="M377" s="44" t="s">
        <v>380</v>
      </c>
      <c r="N377" s="44">
        <v>-1.5E-3</v>
      </c>
      <c r="O377" s="44">
        <v>1.6000000000000001E-3</v>
      </c>
      <c r="P377" s="91">
        <f t="shared" si="147"/>
        <v>-0.9375</v>
      </c>
      <c r="Q377" s="44" t="s">
        <v>312</v>
      </c>
      <c r="R377" s="91">
        <f t="shared" si="148"/>
        <v>-4.6359999999999995E-3</v>
      </c>
      <c r="S377" s="91">
        <f t="shared" si="149"/>
        <v>1.6359999999999999E-3</v>
      </c>
      <c r="T377" s="44">
        <v>1</v>
      </c>
      <c r="U377" s="44">
        <v>93971</v>
      </c>
      <c r="V377" s="44">
        <v>9</v>
      </c>
      <c r="W377" s="44">
        <v>1</v>
      </c>
      <c r="X377" s="44">
        <v>93962</v>
      </c>
      <c r="Y377" s="91">
        <f t="shared" si="150"/>
        <v>-3.0583917895605651E-3</v>
      </c>
      <c r="Z377" s="91">
        <f t="shared" si="151"/>
        <v>3.2622845755312692E-3</v>
      </c>
      <c r="AA377" s="91">
        <f t="shared" si="152"/>
        <v>-3.0583917895605651E-3</v>
      </c>
      <c r="AB377" s="44" t="s">
        <v>81</v>
      </c>
      <c r="AC377" s="91" t="e">
        <f t="shared" si="144"/>
        <v>#DIV/0!</v>
      </c>
      <c r="AD377" s="91" t="e" cm="1">
        <f t="array" ref="AD377">_xlfn.IFS(
AND(L377="marginal_effect",M377="level"),N377*AN377/BF377,
AND(L377="marginal_effect",M377="sd (Y)"),N377*BH377*AN377/BF377,
AND(L377="marginal_effect",M377="sd (X)"),N377/AQ377*AN377/BF377,
AND(L377="semi_elasticity",M377="level"),N377*AN377,
AND(L377="semi_elasticity",M377="sd (Y)"),N377*AN377*BH377,
AND(L377="semi_elasticity",M377="sd (X)"),N377*AN377/AQ377,
AND(L377="level-log",M377="level"),N377/BF377,
AND(L377="level-log",M377="sd (X)"),N377/BF377/AQ377,
AND(L377="level-log",M377="sd (Y)"),N377/BF377*BH377,
AND(L377="elasticity",M377="level"),N377,
AND(L377="elasticity",M377="sd (X)"),N377/AQ377,
AND(L377="elasticity",M377="sd (Y)"),N377*BH377,
AND(L377="marginal_effect",M377="percent_of_mean"),N377*AN377/BF377/10)</f>
        <v>#DIV/0!</v>
      </c>
      <c r="AE377" s="50" t="e">
        <f t="shared" si="138"/>
        <v>#DIV/0!</v>
      </c>
      <c r="AF377" s="91" t="e">
        <f t="shared" si="145"/>
        <v>#DIV/0!</v>
      </c>
      <c r="AG377" s="91" t="e" cm="1">
        <f t="array" ref="AG377">_xlfn.IFS(
AND(L377="marginal_effect",M377="level"),O377*AN377/BF377,
AND(L377="marginal_effect",M377="sd (Y)"),O377*BH377*AN377/BF377,
AND(L377="marginal_effect",M377="sd (X)"),O377/AQ377*AN377/BF377,
AND(L377="semi_elasticity",M377="level"),O377*AN377,
AND(L377="semi_elasticity",M377="sd (Y)"),O377*AN377*BH377,
AND(L377="semi_elasticity",M377="sd (X)"),O377*AN377/AQ377,
AND(L377="level-log",M377="level"),O377/BF377,
AND(L377="level-log",M377="sd (X)"),O377/BF377/AQ377,
AND(L377="level-log",M377="sd (Y)"),O377/BF377*BH377,
AND(L377="elasticity",M377="level"),O377,
AND(L377="elasticity",M377="sd (X)"),O377/AQ377,
AND(L377="elasticity",M377="sd (Y)"),O377*BH377,
AND(L377="marginal_effect",M377="percent_of_mean"),O377*AN377/BF377/10)</f>
        <v>#DIV/0!</v>
      </c>
      <c r="AH377" s="50" t="e">
        <f t="shared" si="139"/>
        <v>#DIV/0!</v>
      </c>
      <c r="AI377" s="91" t="e">
        <f t="shared" si="146"/>
        <v>#DIV/0!</v>
      </c>
      <c r="AJ377" s="44">
        <v>0</v>
      </c>
      <c r="AK377" s="44" t="e">
        <f t="shared" si="153"/>
        <v>#DIV/0!</v>
      </c>
      <c r="AL377" s="44" t="s">
        <v>82</v>
      </c>
      <c r="AM377" s="44" t="s">
        <v>1333</v>
      </c>
      <c r="AN377" s="44">
        <v>66.52</v>
      </c>
      <c r="AO377" s="44">
        <v>0</v>
      </c>
      <c r="AP377" s="44">
        <f t="shared" si="142"/>
        <v>66.52</v>
      </c>
      <c r="AQ377" s="44">
        <v>68.47</v>
      </c>
      <c r="AR377" s="44">
        <v>5.04</v>
      </c>
      <c r="AS377" s="44">
        <v>474.66</v>
      </c>
      <c r="AT377" s="44" t="s">
        <v>83</v>
      </c>
      <c r="AU377" s="44" t="s">
        <v>109</v>
      </c>
      <c r="AV377" s="44" t="s">
        <v>133</v>
      </c>
      <c r="AW377" s="44" t="s">
        <v>85</v>
      </c>
      <c r="AX377" s="44" t="s">
        <v>86</v>
      </c>
      <c r="AY377" s="44">
        <v>0</v>
      </c>
      <c r="AZ377" s="44">
        <v>0</v>
      </c>
      <c r="BA377" s="44" t="s">
        <v>87</v>
      </c>
      <c r="BB377" s="44" t="s">
        <v>88</v>
      </c>
      <c r="BC377" s="44" t="s">
        <v>113</v>
      </c>
      <c r="BD377" s="44" t="s">
        <v>433</v>
      </c>
      <c r="BE377" s="44" t="s">
        <v>1026</v>
      </c>
      <c r="BF377" s="44">
        <v>0</v>
      </c>
      <c r="BG377" s="44">
        <v>0</v>
      </c>
      <c r="BH377" s="44">
        <v>1</v>
      </c>
      <c r="BI377" s="44" t="s">
        <v>312</v>
      </c>
      <c r="BJ377" s="44" t="s">
        <v>312</v>
      </c>
      <c r="BK377" s="44" t="s">
        <v>91</v>
      </c>
      <c r="BL377" s="44" t="s">
        <v>84</v>
      </c>
      <c r="BM377" s="44">
        <v>1</v>
      </c>
      <c r="BN377" s="44" t="s">
        <v>428</v>
      </c>
      <c r="BO377" s="44" t="s">
        <v>428</v>
      </c>
      <c r="BP377" s="44" t="s">
        <v>1001</v>
      </c>
      <c r="BQ377" s="44" t="s">
        <v>117</v>
      </c>
      <c r="BR377" s="44" t="s">
        <v>134</v>
      </c>
      <c r="BS377" s="44">
        <v>23</v>
      </c>
      <c r="BT377" s="44" t="s">
        <v>312</v>
      </c>
      <c r="BU377" s="65">
        <v>43405</v>
      </c>
      <c r="BV377" s="65">
        <v>43862</v>
      </c>
      <c r="BW377" s="44" t="s">
        <v>94</v>
      </c>
      <c r="BX377" s="44" t="s">
        <v>95</v>
      </c>
      <c r="BY377" s="44" t="s">
        <v>748</v>
      </c>
      <c r="BZ377" s="44">
        <v>1</v>
      </c>
      <c r="CA377" s="44">
        <v>1</v>
      </c>
      <c r="CB377" s="44" t="s">
        <v>1047</v>
      </c>
      <c r="CC377" s="44" t="s">
        <v>314</v>
      </c>
      <c r="CD377" s="44">
        <v>1</v>
      </c>
      <c r="CE377" s="44" t="s">
        <v>1002</v>
      </c>
      <c r="CF377" s="44">
        <v>0</v>
      </c>
      <c r="CG377" s="44" t="s">
        <v>97</v>
      </c>
      <c r="CI377" s="44" t="s">
        <v>1465</v>
      </c>
      <c r="CJ377" s="44" t="s">
        <v>98</v>
      </c>
      <c r="CK377" s="44">
        <v>36</v>
      </c>
      <c r="CL377" s="44">
        <v>0</v>
      </c>
      <c r="CM377" s="44">
        <v>0</v>
      </c>
      <c r="CN377" s="44" t="s">
        <v>124</v>
      </c>
      <c r="CO377" s="44" t="s">
        <v>97</v>
      </c>
      <c r="CP377" s="44" t="s">
        <v>100</v>
      </c>
      <c r="CQ377" s="44" t="s">
        <v>126</v>
      </c>
      <c r="CR377" s="45">
        <v>46225</v>
      </c>
      <c r="CT377" s="44" t="s">
        <v>1029</v>
      </c>
    </row>
    <row r="378" spans="1:98" s="44" customFormat="1" x14ac:dyDescent="0.35">
      <c r="A378" s="64" t="s">
        <v>995</v>
      </c>
      <c r="B378" s="64" t="s">
        <v>1033</v>
      </c>
      <c r="C378" s="44" t="s">
        <v>996</v>
      </c>
      <c r="D378" s="44">
        <v>2025</v>
      </c>
      <c r="E378" s="43" t="s">
        <v>997</v>
      </c>
      <c r="F378" s="43" t="s">
        <v>998</v>
      </c>
      <c r="G378" s="44" t="s">
        <v>78</v>
      </c>
      <c r="H378" s="44">
        <v>1</v>
      </c>
      <c r="I378" s="44" t="s">
        <v>686</v>
      </c>
      <c r="J378" s="44" t="s">
        <v>79</v>
      </c>
      <c r="K378" s="44">
        <v>2</v>
      </c>
      <c r="L378" s="44" t="s">
        <v>129</v>
      </c>
      <c r="M378" s="44" t="s">
        <v>380</v>
      </c>
      <c r="N378" s="44">
        <v>-0.99160000000000004</v>
      </c>
      <c r="O378" s="44">
        <v>0.2601</v>
      </c>
      <c r="P378" s="91">
        <f t="shared" si="147"/>
        <v>-3.8123798539023452</v>
      </c>
      <c r="Q378" s="44" t="s">
        <v>312</v>
      </c>
      <c r="R378" s="91">
        <f t="shared" si="148"/>
        <v>-1.5013960000000002</v>
      </c>
      <c r="S378" s="91">
        <f t="shared" si="149"/>
        <v>-0.48180400000000001</v>
      </c>
      <c r="T378" s="44">
        <v>1</v>
      </c>
      <c r="U378" s="44">
        <v>93971</v>
      </c>
      <c r="V378" s="44">
        <v>9</v>
      </c>
      <c r="W378" s="44">
        <v>1</v>
      </c>
      <c r="X378" s="44">
        <v>93962</v>
      </c>
      <c r="Y378" s="91">
        <f t="shared" si="150"/>
        <v>-1.2436164371673109E-2</v>
      </c>
      <c r="Z378" s="91">
        <f t="shared" si="151"/>
        <v>3.2620475525132874E-3</v>
      </c>
      <c r="AA378" s="91">
        <f t="shared" si="152"/>
        <v>-1.2436164371673109E-2</v>
      </c>
      <c r="AB378" s="44" t="s">
        <v>81</v>
      </c>
      <c r="AC378" s="91" t="e">
        <f t="shared" si="144"/>
        <v>#DIV/0!</v>
      </c>
      <c r="AD378" s="91" t="e" cm="1">
        <f t="array" ref="AD378">_xlfn.IFS(
AND(L378="marginal_effect",M378="level"),N378*AN378/BF378,
AND(L378="marginal_effect",M378="sd (Y)"),N378*BH378*AN378/BF378,
AND(L378="marginal_effect",M378="sd (X)"),N378/AQ378*AN378/BF378,
AND(L378="semi_elasticity",M378="level"),N378*AN378,
AND(L378="semi_elasticity",M378="sd (Y)"),N378*AN378*BH378,
AND(L378="semi_elasticity",M378="sd (X)"),N378*AN378/AQ378,
AND(L378="level-log",M378="level"),N378/BF378,
AND(L378="level-log",M378="sd (X)"),N378/BF378/AQ378,
AND(L378="level-log",M378="sd (Y)"),N378/BF378*BH378,
AND(L378="elasticity",M378="level"),N378,
AND(L378="elasticity",M378="sd (X)"),N378/AQ378,
AND(L378="elasticity",M378="sd (Y)"),N378*BH378,
AND(L378="marginal_effect",M378="percent_of_mean"),N378*AN378/BF378/10)</f>
        <v>#DIV/0!</v>
      </c>
      <c r="AE378" s="50" t="e">
        <f t="shared" si="138"/>
        <v>#DIV/0!</v>
      </c>
      <c r="AF378" s="91" t="e">
        <f t="shared" si="145"/>
        <v>#DIV/0!</v>
      </c>
      <c r="AG378" s="91" t="e" cm="1">
        <f t="array" ref="AG378">_xlfn.IFS(
AND(L378="marginal_effect",M378="level"),O378*AN378/BF378,
AND(L378="marginal_effect",M378="sd (Y)"),O378*BH378*AN378/BF378,
AND(L378="marginal_effect",M378="sd (X)"),O378/AQ378*AN378/BF378,
AND(L378="semi_elasticity",M378="level"),O378*AN378,
AND(L378="semi_elasticity",M378="sd (Y)"),O378*AN378*BH378,
AND(L378="semi_elasticity",M378="sd (X)"),O378*AN378/AQ378,
AND(L378="level-log",M378="level"),O378/BF378,
AND(L378="level-log",M378="sd (X)"),O378/BF378/AQ378,
AND(L378="level-log",M378="sd (Y)"),O378/BF378*BH378,
AND(L378="elasticity",M378="level"),O378,
AND(L378="elasticity",M378="sd (X)"),O378/AQ378,
AND(L378="elasticity",M378="sd (Y)"),O378*BH378,
AND(L378="marginal_effect",M378="percent_of_mean"),O378*AN378/BF378/10)</f>
        <v>#DIV/0!</v>
      </c>
      <c r="AH378" s="50" t="e">
        <f t="shared" si="139"/>
        <v>#DIV/0!</v>
      </c>
      <c r="AI378" s="91" t="e">
        <f t="shared" si="146"/>
        <v>#DIV/0!</v>
      </c>
      <c r="AJ378" s="44">
        <v>0</v>
      </c>
      <c r="AK378" s="44" t="e">
        <f t="shared" si="153"/>
        <v>#DIV/0!</v>
      </c>
      <c r="AL378" s="44" t="s">
        <v>162</v>
      </c>
      <c r="AM378" s="44" t="s">
        <v>999</v>
      </c>
      <c r="AN378" s="44">
        <v>1.05</v>
      </c>
      <c r="AO378" s="44">
        <v>0</v>
      </c>
      <c r="AP378" s="44">
        <f t="shared" si="142"/>
        <v>1.05</v>
      </c>
      <c r="AQ378" s="44">
        <v>0.6</v>
      </c>
      <c r="AR378" s="44">
        <v>0.1</v>
      </c>
      <c r="AS378" s="44">
        <v>4.45</v>
      </c>
      <c r="AT378" s="44" t="s">
        <v>83</v>
      </c>
      <c r="AU378" s="44" t="s">
        <v>109</v>
      </c>
      <c r="AV378" s="44" t="s">
        <v>133</v>
      </c>
      <c r="AW378" s="44" t="s">
        <v>85</v>
      </c>
      <c r="AX378" s="44" t="s">
        <v>86</v>
      </c>
      <c r="AY378" s="44">
        <v>0</v>
      </c>
      <c r="AZ378" s="44">
        <v>0</v>
      </c>
      <c r="BA378" s="44" t="s">
        <v>87</v>
      </c>
      <c r="BB378" s="44" t="s">
        <v>88</v>
      </c>
      <c r="BC378" s="44" t="s">
        <v>113</v>
      </c>
      <c r="BD378" s="44" t="s">
        <v>433</v>
      </c>
      <c r="BE378" s="44" t="s">
        <v>1026</v>
      </c>
      <c r="BF378" s="44">
        <v>0</v>
      </c>
      <c r="BG378" s="44">
        <v>0</v>
      </c>
      <c r="BH378" s="44">
        <v>1</v>
      </c>
      <c r="BI378" s="44" t="s">
        <v>312</v>
      </c>
      <c r="BJ378" s="44" t="s">
        <v>312</v>
      </c>
      <c r="BK378" s="44" t="s">
        <v>91</v>
      </c>
      <c r="BL378" s="44" t="s">
        <v>84</v>
      </c>
      <c r="BM378" s="44">
        <v>1</v>
      </c>
      <c r="BN378" s="44" t="s">
        <v>428</v>
      </c>
      <c r="BO378" s="44" t="s">
        <v>428</v>
      </c>
      <c r="BP378" s="44" t="s">
        <v>1001</v>
      </c>
      <c r="BQ378" s="44" t="s">
        <v>117</v>
      </c>
      <c r="BR378" s="44" t="s">
        <v>134</v>
      </c>
      <c r="BS378" s="44">
        <v>23</v>
      </c>
      <c r="BT378" s="44" t="s">
        <v>312</v>
      </c>
      <c r="BU378" s="65">
        <v>43405</v>
      </c>
      <c r="BV378" s="65">
        <v>43862</v>
      </c>
      <c r="BW378" s="44" t="s">
        <v>94</v>
      </c>
      <c r="BX378" s="44" t="s">
        <v>95</v>
      </c>
      <c r="BY378" s="44" t="s">
        <v>748</v>
      </c>
      <c r="BZ378" s="44">
        <v>1</v>
      </c>
      <c r="CA378" s="44">
        <v>1</v>
      </c>
      <c r="CB378" s="44" t="s">
        <v>1047</v>
      </c>
      <c r="CC378" s="44" t="s">
        <v>314</v>
      </c>
      <c r="CD378" s="44">
        <v>1</v>
      </c>
      <c r="CE378" s="44" t="s">
        <v>1002</v>
      </c>
      <c r="CF378" s="44">
        <v>0</v>
      </c>
      <c r="CG378" s="44" t="s">
        <v>97</v>
      </c>
      <c r="CI378" s="44" t="s">
        <v>1465</v>
      </c>
      <c r="CJ378" s="44" t="s">
        <v>98</v>
      </c>
      <c r="CK378" s="44">
        <v>36</v>
      </c>
      <c r="CL378" s="44">
        <v>0</v>
      </c>
      <c r="CM378" s="44">
        <v>0</v>
      </c>
      <c r="CN378" s="44" t="s">
        <v>124</v>
      </c>
      <c r="CO378" s="44" t="s">
        <v>97</v>
      </c>
      <c r="CP378" s="44" t="s">
        <v>100</v>
      </c>
      <c r="CQ378" s="44" t="s">
        <v>126</v>
      </c>
      <c r="CR378" s="45">
        <v>46225</v>
      </c>
      <c r="CT378" s="44" t="s">
        <v>1030</v>
      </c>
    </row>
    <row r="379" spans="1:98" s="44" customFormat="1" x14ac:dyDescent="0.35">
      <c r="A379" s="64" t="s">
        <v>995</v>
      </c>
      <c r="B379" s="64" t="s">
        <v>1034</v>
      </c>
      <c r="C379" s="44" t="s">
        <v>996</v>
      </c>
      <c r="D379" s="44">
        <v>2025</v>
      </c>
      <c r="E379" s="43" t="s">
        <v>997</v>
      </c>
      <c r="F379" s="43" t="s">
        <v>998</v>
      </c>
      <c r="G379" s="44" t="s">
        <v>78</v>
      </c>
      <c r="H379" s="44">
        <v>1</v>
      </c>
      <c r="I379" s="44" t="s">
        <v>686</v>
      </c>
      <c r="J379" s="44" t="s">
        <v>79</v>
      </c>
      <c r="K379" s="44">
        <v>2</v>
      </c>
      <c r="L379" s="44" t="s">
        <v>129</v>
      </c>
      <c r="M379" s="44" t="s">
        <v>380</v>
      </c>
      <c r="N379" s="44">
        <v>-9.2999999999999992E-3</v>
      </c>
      <c r="O379" s="44">
        <v>4.3E-3</v>
      </c>
      <c r="P379" s="91">
        <f t="shared" si="147"/>
        <v>-2.1627906976744184</v>
      </c>
      <c r="Q379" s="44" t="s">
        <v>312</v>
      </c>
      <c r="R379" s="91">
        <f t="shared" si="148"/>
        <v>-1.7728000000000001E-2</v>
      </c>
      <c r="S379" s="91">
        <f t="shared" si="149"/>
        <v>-8.7199999999999951E-4</v>
      </c>
      <c r="T379" s="44">
        <v>1</v>
      </c>
      <c r="U379" s="44">
        <v>93971</v>
      </c>
      <c r="V379" s="44">
        <v>9</v>
      </c>
      <c r="W379" s="44">
        <v>1</v>
      </c>
      <c r="X379" s="44">
        <v>93962</v>
      </c>
      <c r="Y379" s="91">
        <f t="shared" si="150"/>
        <v>-7.0554961137894914E-3</v>
      </c>
      <c r="Z379" s="91">
        <f t="shared" si="151"/>
        <v>3.2622186332575071E-3</v>
      </c>
      <c r="AA379" s="91">
        <f t="shared" si="152"/>
        <v>-7.0554961137894914E-3</v>
      </c>
      <c r="AB379" s="44" t="s">
        <v>81</v>
      </c>
      <c r="AC379" s="91" t="e">
        <f t="shared" si="144"/>
        <v>#DIV/0!</v>
      </c>
      <c r="AD379" s="91" t="e" cm="1">
        <f t="array" ref="AD379">_xlfn.IFS(
AND(L379="marginal_effect",M379="level"),N379*AN379/BF379,
AND(L379="marginal_effect",M379="sd (Y)"),N379*BH379*AN379/BF379,
AND(L379="marginal_effect",M379="sd (X)"),N379/AQ379*AN379/BF379,
AND(L379="semi_elasticity",M379="level"),N379*AN379,
AND(L379="semi_elasticity",M379="sd (Y)"),N379*AN379*BH379,
AND(L379="semi_elasticity",M379="sd (X)"),N379*AN379/AQ379,
AND(L379="level-log",M379="level"),N379/BF379,
AND(L379="level-log",M379="sd (X)"),N379/BF379/AQ379,
AND(L379="level-log",M379="sd (Y)"),N379/BF379*BH379,
AND(L379="elasticity",M379="level"),N379,
AND(L379="elasticity",M379="sd (X)"),N379/AQ379,
AND(L379="elasticity",M379="sd (Y)"),N379*BH379,
AND(L379="marginal_effect",M379="percent_of_mean"),N379*AN379/BF379/10)</f>
        <v>#DIV/0!</v>
      </c>
      <c r="AE379" s="50" t="e">
        <f t="shared" si="138"/>
        <v>#DIV/0!</v>
      </c>
      <c r="AF379" s="91" t="e">
        <f t="shared" si="145"/>
        <v>#DIV/0!</v>
      </c>
      <c r="AG379" s="91" t="e" cm="1">
        <f t="array" ref="AG379">_xlfn.IFS(
AND(L379="marginal_effect",M379="level"),O379*AN379/BF379,
AND(L379="marginal_effect",M379="sd (Y)"),O379*BH379*AN379/BF379,
AND(L379="marginal_effect",M379="sd (X)"),O379/AQ379*AN379/BF379,
AND(L379="semi_elasticity",M379="level"),O379*AN379,
AND(L379="semi_elasticity",M379="sd (Y)"),O379*AN379*BH379,
AND(L379="semi_elasticity",M379="sd (X)"),O379*AN379/AQ379,
AND(L379="level-log",M379="level"),O379/BF379,
AND(L379="level-log",M379="sd (X)"),O379/BF379/AQ379,
AND(L379="level-log",M379="sd (Y)"),O379/BF379*BH379,
AND(L379="elasticity",M379="level"),O379,
AND(L379="elasticity",M379="sd (X)"),O379/AQ379,
AND(L379="elasticity",M379="sd (Y)"),O379*BH379,
AND(L379="marginal_effect",M379="percent_of_mean"),O379*AN379/BF379/10)</f>
        <v>#DIV/0!</v>
      </c>
      <c r="AH379" s="50" t="e">
        <f t="shared" si="139"/>
        <v>#DIV/0!</v>
      </c>
      <c r="AI379" s="91" t="e">
        <f t="shared" si="146"/>
        <v>#DIV/0!</v>
      </c>
      <c r="AJ379" s="44">
        <v>0</v>
      </c>
      <c r="AK379" s="44" t="e">
        <f t="shared" si="153"/>
        <v>#DIV/0!</v>
      </c>
      <c r="AL379" s="44" t="s">
        <v>148</v>
      </c>
      <c r="AM379" s="44" t="s">
        <v>1333</v>
      </c>
      <c r="AN379" s="44">
        <v>51.55</v>
      </c>
      <c r="AO379" s="44">
        <v>0</v>
      </c>
      <c r="AP379" s="44">
        <f t="shared" si="142"/>
        <v>51.55</v>
      </c>
      <c r="AQ379" s="44">
        <v>30.87</v>
      </c>
      <c r="AR379" s="44">
        <v>2.12</v>
      </c>
      <c r="AS379" s="44">
        <v>175.4</v>
      </c>
      <c r="AT379" s="44" t="s">
        <v>83</v>
      </c>
      <c r="AU379" s="44" t="s">
        <v>109</v>
      </c>
      <c r="AV379" s="44" t="s">
        <v>133</v>
      </c>
      <c r="AW379" s="44" t="s">
        <v>85</v>
      </c>
      <c r="AX379" s="44" t="s">
        <v>86</v>
      </c>
      <c r="AY379" s="44">
        <v>0</v>
      </c>
      <c r="AZ379" s="44">
        <v>0</v>
      </c>
      <c r="BA379" s="44" t="s">
        <v>87</v>
      </c>
      <c r="BB379" s="44" t="s">
        <v>88</v>
      </c>
      <c r="BC379" s="44" t="s">
        <v>113</v>
      </c>
      <c r="BD379" s="44" t="s">
        <v>433</v>
      </c>
      <c r="BE379" s="44" t="s">
        <v>1026</v>
      </c>
      <c r="BF379" s="44">
        <v>0</v>
      </c>
      <c r="BG379" s="44">
        <v>0</v>
      </c>
      <c r="BH379" s="44">
        <v>1</v>
      </c>
      <c r="BI379" s="44" t="s">
        <v>312</v>
      </c>
      <c r="BJ379" s="44" t="s">
        <v>312</v>
      </c>
      <c r="BK379" s="44" t="s">
        <v>91</v>
      </c>
      <c r="BL379" s="44" t="s">
        <v>84</v>
      </c>
      <c r="BM379" s="44">
        <v>1</v>
      </c>
      <c r="BN379" s="44" t="s">
        <v>428</v>
      </c>
      <c r="BO379" s="44" t="s">
        <v>428</v>
      </c>
      <c r="BP379" s="44" t="s">
        <v>1001</v>
      </c>
      <c r="BQ379" s="44" t="s">
        <v>117</v>
      </c>
      <c r="BR379" s="44" t="s">
        <v>134</v>
      </c>
      <c r="BS379" s="44">
        <v>23</v>
      </c>
      <c r="BT379" s="44" t="s">
        <v>312</v>
      </c>
      <c r="BU379" s="65">
        <v>43405</v>
      </c>
      <c r="BV379" s="65">
        <v>43862</v>
      </c>
      <c r="BW379" s="44" t="s">
        <v>94</v>
      </c>
      <c r="BX379" s="44" t="s">
        <v>95</v>
      </c>
      <c r="BY379" s="44" t="s">
        <v>748</v>
      </c>
      <c r="BZ379" s="44">
        <v>1</v>
      </c>
      <c r="CA379" s="44">
        <v>1</v>
      </c>
      <c r="CB379" s="44" t="s">
        <v>1047</v>
      </c>
      <c r="CC379" s="44" t="s">
        <v>314</v>
      </c>
      <c r="CD379" s="44">
        <v>1</v>
      </c>
      <c r="CE379" s="44" t="s">
        <v>1002</v>
      </c>
      <c r="CF379" s="44">
        <v>0</v>
      </c>
      <c r="CG379" s="44" t="s">
        <v>97</v>
      </c>
      <c r="CI379" s="44" t="s">
        <v>1465</v>
      </c>
      <c r="CJ379" s="44" t="s">
        <v>98</v>
      </c>
      <c r="CK379" s="44">
        <v>36</v>
      </c>
      <c r="CL379" s="44">
        <v>0</v>
      </c>
      <c r="CM379" s="44">
        <v>0</v>
      </c>
      <c r="CN379" s="44" t="s">
        <v>124</v>
      </c>
      <c r="CO379" s="44" t="s">
        <v>97</v>
      </c>
      <c r="CP379" s="44" t="s">
        <v>100</v>
      </c>
      <c r="CQ379" s="44" t="s">
        <v>126</v>
      </c>
      <c r="CR379" s="45">
        <v>46225</v>
      </c>
      <c r="CT379" s="44" t="s">
        <v>1031</v>
      </c>
    </row>
    <row r="380" spans="1:98" s="44" customFormat="1" x14ac:dyDescent="0.35">
      <c r="A380" s="64" t="s">
        <v>995</v>
      </c>
      <c r="B380" s="64" t="s">
        <v>1035</v>
      </c>
      <c r="C380" s="44" t="s">
        <v>996</v>
      </c>
      <c r="D380" s="44">
        <v>2025</v>
      </c>
      <c r="E380" s="43" t="s">
        <v>997</v>
      </c>
      <c r="F380" s="43" t="s">
        <v>998</v>
      </c>
      <c r="G380" s="44" t="s">
        <v>78</v>
      </c>
      <c r="H380" s="44">
        <v>1</v>
      </c>
      <c r="I380" s="44" t="s">
        <v>686</v>
      </c>
      <c r="J380" s="44" t="s">
        <v>79</v>
      </c>
      <c r="K380" s="44">
        <v>2</v>
      </c>
      <c r="L380" s="44" t="s">
        <v>129</v>
      </c>
      <c r="M380" s="44" t="s">
        <v>380</v>
      </c>
      <c r="N380" s="44">
        <v>-2.3999999999999998E-3</v>
      </c>
      <c r="O380" s="44">
        <v>1.1999999999999999E-3</v>
      </c>
      <c r="P380" s="91">
        <f t="shared" si="147"/>
        <v>-2</v>
      </c>
      <c r="Q380" s="44" t="s">
        <v>312</v>
      </c>
      <c r="R380" s="91">
        <f t="shared" si="148"/>
        <v>-4.7519999999999993E-3</v>
      </c>
      <c r="S380" s="91">
        <f t="shared" si="149"/>
        <v>-4.7999999999999866E-5</v>
      </c>
      <c r="T380" s="44">
        <v>1</v>
      </c>
      <c r="U380" s="44">
        <v>93971</v>
      </c>
      <c r="V380" s="44">
        <v>11</v>
      </c>
      <c r="W380" s="44">
        <v>1</v>
      </c>
      <c r="X380" s="44">
        <f t="shared" ref="X380:X397" si="154">U380-V380</f>
        <v>93960</v>
      </c>
      <c r="Y380" s="91">
        <f t="shared" si="150"/>
        <v>-6.524530228307469E-3</v>
      </c>
      <c r="Z380" s="91">
        <f t="shared" si="151"/>
        <v>3.2622651141537345E-3</v>
      </c>
      <c r="AA380" s="91">
        <f t="shared" si="152"/>
        <v>-6.524530228307469E-3</v>
      </c>
      <c r="AB380" s="44" t="s">
        <v>81</v>
      </c>
      <c r="AC380" s="91" t="e">
        <f t="shared" si="144"/>
        <v>#DIV/0!</v>
      </c>
      <c r="AD380" s="91" t="e" cm="1">
        <f t="array" ref="AD380">_xlfn.IFS(
AND(L380="marginal_effect",M380="level"),N380*AN380/BF380,
AND(L380="marginal_effect",M380="sd (Y)"),N380*BH380*AN380/BF380,
AND(L380="marginal_effect",M380="sd (X)"),N380/AQ380*AN380/BF380,
AND(L380="semi_elasticity",M380="level"),N380*AN380,
AND(L380="semi_elasticity",M380="sd (Y)"),N380*AN380*BH380,
AND(L380="semi_elasticity",M380="sd (X)"),N380*AN380/AQ380,
AND(L380="level-log",M380="level"),N380/BF380,
AND(L380="level-log",M380="sd (X)"),N380/BF380/AQ380,
AND(L380="level-log",M380="sd (Y)"),N380/BF380*BH380,
AND(L380="elasticity",M380="level"),N380,
AND(L380="elasticity",M380="sd (X)"),N380/AQ380,
AND(L380="elasticity",M380="sd (Y)"),N380*BH380,
AND(L380="marginal_effect",M380="percent_of_mean"),N380*AN380/BF380/10)</f>
        <v>#DIV/0!</v>
      </c>
      <c r="AE380" s="50" t="e">
        <f t="shared" si="138"/>
        <v>#DIV/0!</v>
      </c>
      <c r="AF380" s="91" t="e">
        <f t="shared" si="145"/>
        <v>#DIV/0!</v>
      </c>
      <c r="AG380" s="91" t="e" cm="1">
        <f t="array" ref="AG380">_xlfn.IFS(
AND(L380="marginal_effect",M380="level"),O380*AN380/BF380,
AND(L380="marginal_effect",M380="sd (Y)"),O380*BH380*AN380/BF380,
AND(L380="marginal_effect",M380="sd (X)"),O380/AQ380*AN380/BF380,
AND(L380="semi_elasticity",M380="level"),O380*AN380,
AND(L380="semi_elasticity",M380="sd (Y)"),O380*AN380*BH380,
AND(L380="semi_elasticity",M380="sd (X)"),O380*AN380/AQ380,
AND(L380="level-log",M380="level"),O380/BF380,
AND(L380="level-log",M380="sd (X)"),O380/BF380/AQ380,
AND(L380="level-log",M380="sd (Y)"),O380/BF380*BH380,
AND(L380="elasticity",M380="level"),O380,
AND(L380="elasticity",M380="sd (X)"),O380/AQ380,
AND(L380="elasticity",M380="sd (Y)"),O380*BH380,
AND(L380="marginal_effect",M380="percent_of_mean"),O380*AN380/BF380/10)</f>
        <v>#DIV/0!</v>
      </c>
      <c r="AH380" s="50" t="e">
        <f t="shared" si="139"/>
        <v>#DIV/0!</v>
      </c>
      <c r="AI380" s="91" t="e">
        <f t="shared" si="146"/>
        <v>#DIV/0!</v>
      </c>
      <c r="AJ380" s="44">
        <v>0</v>
      </c>
      <c r="AK380" s="44" t="e">
        <f t="shared" si="153"/>
        <v>#DIV/0!</v>
      </c>
      <c r="AL380" s="44" t="s">
        <v>82</v>
      </c>
      <c r="AM380" s="44" t="s">
        <v>1333</v>
      </c>
      <c r="AN380" s="44">
        <v>66.52</v>
      </c>
      <c r="AO380" s="44">
        <v>0</v>
      </c>
      <c r="AP380" s="44">
        <f t="shared" si="142"/>
        <v>66.52</v>
      </c>
      <c r="AQ380" s="44">
        <v>68.47</v>
      </c>
      <c r="AR380" s="44">
        <v>5.04</v>
      </c>
      <c r="AS380" s="44">
        <v>474.66</v>
      </c>
      <c r="AT380" s="44" t="s">
        <v>83</v>
      </c>
      <c r="AU380" s="44" t="s">
        <v>109</v>
      </c>
      <c r="AV380" s="44" t="s">
        <v>133</v>
      </c>
      <c r="AW380" s="44" t="s">
        <v>85</v>
      </c>
      <c r="AX380" s="44" t="s">
        <v>86</v>
      </c>
      <c r="AY380" s="44">
        <v>0</v>
      </c>
      <c r="AZ380" s="44">
        <v>0</v>
      </c>
      <c r="BA380" s="44" t="s">
        <v>1025</v>
      </c>
      <c r="BB380" s="44" t="s">
        <v>88</v>
      </c>
      <c r="BC380" s="44" t="s">
        <v>113</v>
      </c>
      <c r="BD380" s="44" t="s">
        <v>433</v>
      </c>
      <c r="BE380" s="44" t="s">
        <v>1026</v>
      </c>
      <c r="BF380" s="44">
        <v>0</v>
      </c>
      <c r="BG380" s="44">
        <v>0</v>
      </c>
      <c r="BH380" s="44">
        <v>1</v>
      </c>
      <c r="BI380" s="44" t="s">
        <v>312</v>
      </c>
      <c r="BJ380" s="44" t="s">
        <v>312</v>
      </c>
      <c r="BK380" s="44" t="s">
        <v>91</v>
      </c>
      <c r="BL380" s="44" t="s">
        <v>84</v>
      </c>
      <c r="BM380" s="44">
        <v>1</v>
      </c>
      <c r="BN380" s="44" t="s">
        <v>428</v>
      </c>
      <c r="BO380" s="44" t="s">
        <v>428</v>
      </c>
      <c r="BP380" s="44" t="s">
        <v>1001</v>
      </c>
      <c r="BQ380" s="44" t="s">
        <v>117</v>
      </c>
      <c r="BR380" s="44" t="s">
        <v>134</v>
      </c>
      <c r="BS380" s="44">
        <v>23</v>
      </c>
      <c r="BT380" s="44" t="s">
        <v>312</v>
      </c>
      <c r="BU380" s="65">
        <v>43405</v>
      </c>
      <c r="BV380" s="65">
        <v>43862</v>
      </c>
      <c r="BW380" s="44" t="s">
        <v>94</v>
      </c>
      <c r="BX380" s="44" t="s">
        <v>95</v>
      </c>
      <c r="BY380" s="44" t="s">
        <v>748</v>
      </c>
      <c r="BZ380" s="44">
        <v>1</v>
      </c>
      <c r="CA380" s="44">
        <v>1</v>
      </c>
      <c r="CB380" s="44" t="s">
        <v>1048</v>
      </c>
      <c r="CC380" s="44" t="s">
        <v>314</v>
      </c>
      <c r="CD380" s="44">
        <v>1</v>
      </c>
      <c r="CE380" s="44" t="s">
        <v>1002</v>
      </c>
      <c r="CF380" s="44">
        <v>1</v>
      </c>
      <c r="CG380" s="44" t="s">
        <v>597</v>
      </c>
      <c r="CI380" s="44" t="s">
        <v>1465</v>
      </c>
      <c r="CJ380" s="44" t="s">
        <v>98</v>
      </c>
      <c r="CK380" s="44">
        <v>36</v>
      </c>
      <c r="CL380" s="44">
        <v>0</v>
      </c>
      <c r="CM380" s="44">
        <v>0</v>
      </c>
      <c r="CN380" s="44" t="s">
        <v>124</v>
      </c>
      <c r="CO380" s="44" t="s">
        <v>97</v>
      </c>
      <c r="CP380" s="44" t="s">
        <v>100</v>
      </c>
      <c r="CQ380" s="44" t="s">
        <v>126</v>
      </c>
      <c r="CR380" s="45">
        <v>46225</v>
      </c>
      <c r="CT380" s="44" t="s">
        <v>1052</v>
      </c>
    </row>
    <row r="381" spans="1:98" s="44" customFormat="1" x14ac:dyDescent="0.35">
      <c r="A381" s="64" t="s">
        <v>995</v>
      </c>
      <c r="B381" s="64" t="s">
        <v>1036</v>
      </c>
      <c r="C381" s="44" t="s">
        <v>996</v>
      </c>
      <c r="D381" s="44">
        <v>2025</v>
      </c>
      <c r="E381" s="43" t="s">
        <v>997</v>
      </c>
      <c r="F381" s="43" t="s">
        <v>998</v>
      </c>
      <c r="G381" s="44" t="s">
        <v>78</v>
      </c>
      <c r="H381" s="44">
        <v>1</v>
      </c>
      <c r="I381" s="44" t="s">
        <v>686</v>
      </c>
      <c r="J381" s="44" t="s">
        <v>79</v>
      </c>
      <c r="K381" s="44">
        <v>2</v>
      </c>
      <c r="L381" s="44" t="s">
        <v>129</v>
      </c>
      <c r="M381" s="44" t="s">
        <v>380</v>
      </c>
      <c r="N381" s="44">
        <v>-0.56850000000000001</v>
      </c>
      <c r="O381" s="44">
        <v>0.14169999999999999</v>
      </c>
      <c r="P381" s="91">
        <f t="shared" si="147"/>
        <v>-4.0119971771347922</v>
      </c>
      <c r="Q381" s="44" t="s">
        <v>312</v>
      </c>
      <c r="R381" s="91">
        <f t="shared" si="148"/>
        <v>-0.84623199999999998</v>
      </c>
      <c r="S381" s="91">
        <f t="shared" si="149"/>
        <v>-0.29076800000000003</v>
      </c>
      <c r="T381" s="44">
        <v>1</v>
      </c>
      <c r="U381" s="44">
        <v>93971</v>
      </c>
      <c r="V381" s="44">
        <v>11</v>
      </c>
      <c r="W381" s="44">
        <v>1</v>
      </c>
      <c r="X381" s="44">
        <f t="shared" si="154"/>
        <v>93960</v>
      </c>
      <c r="Y381" s="91">
        <f t="shared" si="150"/>
        <v>-1.3087356079039162E-2</v>
      </c>
      <c r="Z381" s="91">
        <f t="shared" si="151"/>
        <v>3.262055156376164E-3</v>
      </c>
      <c r="AA381" s="91">
        <f t="shared" si="152"/>
        <v>-1.3087356079039162E-2</v>
      </c>
      <c r="AB381" s="44" t="s">
        <v>81</v>
      </c>
      <c r="AC381" s="91" t="e">
        <f t="shared" si="144"/>
        <v>#DIV/0!</v>
      </c>
      <c r="AD381" s="91" t="e" cm="1">
        <f t="array" ref="AD381">_xlfn.IFS(
AND(L381="marginal_effect",M381="level"),N381*AN381/BF381,
AND(L381="marginal_effect",M381="sd (Y)"),N381*BH381*AN381/BF381,
AND(L381="marginal_effect",M381="sd (X)"),N381/AQ381*AN381/BF381,
AND(L381="semi_elasticity",M381="level"),N381*AN381,
AND(L381="semi_elasticity",M381="sd (Y)"),N381*AN381*BH381,
AND(L381="semi_elasticity",M381="sd (X)"),N381*AN381/AQ381,
AND(L381="level-log",M381="level"),N381/BF381,
AND(L381="level-log",M381="sd (X)"),N381/BF381/AQ381,
AND(L381="level-log",M381="sd (Y)"),N381/BF381*BH381,
AND(L381="elasticity",M381="level"),N381,
AND(L381="elasticity",M381="sd (X)"),N381/AQ381,
AND(L381="elasticity",M381="sd (Y)"),N381*BH381,
AND(L381="marginal_effect",M381="percent_of_mean"),N381*AN381/BF381/10)</f>
        <v>#DIV/0!</v>
      </c>
      <c r="AE381" s="50" t="e">
        <f t="shared" si="138"/>
        <v>#DIV/0!</v>
      </c>
      <c r="AF381" s="91" t="e">
        <f t="shared" si="145"/>
        <v>#DIV/0!</v>
      </c>
      <c r="AG381" s="91" t="e" cm="1">
        <f t="array" ref="AG381">_xlfn.IFS(
AND(L381="marginal_effect",M381="level"),O381*AN381/BF381,
AND(L381="marginal_effect",M381="sd (Y)"),O381*BH381*AN381/BF381,
AND(L381="marginal_effect",M381="sd (X)"),O381/AQ381*AN381/BF381,
AND(L381="semi_elasticity",M381="level"),O381*AN381,
AND(L381="semi_elasticity",M381="sd (Y)"),O381*AN381*BH381,
AND(L381="semi_elasticity",M381="sd (X)"),O381*AN381/AQ381,
AND(L381="level-log",M381="level"),O381/BF381,
AND(L381="level-log",M381="sd (X)"),O381/BF381/AQ381,
AND(L381="level-log",M381="sd (Y)"),O381/BF381*BH381,
AND(L381="elasticity",M381="level"),O381,
AND(L381="elasticity",M381="sd (X)"),O381/AQ381,
AND(L381="elasticity",M381="sd (Y)"),O381*BH381,
AND(L381="marginal_effect",M381="percent_of_mean"),O381*AN381/BF381/10)</f>
        <v>#DIV/0!</v>
      </c>
      <c r="AH381" s="50" t="e">
        <f t="shared" si="139"/>
        <v>#DIV/0!</v>
      </c>
      <c r="AI381" s="91" t="e">
        <f t="shared" si="146"/>
        <v>#DIV/0!</v>
      </c>
      <c r="AJ381" s="44">
        <v>0</v>
      </c>
      <c r="AK381" s="44" t="e">
        <f t="shared" si="153"/>
        <v>#DIV/0!</v>
      </c>
      <c r="AL381" s="44" t="s">
        <v>162</v>
      </c>
      <c r="AM381" s="44" t="s">
        <v>999</v>
      </c>
      <c r="AN381" s="44">
        <v>1.05</v>
      </c>
      <c r="AO381" s="44">
        <v>0</v>
      </c>
      <c r="AP381" s="44">
        <f t="shared" si="142"/>
        <v>1.05</v>
      </c>
      <c r="AQ381" s="44">
        <v>0.6</v>
      </c>
      <c r="AR381" s="44">
        <v>0.1</v>
      </c>
      <c r="AS381" s="44">
        <v>4.45</v>
      </c>
      <c r="AT381" s="44" t="s">
        <v>83</v>
      </c>
      <c r="AU381" s="44" t="s">
        <v>109</v>
      </c>
      <c r="AV381" s="44" t="s">
        <v>133</v>
      </c>
      <c r="AW381" s="44" t="s">
        <v>85</v>
      </c>
      <c r="AX381" s="44" t="s">
        <v>86</v>
      </c>
      <c r="AY381" s="44">
        <v>0</v>
      </c>
      <c r="AZ381" s="44">
        <v>0</v>
      </c>
      <c r="BA381" s="44" t="s">
        <v>1025</v>
      </c>
      <c r="BB381" s="44" t="s">
        <v>88</v>
      </c>
      <c r="BC381" s="44" t="s">
        <v>113</v>
      </c>
      <c r="BD381" s="44" t="s">
        <v>433</v>
      </c>
      <c r="BE381" s="44" t="s">
        <v>1026</v>
      </c>
      <c r="BF381" s="44">
        <v>0</v>
      </c>
      <c r="BG381" s="44">
        <v>0</v>
      </c>
      <c r="BH381" s="44">
        <v>1</v>
      </c>
      <c r="BI381" s="44" t="s">
        <v>312</v>
      </c>
      <c r="BJ381" s="44" t="s">
        <v>312</v>
      </c>
      <c r="BK381" s="44" t="s">
        <v>91</v>
      </c>
      <c r="BL381" s="44" t="s">
        <v>84</v>
      </c>
      <c r="BM381" s="44">
        <v>1</v>
      </c>
      <c r="BN381" s="44" t="s">
        <v>428</v>
      </c>
      <c r="BO381" s="44" t="s">
        <v>428</v>
      </c>
      <c r="BP381" s="44" t="s">
        <v>1001</v>
      </c>
      <c r="BQ381" s="44" t="s">
        <v>117</v>
      </c>
      <c r="BR381" s="44" t="s">
        <v>134</v>
      </c>
      <c r="BS381" s="44">
        <v>23</v>
      </c>
      <c r="BT381" s="44" t="s">
        <v>312</v>
      </c>
      <c r="BU381" s="65">
        <v>43405</v>
      </c>
      <c r="BV381" s="65">
        <v>43862</v>
      </c>
      <c r="BW381" s="44" t="s">
        <v>94</v>
      </c>
      <c r="BX381" s="44" t="s">
        <v>95</v>
      </c>
      <c r="BY381" s="44" t="s">
        <v>748</v>
      </c>
      <c r="BZ381" s="44">
        <v>1</v>
      </c>
      <c r="CA381" s="44">
        <v>1</v>
      </c>
      <c r="CB381" s="44" t="s">
        <v>1048</v>
      </c>
      <c r="CC381" s="44" t="s">
        <v>314</v>
      </c>
      <c r="CD381" s="44">
        <v>1</v>
      </c>
      <c r="CE381" s="44" t="s">
        <v>1002</v>
      </c>
      <c r="CF381" s="44">
        <v>1</v>
      </c>
      <c r="CG381" s="44" t="s">
        <v>598</v>
      </c>
      <c r="CI381" s="44" t="s">
        <v>1465</v>
      </c>
      <c r="CJ381" s="44" t="s">
        <v>98</v>
      </c>
      <c r="CK381" s="44">
        <v>36</v>
      </c>
      <c r="CL381" s="44">
        <v>0</v>
      </c>
      <c r="CM381" s="44">
        <v>0</v>
      </c>
      <c r="CN381" s="44" t="s">
        <v>124</v>
      </c>
      <c r="CO381" s="44" t="s">
        <v>97</v>
      </c>
      <c r="CP381" s="44" t="s">
        <v>100</v>
      </c>
      <c r="CQ381" s="44" t="s">
        <v>126</v>
      </c>
      <c r="CR381" s="45">
        <v>46225</v>
      </c>
      <c r="CT381" s="44" t="s">
        <v>1052</v>
      </c>
    </row>
    <row r="382" spans="1:98" s="44" customFormat="1" x14ac:dyDescent="0.35">
      <c r="A382" s="64" t="s">
        <v>995</v>
      </c>
      <c r="B382" s="64" t="s">
        <v>1037</v>
      </c>
      <c r="C382" s="44" t="s">
        <v>996</v>
      </c>
      <c r="D382" s="44">
        <v>2025</v>
      </c>
      <c r="E382" s="43" t="s">
        <v>997</v>
      </c>
      <c r="F382" s="43" t="s">
        <v>998</v>
      </c>
      <c r="G382" s="44" t="s">
        <v>78</v>
      </c>
      <c r="H382" s="44">
        <v>1</v>
      </c>
      <c r="I382" s="44" t="s">
        <v>686</v>
      </c>
      <c r="J382" s="44" t="s">
        <v>79</v>
      </c>
      <c r="K382" s="44">
        <v>2</v>
      </c>
      <c r="L382" s="44" t="s">
        <v>129</v>
      </c>
      <c r="M382" s="44" t="s">
        <v>380</v>
      </c>
      <c r="N382" s="44">
        <v>-3.5999999999999999E-3</v>
      </c>
      <c r="O382" s="44">
        <v>2.8E-3</v>
      </c>
      <c r="P382" s="91">
        <f t="shared" si="147"/>
        <v>-1.2857142857142856</v>
      </c>
      <c r="Q382" s="44" t="s">
        <v>312</v>
      </c>
      <c r="R382" s="91">
        <f t="shared" si="148"/>
        <v>-9.0879999999999989E-3</v>
      </c>
      <c r="S382" s="91">
        <f t="shared" si="149"/>
        <v>1.8879999999999999E-3</v>
      </c>
      <c r="T382" s="44">
        <v>1</v>
      </c>
      <c r="U382" s="44">
        <v>93971</v>
      </c>
      <c r="V382" s="44">
        <v>11</v>
      </c>
      <c r="W382" s="44">
        <v>1</v>
      </c>
      <c r="X382" s="44">
        <f t="shared" si="154"/>
        <v>93960</v>
      </c>
      <c r="Y382" s="91">
        <f t="shared" si="150"/>
        <v>-4.1943932430607341E-3</v>
      </c>
      <c r="Z382" s="91">
        <f t="shared" si="151"/>
        <v>3.2623058557139043E-3</v>
      </c>
      <c r="AA382" s="91">
        <f t="shared" si="152"/>
        <v>-4.1943932430607341E-3</v>
      </c>
      <c r="AB382" s="44" t="s">
        <v>81</v>
      </c>
      <c r="AC382" s="91" t="e">
        <f t="shared" si="144"/>
        <v>#DIV/0!</v>
      </c>
      <c r="AD382" s="91" t="e" cm="1">
        <f t="array" ref="AD382">_xlfn.IFS(
AND(L382="marginal_effect",M382="level"),N382*AN382/BF382,
AND(L382="marginal_effect",M382="sd (Y)"),N382*BH382*AN382/BF382,
AND(L382="marginal_effect",M382="sd (X)"),N382/AQ382*AN382/BF382,
AND(L382="semi_elasticity",M382="level"),N382*AN382,
AND(L382="semi_elasticity",M382="sd (Y)"),N382*AN382*BH382,
AND(L382="semi_elasticity",M382="sd (X)"),N382*AN382/AQ382,
AND(L382="level-log",M382="level"),N382/BF382,
AND(L382="level-log",M382="sd (X)"),N382/BF382/AQ382,
AND(L382="level-log",M382="sd (Y)"),N382/BF382*BH382,
AND(L382="elasticity",M382="level"),N382,
AND(L382="elasticity",M382="sd (X)"),N382/AQ382,
AND(L382="elasticity",M382="sd (Y)"),N382*BH382,
AND(L382="marginal_effect",M382="percent_of_mean"),N382*AN382/BF382/10)</f>
        <v>#DIV/0!</v>
      </c>
      <c r="AE382" s="50" t="e">
        <f t="shared" si="138"/>
        <v>#DIV/0!</v>
      </c>
      <c r="AF382" s="91" t="e">
        <f t="shared" si="145"/>
        <v>#DIV/0!</v>
      </c>
      <c r="AG382" s="91" t="e" cm="1">
        <f t="array" ref="AG382">_xlfn.IFS(
AND(L382="marginal_effect",M382="level"),O382*AN382/BF382,
AND(L382="marginal_effect",M382="sd (Y)"),O382*BH382*AN382/BF382,
AND(L382="marginal_effect",M382="sd (X)"),O382/AQ382*AN382/BF382,
AND(L382="semi_elasticity",M382="level"),O382*AN382,
AND(L382="semi_elasticity",M382="sd (Y)"),O382*AN382*BH382,
AND(L382="semi_elasticity",M382="sd (X)"),O382*AN382/AQ382,
AND(L382="level-log",M382="level"),O382/BF382,
AND(L382="level-log",M382="sd (X)"),O382/BF382/AQ382,
AND(L382="level-log",M382="sd (Y)"),O382/BF382*BH382,
AND(L382="elasticity",M382="level"),O382,
AND(L382="elasticity",M382="sd (X)"),O382/AQ382,
AND(L382="elasticity",M382="sd (Y)"),O382*BH382,
AND(L382="marginal_effect",M382="percent_of_mean"),O382*AN382/BF382/10)</f>
        <v>#DIV/0!</v>
      </c>
      <c r="AH382" s="50" t="e">
        <f t="shared" si="139"/>
        <v>#DIV/0!</v>
      </c>
      <c r="AI382" s="91" t="e">
        <f t="shared" si="146"/>
        <v>#DIV/0!</v>
      </c>
      <c r="AJ382" s="44">
        <v>0</v>
      </c>
      <c r="AK382" s="44" t="e">
        <f t="shared" si="153"/>
        <v>#DIV/0!</v>
      </c>
      <c r="AL382" s="44" t="s">
        <v>148</v>
      </c>
      <c r="AM382" s="44" t="s">
        <v>1333</v>
      </c>
      <c r="AN382" s="44">
        <v>51.55</v>
      </c>
      <c r="AO382" s="44">
        <v>0</v>
      </c>
      <c r="AP382" s="44">
        <f t="shared" si="142"/>
        <v>51.55</v>
      </c>
      <c r="AQ382" s="44">
        <v>30.87</v>
      </c>
      <c r="AR382" s="44">
        <v>2.12</v>
      </c>
      <c r="AS382" s="44">
        <v>175.4</v>
      </c>
      <c r="AT382" s="44" t="s">
        <v>83</v>
      </c>
      <c r="AU382" s="44" t="s">
        <v>109</v>
      </c>
      <c r="AV382" s="44" t="s">
        <v>133</v>
      </c>
      <c r="AW382" s="44" t="s">
        <v>85</v>
      </c>
      <c r="AX382" s="44" t="s">
        <v>86</v>
      </c>
      <c r="AY382" s="44">
        <v>0</v>
      </c>
      <c r="AZ382" s="44">
        <v>0</v>
      </c>
      <c r="BA382" s="44" t="s">
        <v>1025</v>
      </c>
      <c r="BB382" s="44" t="s">
        <v>88</v>
      </c>
      <c r="BC382" s="44" t="s">
        <v>113</v>
      </c>
      <c r="BD382" s="44" t="s">
        <v>433</v>
      </c>
      <c r="BE382" s="44" t="s">
        <v>1026</v>
      </c>
      <c r="BF382" s="44">
        <v>0</v>
      </c>
      <c r="BG382" s="44">
        <v>0</v>
      </c>
      <c r="BH382" s="44">
        <v>1</v>
      </c>
      <c r="BI382" s="44" t="s">
        <v>312</v>
      </c>
      <c r="BJ382" s="44" t="s">
        <v>312</v>
      </c>
      <c r="BK382" s="44" t="s">
        <v>91</v>
      </c>
      <c r="BL382" s="44" t="s">
        <v>84</v>
      </c>
      <c r="BM382" s="44">
        <v>1</v>
      </c>
      <c r="BN382" s="44" t="s">
        <v>428</v>
      </c>
      <c r="BO382" s="44" t="s">
        <v>428</v>
      </c>
      <c r="BP382" s="44" t="s">
        <v>1001</v>
      </c>
      <c r="BQ382" s="44" t="s">
        <v>117</v>
      </c>
      <c r="BR382" s="44" t="s">
        <v>134</v>
      </c>
      <c r="BS382" s="44">
        <v>23</v>
      </c>
      <c r="BT382" s="44" t="s">
        <v>312</v>
      </c>
      <c r="BU382" s="65">
        <v>43405</v>
      </c>
      <c r="BV382" s="65">
        <v>43862</v>
      </c>
      <c r="BW382" s="44" t="s">
        <v>94</v>
      </c>
      <c r="BX382" s="44" t="s">
        <v>95</v>
      </c>
      <c r="BY382" s="44" t="s">
        <v>748</v>
      </c>
      <c r="BZ382" s="44">
        <v>1</v>
      </c>
      <c r="CA382" s="44">
        <v>1</v>
      </c>
      <c r="CB382" s="44" t="s">
        <v>1048</v>
      </c>
      <c r="CC382" s="44" t="s">
        <v>314</v>
      </c>
      <c r="CD382" s="44">
        <v>1</v>
      </c>
      <c r="CE382" s="44" t="s">
        <v>1002</v>
      </c>
      <c r="CF382" s="44">
        <v>1</v>
      </c>
      <c r="CG382" s="44" t="s">
        <v>599</v>
      </c>
      <c r="CI382" s="44" t="s">
        <v>1465</v>
      </c>
      <c r="CJ382" s="44" t="s">
        <v>98</v>
      </c>
      <c r="CK382" s="44">
        <v>36</v>
      </c>
      <c r="CL382" s="44">
        <v>0</v>
      </c>
      <c r="CM382" s="44">
        <v>0</v>
      </c>
      <c r="CN382" s="44" t="s">
        <v>124</v>
      </c>
      <c r="CO382" s="44" t="s">
        <v>97</v>
      </c>
      <c r="CP382" s="44" t="s">
        <v>100</v>
      </c>
      <c r="CQ382" s="44" t="s">
        <v>126</v>
      </c>
      <c r="CR382" s="45">
        <v>46225</v>
      </c>
      <c r="CT382" s="44" t="s">
        <v>1052</v>
      </c>
    </row>
    <row r="383" spans="1:98" s="44" customFormat="1" x14ac:dyDescent="0.35">
      <c r="A383" s="64" t="s">
        <v>995</v>
      </c>
      <c r="B383" s="64" t="s">
        <v>1038</v>
      </c>
      <c r="C383" s="44" t="s">
        <v>996</v>
      </c>
      <c r="D383" s="44">
        <v>2025</v>
      </c>
      <c r="E383" s="43" t="s">
        <v>997</v>
      </c>
      <c r="F383" s="43" t="s">
        <v>998</v>
      </c>
      <c r="G383" s="44" t="s">
        <v>78</v>
      </c>
      <c r="H383" s="44">
        <v>1</v>
      </c>
      <c r="I383" s="44" t="s">
        <v>686</v>
      </c>
      <c r="J383" s="44" t="s">
        <v>79</v>
      </c>
      <c r="K383" s="44">
        <v>2</v>
      </c>
      <c r="L383" s="44" t="s">
        <v>129</v>
      </c>
      <c r="M383" s="44" t="s">
        <v>380</v>
      </c>
      <c r="N383" s="44">
        <v>-2.8999999999999998E-3</v>
      </c>
      <c r="O383" s="44">
        <v>8.0000000000000004E-4</v>
      </c>
      <c r="P383" s="91">
        <f t="shared" si="147"/>
        <v>-3.6249999999999996</v>
      </c>
      <c r="Q383" s="44" t="s">
        <v>312</v>
      </c>
      <c r="R383" s="91">
        <f t="shared" si="148"/>
        <v>-4.4679999999999997E-3</v>
      </c>
      <c r="S383" s="91">
        <f t="shared" si="149"/>
        <v>-1.3319999999999999E-3</v>
      </c>
      <c r="T383" s="44">
        <v>1</v>
      </c>
      <c r="U383" s="44">
        <v>93971</v>
      </c>
      <c r="V383" s="44">
        <v>11</v>
      </c>
      <c r="W383" s="44">
        <v>1</v>
      </c>
      <c r="X383" s="44">
        <f t="shared" si="154"/>
        <v>93960</v>
      </c>
      <c r="Y383" s="91">
        <f t="shared" si="150"/>
        <v>-1.1825135890323807E-2</v>
      </c>
      <c r="Z383" s="91">
        <f t="shared" si="151"/>
        <v>3.2621064525031195E-3</v>
      </c>
      <c r="AA383" s="91">
        <f t="shared" si="152"/>
        <v>-1.1825135890323807E-2</v>
      </c>
      <c r="AB383" s="44" t="s">
        <v>81</v>
      </c>
      <c r="AC383" s="91" t="e">
        <f t="shared" si="144"/>
        <v>#DIV/0!</v>
      </c>
      <c r="AD383" s="91" t="e" cm="1">
        <f t="array" ref="AD383">_xlfn.IFS(
AND(L383="marginal_effect",M383="level"),N383*AN383/BF383,
AND(L383="marginal_effect",M383="sd (Y)"),N383*BH383*AN383/BF383,
AND(L383="marginal_effect",M383="sd (X)"),N383/AQ383*AN383/BF383,
AND(L383="semi_elasticity",M383="level"),N383*AN383,
AND(L383="semi_elasticity",M383="sd (Y)"),N383*AN383*BH383,
AND(L383="semi_elasticity",M383="sd (X)"),N383*AN383/AQ383,
AND(L383="level-log",M383="level"),N383/BF383,
AND(L383="level-log",M383="sd (X)"),N383/BF383/AQ383,
AND(L383="level-log",M383="sd (Y)"),N383/BF383*BH383,
AND(L383="elasticity",M383="level"),N383,
AND(L383="elasticity",M383="sd (X)"),N383/AQ383,
AND(L383="elasticity",M383="sd (Y)"),N383*BH383,
AND(L383="marginal_effect",M383="percent_of_mean"),N383*AN383/BF383/10)</f>
        <v>#DIV/0!</v>
      </c>
      <c r="AE383" s="50" t="e">
        <f t="shared" si="138"/>
        <v>#DIV/0!</v>
      </c>
      <c r="AF383" s="91" t="e">
        <f t="shared" si="145"/>
        <v>#DIV/0!</v>
      </c>
      <c r="AG383" s="91" t="e" cm="1">
        <f t="array" ref="AG383">_xlfn.IFS(
AND(L383="marginal_effect",M383="level"),O383*AN383/BF383,
AND(L383="marginal_effect",M383="sd (Y)"),O383*BH383*AN383/BF383,
AND(L383="marginal_effect",M383="sd (X)"),O383/AQ383*AN383/BF383,
AND(L383="semi_elasticity",M383="level"),O383*AN383,
AND(L383="semi_elasticity",M383="sd (Y)"),O383*AN383*BH383,
AND(L383="semi_elasticity",M383="sd (X)"),O383*AN383/AQ383,
AND(L383="level-log",M383="level"),O383/BF383,
AND(L383="level-log",M383="sd (X)"),O383/BF383/AQ383,
AND(L383="level-log",M383="sd (Y)"),O383/BF383*BH383,
AND(L383="elasticity",M383="level"),O383,
AND(L383="elasticity",M383="sd (X)"),O383/AQ383,
AND(L383="elasticity",M383="sd (Y)"),O383*BH383,
AND(L383="marginal_effect",M383="percent_of_mean"),O383*AN383/BF383/10)</f>
        <v>#DIV/0!</v>
      </c>
      <c r="AH383" s="50" t="e">
        <f t="shared" si="139"/>
        <v>#DIV/0!</v>
      </c>
      <c r="AI383" s="91" t="e">
        <f t="shared" si="146"/>
        <v>#DIV/0!</v>
      </c>
      <c r="AJ383" s="44">
        <v>0</v>
      </c>
      <c r="AK383" s="44" t="e">
        <f t="shared" si="153"/>
        <v>#DIV/0!</v>
      </c>
      <c r="AL383" s="44" t="s">
        <v>82</v>
      </c>
      <c r="AM383" s="44" t="s">
        <v>1333</v>
      </c>
      <c r="AN383" s="44">
        <v>66.52</v>
      </c>
      <c r="AO383" s="44">
        <v>0</v>
      </c>
      <c r="AP383" s="44">
        <f t="shared" si="142"/>
        <v>66.52</v>
      </c>
      <c r="AQ383" s="44">
        <v>68.47</v>
      </c>
      <c r="AR383" s="44">
        <v>5.04</v>
      </c>
      <c r="AS383" s="44">
        <v>474.66</v>
      </c>
      <c r="AT383" s="44" t="s">
        <v>83</v>
      </c>
      <c r="AU383" s="44" t="s">
        <v>109</v>
      </c>
      <c r="AV383" s="44" t="s">
        <v>133</v>
      </c>
      <c r="AW383" s="44" t="s">
        <v>85</v>
      </c>
      <c r="AX383" s="44" t="s">
        <v>86</v>
      </c>
      <c r="AY383" s="44">
        <v>0</v>
      </c>
      <c r="AZ383" s="44">
        <v>0</v>
      </c>
      <c r="BA383" s="44" t="s">
        <v>1025</v>
      </c>
      <c r="BB383" s="44" t="s">
        <v>88</v>
      </c>
      <c r="BC383" s="44" t="s">
        <v>113</v>
      </c>
      <c r="BD383" s="44" t="s">
        <v>433</v>
      </c>
      <c r="BE383" s="44" t="s">
        <v>1026</v>
      </c>
      <c r="BF383" s="44">
        <v>0</v>
      </c>
      <c r="BG383" s="44">
        <v>0</v>
      </c>
      <c r="BH383" s="44">
        <v>1</v>
      </c>
      <c r="BI383" s="44" t="s">
        <v>312</v>
      </c>
      <c r="BJ383" s="44" t="s">
        <v>312</v>
      </c>
      <c r="BK383" s="44" t="s">
        <v>91</v>
      </c>
      <c r="BL383" s="44" t="s">
        <v>84</v>
      </c>
      <c r="BM383" s="44">
        <v>1</v>
      </c>
      <c r="BN383" s="44" t="s">
        <v>428</v>
      </c>
      <c r="BO383" s="44" t="s">
        <v>428</v>
      </c>
      <c r="BP383" s="44" t="s">
        <v>1001</v>
      </c>
      <c r="BQ383" s="44" t="s">
        <v>117</v>
      </c>
      <c r="BR383" s="44" t="s">
        <v>134</v>
      </c>
      <c r="BS383" s="44">
        <v>23</v>
      </c>
      <c r="BT383" s="44" t="s">
        <v>312</v>
      </c>
      <c r="BU383" s="65">
        <v>43405</v>
      </c>
      <c r="BV383" s="65">
        <v>43862</v>
      </c>
      <c r="BW383" s="44" t="s">
        <v>94</v>
      </c>
      <c r="BX383" s="44" t="s">
        <v>95</v>
      </c>
      <c r="BY383" s="44" t="s">
        <v>748</v>
      </c>
      <c r="BZ383" s="44">
        <v>1</v>
      </c>
      <c r="CA383" s="44">
        <v>1</v>
      </c>
      <c r="CB383" s="44" t="s">
        <v>1049</v>
      </c>
      <c r="CC383" s="44" t="s">
        <v>314</v>
      </c>
      <c r="CD383" s="44">
        <v>1</v>
      </c>
      <c r="CE383" s="44" t="s">
        <v>1002</v>
      </c>
      <c r="CF383" s="44">
        <v>1</v>
      </c>
      <c r="CG383" s="44" t="s">
        <v>597</v>
      </c>
      <c r="CI383" s="44" t="s">
        <v>1465</v>
      </c>
      <c r="CJ383" s="44" t="s">
        <v>98</v>
      </c>
      <c r="CK383" s="44">
        <v>36</v>
      </c>
      <c r="CL383" s="44">
        <v>0</v>
      </c>
      <c r="CM383" s="44">
        <v>0</v>
      </c>
      <c r="CN383" s="44" t="s">
        <v>124</v>
      </c>
      <c r="CO383" s="44" t="s">
        <v>97</v>
      </c>
      <c r="CP383" s="44" t="s">
        <v>100</v>
      </c>
      <c r="CQ383" s="44" t="s">
        <v>126</v>
      </c>
      <c r="CR383" s="45">
        <v>46225</v>
      </c>
      <c r="CT383" s="44" t="s">
        <v>1053</v>
      </c>
    </row>
    <row r="384" spans="1:98" s="44" customFormat="1" x14ac:dyDescent="0.35">
      <c r="A384" s="64" t="s">
        <v>995</v>
      </c>
      <c r="B384" s="64" t="s">
        <v>1039</v>
      </c>
      <c r="C384" s="44" t="s">
        <v>996</v>
      </c>
      <c r="D384" s="44">
        <v>2025</v>
      </c>
      <c r="E384" s="43" t="s">
        <v>997</v>
      </c>
      <c r="F384" s="43" t="s">
        <v>998</v>
      </c>
      <c r="G384" s="44" t="s">
        <v>78</v>
      </c>
      <c r="H384" s="44">
        <v>1</v>
      </c>
      <c r="I384" s="44" t="s">
        <v>686</v>
      </c>
      <c r="J384" s="44" t="s">
        <v>79</v>
      </c>
      <c r="K384" s="44">
        <v>2</v>
      </c>
      <c r="L384" s="44" t="s">
        <v>129</v>
      </c>
      <c r="M384" s="44" t="s">
        <v>380</v>
      </c>
      <c r="N384" s="44">
        <v>-0.55159999999999998</v>
      </c>
      <c r="O384" s="44">
        <v>0.16889999999999999</v>
      </c>
      <c r="P384" s="91">
        <f t="shared" si="147"/>
        <v>-3.2658377738306692</v>
      </c>
      <c r="Q384" s="44" t="s">
        <v>312</v>
      </c>
      <c r="R384" s="91">
        <f t="shared" si="148"/>
        <v>-0.88264399999999998</v>
      </c>
      <c r="S384" s="91">
        <f t="shared" si="149"/>
        <v>-0.22055599999999997</v>
      </c>
      <c r="T384" s="44">
        <v>1</v>
      </c>
      <c r="U384" s="44">
        <v>93971</v>
      </c>
      <c r="V384" s="44">
        <v>11</v>
      </c>
      <c r="W384" s="44">
        <v>1</v>
      </c>
      <c r="X384" s="44">
        <f t="shared" si="154"/>
        <v>93960</v>
      </c>
      <c r="Y384" s="91">
        <f t="shared" si="150"/>
        <v>-1.0653650765986235E-2</v>
      </c>
      <c r="Z384" s="91">
        <f t="shared" si="151"/>
        <v>3.2621494096719997E-3</v>
      </c>
      <c r="AA384" s="91">
        <f t="shared" si="152"/>
        <v>-1.0653650765986235E-2</v>
      </c>
      <c r="AB384" s="44" t="s">
        <v>81</v>
      </c>
      <c r="AC384" s="91" t="e">
        <f t="shared" si="144"/>
        <v>#DIV/0!</v>
      </c>
      <c r="AD384" s="91" t="e" cm="1">
        <f t="array" ref="AD384">_xlfn.IFS(
AND(L384="marginal_effect",M384="level"),N384*AN384/BF384,
AND(L384="marginal_effect",M384="sd (Y)"),N384*BH384*AN384/BF384,
AND(L384="marginal_effect",M384="sd (X)"),N384/AQ384*AN384/BF384,
AND(L384="semi_elasticity",M384="level"),N384*AN384,
AND(L384="semi_elasticity",M384="sd (Y)"),N384*AN384*BH384,
AND(L384="semi_elasticity",M384="sd (X)"),N384*AN384/AQ384,
AND(L384="level-log",M384="level"),N384/BF384,
AND(L384="level-log",M384="sd (X)"),N384/BF384/AQ384,
AND(L384="level-log",M384="sd (Y)"),N384/BF384*BH384,
AND(L384="elasticity",M384="level"),N384,
AND(L384="elasticity",M384="sd (X)"),N384/AQ384,
AND(L384="elasticity",M384="sd (Y)"),N384*BH384,
AND(L384="marginal_effect",M384="percent_of_mean"),N384*AN384/BF384/10)</f>
        <v>#DIV/0!</v>
      </c>
      <c r="AE384" s="50" t="e">
        <f t="shared" si="138"/>
        <v>#DIV/0!</v>
      </c>
      <c r="AF384" s="91" t="e">
        <f t="shared" si="145"/>
        <v>#DIV/0!</v>
      </c>
      <c r="AG384" s="91" t="e" cm="1">
        <f t="array" ref="AG384">_xlfn.IFS(
AND(L384="marginal_effect",M384="level"),O384*AN384/BF384,
AND(L384="marginal_effect",M384="sd (Y)"),O384*BH384*AN384/BF384,
AND(L384="marginal_effect",M384="sd (X)"),O384/AQ384*AN384/BF384,
AND(L384="semi_elasticity",M384="level"),O384*AN384,
AND(L384="semi_elasticity",M384="sd (Y)"),O384*AN384*BH384,
AND(L384="semi_elasticity",M384="sd (X)"),O384*AN384/AQ384,
AND(L384="level-log",M384="level"),O384/BF384,
AND(L384="level-log",M384="sd (X)"),O384/BF384/AQ384,
AND(L384="level-log",M384="sd (Y)"),O384/BF384*BH384,
AND(L384="elasticity",M384="level"),O384,
AND(L384="elasticity",M384="sd (X)"),O384/AQ384,
AND(L384="elasticity",M384="sd (Y)"),O384*BH384,
AND(L384="marginal_effect",M384="percent_of_mean"),O384*AN384/BF384/10)</f>
        <v>#DIV/0!</v>
      </c>
      <c r="AH384" s="50" t="e">
        <f t="shared" si="139"/>
        <v>#DIV/0!</v>
      </c>
      <c r="AI384" s="91" t="e">
        <f t="shared" si="146"/>
        <v>#DIV/0!</v>
      </c>
      <c r="AJ384" s="44">
        <v>0</v>
      </c>
      <c r="AK384" s="44" t="e">
        <f t="shared" si="153"/>
        <v>#DIV/0!</v>
      </c>
      <c r="AL384" s="44" t="s">
        <v>162</v>
      </c>
      <c r="AM384" s="44" t="s">
        <v>999</v>
      </c>
      <c r="AN384" s="44">
        <v>1.05</v>
      </c>
      <c r="AO384" s="44">
        <v>0</v>
      </c>
      <c r="AP384" s="44">
        <f t="shared" si="142"/>
        <v>1.05</v>
      </c>
      <c r="AQ384" s="44">
        <v>0.6</v>
      </c>
      <c r="AR384" s="44">
        <v>0.1</v>
      </c>
      <c r="AS384" s="44">
        <v>4.45</v>
      </c>
      <c r="AT384" s="44" t="s">
        <v>83</v>
      </c>
      <c r="AU384" s="44" t="s">
        <v>109</v>
      </c>
      <c r="AV384" s="44" t="s">
        <v>133</v>
      </c>
      <c r="AW384" s="44" t="s">
        <v>85</v>
      </c>
      <c r="AX384" s="44" t="s">
        <v>86</v>
      </c>
      <c r="AY384" s="44">
        <v>0</v>
      </c>
      <c r="AZ384" s="44">
        <v>0</v>
      </c>
      <c r="BA384" s="44" t="s">
        <v>1025</v>
      </c>
      <c r="BB384" s="44" t="s">
        <v>88</v>
      </c>
      <c r="BC384" s="44" t="s">
        <v>113</v>
      </c>
      <c r="BD384" s="44" t="s">
        <v>433</v>
      </c>
      <c r="BE384" s="44" t="s">
        <v>1026</v>
      </c>
      <c r="BF384" s="44">
        <v>0</v>
      </c>
      <c r="BG384" s="44">
        <v>0</v>
      </c>
      <c r="BH384" s="44">
        <v>1</v>
      </c>
      <c r="BI384" s="44" t="s">
        <v>312</v>
      </c>
      <c r="BJ384" s="44" t="s">
        <v>312</v>
      </c>
      <c r="BK384" s="44" t="s">
        <v>91</v>
      </c>
      <c r="BL384" s="44" t="s">
        <v>84</v>
      </c>
      <c r="BM384" s="44">
        <v>1</v>
      </c>
      <c r="BN384" s="44" t="s">
        <v>428</v>
      </c>
      <c r="BO384" s="44" t="s">
        <v>428</v>
      </c>
      <c r="BP384" s="44" t="s">
        <v>1001</v>
      </c>
      <c r="BQ384" s="44" t="s">
        <v>117</v>
      </c>
      <c r="BR384" s="44" t="s">
        <v>134</v>
      </c>
      <c r="BS384" s="44">
        <v>23</v>
      </c>
      <c r="BT384" s="44" t="s">
        <v>312</v>
      </c>
      <c r="BU384" s="65">
        <v>43405</v>
      </c>
      <c r="BV384" s="65">
        <v>43862</v>
      </c>
      <c r="BW384" s="44" t="s">
        <v>94</v>
      </c>
      <c r="BX384" s="44" t="s">
        <v>95</v>
      </c>
      <c r="BY384" s="44" t="s">
        <v>748</v>
      </c>
      <c r="BZ384" s="44">
        <v>1</v>
      </c>
      <c r="CA384" s="44">
        <v>1</v>
      </c>
      <c r="CB384" s="44" t="s">
        <v>1049</v>
      </c>
      <c r="CC384" s="44" t="s">
        <v>314</v>
      </c>
      <c r="CD384" s="44">
        <v>1</v>
      </c>
      <c r="CE384" s="44" t="s">
        <v>1002</v>
      </c>
      <c r="CF384" s="44">
        <v>1</v>
      </c>
      <c r="CG384" s="44" t="s">
        <v>598</v>
      </c>
      <c r="CI384" s="44" t="s">
        <v>1465</v>
      </c>
      <c r="CJ384" s="44" t="s">
        <v>98</v>
      </c>
      <c r="CK384" s="44">
        <v>36</v>
      </c>
      <c r="CL384" s="44">
        <v>0</v>
      </c>
      <c r="CM384" s="44">
        <v>0</v>
      </c>
      <c r="CN384" s="44" t="s">
        <v>124</v>
      </c>
      <c r="CO384" s="44" t="s">
        <v>97</v>
      </c>
      <c r="CP384" s="44" t="s">
        <v>100</v>
      </c>
      <c r="CQ384" s="44" t="s">
        <v>126</v>
      </c>
      <c r="CR384" s="45">
        <v>46225</v>
      </c>
      <c r="CT384" s="44" t="s">
        <v>1053</v>
      </c>
    </row>
    <row r="385" spans="1:98" s="44" customFormat="1" x14ac:dyDescent="0.35">
      <c r="A385" s="64" t="s">
        <v>995</v>
      </c>
      <c r="B385" s="64" t="s">
        <v>1040</v>
      </c>
      <c r="C385" s="44" t="s">
        <v>996</v>
      </c>
      <c r="D385" s="44">
        <v>2025</v>
      </c>
      <c r="E385" s="43" t="s">
        <v>997</v>
      </c>
      <c r="F385" s="43" t="s">
        <v>998</v>
      </c>
      <c r="G385" s="44" t="s">
        <v>78</v>
      </c>
      <c r="H385" s="44">
        <v>1</v>
      </c>
      <c r="I385" s="44" t="s">
        <v>686</v>
      </c>
      <c r="J385" s="44" t="s">
        <v>79</v>
      </c>
      <c r="K385" s="44">
        <v>2</v>
      </c>
      <c r="L385" s="44" t="s">
        <v>129</v>
      </c>
      <c r="M385" s="44" t="s">
        <v>380</v>
      </c>
      <c r="N385" s="44">
        <v>-7.6E-3</v>
      </c>
      <c r="O385" s="44">
        <v>2.3E-3</v>
      </c>
      <c r="P385" s="91">
        <f t="shared" si="147"/>
        <v>-3.3043478260869565</v>
      </c>
      <c r="Q385" s="44" t="s">
        <v>312</v>
      </c>
      <c r="R385" s="91">
        <f t="shared" si="148"/>
        <v>-1.2108000000000001E-2</v>
      </c>
      <c r="S385" s="91">
        <f t="shared" si="149"/>
        <v>-3.0920000000000001E-3</v>
      </c>
      <c r="T385" s="44">
        <v>1</v>
      </c>
      <c r="U385" s="44">
        <v>93971</v>
      </c>
      <c r="V385" s="44">
        <v>11</v>
      </c>
      <c r="W385" s="44">
        <v>1</v>
      </c>
      <c r="X385" s="44">
        <f t="shared" si="154"/>
        <v>93960</v>
      </c>
      <c r="Y385" s="91">
        <f t="shared" si="150"/>
        <v>-1.0779261798524439E-2</v>
      </c>
      <c r="Z385" s="91">
        <f t="shared" si="151"/>
        <v>3.2621450179745009E-3</v>
      </c>
      <c r="AA385" s="91">
        <f t="shared" si="152"/>
        <v>-1.0779261798524439E-2</v>
      </c>
      <c r="AB385" s="44" t="s">
        <v>81</v>
      </c>
      <c r="AC385" s="91" t="e">
        <f t="shared" si="144"/>
        <v>#DIV/0!</v>
      </c>
      <c r="AD385" s="91" t="e" cm="1">
        <f t="array" ref="AD385">_xlfn.IFS(
AND(L385="marginal_effect",M385="level"),N385*AN385/BF385,
AND(L385="marginal_effect",M385="sd (Y)"),N385*BH385*AN385/BF385,
AND(L385="marginal_effect",M385="sd (X)"),N385/AQ385*AN385/BF385,
AND(L385="semi_elasticity",M385="level"),N385*AN385,
AND(L385="semi_elasticity",M385="sd (Y)"),N385*AN385*BH385,
AND(L385="semi_elasticity",M385="sd (X)"),N385*AN385/AQ385,
AND(L385="level-log",M385="level"),N385/BF385,
AND(L385="level-log",M385="sd (X)"),N385/BF385/AQ385,
AND(L385="level-log",M385="sd (Y)"),N385/BF385*BH385,
AND(L385="elasticity",M385="level"),N385,
AND(L385="elasticity",M385="sd (X)"),N385/AQ385,
AND(L385="elasticity",M385="sd (Y)"),N385*BH385,
AND(L385="marginal_effect",M385="percent_of_mean"),N385*AN385/BF385/10)</f>
        <v>#DIV/0!</v>
      </c>
      <c r="AE385" s="50" t="e">
        <f t="shared" si="138"/>
        <v>#DIV/0!</v>
      </c>
      <c r="AF385" s="91" t="e">
        <f t="shared" si="145"/>
        <v>#DIV/0!</v>
      </c>
      <c r="AG385" s="91" t="e" cm="1">
        <f t="array" ref="AG385">_xlfn.IFS(
AND(L385="marginal_effect",M385="level"),O385*AN385/BF385,
AND(L385="marginal_effect",M385="sd (Y)"),O385*BH385*AN385/BF385,
AND(L385="marginal_effect",M385="sd (X)"),O385/AQ385*AN385/BF385,
AND(L385="semi_elasticity",M385="level"),O385*AN385,
AND(L385="semi_elasticity",M385="sd (Y)"),O385*AN385*BH385,
AND(L385="semi_elasticity",M385="sd (X)"),O385*AN385/AQ385,
AND(L385="level-log",M385="level"),O385/BF385,
AND(L385="level-log",M385="sd (X)"),O385/BF385/AQ385,
AND(L385="level-log",M385="sd (Y)"),O385/BF385*BH385,
AND(L385="elasticity",M385="level"),O385,
AND(L385="elasticity",M385="sd (X)"),O385/AQ385,
AND(L385="elasticity",M385="sd (Y)"),O385*BH385,
AND(L385="marginal_effect",M385="percent_of_mean"),O385*AN385/BF385/10)</f>
        <v>#DIV/0!</v>
      </c>
      <c r="AH385" s="50" t="e">
        <f t="shared" si="139"/>
        <v>#DIV/0!</v>
      </c>
      <c r="AI385" s="91" t="e">
        <f t="shared" si="146"/>
        <v>#DIV/0!</v>
      </c>
      <c r="AJ385" s="44">
        <v>0</v>
      </c>
      <c r="AK385" s="44" t="e">
        <f t="shared" si="153"/>
        <v>#DIV/0!</v>
      </c>
      <c r="AL385" s="44" t="s">
        <v>148</v>
      </c>
      <c r="AM385" s="44" t="s">
        <v>1333</v>
      </c>
      <c r="AN385" s="44">
        <v>51.55</v>
      </c>
      <c r="AO385" s="44">
        <v>0</v>
      </c>
      <c r="AP385" s="44">
        <f t="shared" si="142"/>
        <v>51.55</v>
      </c>
      <c r="AQ385" s="44">
        <v>30.87</v>
      </c>
      <c r="AR385" s="44">
        <v>2.12</v>
      </c>
      <c r="AS385" s="44">
        <v>175.4</v>
      </c>
      <c r="AT385" s="44" t="s">
        <v>83</v>
      </c>
      <c r="AU385" s="44" t="s">
        <v>109</v>
      </c>
      <c r="AV385" s="44" t="s">
        <v>133</v>
      </c>
      <c r="AW385" s="44" t="s">
        <v>85</v>
      </c>
      <c r="AX385" s="44" t="s">
        <v>86</v>
      </c>
      <c r="AY385" s="44">
        <v>0</v>
      </c>
      <c r="AZ385" s="44">
        <v>0</v>
      </c>
      <c r="BA385" s="44" t="s">
        <v>1025</v>
      </c>
      <c r="BB385" s="44" t="s">
        <v>88</v>
      </c>
      <c r="BC385" s="44" t="s">
        <v>113</v>
      </c>
      <c r="BD385" s="44" t="s">
        <v>433</v>
      </c>
      <c r="BE385" s="44" t="s">
        <v>1026</v>
      </c>
      <c r="BF385" s="44">
        <v>0</v>
      </c>
      <c r="BG385" s="44">
        <v>0</v>
      </c>
      <c r="BH385" s="44">
        <v>1</v>
      </c>
      <c r="BI385" s="44" t="s">
        <v>312</v>
      </c>
      <c r="BJ385" s="44" t="s">
        <v>312</v>
      </c>
      <c r="BK385" s="44" t="s">
        <v>91</v>
      </c>
      <c r="BL385" s="44" t="s">
        <v>84</v>
      </c>
      <c r="BM385" s="44">
        <v>1</v>
      </c>
      <c r="BN385" s="44" t="s">
        <v>428</v>
      </c>
      <c r="BO385" s="44" t="s">
        <v>428</v>
      </c>
      <c r="BP385" s="44" t="s">
        <v>1001</v>
      </c>
      <c r="BQ385" s="44" t="s">
        <v>117</v>
      </c>
      <c r="BR385" s="44" t="s">
        <v>134</v>
      </c>
      <c r="BS385" s="44">
        <v>23</v>
      </c>
      <c r="BT385" s="44" t="s">
        <v>312</v>
      </c>
      <c r="BU385" s="65">
        <v>43405</v>
      </c>
      <c r="BV385" s="65">
        <v>43862</v>
      </c>
      <c r="BW385" s="44" t="s">
        <v>94</v>
      </c>
      <c r="BX385" s="44" t="s">
        <v>95</v>
      </c>
      <c r="BY385" s="44" t="s">
        <v>748</v>
      </c>
      <c r="BZ385" s="44">
        <v>1</v>
      </c>
      <c r="CA385" s="44">
        <v>1</v>
      </c>
      <c r="CB385" s="44" t="s">
        <v>1049</v>
      </c>
      <c r="CC385" s="44" t="s">
        <v>314</v>
      </c>
      <c r="CD385" s="44">
        <v>1</v>
      </c>
      <c r="CE385" s="44" t="s">
        <v>1002</v>
      </c>
      <c r="CF385" s="44">
        <v>1</v>
      </c>
      <c r="CG385" s="44" t="s">
        <v>599</v>
      </c>
      <c r="CI385" s="44" t="s">
        <v>1465</v>
      </c>
      <c r="CJ385" s="44" t="s">
        <v>98</v>
      </c>
      <c r="CK385" s="44">
        <v>36</v>
      </c>
      <c r="CL385" s="44">
        <v>0</v>
      </c>
      <c r="CM385" s="44">
        <v>0</v>
      </c>
      <c r="CN385" s="44" t="s">
        <v>124</v>
      </c>
      <c r="CO385" s="44" t="s">
        <v>97</v>
      </c>
      <c r="CP385" s="44" t="s">
        <v>100</v>
      </c>
      <c r="CQ385" s="44" t="s">
        <v>126</v>
      </c>
      <c r="CR385" s="45">
        <v>46225</v>
      </c>
      <c r="CT385" s="44" t="s">
        <v>1053</v>
      </c>
    </row>
    <row r="386" spans="1:98" s="44" customFormat="1" x14ac:dyDescent="0.35">
      <c r="A386" s="64" t="s">
        <v>995</v>
      </c>
      <c r="B386" s="64" t="s">
        <v>1041</v>
      </c>
      <c r="C386" s="44" t="s">
        <v>996</v>
      </c>
      <c r="D386" s="44">
        <v>2025</v>
      </c>
      <c r="E386" s="43" t="s">
        <v>997</v>
      </c>
      <c r="F386" s="43" t="s">
        <v>998</v>
      </c>
      <c r="G386" s="44" t="s">
        <v>78</v>
      </c>
      <c r="H386" s="44">
        <v>1</v>
      </c>
      <c r="I386" s="44" t="s">
        <v>686</v>
      </c>
      <c r="J386" s="44" t="s">
        <v>79</v>
      </c>
      <c r="K386" s="44">
        <v>2</v>
      </c>
      <c r="L386" s="44" t="s">
        <v>129</v>
      </c>
      <c r="M386" s="44" t="s">
        <v>380</v>
      </c>
      <c r="N386" s="44">
        <v>-3.3E-3</v>
      </c>
      <c r="O386" s="44">
        <v>8.0000000000000004E-4</v>
      </c>
      <c r="P386" s="91">
        <f t="shared" si="147"/>
        <v>-4.125</v>
      </c>
      <c r="Q386" s="44" t="s">
        <v>312</v>
      </c>
      <c r="R386" s="91">
        <f t="shared" si="148"/>
        <v>-4.8679999999999999E-3</v>
      </c>
      <c r="S386" s="91">
        <f t="shared" si="149"/>
        <v>-1.732E-3</v>
      </c>
      <c r="T386" s="44">
        <v>1</v>
      </c>
      <c r="U386" s="44">
        <v>93971</v>
      </c>
      <c r="V386" s="44">
        <v>11</v>
      </c>
      <c r="W386" s="44">
        <v>1</v>
      </c>
      <c r="X386" s="44">
        <f t="shared" si="154"/>
        <v>93960</v>
      </c>
      <c r="Y386" s="91">
        <f t="shared" si="150"/>
        <v>-1.3455911690919756E-2</v>
      </c>
      <c r="Z386" s="91">
        <f t="shared" si="151"/>
        <v>3.2620391977987288E-3</v>
      </c>
      <c r="AA386" s="91">
        <f t="shared" si="152"/>
        <v>-1.3455911690919756E-2</v>
      </c>
      <c r="AB386" s="44" t="s">
        <v>81</v>
      </c>
      <c r="AC386" s="91" t="e">
        <f t="shared" si="144"/>
        <v>#DIV/0!</v>
      </c>
      <c r="AD386" s="91" t="e" cm="1">
        <f t="array" ref="AD386">_xlfn.IFS(
AND(L386="marginal_effect",M386="level"),N386*AN386/BF386,
AND(L386="marginal_effect",M386="sd (Y)"),N386*BH386*AN386/BF386,
AND(L386="marginal_effect",M386="sd (X)"),N386/AQ386*AN386/BF386,
AND(L386="semi_elasticity",M386="level"),N386*AN386,
AND(L386="semi_elasticity",M386="sd (Y)"),N386*AN386*BH386,
AND(L386="semi_elasticity",M386="sd (X)"),N386*AN386/AQ386,
AND(L386="level-log",M386="level"),N386/BF386,
AND(L386="level-log",M386="sd (X)"),N386/BF386/AQ386,
AND(L386="level-log",M386="sd (Y)"),N386/BF386*BH386,
AND(L386="elasticity",M386="level"),N386,
AND(L386="elasticity",M386="sd (X)"),N386/AQ386,
AND(L386="elasticity",M386="sd (Y)"),N386*BH386,
AND(L386="marginal_effect",M386="percent_of_mean"),N386*AN386/BF386/10)</f>
        <v>#DIV/0!</v>
      </c>
      <c r="AE386" s="50" t="e">
        <f t="shared" si="138"/>
        <v>#DIV/0!</v>
      </c>
      <c r="AF386" s="91" t="e">
        <f t="shared" si="145"/>
        <v>#DIV/0!</v>
      </c>
      <c r="AG386" s="91" t="e" cm="1">
        <f t="array" ref="AG386">_xlfn.IFS(
AND(L386="marginal_effect",M386="level"),O386*AN386/BF386,
AND(L386="marginal_effect",M386="sd (Y)"),O386*BH386*AN386/BF386,
AND(L386="marginal_effect",M386="sd (X)"),O386/AQ386*AN386/BF386,
AND(L386="semi_elasticity",M386="level"),O386*AN386,
AND(L386="semi_elasticity",M386="sd (Y)"),O386*AN386*BH386,
AND(L386="semi_elasticity",M386="sd (X)"),O386*AN386/AQ386,
AND(L386="level-log",M386="level"),O386/BF386,
AND(L386="level-log",M386="sd (X)"),O386/BF386/AQ386,
AND(L386="level-log",M386="sd (Y)"),O386/BF386*BH386,
AND(L386="elasticity",M386="level"),O386,
AND(L386="elasticity",M386="sd (X)"),O386/AQ386,
AND(L386="elasticity",M386="sd (Y)"),O386*BH386,
AND(L386="marginal_effect",M386="percent_of_mean"),O386*AN386/BF386/10)</f>
        <v>#DIV/0!</v>
      </c>
      <c r="AH386" s="50" t="e">
        <f t="shared" si="139"/>
        <v>#DIV/0!</v>
      </c>
      <c r="AI386" s="91" t="e">
        <f t="shared" si="146"/>
        <v>#DIV/0!</v>
      </c>
      <c r="AJ386" s="44">
        <v>0</v>
      </c>
      <c r="AK386" s="44" t="e">
        <f t="shared" si="153"/>
        <v>#DIV/0!</v>
      </c>
      <c r="AL386" s="44" t="s">
        <v>82</v>
      </c>
      <c r="AM386" s="44" t="s">
        <v>1333</v>
      </c>
      <c r="AN386" s="44">
        <v>66.52</v>
      </c>
      <c r="AO386" s="44">
        <v>0</v>
      </c>
      <c r="AP386" s="44">
        <f t="shared" si="142"/>
        <v>66.52</v>
      </c>
      <c r="AQ386" s="44">
        <v>68.47</v>
      </c>
      <c r="AR386" s="44">
        <v>5.04</v>
      </c>
      <c r="AS386" s="44">
        <v>474.66</v>
      </c>
      <c r="AT386" s="44" t="s">
        <v>83</v>
      </c>
      <c r="AU386" s="44" t="s">
        <v>109</v>
      </c>
      <c r="AV386" s="44" t="s">
        <v>133</v>
      </c>
      <c r="AW386" s="44" t="s">
        <v>85</v>
      </c>
      <c r="AX386" s="44" t="s">
        <v>86</v>
      </c>
      <c r="AY386" s="44">
        <v>0</v>
      </c>
      <c r="AZ386" s="44">
        <v>0</v>
      </c>
      <c r="BA386" s="44" t="s">
        <v>1025</v>
      </c>
      <c r="BB386" s="44" t="s">
        <v>88</v>
      </c>
      <c r="BC386" s="44" t="s">
        <v>113</v>
      </c>
      <c r="BD386" s="44" t="s">
        <v>433</v>
      </c>
      <c r="BE386" s="44" t="s">
        <v>1026</v>
      </c>
      <c r="BF386" s="44">
        <v>0</v>
      </c>
      <c r="BG386" s="44">
        <v>0</v>
      </c>
      <c r="BH386" s="44">
        <v>1</v>
      </c>
      <c r="BI386" s="44" t="s">
        <v>312</v>
      </c>
      <c r="BJ386" s="44" t="s">
        <v>312</v>
      </c>
      <c r="BK386" s="44" t="s">
        <v>91</v>
      </c>
      <c r="BL386" s="44" t="s">
        <v>84</v>
      </c>
      <c r="BM386" s="44">
        <v>1</v>
      </c>
      <c r="BN386" s="44" t="s">
        <v>428</v>
      </c>
      <c r="BO386" s="44" t="s">
        <v>428</v>
      </c>
      <c r="BP386" s="44" t="s">
        <v>1001</v>
      </c>
      <c r="BQ386" s="44" t="s">
        <v>117</v>
      </c>
      <c r="BR386" s="44" t="s">
        <v>134</v>
      </c>
      <c r="BS386" s="44">
        <v>23</v>
      </c>
      <c r="BT386" s="44" t="s">
        <v>312</v>
      </c>
      <c r="BU386" s="65">
        <v>43405</v>
      </c>
      <c r="BV386" s="65">
        <v>43862</v>
      </c>
      <c r="BW386" s="44" t="s">
        <v>94</v>
      </c>
      <c r="BX386" s="44" t="s">
        <v>95</v>
      </c>
      <c r="BY386" s="44" t="s">
        <v>748</v>
      </c>
      <c r="BZ386" s="44">
        <v>1</v>
      </c>
      <c r="CA386" s="44">
        <v>1</v>
      </c>
      <c r="CB386" s="44" t="s">
        <v>1051</v>
      </c>
      <c r="CC386" s="44" t="s">
        <v>314</v>
      </c>
      <c r="CD386" s="44">
        <v>1</v>
      </c>
      <c r="CE386" s="44" t="s">
        <v>1002</v>
      </c>
      <c r="CF386" s="44">
        <v>1</v>
      </c>
      <c r="CG386" s="44" t="s">
        <v>597</v>
      </c>
      <c r="CI386" s="44" t="s">
        <v>1465</v>
      </c>
      <c r="CJ386" s="44" t="s">
        <v>98</v>
      </c>
      <c r="CK386" s="44">
        <v>36</v>
      </c>
      <c r="CL386" s="44">
        <v>0</v>
      </c>
      <c r="CM386" s="44">
        <v>0</v>
      </c>
      <c r="CN386" s="44" t="s">
        <v>124</v>
      </c>
      <c r="CO386" s="44" t="s">
        <v>97</v>
      </c>
      <c r="CP386" s="44" t="s">
        <v>100</v>
      </c>
      <c r="CQ386" s="44" t="s">
        <v>126</v>
      </c>
      <c r="CR386" s="45">
        <v>46225</v>
      </c>
      <c r="CT386" s="44" t="s">
        <v>1054</v>
      </c>
    </row>
    <row r="387" spans="1:98" s="44" customFormat="1" x14ac:dyDescent="0.35">
      <c r="A387" s="64" t="s">
        <v>995</v>
      </c>
      <c r="B387" s="64" t="s">
        <v>1042</v>
      </c>
      <c r="C387" s="44" t="s">
        <v>996</v>
      </c>
      <c r="D387" s="44">
        <v>2025</v>
      </c>
      <c r="E387" s="43" t="s">
        <v>997</v>
      </c>
      <c r="F387" s="43" t="s">
        <v>998</v>
      </c>
      <c r="G387" s="44" t="s">
        <v>78</v>
      </c>
      <c r="H387" s="44">
        <v>1</v>
      </c>
      <c r="I387" s="44" t="s">
        <v>686</v>
      </c>
      <c r="J387" s="44" t="s">
        <v>79</v>
      </c>
      <c r="K387" s="44">
        <v>2</v>
      </c>
      <c r="L387" s="44" t="s">
        <v>129</v>
      </c>
      <c r="M387" s="44" t="s">
        <v>380</v>
      </c>
      <c r="N387" s="44">
        <v>-0.50239999999999996</v>
      </c>
      <c r="O387" s="44">
        <v>0.13769999999999999</v>
      </c>
      <c r="P387" s="91">
        <f t="shared" si="147"/>
        <v>-3.6485112563543938</v>
      </c>
      <c r="Q387" s="44" t="s">
        <v>312</v>
      </c>
      <c r="R387" s="91">
        <f t="shared" si="148"/>
        <v>-0.77229199999999998</v>
      </c>
      <c r="S387" s="91">
        <f t="shared" si="149"/>
        <v>-0.23250799999999999</v>
      </c>
      <c r="T387" s="44">
        <v>1</v>
      </c>
      <c r="U387" s="44">
        <v>93971</v>
      </c>
      <c r="V387" s="44">
        <v>11</v>
      </c>
      <c r="W387" s="44">
        <v>1</v>
      </c>
      <c r="X387" s="44">
        <f t="shared" si="154"/>
        <v>93960</v>
      </c>
      <c r="Y387" s="91">
        <f t="shared" si="150"/>
        <v>-1.1901821282107443E-2</v>
      </c>
      <c r="Z387" s="91">
        <f t="shared" si="151"/>
        <v>3.2621034843674265E-3</v>
      </c>
      <c r="AA387" s="91">
        <f t="shared" si="152"/>
        <v>-1.1901821282107443E-2</v>
      </c>
      <c r="AB387" s="44" t="s">
        <v>81</v>
      </c>
      <c r="AC387" s="91" t="e">
        <f t="shared" si="144"/>
        <v>#DIV/0!</v>
      </c>
      <c r="AD387" s="91" t="e" cm="1">
        <f t="array" ref="AD387">_xlfn.IFS(
AND(L387="marginal_effect",M387="level"),N387*AN387/BF387,
AND(L387="marginal_effect",M387="sd (Y)"),N387*BH387*AN387/BF387,
AND(L387="marginal_effect",M387="sd (X)"),N387/AQ387*AN387/BF387,
AND(L387="semi_elasticity",M387="level"),N387*AN387,
AND(L387="semi_elasticity",M387="sd (Y)"),N387*AN387*BH387,
AND(L387="semi_elasticity",M387="sd (X)"),N387*AN387/AQ387,
AND(L387="level-log",M387="level"),N387/BF387,
AND(L387="level-log",M387="sd (X)"),N387/BF387/AQ387,
AND(L387="level-log",M387="sd (Y)"),N387/BF387*BH387,
AND(L387="elasticity",M387="level"),N387,
AND(L387="elasticity",M387="sd (X)"),N387/AQ387,
AND(L387="elasticity",M387="sd (Y)"),N387*BH387,
AND(L387="marginal_effect",M387="percent_of_mean"),N387*AN387/BF387/10)</f>
        <v>#DIV/0!</v>
      </c>
      <c r="AE387" s="50" t="e">
        <f t="shared" si="138"/>
        <v>#DIV/0!</v>
      </c>
      <c r="AF387" s="91" t="e">
        <f t="shared" si="145"/>
        <v>#DIV/0!</v>
      </c>
      <c r="AG387" s="91" t="e" cm="1">
        <f t="array" ref="AG387">_xlfn.IFS(
AND(L387="marginal_effect",M387="level"),O387*AN387/BF387,
AND(L387="marginal_effect",M387="sd (Y)"),O387*BH387*AN387/BF387,
AND(L387="marginal_effect",M387="sd (X)"),O387/AQ387*AN387/BF387,
AND(L387="semi_elasticity",M387="level"),O387*AN387,
AND(L387="semi_elasticity",M387="sd (Y)"),O387*AN387*BH387,
AND(L387="semi_elasticity",M387="sd (X)"),O387*AN387/AQ387,
AND(L387="level-log",M387="level"),O387/BF387,
AND(L387="level-log",M387="sd (X)"),O387/BF387/AQ387,
AND(L387="level-log",M387="sd (Y)"),O387/BF387*BH387,
AND(L387="elasticity",M387="level"),O387,
AND(L387="elasticity",M387="sd (X)"),O387/AQ387,
AND(L387="elasticity",M387="sd (Y)"),O387*BH387,
AND(L387="marginal_effect",M387="percent_of_mean"),O387*AN387/BF387/10)</f>
        <v>#DIV/0!</v>
      </c>
      <c r="AH387" s="50" t="e">
        <f t="shared" si="139"/>
        <v>#DIV/0!</v>
      </c>
      <c r="AI387" s="91" t="e">
        <f t="shared" si="146"/>
        <v>#DIV/0!</v>
      </c>
      <c r="AJ387" s="44">
        <v>0</v>
      </c>
      <c r="AK387" s="44" t="e">
        <f t="shared" si="153"/>
        <v>#DIV/0!</v>
      </c>
      <c r="AL387" s="44" t="s">
        <v>162</v>
      </c>
      <c r="AM387" s="44" t="s">
        <v>999</v>
      </c>
      <c r="AN387" s="44">
        <v>1.05</v>
      </c>
      <c r="AO387" s="44">
        <v>0</v>
      </c>
      <c r="AP387" s="44">
        <f t="shared" si="142"/>
        <v>1.05</v>
      </c>
      <c r="AQ387" s="44">
        <v>0.6</v>
      </c>
      <c r="AR387" s="44">
        <v>0.1</v>
      </c>
      <c r="AS387" s="44">
        <v>4.45</v>
      </c>
      <c r="AT387" s="44" t="s">
        <v>83</v>
      </c>
      <c r="AU387" s="44" t="s">
        <v>109</v>
      </c>
      <c r="AV387" s="44" t="s">
        <v>133</v>
      </c>
      <c r="AW387" s="44" t="s">
        <v>85</v>
      </c>
      <c r="AX387" s="44" t="s">
        <v>86</v>
      </c>
      <c r="AY387" s="44">
        <v>0</v>
      </c>
      <c r="AZ387" s="44">
        <v>0</v>
      </c>
      <c r="BA387" s="44" t="s">
        <v>1025</v>
      </c>
      <c r="BB387" s="44" t="s">
        <v>88</v>
      </c>
      <c r="BC387" s="44" t="s">
        <v>113</v>
      </c>
      <c r="BD387" s="44" t="s">
        <v>433</v>
      </c>
      <c r="BE387" s="44" t="s">
        <v>1026</v>
      </c>
      <c r="BF387" s="44">
        <v>0</v>
      </c>
      <c r="BG387" s="44">
        <v>0</v>
      </c>
      <c r="BH387" s="44">
        <v>1</v>
      </c>
      <c r="BI387" s="44" t="s">
        <v>312</v>
      </c>
      <c r="BJ387" s="44" t="s">
        <v>312</v>
      </c>
      <c r="BK387" s="44" t="s">
        <v>91</v>
      </c>
      <c r="BL387" s="44" t="s">
        <v>84</v>
      </c>
      <c r="BM387" s="44">
        <v>1</v>
      </c>
      <c r="BN387" s="44" t="s">
        <v>428</v>
      </c>
      <c r="BO387" s="44" t="s">
        <v>428</v>
      </c>
      <c r="BP387" s="44" t="s">
        <v>1001</v>
      </c>
      <c r="BQ387" s="44" t="s">
        <v>117</v>
      </c>
      <c r="BR387" s="44" t="s">
        <v>134</v>
      </c>
      <c r="BS387" s="44">
        <v>23</v>
      </c>
      <c r="BT387" s="44" t="s">
        <v>312</v>
      </c>
      <c r="BU387" s="65">
        <v>43405</v>
      </c>
      <c r="BV387" s="65">
        <v>43862</v>
      </c>
      <c r="BW387" s="44" t="s">
        <v>94</v>
      </c>
      <c r="BX387" s="44" t="s">
        <v>95</v>
      </c>
      <c r="BY387" s="44" t="s">
        <v>748</v>
      </c>
      <c r="BZ387" s="44">
        <v>1</v>
      </c>
      <c r="CA387" s="44">
        <v>1</v>
      </c>
      <c r="CB387" s="44" t="s">
        <v>1051</v>
      </c>
      <c r="CC387" s="44" t="s">
        <v>314</v>
      </c>
      <c r="CD387" s="44">
        <v>1</v>
      </c>
      <c r="CE387" s="44" t="s">
        <v>1002</v>
      </c>
      <c r="CF387" s="44">
        <v>1</v>
      </c>
      <c r="CG387" s="44" t="s">
        <v>598</v>
      </c>
      <c r="CI387" s="44" t="s">
        <v>1465</v>
      </c>
      <c r="CJ387" s="44" t="s">
        <v>98</v>
      </c>
      <c r="CK387" s="44">
        <v>36</v>
      </c>
      <c r="CL387" s="44">
        <v>0</v>
      </c>
      <c r="CM387" s="44">
        <v>0</v>
      </c>
      <c r="CN387" s="44" t="s">
        <v>124</v>
      </c>
      <c r="CO387" s="44" t="s">
        <v>97</v>
      </c>
      <c r="CP387" s="44" t="s">
        <v>100</v>
      </c>
      <c r="CQ387" s="44" t="s">
        <v>126</v>
      </c>
      <c r="CR387" s="45">
        <v>46225</v>
      </c>
      <c r="CT387" s="44" t="s">
        <v>1054</v>
      </c>
    </row>
    <row r="388" spans="1:98" s="44" customFormat="1" x14ac:dyDescent="0.35">
      <c r="A388" s="64" t="s">
        <v>995</v>
      </c>
      <c r="B388" s="64" t="s">
        <v>1043</v>
      </c>
      <c r="C388" s="44" t="s">
        <v>996</v>
      </c>
      <c r="D388" s="44">
        <v>2025</v>
      </c>
      <c r="E388" s="43" t="s">
        <v>997</v>
      </c>
      <c r="F388" s="43" t="s">
        <v>998</v>
      </c>
      <c r="G388" s="44" t="s">
        <v>78</v>
      </c>
      <c r="H388" s="44">
        <v>1</v>
      </c>
      <c r="I388" s="44" t="s">
        <v>686</v>
      </c>
      <c r="J388" s="44" t="s">
        <v>79</v>
      </c>
      <c r="K388" s="44">
        <v>2</v>
      </c>
      <c r="L388" s="44" t="s">
        <v>129</v>
      </c>
      <c r="M388" s="44" t="s">
        <v>380</v>
      </c>
      <c r="N388" s="44">
        <v>-7.0000000000000001E-3</v>
      </c>
      <c r="O388" s="44">
        <v>2E-3</v>
      </c>
      <c r="P388" s="91">
        <f t="shared" si="147"/>
        <v>-3.5</v>
      </c>
      <c r="Q388" s="44" t="s">
        <v>312</v>
      </c>
      <c r="R388" s="91">
        <f t="shared" si="148"/>
        <v>-1.0919999999999999E-2</v>
      </c>
      <c r="S388" s="91">
        <f t="shared" si="149"/>
        <v>-3.0800000000000003E-3</v>
      </c>
      <c r="T388" s="44">
        <v>1</v>
      </c>
      <c r="U388" s="44">
        <v>93971</v>
      </c>
      <c r="V388" s="44">
        <v>11</v>
      </c>
      <c r="W388" s="44">
        <v>1</v>
      </c>
      <c r="X388" s="44">
        <f t="shared" si="154"/>
        <v>93960</v>
      </c>
      <c r="Y388" s="91">
        <f t="shared" si="150"/>
        <v>-1.1417426687889341E-2</v>
      </c>
      <c r="Z388" s="91">
        <f t="shared" si="151"/>
        <v>3.2621219108255259E-3</v>
      </c>
      <c r="AA388" s="91">
        <f t="shared" si="152"/>
        <v>-1.1417426687889341E-2</v>
      </c>
      <c r="AB388" s="44" t="s">
        <v>81</v>
      </c>
      <c r="AC388" s="91" t="e">
        <f t="shared" si="144"/>
        <v>#DIV/0!</v>
      </c>
      <c r="AD388" s="91" t="e" cm="1">
        <f t="array" ref="AD388">_xlfn.IFS(
AND(L388="marginal_effect",M388="level"),N388*AN388/BF388,
AND(L388="marginal_effect",M388="sd (Y)"),N388*BH388*AN388/BF388,
AND(L388="marginal_effect",M388="sd (X)"),N388/AQ388*AN388/BF388,
AND(L388="semi_elasticity",M388="level"),N388*AN388,
AND(L388="semi_elasticity",M388="sd (Y)"),N388*AN388*BH388,
AND(L388="semi_elasticity",M388="sd (X)"),N388*AN388/AQ388,
AND(L388="level-log",M388="level"),N388/BF388,
AND(L388="level-log",M388="sd (X)"),N388/BF388/AQ388,
AND(L388="level-log",M388="sd (Y)"),N388/BF388*BH388,
AND(L388="elasticity",M388="level"),N388,
AND(L388="elasticity",M388="sd (X)"),N388/AQ388,
AND(L388="elasticity",M388="sd (Y)"),N388*BH388,
AND(L388="marginal_effect",M388="percent_of_mean"),N388*AN388/BF388/10)</f>
        <v>#DIV/0!</v>
      </c>
      <c r="AE388" s="50" t="e">
        <f t="shared" si="138"/>
        <v>#DIV/0!</v>
      </c>
      <c r="AF388" s="91" t="e">
        <f t="shared" si="145"/>
        <v>#DIV/0!</v>
      </c>
      <c r="AG388" s="91" t="e" cm="1">
        <f t="array" ref="AG388">_xlfn.IFS(
AND(L388="marginal_effect",M388="level"),O388*AN388/BF388,
AND(L388="marginal_effect",M388="sd (Y)"),O388*BH388*AN388/BF388,
AND(L388="marginal_effect",M388="sd (X)"),O388/AQ388*AN388/BF388,
AND(L388="semi_elasticity",M388="level"),O388*AN388,
AND(L388="semi_elasticity",M388="sd (Y)"),O388*AN388*BH388,
AND(L388="semi_elasticity",M388="sd (X)"),O388*AN388/AQ388,
AND(L388="level-log",M388="level"),O388/BF388,
AND(L388="level-log",M388="sd (X)"),O388/BF388/AQ388,
AND(L388="level-log",M388="sd (Y)"),O388/BF388*BH388,
AND(L388="elasticity",M388="level"),O388,
AND(L388="elasticity",M388="sd (X)"),O388/AQ388,
AND(L388="elasticity",M388="sd (Y)"),O388*BH388,
AND(L388="marginal_effect",M388="percent_of_mean"),O388*AN388/BF388/10)</f>
        <v>#DIV/0!</v>
      </c>
      <c r="AH388" s="50" t="e">
        <f t="shared" si="139"/>
        <v>#DIV/0!</v>
      </c>
      <c r="AI388" s="91" t="e">
        <f t="shared" si="146"/>
        <v>#DIV/0!</v>
      </c>
      <c r="AJ388" s="44">
        <v>0</v>
      </c>
      <c r="AK388" s="44" t="e">
        <f t="shared" si="153"/>
        <v>#DIV/0!</v>
      </c>
      <c r="AL388" s="44" t="s">
        <v>148</v>
      </c>
      <c r="AM388" s="44" t="s">
        <v>1333</v>
      </c>
      <c r="AN388" s="44">
        <v>51.55</v>
      </c>
      <c r="AO388" s="44">
        <v>0</v>
      </c>
      <c r="AP388" s="44">
        <f t="shared" si="142"/>
        <v>51.55</v>
      </c>
      <c r="AQ388" s="44">
        <v>30.87</v>
      </c>
      <c r="AR388" s="44">
        <v>2.12</v>
      </c>
      <c r="AS388" s="44">
        <v>175.4</v>
      </c>
      <c r="AT388" s="44" t="s">
        <v>83</v>
      </c>
      <c r="AU388" s="44" t="s">
        <v>109</v>
      </c>
      <c r="AV388" s="44" t="s">
        <v>133</v>
      </c>
      <c r="AW388" s="44" t="s">
        <v>85</v>
      </c>
      <c r="AX388" s="44" t="s">
        <v>86</v>
      </c>
      <c r="AY388" s="44">
        <v>0</v>
      </c>
      <c r="AZ388" s="44">
        <v>0</v>
      </c>
      <c r="BA388" s="44" t="s">
        <v>1025</v>
      </c>
      <c r="BB388" s="44" t="s">
        <v>88</v>
      </c>
      <c r="BC388" s="44" t="s">
        <v>113</v>
      </c>
      <c r="BD388" s="44" t="s">
        <v>433</v>
      </c>
      <c r="BE388" s="44" t="s">
        <v>1026</v>
      </c>
      <c r="BF388" s="44">
        <v>0</v>
      </c>
      <c r="BG388" s="44">
        <v>0</v>
      </c>
      <c r="BH388" s="44">
        <v>1</v>
      </c>
      <c r="BI388" s="44" t="s">
        <v>312</v>
      </c>
      <c r="BJ388" s="44" t="s">
        <v>312</v>
      </c>
      <c r="BK388" s="44" t="s">
        <v>91</v>
      </c>
      <c r="BL388" s="44" t="s">
        <v>84</v>
      </c>
      <c r="BM388" s="44">
        <v>1</v>
      </c>
      <c r="BN388" s="44" t="s">
        <v>428</v>
      </c>
      <c r="BO388" s="44" t="s">
        <v>428</v>
      </c>
      <c r="BP388" s="44" t="s">
        <v>1001</v>
      </c>
      <c r="BQ388" s="44" t="s">
        <v>117</v>
      </c>
      <c r="BR388" s="44" t="s">
        <v>134</v>
      </c>
      <c r="BS388" s="44">
        <v>23</v>
      </c>
      <c r="BT388" s="44" t="s">
        <v>312</v>
      </c>
      <c r="BU388" s="65">
        <v>43405</v>
      </c>
      <c r="BV388" s="65">
        <v>43862</v>
      </c>
      <c r="BW388" s="44" t="s">
        <v>94</v>
      </c>
      <c r="BX388" s="44" t="s">
        <v>95</v>
      </c>
      <c r="BY388" s="44" t="s">
        <v>748</v>
      </c>
      <c r="BZ388" s="44">
        <v>1</v>
      </c>
      <c r="CA388" s="44">
        <v>1</v>
      </c>
      <c r="CB388" s="44" t="s">
        <v>1051</v>
      </c>
      <c r="CC388" s="44" t="s">
        <v>314</v>
      </c>
      <c r="CD388" s="44">
        <v>1</v>
      </c>
      <c r="CE388" s="44" t="s">
        <v>1002</v>
      </c>
      <c r="CF388" s="44">
        <v>1</v>
      </c>
      <c r="CG388" s="44" t="s">
        <v>599</v>
      </c>
      <c r="CI388" s="44" t="s">
        <v>1465</v>
      </c>
      <c r="CJ388" s="44" t="s">
        <v>98</v>
      </c>
      <c r="CK388" s="44">
        <v>36</v>
      </c>
      <c r="CL388" s="44">
        <v>0</v>
      </c>
      <c r="CM388" s="44">
        <v>0</v>
      </c>
      <c r="CN388" s="44" t="s">
        <v>124</v>
      </c>
      <c r="CO388" s="44" t="s">
        <v>97</v>
      </c>
      <c r="CP388" s="44" t="s">
        <v>100</v>
      </c>
      <c r="CQ388" s="44" t="s">
        <v>126</v>
      </c>
      <c r="CR388" s="45">
        <v>46225</v>
      </c>
      <c r="CT388" s="44" t="s">
        <v>1054</v>
      </c>
    </row>
    <row r="389" spans="1:98" s="44" customFormat="1" x14ac:dyDescent="0.35">
      <c r="A389" s="64" t="s">
        <v>995</v>
      </c>
      <c r="B389" s="64" t="s">
        <v>1044</v>
      </c>
      <c r="C389" s="44" t="s">
        <v>996</v>
      </c>
      <c r="D389" s="44">
        <v>2025</v>
      </c>
      <c r="E389" s="43" t="s">
        <v>997</v>
      </c>
      <c r="F389" s="43" t="s">
        <v>998</v>
      </c>
      <c r="G389" s="44" t="s">
        <v>78</v>
      </c>
      <c r="H389" s="44">
        <v>1</v>
      </c>
      <c r="I389" s="44" t="s">
        <v>686</v>
      </c>
      <c r="J389" s="44" t="s">
        <v>79</v>
      </c>
      <c r="K389" s="44">
        <v>2</v>
      </c>
      <c r="L389" s="44" t="s">
        <v>129</v>
      </c>
      <c r="M389" s="44" t="s">
        <v>380</v>
      </c>
      <c r="N389" s="44">
        <v>-2.8999999999999998E-3</v>
      </c>
      <c r="O389" s="44">
        <v>6.9999999999999999E-4</v>
      </c>
      <c r="P389" s="91">
        <f t="shared" si="147"/>
        <v>-4.1428571428571423</v>
      </c>
      <c r="Q389" s="44" t="s">
        <v>312</v>
      </c>
      <c r="R389" s="91">
        <f t="shared" si="148"/>
        <v>-4.2719999999999998E-3</v>
      </c>
      <c r="S389" s="91">
        <f t="shared" si="149"/>
        <v>-1.5279999999999998E-3</v>
      </c>
      <c r="T389" s="44">
        <v>1</v>
      </c>
      <c r="U389" s="44">
        <v>93971</v>
      </c>
      <c r="V389" s="44">
        <v>11</v>
      </c>
      <c r="W389" s="44">
        <v>1</v>
      </c>
      <c r="X389" s="44">
        <f t="shared" si="154"/>
        <v>93960</v>
      </c>
      <c r="Y389" s="91">
        <f t="shared" si="150"/>
        <v>-1.3514151775344785E-2</v>
      </c>
      <c r="Z389" s="91">
        <f t="shared" si="151"/>
        <v>3.262036635428052E-3</v>
      </c>
      <c r="AA389" s="91">
        <f t="shared" si="152"/>
        <v>-1.3514151775344785E-2</v>
      </c>
      <c r="AB389" s="44" t="s">
        <v>81</v>
      </c>
      <c r="AC389" s="91" t="e">
        <f t="shared" si="144"/>
        <v>#DIV/0!</v>
      </c>
      <c r="AD389" s="91" t="e" cm="1">
        <f t="array" ref="AD389">_xlfn.IFS(
AND(L389="marginal_effect",M389="level"),N389*AN389/BF389,
AND(L389="marginal_effect",M389="sd (Y)"),N389*BH389*AN389/BF389,
AND(L389="marginal_effect",M389="sd (X)"),N389/AQ389*AN389/BF389,
AND(L389="semi_elasticity",M389="level"),N389*AN389,
AND(L389="semi_elasticity",M389="sd (Y)"),N389*AN389*BH389,
AND(L389="semi_elasticity",M389="sd (X)"),N389*AN389/AQ389,
AND(L389="level-log",M389="level"),N389/BF389,
AND(L389="level-log",M389="sd (X)"),N389/BF389/AQ389,
AND(L389="level-log",M389="sd (Y)"),N389/BF389*BH389,
AND(L389="elasticity",M389="level"),N389,
AND(L389="elasticity",M389="sd (X)"),N389/AQ389,
AND(L389="elasticity",M389="sd (Y)"),N389*BH389,
AND(L389="marginal_effect",M389="percent_of_mean"),N389*AN389/BF389/10)</f>
        <v>#DIV/0!</v>
      </c>
      <c r="AE389" s="50" t="e">
        <f t="shared" si="138"/>
        <v>#DIV/0!</v>
      </c>
      <c r="AF389" s="91" t="e">
        <f t="shared" si="145"/>
        <v>#DIV/0!</v>
      </c>
      <c r="AG389" s="91" t="e" cm="1">
        <f t="array" ref="AG389">_xlfn.IFS(
AND(L389="marginal_effect",M389="level"),O389*AN389/BF389,
AND(L389="marginal_effect",M389="sd (Y)"),O389*BH389*AN389/BF389,
AND(L389="marginal_effect",M389="sd (X)"),O389/AQ389*AN389/BF389,
AND(L389="semi_elasticity",M389="level"),O389*AN389,
AND(L389="semi_elasticity",M389="sd (Y)"),O389*AN389*BH389,
AND(L389="semi_elasticity",M389="sd (X)"),O389*AN389/AQ389,
AND(L389="level-log",M389="level"),O389/BF389,
AND(L389="level-log",M389="sd (X)"),O389/BF389/AQ389,
AND(L389="level-log",M389="sd (Y)"),O389/BF389*BH389,
AND(L389="elasticity",M389="level"),O389,
AND(L389="elasticity",M389="sd (X)"),O389/AQ389,
AND(L389="elasticity",M389="sd (Y)"),O389*BH389,
AND(L389="marginal_effect",M389="percent_of_mean"),O389*AN389/BF389/10)</f>
        <v>#DIV/0!</v>
      </c>
      <c r="AH389" s="50" t="e">
        <f t="shared" si="139"/>
        <v>#DIV/0!</v>
      </c>
      <c r="AI389" s="91" t="e">
        <f t="shared" si="146"/>
        <v>#DIV/0!</v>
      </c>
      <c r="AJ389" s="44">
        <v>0</v>
      </c>
      <c r="AK389" s="44" t="e">
        <f t="shared" si="153"/>
        <v>#DIV/0!</v>
      </c>
      <c r="AL389" s="44" t="s">
        <v>82</v>
      </c>
      <c r="AM389" s="44" t="s">
        <v>1333</v>
      </c>
      <c r="AN389" s="44">
        <v>66.52</v>
      </c>
      <c r="AO389" s="44">
        <v>0</v>
      </c>
      <c r="AP389" s="44">
        <f t="shared" si="142"/>
        <v>66.52</v>
      </c>
      <c r="AQ389" s="44">
        <v>68.47</v>
      </c>
      <c r="AR389" s="44">
        <v>5.04</v>
      </c>
      <c r="AS389" s="44">
        <v>474.66</v>
      </c>
      <c r="AT389" s="44" t="s">
        <v>83</v>
      </c>
      <c r="AU389" s="44" t="s">
        <v>109</v>
      </c>
      <c r="AV389" s="44" t="s">
        <v>133</v>
      </c>
      <c r="AW389" s="44" t="s">
        <v>85</v>
      </c>
      <c r="AX389" s="44" t="s">
        <v>86</v>
      </c>
      <c r="AY389" s="44">
        <v>0</v>
      </c>
      <c r="AZ389" s="44">
        <v>0</v>
      </c>
      <c r="BA389" s="44" t="s">
        <v>1025</v>
      </c>
      <c r="BB389" s="44" t="s">
        <v>88</v>
      </c>
      <c r="BC389" s="44" t="s">
        <v>113</v>
      </c>
      <c r="BD389" s="44" t="s">
        <v>433</v>
      </c>
      <c r="BE389" s="44" t="s">
        <v>1026</v>
      </c>
      <c r="BF389" s="44">
        <v>0</v>
      </c>
      <c r="BG389" s="44">
        <v>0</v>
      </c>
      <c r="BH389" s="44">
        <v>1</v>
      </c>
      <c r="BI389" s="44" t="s">
        <v>312</v>
      </c>
      <c r="BJ389" s="44" t="s">
        <v>312</v>
      </c>
      <c r="BK389" s="44" t="s">
        <v>91</v>
      </c>
      <c r="BL389" s="44" t="s">
        <v>84</v>
      </c>
      <c r="BM389" s="44">
        <v>1</v>
      </c>
      <c r="BN389" s="44" t="s">
        <v>428</v>
      </c>
      <c r="BO389" s="44" t="s">
        <v>428</v>
      </c>
      <c r="BP389" s="44" t="s">
        <v>1001</v>
      </c>
      <c r="BQ389" s="44" t="s">
        <v>117</v>
      </c>
      <c r="BR389" s="44" t="s">
        <v>134</v>
      </c>
      <c r="BS389" s="44">
        <v>23</v>
      </c>
      <c r="BT389" s="44" t="s">
        <v>312</v>
      </c>
      <c r="BU389" s="65">
        <v>43405</v>
      </c>
      <c r="BV389" s="65">
        <v>43862</v>
      </c>
      <c r="BW389" s="44" t="s">
        <v>94</v>
      </c>
      <c r="BX389" s="44" t="s">
        <v>95</v>
      </c>
      <c r="BY389" s="44" t="s">
        <v>748</v>
      </c>
      <c r="BZ389" s="44">
        <v>1</v>
      </c>
      <c r="CA389" s="44">
        <v>1</v>
      </c>
      <c r="CB389" s="44" t="s">
        <v>1050</v>
      </c>
      <c r="CC389" s="44" t="s">
        <v>314</v>
      </c>
      <c r="CD389" s="44">
        <v>1</v>
      </c>
      <c r="CE389" s="44" t="s">
        <v>1002</v>
      </c>
      <c r="CF389" s="44">
        <v>1</v>
      </c>
      <c r="CG389" s="44" t="s">
        <v>597</v>
      </c>
      <c r="CI389" s="44" t="s">
        <v>1465</v>
      </c>
      <c r="CJ389" s="44" t="s">
        <v>98</v>
      </c>
      <c r="CK389" s="44">
        <v>36</v>
      </c>
      <c r="CL389" s="44">
        <v>0</v>
      </c>
      <c r="CM389" s="44">
        <v>0</v>
      </c>
      <c r="CN389" s="44" t="s">
        <v>124</v>
      </c>
      <c r="CO389" s="44" t="s">
        <v>97</v>
      </c>
      <c r="CP389" s="44" t="s">
        <v>100</v>
      </c>
      <c r="CQ389" s="44" t="s">
        <v>126</v>
      </c>
      <c r="CR389" s="45">
        <v>46225</v>
      </c>
      <c r="CT389" s="44" t="s">
        <v>1055</v>
      </c>
    </row>
    <row r="390" spans="1:98" s="44" customFormat="1" x14ac:dyDescent="0.35">
      <c r="A390" s="64" t="s">
        <v>995</v>
      </c>
      <c r="B390" s="64" t="s">
        <v>1045</v>
      </c>
      <c r="C390" s="44" t="s">
        <v>996</v>
      </c>
      <c r="D390" s="44">
        <v>2025</v>
      </c>
      <c r="E390" s="43" t="s">
        <v>997</v>
      </c>
      <c r="F390" s="43" t="s">
        <v>998</v>
      </c>
      <c r="G390" s="44" t="s">
        <v>78</v>
      </c>
      <c r="H390" s="44">
        <v>1</v>
      </c>
      <c r="I390" s="44" t="s">
        <v>686</v>
      </c>
      <c r="J390" s="44" t="s">
        <v>79</v>
      </c>
      <c r="K390" s="44">
        <v>2</v>
      </c>
      <c r="L390" s="44" t="s">
        <v>129</v>
      </c>
      <c r="M390" s="44" t="s">
        <v>380</v>
      </c>
      <c r="N390" s="44">
        <v>-0.38</v>
      </c>
      <c r="O390" s="44">
        <v>9.9099999999999994E-2</v>
      </c>
      <c r="P390" s="91">
        <f t="shared" si="147"/>
        <v>-3.8345105953582244</v>
      </c>
      <c r="Q390" s="44" t="s">
        <v>312</v>
      </c>
      <c r="R390" s="91">
        <f t="shared" si="148"/>
        <v>-0.57423599999999997</v>
      </c>
      <c r="S390" s="91">
        <f t="shared" si="149"/>
        <v>-0.18576400000000001</v>
      </c>
      <c r="T390" s="44">
        <v>1</v>
      </c>
      <c r="U390" s="44">
        <v>93971</v>
      </c>
      <c r="V390" s="44">
        <v>11</v>
      </c>
      <c r="W390" s="44">
        <v>1</v>
      </c>
      <c r="X390" s="44">
        <f t="shared" si="154"/>
        <v>93960</v>
      </c>
      <c r="Y390" s="91">
        <f t="shared" si="150"/>
        <v>-1.2508477742879456E-2</v>
      </c>
      <c r="Z390" s="91">
        <f t="shared" si="151"/>
        <v>3.2620793271561947E-3</v>
      </c>
      <c r="AA390" s="91">
        <f t="shared" si="152"/>
        <v>-1.2508477742879456E-2</v>
      </c>
      <c r="AB390" s="44" t="s">
        <v>81</v>
      </c>
      <c r="AC390" s="91" t="e">
        <f t="shared" si="144"/>
        <v>#DIV/0!</v>
      </c>
      <c r="AD390" s="91" t="e" cm="1">
        <f t="array" ref="AD390">_xlfn.IFS(
AND(L390="marginal_effect",M390="level"),N390*AN390/BF390,
AND(L390="marginal_effect",M390="sd (Y)"),N390*BH390*AN390/BF390,
AND(L390="marginal_effect",M390="sd (X)"),N390/AQ390*AN390/BF390,
AND(L390="semi_elasticity",M390="level"),N390*AN390,
AND(L390="semi_elasticity",M390="sd (Y)"),N390*AN390*BH390,
AND(L390="semi_elasticity",M390="sd (X)"),N390*AN390/AQ390,
AND(L390="level-log",M390="level"),N390/BF390,
AND(L390="level-log",M390="sd (X)"),N390/BF390/AQ390,
AND(L390="level-log",M390="sd (Y)"),N390/BF390*BH390,
AND(L390="elasticity",M390="level"),N390,
AND(L390="elasticity",M390="sd (X)"),N390/AQ390,
AND(L390="elasticity",M390="sd (Y)"),N390*BH390,
AND(L390="marginal_effect",M390="percent_of_mean"),N390*AN390/BF390/10)</f>
        <v>#DIV/0!</v>
      </c>
      <c r="AE390" s="50" t="e">
        <f t="shared" si="138"/>
        <v>#DIV/0!</v>
      </c>
      <c r="AF390" s="91" t="e">
        <f t="shared" si="145"/>
        <v>#DIV/0!</v>
      </c>
      <c r="AG390" s="91" t="e" cm="1">
        <f t="array" ref="AG390">_xlfn.IFS(
AND(L390="marginal_effect",M390="level"),O390*AN390/BF390,
AND(L390="marginal_effect",M390="sd (Y)"),O390*BH390*AN390/BF390,
AND(L390="marginal_effect",M390="sd (X)"),O390/AQ390*AN390/BF390,
AND(L390="semi_elasticity",M390="level"),O390*AN390,
AND(L390="semi_elasticity",M390="sd (Y)"),O390*AN390*BH390,
AND(L390="semi_elasticity",M390="sd (X)"),O390*AN390/AQ390,
AND(L390="level-log",M390="level"),O390/BF390,
AND(L390="level-log",M390="sd (X)"),O390/BF390/AQ390,
AND(L390="level-log",M390="sd (Y)"),O390/BF390*BH390,
AND(L390="elasticity",M390="level"),O390,
AND(L390="elasticity",M390="sd (X)"),O390/AQ390,
AND(L390="elasticity",M390="sd (Y)"),O390*BH390,
AND(L390="marginal_effect",M390="percent_of_mean"),O390*AN390/BF390/10)</f>
        <v>#DIV/0!</v>
      </c>
      <c r="AH390" s="50" t="e">
        <f t="shared" si="139"/>
        <v>#DIV/0!</v>
      </c>
      <c r="AI390" s="91" t="e">
        <f t="shared" si="146"/>
        <v>#DIV/0!</v>
      </c>
      <c r="AJ390" s="44">
        <v>0</v>
      </c>
      <c r="AK390" s="44" t="e">
        <f t="shared" si="153"/>
        <v>#DIV/0!</v>
      </c>
      <c r="AL390" s="44" t="s">
        <v>162</v>
      </c>
      <c r="AM390" s="44" t="s">
        <v>999</v>
      </c>
      <c r="AN390" s="44">
        <v>1.05</v>
      </c>
      <c r="AO390" s="44">
        <v>0</v>
      </c>
      <c r="AP390" s="44">
        <f t="shared" si="142"/>
        <v>1.05</v>
      </c>
      <c r="AQ390" s="44">
        <v>0.6</v>
      </c>
      <c r="AR390" s="44">
        <v>0.1</v>
      </c>
      <c r="AS390" s="44">
        <v>4.45</v>
      </c>
      <c r="AT390" s="44" t="s">
        <v>83</v>
      </c>
      <c r="AU390" s="44" t="s">
        <v>109</v>
      </c>
      <c r="AV390" s="44" t="s">
        <v>133</v>
      </c>
      <c r="AW390" s="44" t="s">
        <v>85</v>
      </c>
      <c r="AX390" s="44" t="s">
        <v>86</v>
      </c>
      <c r="AY390" s="44">
        <v>0</v>
      </c>
      <c r="AZ390" s="44">
        <v>0</v>
      </c>
      <c r="BA390" s="44" t="s">
        <v>1025</v>
      </c>
      <c r="BB390" s="44" t="s">
        <v>88</v>
      </c>
      <c r="BC390" s="44" t="s">
        <v>113</v>
      </c>
      <c r="BD390" s="44" t="s">
        <v>433</v>
      </c>
      <c r="BE390" s="44" t="s">
        <v>1026</v>
      </c>
      <c r="BF390" s="44">
        <v>0</v>
      </c>
      <c r="BG390" s="44">
        <v>0</v>
      </c>
      <c r="BH390" s="44">
        <v>1</v>
      </c>
      <c r="BI390" s="44" t="s">
        <v>312</v>
      </c>
      <c r="BJ390" s="44" t="s">
        <v>312</v>
      </c>
      <c r="BK390" s="44" t="s">
        <v>91</v>
      </c>
      <c r="BL390" s="44" t="s">
        <v>84</v>
      </c>
      <c r="BM390" s="44">
        <v>1</v>
      </c>
      <c r="BN390" s="44" t="s">
        <v>428</v>
      </c>
      <c r="BO390" s="44" t="s">
        <v>428</v>
      </c>
      <c r="BP390" s="44" t="s">
        <v>1001</v>
      </c>
      <c r="BQ390" s="44" t="s">
        <v>117</v>
      </c>
      <c r="BR390" s="44" t="s">
        <v>134</v>
      </c>
      <c r="BS390" s="44">
        <v>23</v>
      </c>
      <c r="BT390" s="44" t="s">
        <v>312</v>
      </c>
      <c r="BU390" s="65">
        <v>43405</v>
      </c>
      <c r="BV390" s="65">
        <v>43862</v>
      </c>
      <c r="BW390" s="44" t="s">
        <v>94</v>
      </c>
      <c r="BX390" s="44" t="s">
        <v>95</v>
      </c>
      <c r="BY390" s="44" t="s">
        <v>748</v>
      </c>
      <c r="BZ390" s="44">
        <v>1</v>
      </c>
      <c r="CA390" s="44">
        <v>1</v>
      </c>
      <c r="CB390" s="44" t="s">
        <v>1050</v>
      </c>
      <c r="CC390" s="44" t="s">
        <v>314</v>
      </c>
      <c r="CD390" s="44">
        <v>1</v>
      </c>
      <c r="CE390" s="44" t="s">
        <v>1002</v>
      </c>
      <c r="CF390" s="44">
        <v>1</v>
      </c>
      <c r="CG390" s="44" t="s">
        <v>598</v>
      </c>
      <c r="CI390" s="44" t="s">
        <v>1465</v>
      </c>
      <c r="CJ390" s="44" t="s">
        <v>98</v>
      </c>
      <c r="CK390" s="44">
        <v>36</v>
      </c>
      <c r="CL390" s="44">
        <v>0</v>
      </c>
      <c r="CM390" s="44">
        <v>0</v>
      </c>
      <c r="CN390" s="44" t="s">
        <v>124</v>
      </c>
      <c r="CO390" s="44" t="s">
        <v>97</v>
      </c>
      <c r="CP390" s="44" t="s">
        <v>100</v>
      </c>
      <c r="CQ390" s="44" t="s">
        <v>126</v>
      </c>
      <c r="CR390" s="45">
        <v>46225</v>
      </c>
      <c r="CT390" s="44" t="s">
        <v>1055</v>
      </c>
    </row>
    <row r="391" spans="1:98" s="44" customFormat="1" x14ac:dyDescent="0.35">
      <c r="A391" s="64" t="s">
        <v>995</v>
      </c>
      <c r="B391" s="64" t="s">
        <v>1046</v>
      </c>
      <c r="C391" s="44" t="s">
        <v>996</v>
      </c>
      <c r="D391" s="44">
        <v>2025</v>
      </c>
      <c r="E391" s="43" t="s">
        <v>997</v>
      </c>
      <c r="F391" s="43" t="s">
        <v>998</v>
      </c>
      <c r="G391" s="44" t="s">
        <v>78</v>
      </c>
      <c r="H391" s="44">
        <v>1</v>
      </c>
      <c r="I391" s="44" t="s">
        <v>686</v>
      </c>
      <c r="J391" s="44" t="s">
        <v>79</v>
      </c>
      <c r="K391" s="44">
        <v>2</v>
      </c>
      <c r="L391" s="44" t="s">
        <v>129</v>
      </c>
      <c r="M391" s="44" t="s">
        <v>380</v>
      </c>
      <c r="N391" s="44">
        <v>-4.4999999999999997E-3</v>
      </c>
      <c r="O391" s="44">
        <v>1.6000000000000001E-3</v>
      </c>
      <c r="P391" s="91">
        <f t="shared" si="147"/>
        <v>-2.8124999999999996</v>
      </c>
      <c r="Q391" s="44" t="s">
        <v>312</v>
      </c>
      <c r="R391" s="91">
        <f t="shared" si="148"/>
        <v>-7.6359999999999996E-3</v>
      </c>
      <c r="S391" s="91">
        <f t="shared" si="149"/>
        <v>-1.3639999999999998E-3</v>
      </c>
      <c r="T391" s="44">
        <v>1</v>
      </c>
      <c r="U391" s="44">
        <v>93971</v>
      </c>
      <c r="V391" s="44">
        <v>11</v>
      </c>
      <c r="W391" s="44">
        <v>1</v>
      </c>
      <c r="X391" s="44">
        <f t="shared" si="154"/>
        <v>93960</v>
      </c>
      <c r="Y391" s="91">
        <f t="shared" si="150"/>
        <v>-9.1749297357899672E-3</v>
      </c>
      <c r="Z391" s="91">
        <f t="shared" si="151"/>
        <v>3.2621972393919894E-3</v>
      </c>
      <c r="AA391" s="91">
        <f t="shared" si="152"/>
        <v>-9.1749297357899672E-3</v>
      </c>
      <c r="AB391" s="44" t="s">
        <v>81</v>
      </c>
      <c r="AC391" s="91" t="e">
        <f t="shared" si="144"/>
        <v>#DIV/0!</v>
      </c>
      <c r="AD391" s="91" t="e" cm="1">
        <f t="array" ref="AD391">_xlfn.IFS(
AND(L391="marginal_effect",M391="level"),N391*AN391/BF391,
AND(L391="marginal_effect",M391="sd (Y)"),N391*BH391*AN391/BF391,
AND(L391="marginal_effect",M391="sd (X)"),N391/AQ391*AN391/BF391,
AND(L391="semi_elasticity",M391="level"),N391*AN391,
AND(L391="semi_elasticity",M391="sd (Y)"),N391*AN391*BH391,
AND(L391="semi_elasticity",M391="sd (X)"),N391*AN391/AQ391,
AND(L391="level-log",M391="level"),N391/BF391,
AND(L391="level-log",M391="sd (X)"),N391/BF391/AQ391,
AND(L391="level-log",M391="sd (Y)"),N391/BF391*BH391,
AND(L391="elasticity",M391="level"),N391,
AND(L391="elasticity",M391="sd (X)"),N391/AQ391,
AND(L391="elasticity",M391="sd (Y)"),N391*BH391,
AND(L391="marginal_effect",M391="percent_of_mean"),N391*AN391/BF391/10)</f>
        <v>#DIV/0!</v>
      </c>
      <c r="AE391" s="50" t="e">
        <f t="shared" si="138"/>
        <v>#DIV/0!</v>
      </c>
      <c r="AF391" s="91" t="e">
        <f t="shared" si="145"/>
        <v>#DIV/0!</v>
      </c>
      <c r="AG391" s="91" t="e" cm="1">
        <f t="array" ref="AG391">_xlfn.IFS(
AND(L391="marginal_effect",M391="level"),O391*AN391/BF391,
AND(L391="marginal_effect",M391="sd (Y)"),O391*BH391*AN391/BF391,
AND(L391="marginal_effect",M391="sd (X)"),O391/AQ391*AN391/BF391,
AND(L391="semi_elasticity",M391="level"),O391*AN391,
AND(L391="semi_elasticity",M391="sd (Y)"),O391*AN391*BH391,
AND(L391="semi_elasticity",M391="sd (X)"),O391*AN391/AQ391,
AND(L391="level-log",M391="level"),O391/BF391,
AND(L391="level-log",M391="sd (X)"),O391/BF391/AQ391,
AND(L391="level-log",M391="sd (Y)"),O391/BF391*BH391,
AND(L391="elasticity",M391="level"),O391,
AND(L391="elasticity",M391="sd (X)"),O391/AQ391,
AND(L391="elasticity",M391="sd (Y)"),O391*BH391,
AND(L391="marginal_effect",M391="percent_of_mean"),O391*AN391/BF391/10)</f>
        <v>#DIV/0!</v>
      </c>
      <c r="AH391" s="50" t="e">
        <f t="shared" si="139"/>
        <v>#DIV/0!</v>
      </c>
      <c r="AI391" s="91" t="e">
        <f t="shared" si="146"/>
        <v>#DIV/0!</v>
      </c>
      <c r="AJ391" s="44">
        <v>0</v>
      </c>
      <c r="AK391" s="44" t="e">
        <f t="shared" si="153"/>
        <v>#DIV/0!</v>
      </c>
      <c r="AL391" s="44" t="s">
        <v>148</v>
      </c>
      <c r="AM391" s="44" t="s">
        <v>1333</v>
      </c>
      <c r="AN391" s="44">
        <v>51.55</v>
      </c>
      <c r="AO391" s="44">
        <v>0</v>
      </c>
      <c r="AP391" s="44">
        <f t="shared" si="142"/>
        <v>51.55</v>
      </c>
      <c r="AQ391" s="44">
        <v>30.87</v>
      </c>
      <c r="AR391" s="44">
        <v>2.12</v>
      </c>
      <c r="AS391" s="44">
        <v>175.4</v>
      </c>
      <c r="AT391" s="44" t="s">
        <v>83</v>
      </c>
      <c r="AU391" s="44" t="s">
        <v>109</v>
      </c>
      <c r="AV391" s="44" t="s">
        <v>133</v>
      </c>
      <c r="AW391" s="44" t="s">
        <v>85</v>
      </c>
      <c r="AX391" s="44" t="s">
        <v>86</v>
      </c>
      <c r="AY391" s="44">
        <v>0</v>
      </c>
      <c r="AZ391" s="44">
        <v>0</v>
      </c>
      <c r="BA391" s="44" t="s">
        <v>1025</v>
      </c>
      <c r="BB391" s="44" t="s">
        <v>88</v>
      </c>
      <c r="BC391" s="44" t="s">
        <v>113</v>
      </c>
      <c r="BD391" s="44" t="s">
        <v>433</v>
      </c>
      <c r="BE391" s="44" t="s">
        <v>1026</v>
      </c>
      <c r="BF391" s="44">
        <v>0</v>
      </c>
      <c r="BG391" s="44">
        <v>0</v>
      </c>
      <c r="BH391" s="44">
        <v>1</v>
      </c>
      <c r="BI391" s="44" t="s">
        <v>312</v>
      </c>
      <c r="BJ391" s="44" t="s">
        <v>312</v>
      </c>
      <c r="BK391" s="44" t="s">
        <v>91</v>
      </c>
      <c r="BL391" s="44" t="s">
        <v>84</v>
      </c>
      <c r="BM391" s="44">
        <v>1</v>
      </c>
      <c r="BN391" s="44" t="s">
        <v>428</v>
      </c>
      <c r="BO391" s="44" t="s">
        <v>428</v>
      </c>
      <c r="BP391" s="44" t="s">
        <v>1001</v>
      </c>
      <c r="BQ391" s="44" t="s">
        <v>117</v>
      </c>
      <c r="BR391" s="44" t="s">
        <v>134</v>
      </c>
      <c r="BS391" s="44">
        <v>23</v>
      </c>
      <c r="BT391" s="44" t="s">
        <v>312</v>
      </c>
      <c r="BU391" s="65">
        <v>43405</v>
      </c>
      <c r="BV391" s="65">
        <v>43862</v>
      </c>
      <c r="BW391" s="44" t="s">
        <v>94</v>
      </c>
      <c r="BX391" s="44" t="s">
        <v>95</v>
      </c>
      <c r="BY391" s="44" t="s">
        <v>748</v>
      </c>
      <c r="BZ391" s="44">
        <v>1</v>
      </c>
      <c r="CA391" s="44">
        <v>1</v>
      </c>
      <c r="CB391" s="44" t="s">
        <v>1050</v>
      </c>
      <c r="CC391" s="44" t="s">
        <v>314</v>
      </c>
      <c r="CD391" s="44">
        <v>1</v>
      </c>
      <c r="CE391" s="44" t="s">
        <v>1002</v>
      </c>
      <c r="CF391" s="44">
        <v>1</v>
      </c>
      <c r="CG391" s="44" t="s">
        <v>599</v>
      </c>
      <c r="CI391" s="44" t="s">
        <v>1465</v>
      </c>
      <c r="CJ391" s="44" t="s">
        <v>98</v>
      </c>
      <c r="CK391" s="44">
        <v>36</v>
      </c>
      <c r="CL391" s="44">
        <v>0</v>
      </c>
      <c r="CM391" s="44">
        <v>0</v>
      </c>
      <c r="CN391" s="44" t="s">
        <v>124</v>
      </c>
      <c r="CO391" s="44" t="s">
        <v>97</v>
      </c>
      <c r="CP391" s="44" t="s">
        <v>100</v>
      </c>
      <c r="CQ391" s="44" t="s">
        <v>126</v>
      </c>
      <c r="CR391" s="45">
        <v>46225</v>
      </c>
      <c r="CT391" s="44" t="s">
        <v>1055</v>
      </c>
    </row>
    <row r="392" spans="1:98" s="44" customFormat="1" x14ac:dyDescent="0.35">
      <c r="A392" s="64" t="s">
        <v>995</v>
      </c>
      <c r="B392" s="64" t="s">
        <v>1346</v>
      </c>
      <c r="C392" s="44" t="s">
        <v>996</v>
      </c>
      <c r="D392" s="44">
        <v>2025</v>
      </c>
      <c r="E392" s="43" t="s">
        <v>997</v>
      </c>
      <c r="F392" s="43" t="s">
        <v>998</v>
      </c>
      <c r="G392" s="44" t="s">
        <v>78</v>
      </c>
      <c r="H392" s="44">
        <v>1</v>
      </c>
      <c r="I392" s="44" t="s">
        <v>686</v>
      </c>
      <c r="J392" s="44" t="s">
        <v>79</v>
      </c>
      <c r="K392" s="44">
        <v>2</v>
      </c>
      <c r="L392" s="44" t="s">
        <v>129</v>
      </c>
      <c r="M392" s="44" t="s">
        <v>380</v>
      </c>
      <c r="N392" s="44">
        <v>8.8300000000000003E-2</v>
      </c>
      <c r="O392" s="44">
        <v>7.6100000000000001E-2</v>
      </c>
      <c r="P392" s="91">
        <f t="shared" si="147"/>
        <v>1.1603153745072274</v>
      </c>
      <c r="Q392" s="44" t="s">
        <v>312</v>
      </c>
      <c r="R392" s="91">
        <f t="shared" si="148"/>
        <v>-6.0856000000000007E-2</v>
      </c>
      <c r="S392" s="91">
        <f t="shared" si="149"/>
        <v>0.237456</v>
      </c>
      <c r="T392" s="44">
        <v>1</v>
      </c>
      <c r="U392" s="44">
        <v>131386</v>
      </c>
      <c r="V392" s="44">
        <v>11</v>
      </c>
      <c r="W392" s="44">
        <v>1</v>
      </c>
      <c r="X392" s="44">
        <f t="shared" si="154"/>
        <v>131375</v>
      </c>
      <c r="Y392" s="91">
        <f t="shared" si="150"/>
        <v>3.2012342662999312E-3</v>
      </c>
      <c r="Z392" s="91">
        <f t="shared" si="151"/>
        <v>2.758934628147506E-3</v>
      </c>
      <c r="AA392" s="91">
        <f t="shared" si="152"/>
        <v>3.2012342662999312E-3</v>
      </c>
      <c r="AB392" s="44" t="s">
        <v>81</v>
      </c>
      <c r="AC392" s="91">
        <f t="shared" si="144"/>
        <v>1.6841713499254504E-2</v>
      </c>
      <c r="AD392" s="91" cm="1">
        <f t="array" ref="AD392">_xlfn.IFS(
AND(L392="marginal_effect",M392="level"),N392*AN392/BF392,
AND(L392="marginal_effect",M392="sd (Y)"),N392*BH392*AN392/BF392,
AND(L392="marginal_effect",M392="sd (X)"),N392/AQ392*AN392/BF392,
AND(L392="semi_elasticity",M392="level"),N392*AN392,
AND(L392="semi_elasticity",M392="sd (Y)"),N392*AN392*BH392,
AND(L392="semi_elasticity",M392="sd (X)"),N392*AN392/AQ392,
AND(L392="level-log",M392="level"),N392/BF392,
AND(L392="level-log",M392="sd (X)"),N392/BF392/AQ392,
AND(L392="level-log",M392="sd (Y)"),N392/BF392*BH392,
AND(L392="elasticity",M392="level"),N392,
AND(L392="elasticity",M392="sd (X)"),N392/AQ392,
AND(L392="elasticity",M392="sd (Y)"),N392*BH392,
AND(L392="marginal_effect",M392="percent_of_mean"),N392*AN392/BF392/10)</f>
        <v>1.6841713499254504E-2</v>
      </c>
      <c r="AE392" s="50">
        <f t="shared" si="138"/>
        <v>1</v>
      </c>
      <c r="AF392" s="91">
        <f t="shared" si="145"/>
        <v>1.4514772336277095E-2</v>
      </c>
      <c r="AG392" s="91" cm="1">
        <f t="array" ref="AG392">_xlfn.IFS(
AND(L392="marginal_effect",M392="level"),O392*AN392/BF392,
AND(L392="marginal_effect",M392="sd (Y)"),O392*BH392*AN392/BF392,
AND(L392="marginal_effect",M392="sd (X)"),O392/AQ392*AN392/BF392,
AND(L392="semi_elasticity",M392="level"),O392*AN392,
AND(L392="semi_elasticity",M392="sd (Y)"),O392*AN392*BH392,
AND(L392="semi_elasticity",M392="sd (X)"),O392*AN392/AQ392,
AND(L392="level-log",M392="level"),O392/BF392,
AND(L392="level-log",M392="sd (X)"),O392/BF392/AQ392,
AND(L392="level-log",M392="sd (Y)"),O392/BF392*BH392,
AND(L392="elasticity",M392="level"),O392,
AND(L392="elasticity",M392="sd (X)"),O392/AQ392,
AND(L392="elasticity",M392="sd (Y)"),O392*BH392,
AND(L392="marginal_effect",M392="percent_of_mean"),O392*AN392/BF392/10)</f>
        <v>1.4514772336277095E-2</v>
      </c>
      <c r="AH392" s="50">
        <f t="shared" si="139"/>
        <v>1</v>
      </c>
      <c r="AI392" s="91">
        <f t="shared" si="146"/>
        <v>1.6841713499254504E-2</v>
      </c>
      <c r="AJ392" s="44">
        <v>0</v>
      </c>
      <c r="AK392" s="44">
        <f t="shared" si="153"/>
        <v>1</v>
      </c>
      <c r="AL392" s="44" t="s">
        <v>82</v>
      </c>
      <c r="AM392" s="44" t="s">
        <v>1333</v>
      </c>
      <c r="AN392" s="44">
        <v>66.52</v>
      </c>
      <c r="AO392" s="44">
        <v>0</v>
      </c>
      <c r="AP392" s="44">
        <f t="shared" si="142"/>
        <v>66.52</v>
      </c>
      <c r="AQ392" s="44">
        <v>68.47</v>
      </c>
      <c r="AR392" s="44">
        <v>5.04</v>
      </c>
      <c r="AS392" s="44">
        <v>474.66</v>
      </c>
      <c r="AT392" s="44" t="s">
        <v>83</v>
      </c>
      <c r="AU392" s="44" t="s">
        <v>109</v>
      </c>
      <c r="AV392" s="44" t="s">
        <v>133</v>
      </c>
      <c r="AW392" s="44" t="s">
        <v>85</v>
      </c>
      <c r="AX392" s="44" t="s">
        <v>86</v>
      </c>
      <c r="AY392" s="44">
        <v>0</v>
      </c>
      <c r="AZ392" s="44">
        <v>0</v>
      </c>
      <c r="BA392" s="44" t="s">
        <v>1025</v>
      </c>
      <c r="BB392" s="44" t="s">
        <v>88</v>
      </c>
      <c r="BC392" s="44" t="s">
        <v>113</v>
      </c>
      <c r="BD392" s="44" t="s">
        <v>433</v>
      </c>
      <c r="BE392" s="44" t="s">
        <v>447</v>
      </c>
      <c r="BF392" s="44">
        <v>348.76</v>
      </c>
      <c r="BG392" s="44">
        <v>0</v>
      </c>
      <c r="BH392" s="44">
        <v>237.27</v>
      </c>
      <c r="BI392" s="44" t="s">
        <v>312</v>
      </c>
      <c r="BJ392" s="44" t="s">
        <v>312</v>
      </c>
      <c r="BK392" s="44" t="s">
        <v>91</v>
      </c>
      <c r="BL392" s="44" t="s">
        <v>84</v>
      </c>
      <c r="BM392" s="44">
        <v>1</v>
      </c>
      <c r="BN392" s="44" t="s">
        <v>428</v>
      </c>
      <c r="BO392" s="44" t="s">
        <v>428</v>
      </c>
      <c r="BP392" s="44" t="s">
        <v>1001</v>
      </c>
      <c r="BQ392" s="44" t="s">
        <v>117</v>
      </c>
      <c r="BR392" s="44" t="s">
        <v>134</v>
      </c>
      <c r="BS392" s="44">
        <v>23</v>
      </c>
      <c r="BT392" s="44" t="s">
        <v>312</v>
      </c>
      <c r="BU392" s="65">
        <v>43405</v>
      </c>
      <c r="BV392" s="65">
        <v>43862</v>
      </c>
      <c r="BW392" s="44" t="s">
        <v>94</v>
      </c>
      <c r="BX392" s="44" t="s">
        <v>95</v>
      </c>
      <c r="BY392" s="44" t="s">
        <v>96</v>
      </c>
      <c r="BZ392" s="44">
        <v>0</v>
      </c>
      <c r="CA392" s="44">
        <v>0</v>
      </c>
      <c r="CB392" s="44" t="s">
        <v>97</v>
      </c>
      <c r="CC392" s="44" t="s">
        <v>314</v>
      </c>
      <c r="CD392" s="44">
        <v>1</v>
      </c>
      <c r="CE392" s="44" t="s">
        <v>1002</v>
      </c>
      <c r="CF392" s="44">
        <v>1</v>
      </c>
      <c r="CG392" s="44" t="s">
        <v>597</v>
      </c>
      <c r="CI392" s="44" t="s">
        <v>1465</v>
      </c>
      <c r="CJ392" s="44" t="s">
        <v>98</v>
      </c>
      <c r="CK392" s="44">
        <v>36</v>
      </c>
      <c r="CL392" s="44">
        <v>0</v>
      </c>
      <c r="CM392" s="44">
        <v>0</v>
      </c>
      <c r="CN392" s="44" t="s">
        <v>99</v>
      </c>
      <c r="CO392" s="44" t="s">
        <v>97</v>
      </c>
      <c r="CP392" s="44" t="s">
        <v>100</v>
      </c>
      <c r="CQ392" s="44" t="s">
        <v>126</v>
      </c>
      <c r="CR392" s="45">
        <v>46225</v>
      </c>
      <c r="CT392" s="44" t="s">
        <v>1349</v>
      </c>
    </row>
    <row r="393" spans="1:98" s="44" customFormat="1" x14ac:dyDescent="0.35">
      <c r="A393" s="64" t="s">
        <v>995</v>
      </c>
      <c r="B393" s="64" t="s">
        <v>1347</v>
      </c>
      <c r="C393" s="44" t="s">
        <v>996</v>
      </c>
      <c r="D393" s="44">
        <v>2025</v>
      </c>
      <c r="E393" s="43" t="s">
        <v>997</v>
      </c>
      <c r="F393" s="43" t="s">
        <v>998</v>
      </c>
      <c r="G393" s="44" t="s">
        <v>78</v>
      </c>
      <c r="H393" s="44">
        <v>1</v>
      </c>
      <c r="I393" s="44" t="s">
        <v>686</v>
      </c>
      <c r="J393" s="44" t="s">
        <v>79</v>
      </c>
      <c r="K393" s="44">
        <v>2</v>
      </c>
      <c r="L393" s="44" t="s">
        <v>129</v>
      </c>
      <c r="M393" s="44" t="s">
        <v>380</v>
      </c>
      <c r="N393" s="44">
        <v>0.30620000000000003</v>
      </c>
      <c r="O393" s="44">
        <v>5.6417999999999999</v>
      </c>
      <c r="P393" s="91">
        <f t="shared" si="147"/>
        <v>5.4273458825197636E-2</v>
      </c>
      <c r="Q393" s="44" t="s">
        <v>312</v>
      </c>
      <c r="R393" s="91">
        <f t="shared" si="148"/>
        <v>-10.751728</v>
      </c>
      <c r="S393" s="91">
        <f t="shared" si="149"/>
        <v>11.364128000000001</v>
      </c>
      <c r="T393" s="44">
        <v>1</v>
      </c>
      <c r="U393" s="44">
        <v>131386</v>
      </c>
      <c r="V393" s="44">
        <v>11</v>
      </c>
      <c r="W393" s="44">
        <v>1</v>
      </c>
      <c r="X393" s="44">
        <f t="shared" si="154"/>
        <v>131375</v>
      </c>
      <c r="Y393" s="91">
        <f t="shared" si="150"/>
        <v>1.4973769051398862E-4</v>
      </c>
      <c r="Z393" s="91">
        <f t="shared" si="151"/>
        <v>2.7589487339706757E-3</v>
      </c>
      <c r="AA393" s="91">
        <f t="shared" si="152"/>
        <v>1.4973769051398862E-4</v>
      </c>
      <c r="AB393" s="44" t="s">
        <v>81</v>
      </c>
      <c r="AC393" s="91">
        <f t="shared" si="144"/>
        <v>9.2186603968345002E-4</v>
      </c>
      <c r="AD393" s="91" cm="1">
        <f t="array" ref="AD393">_xlfn.IFS(
AND(L393="marginal_effect",M393="level"),N393*AN393/BF393,
AND(L393="marginal_effect",M393="sd (Y)"),N393*BH393*AN393/BF393,
AND(L393="marginal_effect",M393="sd (X)"),N393/AQ393*AN393/BF393,
AND(L393="semi_elasticity",M393="level"),N393*AN393,
AND(L393="semi_elasticity",M393="sd (Y)"),N393*AN393*BH393,
AND(L393="semi_elasticity",M393="sd (X)"),N393*AN393/AQ393,
AND(L393="level-log",M393="level"),N393/BF393,
AND(L393="level-log",M393="sd (X)"),N393/BF393/AQ393,
AND(L393="level-log",M393="sd (Y)"),N393/BF393*BH393,
AND(L393="elasticity",M393="level"),N393,
AND(L393="elasticity",M393="sd (X)"),N393/AQ393,
AND(L393="elasticity",M393="sd (Y)"),N393*BH393,
AND(L393="marginal_effect",M393="percent_of_mean"),N393*AN393/BF393/10)</f>
        <v>9.2186603968345002E-4</v>
      </c>
      <c r="AE393" s="50">
        <f t="shared" si="138"/>
        <v>1</v>
      </c>
      <c r="AF393" s="91">
        <f t="shared" si="145"/>
        <v>1.6985577474481019E-2</v>
      </c>
      <c r="AG393" s="91" cm="1">
        <f t="array" ref="AG393">_xlfn.IFS(
AND(L393="marginal_effect",M393="level"),O393*AN393/BF393,
AND(L393="marginal_effect",M393="sd (Y)"),O393*BH393*AN393/BF393,
AND(L393="marginal_effect",M393="sd (X)"),O393/AQ393*AN393/BF393,
AND(L393="semi_elasticity",M393="level"),O393*AN393,
AND(L393="semi_elasticity",M393="sd (Y)"),O393*AN393*BH393,
AND(L393="semi_elasticity",M393="sd (X)"),O393*AN393/AQ393,
AND(L393="level-log",M393="level"),O393/BF393,
AND(L393="level-log",M393="sd (X)"),O393/BF393/AQ393,
AND(L393="level-log",M393="sd (Y)"),O393/BF393*BH393,
AND(L393="elasticity",M393="level"),O393,
AND(L393="elasticity",M393="sd (X)"),O393/AQ393,
AND(L393="elasticity",M393="sd (Y)"),O393*BH393,
AND(L393="marginal_effect",M393="percent_of_mean"),O393*AN393/BF393/10)</f>
        <v>1.6985577474481019E-2</v>
      </c>
      <c r="AH393" s="50">
        <f t="shared" si="139"/>
        <v>1</v>
      </c>
      <c r="AI393" s="91">
        <f t="shared" si="146"/>
        <v>9.2186603968345002E-4</v>
      </c>
      <c r="AJ393" s="44">
        <v>0</v>
      </c>
      <c r="AK393" s="44">
        <f t="shared" si="153"/>
        <v>1</v>
      </c>
      <c r="AL393" s="44" t="s">
        <v>162</v>
      </c>
      <c r="AM393" s="44" t="s">
        <v>999</v>
      </c>
      <c r="AN393" s="44">
        <v>1.05</v>
      </c>
      <c r="AO393" s="44">
        <v>0</v>
      </c>
      <c r="AP393" s="44">
        <f t="shared" si="142"/>
        <v>1.05</v>
      </c>
      <c r="AQ393" s="44">
        <v>0.6</v>
      </c>
      <c r="AR393" s="44">
        <v>0.1</v>
      </c>
      <c r="AS393" s="44">
        <v>4.45</v>
      </c>
      <c r="AT393" s="44" t="s">
        <v>83</v>
      </c>
      <c r="AU393" s="44" t="s">
        <v>109</v>
      </c>
      <c r="AV393" s="44" t="s">
        <v>133</v>
      </c>
      <c r="AW393" s="44" t="s">
        <v>85</v>
      </c>
      <c r="AX393" s="44" t="s">
        <v>86</v>
      </c>
      <c r="AY393" s="44">
        <v>0</v>
      </c>
      <c r="AZ393" s="44">
        <v>0</v>
      </c>
      <c r="BA393" s="44" t="s">
        <v>1025</v>
      </c>
      <c r="BB393" s="44" t="s">
        <v>88</v>
      </c>
      <c r="BC393" s="44" t="s">
        <v>113</v>
      </c>
      <c r="BD393" s="44" t="s">
        <v>433</v>
      </c>
      <c r="BE393" s="44" t="s">
        <v>447</v>
      </c>
      <c r="BF393" s="44">
        <v>348.76</v>
      </c>
      <c r="BG393" s="44">
        <v>0</v>
      </c>
      <c r="BH393" s="44">
        <v>237.27</v>
      </c>
      <c r="BI393" s="44" t="s">
        <v>312</v>
      </c>
      <c r="BJ393" s="44" t="s">
        <v>312</v>
      </c>
      <c r="BK393" s="44" t="s">
        <v>91</v>
      </c>
      <c r="BL393" s="44" t="s">
        <v>84</v>
      </c>
      <c r="BM393" s="44">
        <v>1</v>
      </c>
      <c r="BN393" s="44" t="s">
        <v>428</v>
      </c>
      <c r="BO393" s="44" t="s">
        <v>428</v>
      </c>
      <c r="BP393" s="44" t="s">
        <v>1001</v>
      </c>
      <c r="BQ393" s="44" t="s">
        <v>117</v>
      </c>
      <c r="BR393" s="44" t="s">
        <v>134</v>
      </c>
      <c r="BS393" s="44">
        <v>23</v>
      </c>
      <c r="BT393" s="44" t="s">
        <v>312</v>
      </c>
      <c r="BU393" s="65">
        <v>43405</v>
      </c>
      <c r="BV393" s="65">
        <v>43862</v>
      </c>
      <c r="BW393" s="44" t="s">
        <v>94</v>
      </c>
      <c r="BX393" s="44" t="s">
        <v>95</v>
      </c>
      <c r="BY393" s="44" t="s">
        <v>96</v>
      </c>
      <c r="BZ393" s="44">
        <v>0</v>
      </c>
      <c r="CA393" s="44">
        <v>0</v>
      </c>
      <c r="CB393" s="44" t="s">
        <v>97</v>
      </c>
      <c r="CC393" s="44" t="s">
        <v>314</v>
      </c>
      <c r="CD393" s="44">
        <v>1</v>
      </c>
      <c r="CE393" s="44" t="s">
        <v>1002</v>
      </c>
      <c r="CF393" s="44">
        <v>1</v>
      </c>
      <c r="CG393" s="44" t="s">
        <v>598</v>
      </c>
      <c r="CI393" s="44" t="s">
        <v>1465</v>
      </c>
      <c r="CJ393" s="44" t="s">
        <v>98</v>
      </c>
      <c r="CK393" s="44">
        <v>36</v>
      </c>
      <c r="CL393" s="44">
        <v>0</v>
      </c>
      <c r="CM393" s="44">
        <v>0</v>
      </c>
      <c r="CN393" s="44" t="s">
        <v>99</v>
      </c>
      <c r="CO393" s="44" t="s">
        <v>97</v>
      </c>
      <c r="CP393" s="44" t="s">
        <v>100</v>
      </c>
      <c r="CQ393" s="44" t="s">
        <v>126</v>
      </c>
      <c r="CR393" s="45">
        <v>46225</v>
      </c>
      <c r="CT393" s="44" t="s">
        <v>1349</v>
      </c>
    </row>
    <row r="394" spans="1:98" s="44" customFormat="1" x14ac:dyDescent="0.35">
      <c r="A394" s="64" t="s">
        <v>995</v>
      </c>
      <c r="B394" s="64" t="s">
        <v>1348</v>
      </c>
      <c r="C394" s="44" t="s">
        <v>996</v>
      </c>
      <c r="D394" s="44">
        <v>2025</v>
      </c>
      <c r="E394" s="43" t="s">
        <v>997</v>
      </c>
      <c r="F394" s="43" t="s">
        <v>998</v>
      </c>
      <c r="G394" s="44" t="s">
        <v>78</v>
      </c>
      <c r="H394" s="44">
        <v>1</v>
      </c>
      <c r="I394" s="44" t="s">
        <v>686</v>
      </c>
      <c r="J394" s="44" t="s">
        <v>79</v>
      </c>
      <c r="K394" s="44">
        <v>2</v>
      </c>
      <c r="L394" s="44" t="s">
        <v>129</v>
      </c>
      <c r="M394" s="44" t="s">
        <v>380</v>
      </c>
      <c r="N394" s="44">
        <v>0.2288</v>
      </c>
      <c r="O394" s="44">
        <v>0.109</v>
      </c>
      <c r="P394" s="91">
        <f t="shared" si="147"/>
        <v>2.0990825688073396</v>
      </c>
      <c r="Q394" s="44" t="s">
        <v>312</v>
      </c>
      <c r="R394" s="91">
        <f t="shared" si="148"/>
        <v>1.5160000000000007E-2</v>
      </c>
      <c r="S394" s="91">
        <f t="shared" si="149"/>
        <v>0.44244</v>
      </c>
      <c r="T394" s="44">
        <v>1</v>
      </c>
      <c r="U394" s="44">
        <v>131386</v>
      </c>
      <c r="V394" s="44">
        <v>11</v>
      </c>
      <c r="W394" s="44">
        <v>1</v>
      </c>
      <c r="X394" s="44">
        <f t="shared" si="154"/>
        <v>131375</v>
      </c>
      <c r="Y394" s="91">
        <f t="shared" si="150"/>
        <v>5.7911641473704714E-3</v>
      </c>
      <c r="Z394" s="91">
        <f t="shared" si="151"/>
        <v>2.7589025002770161E-3</v>
      </c>
      <c r="AA394" s="91">
        <f t="shared" si="152"/>
        <v>5.7911641473704714E-3</v>
      </c>
      <c r="AB394" s="44" t="s">
        <v>81</v>
      </c>
      <c r="AC394" s="91">
        <f t="shared" si="144"/>
        <v>3.3818786558091521E-2</v>
      </c>
      <c r="AD394" s="91" cm="1">
        <f t="array" ref="AD394">_xlfn.IFS(
AND(L394="marginal_effect",M394="level"),N394*AN394/BF394,
AND(L394="marginal_effect",M394="sd (Y)"),N394*BH394*AN394/BF394,
AND(L394="marginal_effect",M394="sd (X)"),N394/AQ394*AN394/BF394,
AND(L394="semi_elasticity",M394="level"),N394*AN394,
AND(L394="semi_elasticity",M394="sd (Y)"),N394*AN394*BH394,
AND(L394="semi_elasticity",M394="sd (X)"),N394*AN394/AQ394,
AND(L394="level-log",M394="level"),N394/BF394,
AND(L394="level-log",M394="sd (X)"),N394/BF394/AQ394,
AND(L394="level-log",M394="sd (Y)"),N394/BF394*BH394,
AND(L394="elasticity",M394="level"),N394,
AND(L394="elasticity",M394="sd (X)"),N394/AQ394,
AND(L394="elasticity",M394="sd (Y)"),N394*BH394,
AND(L394="marginal_effect",M394="percent_of_mean"),N394*AN394/BF394/10)</f>
        <v>3.3818786558091521E-2</v>
      </c>
      <c r="AE394" s="50">
        <f t="shared" si="138"/>
        <v>1</v>
      </c>
      <c r="AF394" s="91">
        <f t="shared" si="145"/>
        <v>1.6111222617272623E-2</v>
      </c>
      <c r="AG394" s="91" cm="1">
        <f t="array" ref="AG394">_xlfn.IFS(
AND(L394="marginal_effect",M394="level"),O394*AN394/BF394,
AND(L394="marginal_effect",M394="sd (Y)"),O394*BH394*AN394/BF394,
AND(L394="marginal_effect",M394="sd (X)"),O394/AQ394*AN394/BF394,
AND(L394="semi_elasticity",M394="level"),O394*AN394,
AND(L394="semi_elasticity",M394="sd (Y)"),O394*AN394*BH394,
AND(L394="semi_elasticity",M394="sd (X)"),O394*AN394/AQ394,
AND(L394="level-log",M394="level"),O394/BF394,
AND(L394="level-log",M394="sd (X)"),O394/BF394/AQ394,
AND(L394="level-log",M394="sd (Y)"),O394/BF394*BH394,
AND(L394="elasticity",M394="level"),O394,
AND(L394="elasticity",M394="sd (X)"),O394/AQ394,
AND(L394="elasticity",M394="sd (Y)"),O394*BH394,
AND(L394="marginal_effect",M394="percent_of_mean"),O394*AN394/BF394/10)</f>
        <v>1.6111222617272623E-2</v>
      </c>
      <c r="AH394" s="50">
        <f t="shared" si="139"/>
        <v>1</v>
      </c>
      <c r="AI394" s="91">
        <f t="shared" si="146"/>
        <v>3.3818786558091521E-2</v>
      </c>
      <c r="AJ394" s="44">
        <v>0</v>
      </c>
      <c r="AK394" s="44">
        <f t="shared" si="153"/>
        <v>1</v>
      </c>
      <c r="AL394" s="44" t="s">
        <v>148</v>
      </c>
      <c r="AM394" s="44" t="s">
        <v>1333</v>
      </c>
      <c r="AN394" s="44">
        <v>51.55</v>
      </c>
      <c r="AO394" s="44">
        <v>0</v>
      </c>
      <c r="AP394" s="44">
        <f t="shared" si="142"/>
        <v>51.55</v>
      </c>
      <c r="AQ394" s="44">
        <v>30.87</v>
      </c>
      <c r="AR394" s="44">
        <v>2.12</v>
      </c>
      <c r="AS394" s="44">
        <v>175.4</v>
      </c>
      <c r="AT394" s="44" t="s">
        <v>83</v>
      </c>
      <c r="AU394" s="44" t="s">
        <v>109</v>
      </c>
      <c r="AV394" s="44" t="s">
        <v>133</v>
      </c>
      <c r="AW394" s="44" t="s">
        <v>85</v>
      </c>
      <c r="AX394" s="44" t="s">
        <v>86</v>
      </c>
      <c r="AY394" s="44">
        <v>0</v>
      </c>
      <c r="AZ394" s="44">
        <v>0</v>
      </c>
      <c r="BA394" s="44" t="s">
        <v>1025</v>
      </c>
      <c r="BB394" s="44" t="s">
        <v>88</v>
      </c>
      <c r="BC394" s="44" t="s">
        <v>113</v>
      </c>
      <c r="BD394" s="44" t="s">
        <v>433</v>
      </c>
      <c r="BE394" s="44" t="s">
        <v>447</v>
      </c>
      <c r="BF394" s="44">
        <v>348.76</v>
      </c>
      <c r="BG394" s="44">
        <v>0</v>
      </c>
      <c r="BH394" s="44">
        <v>237.27</v>
      </c>
      <c r="BI394" s="44" t="s">
        <v>312</v>
      </c>
      <c r="BJ394" s="44" t="s">
        <v>312</v>
      </c>
      <c r="BK394" s="44" t="s">
        <v>91</v>
      </c>
      <c r="BL394" s="44" t="s">
        <v>84</v>
      </c>
      <c r="BM394" s="44">
        <v>1</v>
      </c>
      <c r="BN394" s="44" t="s">
        <v>428</v>
      </c>
      <c r="BO394" s="44" t="s">
        <v>428</v>
      </c>
      <c r="BP394" s="44" t="s">
        <v>1001</v>
      </c>
      <c r="BQ394" s="44" t="s">
        <v>117</v>
      </c>
      <c r="BR394" s="44" t="s">
        <v>134</v>
      </c>
      <c r="BS394" s="44">
        <v>23</v>
      </c>
      <c r="BT394" s="44" t="s">
        <v>312</v>
      </c>
      <c r="BU394" s="65">
        <v>43405</v>
      </c>
      <c r="BV394" s="65">
        <v>43862</v>
      </c>
      <c r="BW394" s="44" t="s">
        <v>94</v>
      </c>
      <c r="BX394" s="44" t="s">
        <v>95</v>
      </c>
      <c r="BY394" s="44" t="s">
        <v>96</v>
      </c>
      <c r="BZ394" s="44">
        <v>0</v>
      </c>
      <c r="CA394" s="44">
        <v>0</v>
      </c>
      <c r="CB394" s="44" t="s">
        <v>97</v>
      </c>
      <c r="CC394" s="44" t="s">
        <v>314</v>
      </c>
      <c r="CD394" s="44">
        <v>1</v>
      </c>
      <c r="CE394" s="44" t="s">
        <v>1002</v>
      </c>
      <c r="CF394" s="44">
        <v>1</v>
      </c>
      <c r="CG394" s="44" t="s">
        <v>599</v>
      </c>
      <c r="CI394" s="44" t="s">
        <v>1465</v>
      </c>
      <c r="CJ394" s="44" t="s">
        <v>98</v>
      </c>
      <c r="CK394" s="44">
        <v>36</v>
      </c>
      <c r="CL394" s="44">
        <v>0</v>
      </c>
      <c r="CM394" s="44">
        <v>0</v>
      </c>
      <c r="CN394" s="44" t="s">
        <v>99</v>
      </c>
      <c r="CO394" s="44" t="s">
        <v>97</v>
      </c>
      <c r="CP394" s="44" t="s">
        <v>100</v>
      </c>
      <c r="CQ394" s="44" t="s">
        <v>126</v>
      </c>
      <c r="CR394" s="45">
        <v>46225</v>
      </c>
      <c r="CT394" s="44" t="s">
        <v>1349</v>
      </c>
    </row>
    <row r="395" spans="1:98" s="44" customFormat="1" x14ac:dyDescent="0.35">
      <c r="A395" s="64" t="s">
        <v>995</v>
      </c>
      <c r="B395" s="64" t="s">
        <v>1346</v>
      </c>
      <c r="C395" s="44" t="s">
        <v>996</v>
      </c>
      <c r="D395" s="44">
        <v>2025</v>
      </c>
      <c r="E395" s="43" t="s">
        <v>997</v>
      </c>
      <c r="F395" s="43" t="s">
        <v>998</v>
      </c>
      <c r="G395" s="44" t="s">
        <v>78</v>
      </c>
      <c r="H395" s="44">
        <v>1</v>
      </c>
      <c r="I395" s="44" t="s">
        <v>686</v>
      </c>
      <c r="J395" s="44" t="s">
        <v>79</v>
      </c>
      <c r="K395" s="44">
        <v>2</v>
      </c>
      <c r="L395" s="44" t="s">
        <v>129</v>
      </c>
      <c r="M395" s="44" t="s">
        <v>380</v>
      </c>
      <c r="N395" s="44">
        <v>6.6900000000000001E-2</v>
      </c>
      <c r="O395" s="44">
        <v>7.5399999999999995E-2</v>
      </c>
      <c r="P395" s="91">
        <f t="shared" si="147"/>
        <v>0.88726790450928394</v>
      </c>
      <c r="Q395" s="44" t="s">
        <v>312</v>
      </c>
      <c r="R395" s="91">
        <f t="shared" si="148"/>
        <v>-8.0883999999999998E-2</v>
      </c>
      <c r="S395" s="91">
        <f t="shared" si="149"/>
        <v>0.21468399999999999</v>
      </c>
      <c r="T395" s="44">
        <v>1</v>
      </c>
      <c r="U395" s="44">
        <v>131386</v>
      </c>
      <c r="V395" s="44">
        <v>9</v>
      </c>
      <c r="W395" s="44">
        <v>1</v>
      </c>
      <c r="X395" s="44">
        <f t="shared" si="154"/>
        <v>131377</v>
      </c>
      <c r="Y395" s="91">
        <f t="shared" si="150"/>
        <v>2.4479007221599298E-3</v>
      </c>
      <c r="Z395" s="91">
        <f t="shared" si="151"/>
        <v>2.7589194985180674E-3</v>
      </c>
      <c r="AA395" s="91">
        <f t="shared" si="152"/>
        <v>2.4479007221599298E-3</v>
      </c>
      <c r="AB395" s="44" t="s">
        <v>81</v>
      </c>
      <c r="AC395" s="91">
        <f t="shared" si="144"/>
        <v>1.2760029819933478E-2</v>
      </c>
      <c r="AD395" s="91" cm="1">
        <f t="array" ref="AD395">_xlfn.IFS(
AND(L395="marginal_effect",M395="level"),N395*AN395/BF395,
AND(L395="marginal_effect",M395="sd (Y)"),N395*BH395*AN395/BF395,
AND(L395="marginal_effect",M395="sd (X)"),N395/AQ395*AN395/BF395,
AND(L395="semi_elasticity",M395="level"),N395*AN395,
AND(L395="semi_elasticity",M395="sd (Y)"),N395*AN395*BH395,
AND(L395="semi_elasticity",M395="sd (X)"),N395*AN395/AQ395,
AND(L395="level-log",M395="level"),N395/BF395,
AND(L395="level-log",M395="sd (X)"),N395/BF395/AQ395,
AND(L395="level-log",M395="sd (Y)"),N395/BF395*BH395,
AND(L395="elasticity",M395="level"),N395,
AND(L395="elasticity",M395="sd (X)"),N395/AQ395,
AND(L395="elasticity",M395="sd (Y)"),N395*BH395,
AND(L395="marginal_effect",M395="percent_of_mean"),N395*AN395/BF395/10)</f>
        <v>1.2760029819933478E-2</v>
      </c>
      <c r="AE395" s="50">
        <f t="shared" si="138"/>
        <v>1</v>
      </c>
      <c r="AF395" s="91">
        <f t="shared" si="145"/>
        <v>1.438125931872921E-2</v>
      </c>
      <c r="AG395" s="91" cm="1">
        <f t="array" ref="AG395">_xlfn.IFS(
AND(L395="marginal_effect",M395="level"),O395*AN395/BF395,
AND(L395="marginal_effect",M395="sd (Y)"),O395*BH395*AN395/BF395,
AND(L395="marginal_effect",M395="sd (X)"),O395/AQ395*AN395/BF395,
AND(L395="semi_elasticity",M395="level"),O395*AN395,
AND(L395="semi_elasticity",M395="sd (Y)"),O395*AN395*BH395,
AND(L395="semi_elasticity",M395="sd (X)"),O395*AN395/AQ395,
AND(L395="level-log",M395="level"),O395/BF395,
AND(L395="level-log",M395="sd (X)"),O395/BF395/AQ395,
AND(L395="level-log",M395="sd (Y)"),O395/BF395*BH395,
AND(L395="elasticity",M395="level"),O395,
AND(L395="elasticity",M395="sd (X)"),O395/AQ395,
AND(L395="elasticity",M395="sd (Y)"),O395*BH395,
AND(L395="marginal_effect",M395="percent_of_mean"),O395*AN395/BF395/10)</f>
        <v>1.438125931872921E-2</v>
      </c>
      <c r="AH395" s="50">
        <f t="shared" si="139"/>
        <v>1</v>
      </c>
      <c r="AI395" s="91">
        <f t="shared" si="146"/>
        <v>1.2760029819933478E-2</v>
      </c>
      <c r="AJ395" s="44">
        <v>0</v>
      </c>
      <c r="AK395" s="44">
        <f t="shared" si="153"/>
        <v>1</v>
      </c>
      <c r="AL395" s="44" t="s">
        <v>82</v>
      </c>
      <c r="AM395" s="44" t="s">
        <v>1333</v>
      </c>
      <c r="AN395" s="44">
        <v>66.52</v>
      </c>
      <c r="AO395" s="44">
        <v>0</v>
      </c>
      <c r="AP395" s="44">
        <f t="shared" si="142"/>
        <v>66.52</v>
      </c>
      <c r="AQ395" s="44">
        <v>68.47</v>
      </c>
      <c r="AR395" s="44">
        <v>5.04</v>
      </c>
      <c r="AS395" s="44">
        <v>474.66</v>
      </c>
      <c r="AT395" s="44" t="s">
        <v>83</v>
      </c>
      <c r="AU395" s="44" t="s">
        <v>109</v>
      </c>
      <c r="AV395" s="44" t="s">
        <v>133</v>
      </c>
      <c r="AW395" s="44" t="s">
        <v>85</v>
      </c>
      <c r="AX395" s="44" t="s">
        <v>86</v>
      </c>
      <c r="AY395" s="44">
        <v>0</v>
      </c>
      <c r="AZ395" s="44">
        <v>0</v>
      </c>
      <c r="BA395" s="44" t="s">
        <v>1025</v>
      </c>
      <c r="BB395" s="44" t="s">
        <v>88</v>
      </c>
      <c r="BC395" s="44" t="s">
        <v>113</v>
      </c>
      <c r="BD395" s="44" t="s">
        <v>433</v>
      </c>
      <c r="BE395" s="44" t="s">
        <v>447</v>
      </c>
      <c r="BF395" s="44">
        <v>348.76</v>
      </c>
      <c r="BG395" s="44">
        <v>0</v>
      </c>
      <c r="BH395" s="44">
        <v>237.27</v>
      </c>
      <c r="BI395" s="44" t="s">
        <v>312</v>
      </c>
      <c r="BJ395" s="44" t="s">
        <v>312</v>
      </c>
      <c r="BK395" s="44" t="s">
        <v>91</v>
      </c>
      <c r="BL395" s="44" t="s">
        <v>84</v>
      </c>
      <c r="BM395" s="44">
        <v>1</v>
      </c>
      <c r="BN395" s="44" t="s">
        <v>428</v>
      </c>
      <c r="BO395" s="44" t="s">
        <v>428</v>
      </c>
      <c r="BP395" s="44" t="s">
        <v>1001</v>
      </c>
      <c r="BQ395" s="44" t="s">
        <v>117</v>
      </c>
      <c r="BR395" s="44" t="s">
        <v>134</v>
      </c>
      <c r="BS395" s="44">
        <v>23</v>
      </c>
      <c r="BT395" s="44" t="s">
        <v>312</v>
      </c>
      <c r="BU395" s="65">
        <v>43405</v>
      </c>
      <c r="BV395" s="65">
        <v>43862</v>
      </c>
      <c r="BW395" s="44" t="s">
        <v>94</v>
      </c>
      <c r="BX395" s="44" t="s">
        <v>95</v>
      </c>
      <c r="BY395" s="44" t="s">
        <v>96</v>
      </c>
      <c r="BZ395" s="44">
        <v>0</v>
      </c>
      <c r="CA395" s="44">
        <v>0</v>
      </c>
      <c r="CB395" s="44" t="s">
        <v>97</v>
      </c>
      <c r="CC395" s="44" t="s">
        <v>314</v>
      </c>
      <c r="CD395" s="44">
        <v>1</v>
      </c>
      <c r="CE395" s="44" t="s">
        <v>1002</v>
      </c>
      <c r="CF395" s="44">
        <v>0</v>
      </c>
      <c r="CG395" s="44" t="s">
        <v>97</v>
      </c>
      <c r="CI395" s="44" t="s">
        <v>1465</v>
      </c>
      <c r="CJ395" s="44" t="s">
        <v>98</v>
      </c>
      <c r="CK395" s="44">
        <v>36</v>
      </c>
      <c r="CL395" s="44">
        <v>0</v>
      </c>
      <c r="CM395" s="44">
        <v>0</v>
      </c>
      <c r="CN395" s="44" t="s">
        <v>124</v>
      </c>
      <c r="CO395" s="44" t="s">
        <v>97</v>
      </c>
      <c r="CP395" s="44" t="s">
        <v>100</v>
      </c>
      <c r="CQ395" s="44" t="s">
        <v>126</v>
      </c>
      <c r="CR395" s="45">
        <v>46225</v>
      </c>
      <c r="CT395" s="44" t="s">
        <v>1351</v>
      </c>
    </row>
    <row r="396" spans="1:98" s="44" customFormat="1" x14ac:dyDescent="0.35">
      <c r="A396" s="64" t="s">
        <v>995</v>
      </c>
      <c r="B396" s="64" t="s">
        <v>1347</v>
      </c>
      <c r="C396" s="44" t="s">
        <v>996</v>
      </c>
      <c r="D396" s="44">
        <v>2025</v>
      </c>
      <c r="E396" s="43" t="s">
        <v>997</v>
      </c>
      <c r="F396" s="43" t="s">
        <v>998</v>
      </c>
      <c r="G396" s="44" t="s">
        <v>78</v>
      </c>
      <c r="H396" s="44">
        <v>1</v>
      </c>
      <c r="I396" s="44" t="s">
        <v>686</v>
      </c>
      <c r="J396" s="44" t="s">
        <v>79</v>
      </c>
      <c r="K396" s="44">
        <v>2</v>
      </c>
      <c r="L396" s="44" t="s">
        <v>129</v>
      </c>
      <c r="M396" s="44" t="s">
        <v>380</v>
      </c>
      <c r="N396" s="44">
        <v>2.5893000000000002</v>
      </c>
      <c r="O396" s="44">
        <v>5.5909000000000004</v>
      </c>
      <c r="P396" s="91">
        <f t="shared" si="147"/>
        <v>0.46312758232127205</v>
      </c>
      <c r="Q396" s="44" t="s">
        <v>312</v>
      </c>
      <c r="R396" s="91">
        <f t="shared" si="148"/>
        <v>-8.3688640000000003</v>
      </c>
      <c r="S396" s="91">
        <f t="shared" si="149"/>
        <v>13.547464</v>
      </c>
      <c r="T396" s="44">
        <v>1</v>
      </c>
      <c r="U396" s="44">
        <v>131386</v>
      </c>
      <c r="V396" s="44">
        <v>9</v>
      </c>
      <c r="W396" s="44">
        <v>1</v>
      </c>
      <c r="X396" s="44">
        <f t="shared" si="154"/>
        <v>131377</v>
      </c>
      <c r="Y396" s="91">
        <f t="shared" si="150"/>
        <v>1.2777345023889176E-3</v>
      </c>
      <c r="Z396" s="91">
        <f t="shared" si="151"/>
        <v>2.7589255124574976E-3</v>
      </c>
      <c r="AA396" s="91">
        <f t="shared" si="152"/>
        <v>1.2777345023889176E-3</v>
      </c>
      <c r="AB396" s="44" t="s">
        <v>81</v>
      </c>
      <c r="AC396" s="91">
        <f t="shared" si="144"/>
        <v>7.7955184080743213E-3</v>
      </c>
      <c r="AD396" s="91" cm="1">
        <f t="array" ref="AD396">_xlfn.IFS(
AND(L396="marginal_effect",M396="level"),N396*AN396/BF396,
AND(L396="marginal_effect",M396="sd (Y)"),N396*BH396*AN396/BF396,
AND(L396="marginal_effect",M396="sd (X)"),N396/AQ396*AN396/BF396,
AND(L396="semi_elasticity",M396="level"),N396*AN396,
AND(L396="semi_elasticity",M396="sd (Y)"),N396*AN396*BH396,
AND(L396="semi_elasticity",M396="sd (X)"),N396*AN396/AQ396,
AND(L396="level-log",M396="level"),N396/BF396,
AND(L396="level-log",M396="sd (X)"),N396/BF396/AQ396,
AND(L396="level-log",M396="sd (Y)"),N396/BF396*BH396,
AND(L396="elasticity",M396="level"),N396,
AND(L396="elasticity",M396="sd (X)"),N396/AQ396,
AND(L396="elasticity",M396="sd (Y)"),N396*BH396,
AND(L396="marginal_effect",M396="percent_of_mean"),N396*AN396/BF396/10)</f>
        <v>7.7955184080743213E-3</v>
      </c>
      <c r="AE396" s="50">
        <f t="shared" si="138"/>
        <v>1</v>
      </c>
      <c r="AF396" s="91">
        <f t="shared" si="145"/>
        <v>1.6832334556715223E-2</v>
      </c>
      <c r="AG396" s="91" cm="1">
        <f t="array" ref="AG396">_xlfn.IFS(
AND(L396="marginal_effect",M396="level"),O396*AN396/BF396,
AND(L396="marginal_effect",M396="sd (Y)"),O396*BH396*AN396/BF396,
AND(L396="marginal_effect",M396="sd (X)"),O396/AQ396*AN396/BF396,
AND(L396="semi_elasticity",M396="level"),O396*AN396,
AND(L396="semi_elasticity",M396="sd (Y)"),O396*AN396*BH396,
AND(L396="semi_elasticity",M396="sd (X)"),O396*AN396/AQ396,
AND(L396="level-log",M396="level"),O396/BF396,
AND(L396="level-log",M396="sd (X)"),O396/BF396/AQ396,
AND(L396="level-log",M396="sd (Y)"),O396/BF396*BH396,
AND(L396="elasticity",M396="level"),O396,
AND(L396="elasticity",M396="sd (X)"),O396/AQ396,
AND(L396="elasticity",M396="sd (Y)"),O396*BH396,
AND(L396="marginal_effect",M396="percent_of_mean"),O396*AN396/BF396/10)</f>
        <v>1.6832334556715223E-2</v>
      </c>
      <c r="AH396" s="50">
        <f t="shared" si="139"/>
        <v>1</v>
      </c>
      <c r="AI396" s="91">
        <f t="shared" si="146"/>
        <v>7.7955184080743213E-3</v>
      </c>
      <c r="AJ396" s="44">
        <v>0</v>
      </c>
      <c r="AK396" s="44">
        <f t="shared" si="153"/>
        <v>1</v>
      </c>
      <c r="AL396" s="44" t="s">
        <v>162</v>
      </c>
      <c r="AM396" s="44" t="s">
        <v>999</v>
      </c>
      <c r="AN396" s="44">
        <v>1.05</v>
      </c>
      <c r="AO396" s="44">
        <v>0</v>
      </c>
      <c r="AP396" s="44">
        <f t="shared" si="142"/>
        <v>1.05</v>
      </c>
      <c r="AQ396" s="44">
        <v>0.6</v>
      </c>
      <c r="AR396" s="44">
        <v>0.1</v>
      </c>
      <c r="AS396" s="44">
        <v>4.45</v>
      </c>
      <c r="AT396" s="44" t="s">
        <v>83</v>
      </c>
      <c r="AU396" s="44" t="s">
        <v>109</v>
      </c>
      <c r="AV396" s="44" t="s">
        <v>133</v>
      </c>
      <c r="AW396" s="44" t="s">
        <v>85</v>
      </c>
      <c r="AX396" s="44" t="s">
        <v>86</v>
      </c>
      <c r="AY396" s="44">
        <v>0</v>
      </c>
      <c r="AZ396" s="44">
        <v>0</v>
      </c>
      <c r="BA396" s="44" t="s">
        <v>1025</v>
      </c>
      <c r="BB396" s="44" t="s">
        <v>88</v>
      </c>
      <c r="BC396" s="44" t="s">
        <v>113</v>
      </c>
      <c r="BD396" s="44" t="s">
        <v>433</v>
      </c>
      <c r="BE396" s="44" t="s">
        <v>447</v>
      </c>
      <c r="BF396" s="44">
        <v>348.76</v>
      </c>
      <c r="BG396" s="44">
        <v>0</v>
      </c>
      <c r="BH396" s="44">
        <v>237.27</v>
      </c>
      <c r="BI396" s="44" t="s">
        <v>312</v>
      </c>
      <c r="BJ396" s="44" t="s">
        <v>312</v>
      </c>
      <c r="BK396" s="44" t="s">
        <v>91</v>
      </c>
      <c r="BL396" s="44" t="s">
        <v>84</v>
      </c>
      <c r="BM396" s="44">
        <v>1</v>
      </c>
      <c r="BN396" s="44" t="s">
        <v>428</v>
      </c>
      <c r="BO396" s="44" t="s">
        <v>428</v>
      </c>
      <c r="BP396" s="44" t="s">
        <v>1001</v>
      </c>
      <c r="BQ396" s="44" t="s">
        <v>117</v>
      </c>
      <c r="BR396" s="44" t="s">
        <v>134</v>
      </c>
      <c r="BS396" s="44">
        <v>23</v>
      </c>
      <c r="BT396" s="44" t="s">
        <v>312</v>
      </c>
      <c r="BU396" s="65">
        <v>43405</v>
      </c>
      <c r="BV396" s="65">
        <v>43862</v>
      </c>
      <c r="BW396" s="44" t="s">
        <v>94</v>
      </c>
      <c r="BX396" s="44" t="s">
        <v>95</v>
      </c>
      <c r="BY396" s="44" t="s">
        <v>96</v>
      </c>
      <c r="BZ396" s="44">
        <v>0</v>
      </c>
      <c r="CA396" s="44">
        <v>0</v>
      </c>
      <c r="CB396" s="44" t="s">
        <v>97</v>
      </c>
      <c r="CC396" s="44" t="s">
        <v>314</v>
      </c>
      <c r="CD396" s="44">
        <v>1</v>
      </c>
      <c r="CE396" s="44" t="s">
        <v>1002</v>
      </c>
      <c r="CF396" s="44">
        <v>0</v>
      </c>
      <c r="CG396" s="44" t="s">
        <v>97</v>
      </c>
      <c r="CI396" s="44" t="s">
        <v>1465</v>
      </c>
      <c r="CJ396" s="44" t="s">
        <v>98</v>
      </c>
      <c r="CK396" s="44">
        <v>36</v>
      </c>
      <c r="CL396" s="44">
        <v>0</v>
      </c>
      <c r="CM396" s="44">
        <v>0</v>
      </c>
      <c r="CN396" s="44" t="s">
        <v>124</v>
      </c>
      <c r="CO396" s="44" t="s">
        <v>97</v>
      </c>
      <c r="CP396" s="44" t="s">
        <v>100</v>
      </c>
      <c r="CQ396" s="44" t="s">
        <v>126</v>
      </c>
      <c r="CR396" s="45">
        <v>46225</v>
      </c>
      <c r="CT396" s="44" t="s">
        <v>1350</v>
      </c>
    </row>
    <row r="397" spans="1:98" s="44" customFormat="1" x14ac:dyDescent="0.35">
      <c r="A397" s="64" t="s">
        <v>995</v>
      </c>
      <c r="B397" s="64" t="s">
        <v>1348</v>
      </c>
      <c r="C397" s="44" t="s">
        <v>996</v>
      </c>
      <c r="D397" s="44">
        <v>2025</v>
      </c>
      <c r="E397" s="43" t="s">
        <v>997</v>
      </c>
      <c r="F397" s="43" t="s">
        <v>998</v>
      </c>
      <c r="G397" s="44" t="s">
        <v>78</v>
      </c>
      <c r="H397" s="44">
        <v>1</v>
      </c>
      <c r="I397" s="44" t="s">
        <v>686</v>
      </c>
      <c r="J397" s="44" t="s">
        <v>79</v>
      </c>
      <c r="K397" s="44">
        <v>2</v>
      </c>
      <c r="L397" s="44" t="s">
        <v>129</v>
      </c>
      <c r="M397" s="44" t="s">
        <v>380</v>
      </c>
      <c r="N397" s="44">
        <v>0.19900000000000001</v>
      </c>
      <c r="O397" s="44">
        <v>0.1125</v>
      </c>
      <c r="P397" s="91">
        <f t="shared" ref="P397:P428" si="155">N397/O397</f>
        <v>1.768888888888889</v>
      </c>
      <c r="Q397" s="44" t="s">
        <v>312</v>
      </c>
      <c r="R397" s="91">
        <f t="shared" ref="R397:R428" si="156">N397-1.96*O397</f>
        <v>-2.1499999999999991E-2</v>
      </c>
      <c r="S397" s="91">
        <f t="shared" ref="S397:S428" si="157">N397+1.96*O397</f>
        <v>0.41949999999999998</v>
      </c>
      <c r="T397" s="44">
        <v>1</v>
      </c>
      <c r="U397" s="44">
        <v>131386</v>
      </c>
      <c r="V397" s="44">
        <v>9</v>
      </c>
      <c r="W397" s="44">
        <v>1</v>
      </c>
      <c r="X397" s="44">
        <f t="shared" si="154"/>
        <v>131377</v>
      </c>
      <c r="Y397" s="91">
        <f t="shared" ref="Y397:Y428" si="158">P397/(P397^2 + X397)^(1/2)</f>
        <v>4.8801785534577907E-3</v>
      </c>
      <c r="Z397" s="91">
        <f t="shared" ref="Z397:Z428" si="159">((1-Y397^2)/X397)^(1/2)</f>
        <v>2.758894910874379E-3</v>
      </c>
      <c r="AA397" s="91">
        <f t="shared" si="152"/>
        <v>4.8801785534577907E-3</v>
      </c>
      <c r="AB397" s="44" t="s">
        <v>81</v>
      </c>
      <c r="AC397" s="91">
        <f t="shared" si="144"/>
        <v>2.9414066980158277E-2</v>
      </c>
      <c r="AD397" s="91" cm="1">
        <f t="array" ref="AD397">_xlfn.IFS(
AND(L397="marginal_effect",M397="level"),N397*AN397/BF397,
AND(L397="marginal_effect",M397="sd (Y)"),N397*BH397*AN397/BF397,
AND(L397="marginal_effect",M397="sd (X)"),N397/AQ397*AN397/BF397,
AND(L397="semi_elasticity",M397="level"),N397*AN397,
AND(L397="semi_elasticity",M397="sd (Y)"),N397*AN397*BH397,
AND(L397="semi_elasticity",M397="sd (X)"),N397*AN397/AQ397,
AND(L397="level-log",M397="level"),N397/BF397,
AND(L397="level-log",M397="sd (X)"),N397/BF397/AQ397,
AND(L397="level-log",M397="sd (Y)"),N397/BF397*BH397,
AND(L397="elasticity",M397="level"),N397,
AND(L397="elasticity",M397="sd (X)"),N397/AQ397,
AND(L397="elasticity",M397="sd (Y)"),N397*BH397,
AND(L397="marginal_effect",M397="percent_of_mean"),N397*AN397/BF397/10)</f>
        <v>2.9414066980158277E-2</v>
      </c>
      <c r="AE397" s="50">
        <f t="shared" si="138"/>
        <v>1</v>
      </c>
      <c r="AF397" s="91">
        <f t="shared" si="145"/>
        <v>1.6628555453607065E-2</v>
      </c>
      <c r="AG397" s="91" cm="1">
        <f t="array" ref="AG397">_xlfn.IFS(
AND(L397="marginal_effect",M397="level"),O397*AN397/BF397,
AND(L397="marginal_effect",M397="sd (Y)"),O397*BH397*AN397/BF397,
AND(L397="marginal_effect",M397="sd (X)"),O397/AQ397*AN397/BF397,
AND(L397="semi_elasticity",M397="level"),O397*AN397,
AND(L397="semi_elasticity",M397="sd (Y)"),O397*AN397*BH397,
AND(L397="semi_elasticity",M397="sd (X)"),O397*AN397/AQ397,
AND(L397="level-log",M397="level"),O397/BF397,
AND(L397="level-log",M397="sd (X)"),O397/BF397/AQ397,
AND(L397="level-log",M397="sd (Y)"),O397/BF397*BH397,
AND(L397="elasticity",M397="level"),O397,
AND(L397="elasticity",M397="sd (X)"),O397/AQ397,
AND(L397="elasticity",M397="sd (Y)"),O397*BH397,
AND(L397="marginal_effect",M397="percent_of_mean"),O397*AN397/BF397/10)</f>
        <v>1.6628555453607065E-2</v>
      </c>
      <c r="AH397" s="50">
        <f t="shared" si="139"/>
        <v>1</v>
      </c>
      <c r="AI397" s="91">
        <f t="shared" si="146"/>
        <v>2.9414066980158277E-2</v>
      </c>
      <c r="AJ397" s="44">
        <v>0</v>
      </c>
      <c r="AK397" s="44">
        <f t="shared" ref="AK397:AK428" si="160">IF(P397=(AC397/AF397),1,0)</f>
        <v>1</v>
      </c>
      <c r="AL397" s="44" t="s">
        <v>148</v>
      </c>
      <c r="AM397" s="44" t="s">
        <v>1333</v>
      </c>
      <c r="AN397" s="44">
        <v>51.55</v>
      </c>
      <c r="AO397" s="44">
        <v>0</v>
      </c>
      <c r="AP397" s="44">
        <f t="shared" si="142"/>
        <v>51.55</v>
      </c>
      <c r="AQ397" s="44">
        <v>30.87</v>
      </c>
      <c r="AR397" s="44">
        <v>2.12</v>
      </c>
      <c r="AS397" s="44">
        <v>175.4</v>
      </c>
      <c r="AT397" s="44" t="s">
        <v>83</v>
      </c>
      <c r="AU397" s="44" t="s">
        <v>109</v>
      </c>
      <c r="AV397" s="44" t="s">
        <v>133</v>
      </c>
      <c r="AW397" s="44" t="s">
        <v>85</v>
      </c>
      <c r="AX397" s="44" t="s">
        <v>86</v>
      </c>
      <c r="AY397" s="44">
        <v>0</v>
      </c>
      <c r="AZ397" s="44">
        <v>0</v>
      </c>
      <c r="BA397" s="44" t="s">
        <v>1025</v>
      </c>
      <c r="BB397" s="44" t="s">
        <v>88</v>
      </c>
      <c r="BC397" s="44" t="s">
        <v>113</v>
      </c>
      <c r="BD397" s="44" t="s">
        <v>433</v>
      </c>
      <c r="BE397" s="44" t="s">
        <v>447</v>
      </c>
      <c r="BF397" s="44">
        <v>348.76</v>
      </c>
      <c r="BG397" s="44">
        <v>0</v>
      </c>
      <c r="BH397" s="44">
        <v>237.27</v>
      </c>
      <c r="BI397" s="44" t="s">
        <v>312</v>
      </c>
      <c r="BJ397" s="44" t="s">
        <v>312</v>
      </c>
      <c r="BK397" s="44" t="s">
        <v>91</v>
      </c>
      <c r="BL397" s="44" t="s">
        <v>84</v>
      </c>
      <c r="BM397" s="44">
        <v>1</v>
      </c>
      <c r="BN397" s="44" t="s">
        <v>428</v>
      </c>
      <c r="BO397" s="44" t="s">
        <v>428</v>
      </c>
      <c r="BP397" s="44" t="s">
        <v>1001</v>
      </c>
      <c r="BQ397" s="44" t="s">
        <v>117</v>
      </c>
      <c r="BR397" s="44" t="s">
        <v>134</v>
      </c>
      <c r="BS397" s="44">
        <v>23</v>
      </c>
      <c r="BT397" s="44" t="s">
        <v>312</v>
      </c>
      <c r="BU397" s="65">
        <v>43405</v>
      </c>
      <c r="BV397" s="65">
        <v>43862</v>
      </c>
      <c r="BW397" s="44" t="s">
        <v>94</v>
      </c>
      <c r="BX397" s="44" t="s">
        <v>95</v>
      </c>
      <c r="BY397" s="44" t="s">
        <v>96</v>
      </c>
      <c r="BZ397" s="44">
        <v>0</v>
      </c>
      <c r="CA397" s="44">
        <v>0</v>
      </c>
      <c r="CB397" s="44" t="s">
        <v>97</v>
      </c>
      <c r="CC397" s="44" t="s">
        <v>314</v>
      </c>
      <c r="CD397" s="44">
        <v>1</v>
      </c>
      <c r="CE397" s="44" t="s">
        <v>1002</v>
      </c>
      <c r="CF397" s="44">
        <v>0</v>
      </c>
      <c r="CG397" s="44" t="s">
        <v>97</v>
      </c>
      <c r="CI397" s="44" t="s">
        <v>1465</v>
      </c>
      <c r="CJ397" s="44" t="s">
        <v>98</v>
      </c>
      <c r="CK397" s="44">
        <v>36</v>
      </c>
      <c r="CL397" s="44">
        <v>0</v>
      </c>
      <c r="CM397" s="44">
        <v>0</v>
      </c>
      <c r="CN397" s="44" t="s">
        <v>124</v>
      </c>
      <c r="CO397" s="44" t="s">
        <v>97</v>
      </c>
      <c r="CP397" s="44" t="s">
        <v>100</v>
      </c>
      <c r="CQ397" s="44" t="s">
        <v>126</v>
      </c>
      <c r="CR397" s="45">
        <v>46225</v>
      </c>
      <c r="CT397" s="44" t="s">
        <v>1352</v>
      </c>
    </row>
    <row r="398" spans="1:98" s="47" customFormat="1" x14ac:dyDescent="0.35">
      <c r="A398" s="46" t="s">
        <v>1056</v>
      </c>
      <c r="B398" s="46" t="s">
        <v>1061</v>
      </c>
      <c r="C398" s="47" t="s">
        <v>1057</v>
      </c>
      <c r="D398" s="47">
        <v>2021</v>
      </c>
      <c r="E398" s="66" t="s">
        <v>1058</v>
      </c>
      <c r="F398" s="66" t="s">
        <v>1059</v>
      </c>
      <c r="G398" s="47" t="s">
        <v>78</v>
      </c>
      <c r="H398" s="47">
        <v>1</v>
      </c>
      <c r="I398" s="47" t="s">
        <v>1060</v>
      </c>
      <c r="J398" s="47" t="s">
        <v>79</v>
      </c>
      <c r="K398" s="47">
        <v>28</v>
      </c>
      <c r="L398" s="47" t="s">
        <v>104</v>
      </c>
      <c r="M398" s="47" t="s">
        <v>380</v>
      </c>
      <c r="N398" s="47">
        <v>-4.0000000000000002E-4</v>
      </c>
      <c r="O398" s="47">
        <v>1E-4</v>
      </c>
      <c r="P398" s="92">
        <f t="shared" si="155"/>
        <v>-4</v>
      </c>
      <c r="Q398" s="47" t="s">
        <v>312</v>
      </c>
      <c r="R398" s="92">
        <f t="shared" si="156"/>
        <v>-5.9599999999999996E-4</v>
      </c>
      <c r="S398" s="92">
        <f t="shared" si="157"/>
        <v>-2.0400000000000003E-4</v>
      </c>
      <c r="T398" s="47">
        <v>1</v>
      </c>
      <c r="U398" s="47">
        <v>15457</v>
      </c>
      <c r="V398" s="47" t="s">
        <v>312</v>
      </c>
      <c r="W398" s="47" t="s">
        <v>312</v>
      </c>
      <c r="X398" s="47">
        <f t="shared" ref="X398:X429" si="161">U398</f>
        <v>15457</v>
      </c>
      <c r="Y398" s="92">
        <f t="shared" si="158"/>
        <v>-3.2156792892855626E-2</v>
      </c>
      <c r="Z398" s="92">
        <f t="shared" si="159"/>
        <v>8.0391982232139066E-3</v>
      </c>
      <c r="AA398" s="92">
        <f t="shared" ref="AA398:AA429" si="162">-Y398</f>
        <v>3.2156792892855626E-2</v>
      </c>
      <c r="AB398" s="47" t="s">
        <v>81</v>
      </c>
      <c r="AC398" s="92">
        <f t="shared" ref="AC398:AC429" si="163">N398*AN398</f>
        <v>-2.7999999999999998E-4</v>
      </c>
      <c r="AD398" s="92" cm="1">
        <f t="array" ref="AD398">_xlfn.IFS(
AND(L398="marginal_effect",M398="level"),N398*AN398/BF398,
AND(L398="marginal_effect",M398="sd (Y)"),N398*BH398*AN398/BF398,
AND(L398="marginal_effect",M398="sd (X)"),N398/AQ398*AN398/BF398,
AND(L398="semi_elasticity",M398="level"),N398*AN398,
AND(L398="semi_elasticity",M398="sd (Y)"),N398*AN398*BH398,
AND(L398="semi_elasticity",M398="sd (X)"),N398*AN398/AQ398,
AND(L398="level-log",M398="level"),N398/BF398,
AND(L398="level-log",M398="sd (X)"),N398/BF398/AQ398,
AND(L398="level-log",M398="sd (Y)"),N398/BF398*BH398,
AND(L398="elasticity",M398="level"),N398,
AND(L398="elasticity",M398="sd (X)"),N398/AQ398,
AND(L398="elasticity",M398="sd (Y)"),N398*BH398,
AND(L398="marginal_effect",M398="percent_of_mean"),N398*AN398/BF398/10)</f>
        <v>-2.7999999999999998E-4</v>
      </c>
      <c r="AE398" s="51">
        <f t="shared" si="138"/>
        <v>1</v>
      </c>
      <c r="AF398" s="92">
        <f t="shared" ref="AF398:AF429" si="164">O398*AN398</f>
        <v>6.9999999999999994E-5</v>
      </c>
      <c r="AG398" s="92" cm="1">
        <f t="array" ref="AG398">_xlfn.IFS(
AND(L398="marginal_effect",M398="level"),O398*AN398/BF398,
AND(L398="marginal_effect",M398="sd (Y)"),O398*BH398*AN398/BF398,
AND(L398="marginal_effect",M398="sd (X)"),O398/AQ398*AN398/BF398,
AND(L398="semi_elasticity",M398="level"),O398*AN398,
AND(L398="semi_elasticity",M398="sd (Y)"),O398*AN398*BH398,
AND(L398="semi_elasticity",M398="sd (X)"),O398*AN398/AQ398,
AND(L398="level-log",M398="level"),O398/BF398,
AND(L398="level-log",M398="sd (X)"),O398/BF398/AQ398,
AND(L398="level-log",M398="sd (Y)"),O398/BF398*BH398,
AND(L398="elasticity",M398="level"),O398,
AND(L398="elasticity",M398="sd (X)"),O398/AQ398,
AND(L398="elasticity",M398="sd (Y)"),O398*BH398,
AND(L398="marginal_effect",M398="percent_of_mean"),O398*AN398/BF398/10)</f>
        <v>6.9999999999999994E-5</v>
      </c>
      <c r="AH398" s="51">
        <f t="shared" si="139"/>
        <v>1</v>
      </c>
      <c r="AI398" s="92">
        <f t="shared" ref="AI398:AI429" si="165">-AC398</f>
        <v>2.7999999999999998E-4</v>
      </c>
      <c r="AJ398" s="47">
        <v>0</v>
      </c>
      <c r="AK398" s="47">
        <f t="shared" si="160"/>
        <v>1</v>
      </c>
      <c r="AL398" s="47" t="s">
        <v>162</v>
      </c>
      <c r="AM398" s="47" t="s">
        <v>590</v>
      </c>
      <c r="AN398" s="47">
        <v>0.7</v>
      </c>
      <c r="AO398" s="47">
        <v>0</v>
      </c>
      <c r="AP398" s="47">
        <f t="shared" si="142"/>
        <v>0.7</v>
      </c>
      <c r="AQ398" s="47">
        <v>0.66</v>
      </c>
      <c r="AR398" s="47">
        <v>0</v>
      </c>
      <c r="AS398" s="47">
        <v>12.76</v>
      </c>
      <c r="AT398" s="47" t="s">
        <v>83</v>
      </c>
      <c r="AU398" s="47" t="s">
        <v>109</v>
      </c>
      <c r="AV398" s="47" t="s">
        <v>133</v>
      </c>
      <c r="AW398" s="47" t="s">
        <v>85</v>
      </c>
      <c r="AX398" s="47" t="s">
        <v>86</v>
      </c>
      <c r="AY398" s="47">
        <v>0</v>
      </c>
      <c r="AZ398" s="47">
        <v>0</v>
      </c>
      <c r="BA398" s="47" t="s">
        <v>111</v>
      </c>
      <c r="BB398" s="47" t="s">
        <v>88</v>
      </c>
      <c r="BC398" s="47" t="s">
        <v>113</v>
      </c>
      <c r="BD398" s="47" t="s">
        <v>114</v>
      </c>
      <c r="BE398" s="47" t="s">
        <v>1142</v>
      </c>
      <c r="BF398" s="47">
        <v>65</v>
      </c>
      <c r="BG398" s="47">
        <v>0</v>
      </c>
      <c r="BH398" s="47" t="s">
        <v>312</v>
      </c>
      <c r="BI398" s="47" t="s">
        <v>312</v>
      </c>
      <c r="BJ398" s="47" t="s">
        <v>312</v>
      </c>
      <c r="BK398" s="47" t="s">
        <v>91</v>
      </c>
      <c r="BL398" s="47" t="s">
        <v>1065</v>
      </c>
      <c r="BM398" s="47">
        <v>1</v>
      </c>
      <c r="BN398" s="47" t="s">
        <v>428</v>
      </c>
      <c r="BO398" s="47" t="s">
        <v>1066</v>
      </c>
      <c r="BP398" s="47" t="s">
        <v>1067</v>
      </c>
      <c r="BQ398" s="47" t="s">
        <v>92</v>
      </c>
      <c r="BR398" s="47" t="s">
        <v>93</v>
      </c>
      <c r="BS398" s="47" t="s">
        <v>312</v>
      </c>
      <c r="BT398" s="47" t="s">
        <v>312</v>
      </c>
      <c r="BU398" s="67">
        <v>42005</v>
      </c>
      <c r="BV398" s="67">
        <v>43070</v>
      </c>
      <c r="BW398" s="47" t="s">
        <v>1068</v>
      </c>
      <c r="BX398" s="47" t="s">
        <v>95</v>
      </c>
      <c r="BY398" s="47" t="s">
        <v>748</v>
      </c>
      <c r="BZ398" s="47">
        <v>1</v>
      </c>
      <c r="CA398" s="47">
        <v>1</v>
      </c>
      <c r="CB398" s="47" t="s">
        <v>1089</v>
      </c>
      <c r="CC398" s="47" t="s">
        <v>97</v>
      </c>
      <c r="CD398" s="47">
        <v>1</v>
      </c>
      <c r="CE398" s="47" t="s">
        <v>738</v>
      </c>
      <c r="CF398" s="47">
        <v>0</v>
      </c>
      <c r="CG398" s="47" t="s">
        <v>97</v>
      </c>
      <c r="CH398" s="47">
        <v>1</v>
      </c>
      <c r="CI398" s="47" t="s">
        <v>116</v>
      </c>
      <c r="CJ398" s="47" t="s">
        <v>98</v>
      </c>
      <c r="CK398" s="47">
        <v>76</v>
      </c>
      <c r="CL398" s="47">
        <v>0</v>
      </c>
      <c r="CM398" s="47">
        <v>0</v>
      </c>
      <c r="CN398" s="47" t="s">
        <v>99</v>
      </c>
      <c r="CO398" s="47" t="s">
        <v>97</v>
      </c>
      <c r="CP398" s="47" t="s">
        <v>100</v>
      </c>
      <c r="CQ398" s="47" t="s">
        <v>126</v>
      </c>
      <c r="CR398" s="48">
        <v>46225</v>
      </c>
      <c r="CT398" s="47" t="s">
        <v>449</v>
      </c>
    </row>
    <row r="399" spans="1:98" s="47" customFormat="1" x14ac:dyDescent="0.35">
      <c r="A399" s="46" t="s">
        <v>1056</v>
      </c>
      <c r="B399" s="46" t="s">
        <v>1062</v>
      </c>
      <c r="C399" s="47" t="s">
        <v>1057</v>
      </c>
      <c r="D399" s="47">
        <v>2021</v>
      </c>
      <c r="E399" s="66" t="s">
        <v>1058</v>
      </c>
      <c r="F399" s="66" t="s">
        <v>1059</v>
      </c>
      <c r="G399" s="47" t="s">
        <v>78</v>
      </c>
      <c r="H399" s="47">
        <v>1</v>
      </c>
      <c r="I399" s="47" t="s">
        <v>1060</v>
      </c>
      <c r="J399" s="47" t="s">
        <v>79</v>
      </c>
      <c r="K399" s="47">
        <v>28</v>
      </c>
      <c r="L399" s="47" t="s">
        <v>104</v>
      </c>
      <c r="M399" s="47" t="s">
        <v>380</v>
      </c>
      <c r="N399" s="47">
        <v>0</v>
      </c>
      <c r="O399" s="47">
        <v>3.2000000000000002E-3</v>
      </c>
      <c r="P399" s="92">
        <f t="shared" si="155"/>
        <v>0</v>
      </c>
      <c r="Q399" s="47" t="s">
        <v>312</v>
      </c>
      <c r="R399" s="92">
        <f t="shared" si="156"/>
        <v>-6.2719999999999998E-3</v>
      </c>
      <c r="S399" s="92">
        <f t="shared" si="157"/>
        <v>6.2719999999999998E-3</v>
      </c>
      <c r="T399" s="47">
        <v>1</v>
      </c>
      <c r="U399" s="47">
        <v>15471</v>
      </c>
      <c r="V399" s="47" t="s">
        <v>312</v>
      </c>
      <c r="W399" s="47" t="s">
        <v>312</v>
      </c>
      <c r="X399" s="47">
        <f t="shared" si="161"/>
        <v>15471</v>
      </c>
      <c r="Y399" s="92">
        <f t="shared" si="158"/>
        <v>0</v>
      </c>
      <c r="Z399" s="92">
        <f t="shared" si="159"/>
        <v>8.0397178365824631E-3</v>
      </c>
      <c r="AA399" s="92">
        <f t="shared" si="162"/>
        <v>0</v>
      </c>
      <c r="AB399" s="47" t="s">
        <v>81</v>
      </c>
      <c r="AC399" s="92">
        <f t="shared" si="163"/>
        <v>0</v>
      </c>
      <c r="AD399" s="92" cm="1">
        <f t="array" ref="AD399">_xlfn.IFS(
AND(L399="marginal_effect",M399="level"),N399*AN399/BF399,
AND(L399="marginal_effect",M399="sd (Y)"),N399*BH399*AN399/BF399,
AND(L399="marginal_effect",M399="sd (X)"),N399/AQ399*AN399/BF399,
AND(L399="semi_elasticity",M399="level"),N399*AN399,
AND(L399="semi_elasticity",M399="sd (Y)"),N399*AN399*BH399,
AND(L399="semi_elasticity",M399="sd (X)"),N399*AN399/AQ399,
AND(L399="level-log",M399="level"),N399/BF399,
AND(L399="level-log",M399="sd (X)"),N399/BF399/AQ399,
AND(L399="level-log",M399="sd (Y)"),N399/BF399*BH399,
AND(L399="elasticity",M399="level"),N399,
AND(L399="elasticity",M399="sd (X)"),N399/AQ399,
AND(L399="elasticity",M399="sd (Y)"),N399*BH399,
AND(L399="marginal_effect",M399="percent_of_mean"),N399*AN399/BF399/10)</f>
        <v>0</v>
      </c>
      <c r="AE399" s="51">
        <f t="shared" ref="AE399:AE462" si="166">IF(AC399=AD399,1,0)</f>
        <v>1</v>
      </c>
      <c r="AF399" s="92">
        <f t="shared" si="164"/>
        <v>6.4864000000000005E-2</v>
      </c>
      <c r="AG399" s="92" cm="1">
        <f t="array" ref="AG399">_xlfn.IFS(
AND(L399="marginal_effect",M399="level"),O399*AN399/BF399,
AND(L399="marginal_effect",M399="sd (Y)"),O399*BH399*AN399/BF399,
AND(L399="marginal_effect",M399="sd (X)"),O399/AQ399*AN399/BF399,
AND(L399="semi_elasticity",M399="level"),O399*AN399,
AND(L399="semi_elasticity",M399="sd (Y)"),O399*AN399*BH399,
AND(L399="semi_elasticity",M399="sd (X)"),O399*AN399/AQ399,
AND(L399="level-log",M399="level"),O399/BF399,
AND(L399="level-log",M399="sd (X)"),O399/BF399/AQ399,
AND(L399="level-log",M399="sd (Y)"),O399/BF399*BH399,
AND(L399="elasticity",M399="level"),O399,
AND(L399="elasticity",M399="sd (X)"),O399/AQ399,
AND(L399="elasticity",M399="sd (Y)"),O399*BH399,
AND(L399="marginal_effect",M399="percent_of_mean"),O399*AN399/BF399/10)</f>
        <v>6.4864000000000005E-2</v>
      </c>
      <c r="AH399" s="51">
        <f t="shared" ref="AH399:AH462" si="167">IF(AF399=AG399,1,0)</f>
        <v>1</v>
      </c>
      <c r="AI399" s="92">
        <f t="shared" si="165"/>
        <v>0</v>
      </c>
      <c r="AJ399" s="47">
        <v>0</v>
      </c>
      <c r="AK399" s="47">
        <f t="shared" si="160"/>
        <v>1</v>
      </c>
      <c r="AL399" s="47" t="s">
        <v>131</v>
      </c>
      <c r="AM399" s="47" t="s">
        <v>410</v>
      </c>
      <c r="AN399" s="47">
        <v>20.27</v>
      </c>
      <c r="AO399" s="47">
        <v>0</v>
      </c>
      <c r="AP399" s="47">
        <f t="shared" si="142"/>
        <v>20.27</v>
      </c>
      <c r="AQ399" s="47">
        <v>14.08</v>
      </c>
      <c r="AR399" s="47">
        <v>0</v>
      </c>
      <c r="AS399" s="47">
        <v>150</v>
      </c>
      <c r="AT399" s="47" t="s">
        <v>83</v>
      </c>
      <c r="AU399" s="47" t="s">
        <v>109</v>
      </c>
      <c r="AV399" s="47" t="s">
        <v>133</v>
      </c>
      <c r="AW399" s="47" t="s">
        <v>85</v>
      </c>
      <c r="AX399" s="47" t="s">
        <v>86</v>
      </c>
      <c r="AY399" s="47">
        <v>0</v>
      </c>
      <c r="AZ399" s="47">
        <v>0</v>
      </c>
      <c r="BA399" s="47" t="s">
        <v>111</v>
      </c>
      <c r="BB399" s="47" t="s">
        <v>88</v>
      </c>
      <c r="BC399" s="47" t="s">
        <v>113</v>
      </c>
      <c r="BD399" s="47" t="s">
        <v>114</v>
      </c>
      <c r="BE399" s="47" t="s">
        <v>1142</v>
      </c>
      <c r="BF399" s="47">
        <v>65</v>
      </c>
      <c r="BG399" s="47">
        <v>0</v>
      </c>
      <c r="BH399" s="47" t="s">
        <v>312</v>
      </c>
      <c r="BI399" s="47" t="s">
        <v>312</v>
      </c>
      <c r="BJ399" s="47" t="s">
        <v>312</v>
      </c>
      <c r="BK399" s="47" t="s">
        <v>91</v>
      </c>
      <c r="BL399" s="47" t="s">
        <v>1065</v>
      </c>
      <c r="BM399" s="47">
        <v>1</v>
      </c>
      <c r="BN399" s="47" t="s">
        <v>428</v>
      </c>
      <c r="BO399" s="47" t="s">
        <v>1066</v>
      </c>
      <c r="BP399" s="47" t="s">
        <v>1067</v>
      </c>
      <c r="BQ399" s="47" t="s">
        <v>92</v>
      </c>
      <c r="BR399" s="47" t="s">
        <v>93</v>
      </c>
      <c r="BS399" s="47" t="s">
        <v>312</v>
      </c>
      <c r="BT399" s="47" t="s">
        <v>312</v>
      </c>
      <c r="BU399" s="67">
        <v>42005</v>
      </c>
      <c r="BV399" s="67">
        <v>43070</v>
      </c>
      <c r="BW399" s="47" t="s">
        <v>1068</v>
      </c>
      <c r="BX399" s="47" t="s">
        <v>95</v>
      </c>
      <c r="BY399" s="47" t="s">
        <v>748</v>
      </c>
      <c r="BZ399" s="47">
        <v>1</v>
      </c>
      <c r="CA399" s="47">
        <v>1</v>
      </c>
      <c r="CB399" s="47" t="s">
        <v>1089</v>
      </c>
      <c r="CC399" s="47" t="s">
        <v>97</v>
      </c>
      <c r="CD399" s="47">
        <v>1</v>
      </c>
      <c r="CE399" s="47" t="s">
        <v>738</v>
      </c>
      <c r="CF399" s="47">
        <v>0</v>
      </c>
      <c r="CG399" s="47" t="s">
        <v>97</v>
      </c>
      <c r="CH399" s="47">
        <v>1</v>
      </c>
      <c r="CI399" s="47" t="s">
        <v>116</v>
      </c>
      <c r="CJ399" s="47" t="s">
        <v>98</v>
      </c>
      <c r="CK399" s="47">
        <v>76</v>
      </c>
      <c r="CL399" s="47">
        <v>0</v>
      </c>
      <c r="CM399" s="47">
        <v>0</v>
      </c>
      <c r="CN399" s="47" t="s">
        <v>99</v>
      </c>
      <c r="CO399" s="47" t="s">
        <v>97</v>
      </c>
      <c r="CP399" s="47" t="s">
        <v>100</v>
      </c>
      <c r="CQ399" s="47" t="s">
        <v>126</v>
      </c>
      <c r="CR399" s="48">
        <v>46225</v>
      </c>
      <c r="CT399" s="47" t="s">
        <v>449</v>
      </c>
    </row>
    <row r="400" spans="1:98" s="47" customFormat="1" x14ac:dyDescent="0.35">
      <c r="A400" s="46" t="s">
        <v>1056</v>
      </c>
      <c r="B400" s="46" t="s">
        <v>1063</v>
      </c>
      <c r="C400" s="47" t="s">
        <v>1057</v>
      </c>
      <c r="D400" s="47">
        <v>2021</v>
      </c>
      <c r="E400" s="66" t="s">
        <v>1058</v>
      </c>
      <c r="F400" s="66" t="s">
        <v>1059</v>
      </c>
      <c r="G400" s="47" t="s">
        <v>78</v>
      </c>
      <c r="H400" s="47">
        <v>1</v>
      </c>
      <c r="I400" s="47" t="s">
        <v>1060</v>
      </c>
      <c r="J400" s="47" t="s">
        <v>79</v>
      </c>
      <c r="K400" s="47">
        <v>28</v>
      </c>
      <c r="L400" s="47" t="s">
        <v>104</v>
      </c>
      <c r="M400" s="47" t="s">
        <v>380</v>
      </c>
      <c r="N400" s="47">
        <f>10.5/1000</f>
        <v>1.0500000000000001E-2</v>
      </c>
      <c r="O400" s="47">
        <v>2.8E-3</v>
      </c>
      <c r="P400" s="92">
        <f t="shared" si="155"/>
        <v>3.7500000000000004</v>
      </c>
      <c r="Q400" s="47" t="s">
        <v>312</v>
      </c>
      <c r="R400" s="92">
        <f t="shared" si="156"/>
        <v>5.0120000000000008E-3</v>
      </c>
      <c r="S400" s="92">
        <f t="shared" si="157"/>
        <v>1.5988000000000002E-2</v>
      </c>
      <c r="T400" s="47">
        <v>1</v>
      </c>
      <c r="U400" s="47">
        <v>15477</v>
      </c>
      <c r="V400" s="47" t="s">
        <v>312</v>
      </c>
      <c r="W400" s="47" t="s">
        <v>312</v>
      </c>
      <c r="X400" s="47">
        <f t="shared" si="161"/>
        <v>15477</v>
      </c>
      <c r="Y400" s="92">
        <f t="shared" si="158"/>
        <v>3.0129412590425557E-2</v>
      </c>
      <c r="Z400" s="92">
        <f t="shared" si="159"/>
        <v>8.034510024113482E-3</v>
      </c>
      <c r="AA400" s="92">
        <f t="shared" si="162"/>
        <v>-3.0129412590425557E-2</v>
      </c>
      <c r="AB400" s="47" t="s">
        <v>81</v>
      </c>
      <c r="AC400" s="92">
        <f t="shared" si="163"/>
        <v>0.28696500000000003</v>
      </c>
      <c r="AD400" s="92" cm="1">
        <f t="array" ref="AD400">_xlfn.IFS(
AND(L400="marginal_effect",M400="level"),N400*AN400/BF400,
AND(L400="marginal_effect",M400="sd (Y)"),N400*BH400*AN400/BF400,
AND(L400="marginal_effect",M400="sd (X)"),N400/AQ400*AN400/BF400,
AND(L400="semi_elasticity",M400="level"),N400*AN400,
AND(L400="semi_elasticity",M400="sd (Y)"),N400*AN400*BH400,
AND(L400="semi_elasticity",M400="sd (X)"),N400*AN400/AQ400,
AND(L400="level-log",M400="level"),N400/BF400,
AND(L400="level-log",M400="sd (X)"),N400/BF400/AQ400,
AND(L400="level-log",M400="sd (Y)"),N400/BF400*BH400,
AND(L400="elasticity",M400="level"),N400,
AND(L400="elasticity",M400="sd (X)"),N400/AQ400,
AND(L400="elasticity",M400="sd (Y)"),N400*BH400,
AND(L400="marginal_effect",M400="percent_of_mean"),N400*AN400/BF400/10)</f>
        <v>0.28696500000000003</v>
      </c>
      <c r="AE400" s="51">
        <f t="shared" si="166"/>
        <v>1</v>
      </c>
      <c r="AF400" s="92">
        <f t="shared" si="164"/>
        <v>7.6523999999999995E-2</v>
      </c>
      <c r="AG400" s="92" cm="1">
        <f t="array" ref="AG400">_xlfn.IFS(
AND(L400="marginal_effect",M400="level"),O400*AN400/BF400,
AND(L400="marginal_effect",M400="sd (Y)"),O400*BH400*AN400/BF400,
AND(L400="marginal_effect",M400="sd (X)"),O400/AQ400*AN400/BF400,
AND(L400="semi_elasticity",M400="level"),O400*AN400,
AND(L400="semi_elasticity",M400="sd (Y)"),O400*AN400*BH400,
AND(L400="semi_elasticity",M400="sd (X)"),O400*AN400/AQ400,
AND(L400="level-log",M400="level"),O400/BF400,
AND(L400="level-log",M400="sd (X)"),O400/BF400/AQ400,
AND(L400="level-log",M400="sd (Y)"),O400/BF400*BH400,
AND(L400="elasticity",M400="level"),O400,
AND(L400="elasticity",M400="sd (X)"),O400/AQ400,
AND(L400="elasticity",M400="sd (Y)"),O400*BH400,
AND(L400="marginal_effect",M400="percent_of_mean"),O400*AN400/BF400/10)</f>
        <v>7.6523999999999995E-2</v>
      </c>
      <c r="AH400" s="51">
        <f t="shared" si="167"/>
        <v>1</v>
      </c>
      <c r="AI400" s="92">
        <f t="shared" si="165"/>
        <v>-0.28696500000000003</v>
      </c>
      <c r="AJ400" s="47">
        <v>0</v>
      </c>
      <c r="AK400" s="47">
        <f t="shared" si="160"/>
        <v>1</v>
      </c>
      <c r="AL400" s="47" t="s">
        <v>148</v>
      </c>
      <c r="AM400" s="47" t="s">
        <v>410</v>
      </c>
      <c r="AN400" s="47">
        <v>27.33</v>
      </c>
      <c r="AO400" s="47">
        <v>0</v>
      </c>
      <c r="AP400" s="47">
        <f t="shared" si="142"/>
        <v>27.33</v>
      </c>
      <c r="AQ400" s="47">
        <v>24.83</v>
      </c>
      <c r="AR400" s="47">
        <v>1</v>
      </c>
      <c r="AS400" s="47">
        <v>210</v>
      </c>
      <c r="AT400" s="47" t="s">
        <v>83</v>
      </c>
      <c r="AU400" s="47" t="s">
        <v>109</v>
      </c>
      <c r="AV400" s="47" t="s">
        <v>133</v>
      </c>
      <c r="AW400" s="47" t="s">
        <v>85</v>
      </c>
      <c r="AX400" s="47" t="s">
        <v>86</v>
      </c>
      <c r="AY400" s="47">
        <v>0</v>
      </c>
      <c r="AZ400" s="47">
        <v>0</v>
      </c>
      <c r="BA400" s="47" t="s">
        <v>111</v>
      </c>
      <c r="BB400" s="47" t="s">
        <v>88</v>
      </c>
      <c r="BC400" s="47" t="s">
        <v>113</v>
      </c>
      <c r="BD400" s="47" t="s">
        <v>114</v>
      </c>
      <c r="BE400" s="47" t="s">
        <v>1142</v>
      </c>
      <c r="BF400" s="47">
        <v>65</v>
      </c>
      <c r="BG400" s="47">
        <v>0</v>
      </c>
      <c r="BH400" s="47" t="s">
        <v>312</v>
      </c>
      <c r="BI400" s="47" t="s">
        <v>312</v>
      </c>
      <c r="BJ400" s="47" t="s">
        <v>312</v>
      </c>
      <c r="BK400" s="47" t="s">
        <v>91</v>
      </c>
      <c r="BL400" s="47" t="s">
        <v>1065</v>
      </c>
      <c r="BM400" s="47">
        <v>1</v>
      </c>
      <c r="BN400" s="47" t="s">
        <v>428</v>
      </c>
      <c r="BO400" s="47" t="s">
        <v>1066</v>
      </c>
      <c r="BP400" s="47" t="s">
        <v>1067</v>
      </c>
      <c r="BQ400" s="47" t="s">
        <v>92</v>
      </c>
      <c r="BR400" s="47" t="s">
        <v>93</v>
      </c>
      <c r="BS400" s="47" t="s">
        <v>312</v>
      </c>
      <c r="BT400" s="47" t="s">
        <v>312</v>
      </c>
      <c r="BU400" s="67">
        <v>42005</v>
      </c>
      <c r="BV400" s="67">
        <v>43070</v>
      </c>
      <c r="BW400" s="47" t="s">
        <v>1068</v>
      </c>
      <c r="BX400" s="47" t="s">
        <v>95</v>
      </c>
      <c r="BY400" s="47" t="s">
        <v>748</v>
      </c>
      <c r="BZ400" s="47">
        <v>1</v>
      </c>
      <c r="CA400" s="47">
        <v>1</v>
      </c>
      <c r="CB400" s="47" t="s">
        <v>1089</v>
      </c>
      <c r="CC400" s="47" t="s">
        <v>97</v>
      </c>
      <c r="CD400" s="47">
        <v>1</v>
      </c>
      <c r="CE400" s="47" t="s">
        <v>738</v>
      </c>
      <c r="CF400" s="47">
        <v>0</v>
      </c>
      <c r="CG400" s="47" t="s">
        <v>97</v>
      </c>
      <c r="CH400" s="47">
        <v>1</v>
      </c>
      <c r="CI400" s="47" t="s">
        <v>116</v>
      </c>
      <c r="CJ400" s="47" t="s">
        <v>98</v>
      </c>
      <c r="CK400" s="47">
        <v>76</v>
      </c>
      <c r="CL400" s="47">
        <v>0</v>
      </c>
      <c r="CM400" s="47">
        <v>0</v>
      </c>
      <c r="CN400" s="47" t="s">
        <v>99</v>
      </c>
      <c r="CO400" s="47" t="s">
        <v>97</v>
      </c>
      <c r="CP400" s="47" t="s">
        <v>100</v>
      </c>
      <c r="CQ400" s="47" t="s">
        <v>126</v>
      </c>
      <c r="CR400" s="48">
        <v>46225</v>
      </c>
      <c r="CT400" s="47" t="s">
        <v>449</v>
      </c>
    </row>
    <row r="401" spans="1:98" s="47" customFormat="1" x14ac:dyDescent="0.35">
      <c r="A401" s="46" t="s">
        <v>1056</v>
      </c>
      <c r="B401" s="46" t="s">
        <v>1064</v>
      </c>
      <c r="C401" s="47" t="s">
        <v>1057</v>
      </c>
      <c r="D401" s="47">
        <v>2021</v>
      </c>
      <c r="E401" s="66" t="s">
        <v>1058</v>
      </c>
      <c r="F401" s="66" t="s">
        <v>1059</v>
      </c>
      <c r="G401" s="47" t="s">
        <v>78</v>
      </c>
      <c r="H401" s="47">
        <v>1</v>
      </c>
      <c r="I401" s="47" t="s">
        <v>1060</v>
      </c>
      <c r="J401" s="47" t="s">
        <v>79</v>
      </c>
      <c r="K401" s="47">
        <v>28</v>
      </c>
      <c r="L401" s="47" t="s">
        <v>104</v>
      </c>
      <c r="M401" s="47" t="s">
        <v>380</v>
      </c>
      <c r="N401" s="47">
        <f>-12.2/1000</f>
        <v>-1.2199999999999999E-2</v>
      </c>
      <c r="O401" s="47">
        <v>6.3E-3</v>
      </c>
      <c r="P401" s="92">
        <f t="shared" si="155"/>
        <v>-1.9365079365079363</v>
      </c>
      <c r="Q401" s="47" t="s">
        <v>312</v>
      </c>
      <c r="R401" s="92">
        <f t="shared" si="156"/>
        <v>-2.4548E-2</v>
      </c>
      <c r="S401" s="92">
        <f t="shared" si="157"/>
        <v>1.4800000000000056E-4</v>
      </c>
      <c r="T401" s="47">
        <v>1</v>
      </c>
      <c r="U401" s="47">
        <v>14305</v>
      </c>
      <c r="V401" s="47" t="s">
        <v>312</v>
      </c>
      <c r="W401" s="47" t="s">
        <v>312</v>
      </c>
      <c r="X401" s="47">
        <f t="shared" si="161"/>
        <v>14305</v>
      </c>
      <c r="Y401" s="92">
        <f t="shared" si="158"/>
        <v>-1.6188940703802099E-2</v>
      </c>
      <c r="Z401" s="92">
        <f t="shared" si="159"/>
        <v>8.359862822455183E-3</v>
      </c>
      <c r="AA401" s="92">
        <f t="shared" si="162"/>
        <v>1.6188940703802099E-2</v>
      </c>
      <c r="AB401" s="47" t="s">
        <v>81</v>
      </c>
      <c r="AC401" s="92">
        <f t="shared" si="163"/>
        <v>-0.27925800000000001</v>
      </c>
      <c r="AD401" s="92" cm="1">
        <f t="array" ref="AD401">_xlfn.IFS(
AND(L401="marginal_effect",M401="level"),N401*AN401/BF401,
AND(L401="marginal_effect",M401="sd (Y)"),N401*BH401*AN401/BF401,
AND(L401="marginal_effect",M401="sd (X)"),N401/AQ401*AN401/BF401,
AND(L401="semi_elasticity",M401="level"),N401*AN401,
AND(L401="semi_elasticity",M401="sd (Y)"),N401*AN401*BH401,
AND(L401="semi_elasticity",M401="sd (X)"),N401*AN401/AQ401,
AND(L401="level-log",M401="level"),N401/BF401,
AND(L401="level-log",M401="sd (X)"),N401/BF401/AQ401,
AND(L401="level-log",M401="sd (Y)"),N401/BF401*BH401,
AND(L401="elasticity",M401="level"),N401,
AND(L401="elasticity",M401="sd (X)"),N401/AQ401,
AND(L401="elasticity",M401="sd (Y)"),N401*BH401,
AND(L401="marginal_effect",M401="percent_of_mean"),N401*AN401/BF401/10)</f>
        <v>-0.27925800000000001</v>
      </c>
      <c r="AE401" s="51">
        <f t="shared" si="166"/>
        <v>1</v>
      </c>
      <c r="AF401" s="92">
        <f t="shared" si="164"/>
        <v>0.144207</v>
      </c>
      <c r="AG401" s="92" cm="1">
        <f t="array" ref="AG401">_xlfn.IFS(
AND(L401="marginal_effect",M401="level"),O401*AN401/BF401,
AND(L401="marginal_effect",M401="sd (Y)"),O401*BH401*AN401/BF401,
AND(L401="marginal_effect",M401="sd (X)"),O401/AQ401*AN401/BF401,
AND(L401="semi_elasticity",M401="level"),O401*AN401,
AND(L401="semi_elasticity",M401="sd (Y)"),O401*AN401*BH401,
AND(L401="semi_elasticity",M401="sd (X)"),O401*AN401/AQ401,
AND(L401="level-log",M401="level"),O401/BF401,
AND(L401="level-log",M401="sd (X)"),O401/BF401/AQ401,
AND(L401="level-log",M401="sd (Y)"),O401/BF401*BH401,
AND(L401="elasticity",M401="level"),O401,
AND(L401="elasticity",M401="sd (X)"),O401/AQ401,
AND(L401="elasticity",M401="sd (Y)"),O401*BH401,
AND(L401="marginal_effect",M401="percent_of_mean"),O401*AN401/BF401/10)</f>
        <v>0.144207</v>
      </c>
      <c r="AH401" s="51">
        <f t="shared" si="167"/>
        <v>1</v>
      </c>
      <c r="AI401" s="92">
        <f t="shared" si="165"/>
        <v>0.27925800000000001</v>
      </c>
      <c r="AJ401" s="47">
        <v>0</v>
      </c>
      <c r="AK401" s="47">
        <f t="shared" si="160"/>
        <v>1</v>
      </c>
      <c r="AL401" s="47" t="s">
        <v>82</v>
      </c>
      <c r="AM401" s="47" t="s">
        <v>1333</v>
      </c>
      <c r="AN401" s="47">
        <v>22.89</v>
      </c>
      <c r="AO401" s="47">
        <v>0</v>
      </c>
      <c r="AP401" s="47">
        <f t="shared" si="142"/>
        <v>22.89</v>
      </c>
      <c r="AQ401" s="47">
        <v>16.149999999999999</v>
      </c>
      <c r="AR401" s="47">
        <v>0</v>
      </c>
      <c r="AS401" s="47">
        <v>698</v>
      </c>
      <c r="AT401" s="47" t="s">
        <v>83</v>
      </c>
      <c r="AU401" s="47" t="s">
        <v>109</v>
      </c>
      <c r="AV401" s="47" t="s">
        <v>133</v>
      </c>
      <c r="AW401" s="47" t="s">
        <v>85</v>
      </c>
      <c r="AX401" s="47" t="s">
        <v>86</v>
      </c>
      <c r="AY401" s="47">
        <v>0</v>
      </c>
      <c r="AZ401" s="47">
        <v>0</v>
      </c>
      <c r="BA401" s="47" t="s">
        <v>111</v>
      </c>
      <c r="BB401" s="47" t="s">
        <v>88</v>
      </c>
      <c r="BC401" s="47" t="s">
        <v>113</v>
      </c>
      <c r="BD401" s="47" t="s">
        <v>114</v>
      </c>
      <c r="BE401" s="47" t="s">
        <v>1142</v>
      </c>
      <c r="BF401" s="47">
        <v>65</v>
      </c>
      <c r="BG401" s="47">
        <v>0</v>
      </c>
      <c r="BH401" s="47" t="s">
        <v>312</v>
      </c>
      <c r="BI401" s="47" t="s">
        <v>312</v>
      </c>
      <c r="BJ401" s="47" t="s">
        <v>312</v>
      </c>
      <c r="BK401" s="47" t="s">
        <v>91</v>
      </c>
      <c r="BL401" s="47" t="s">
        <v>1065</v>
      </c>
      <c r="BM401" s="47">
        <v>1</v>
      </c>
      <c r="BN401" s="47" t="s">
        <v>428</v>
      </c>
      <c r="BO401" s="47" t="s">
        <v>1066</v>
      </c>
      <c r="BP401" s="47" t="s">
        <v>1067</v>
      </c>
      <c r="BQ401" s="47" t="s">
        <v>92</v>
      </c>
      <c r="BR401" s="47" t="s">
        <v>93</v>
      </c>
      <c r="BS401" s="47" t="s">
        <v>312</v>
      </c>
      <c r="BT401" s="47" t="s">
        <v>312</v>
      </c>
      <c r="BU401" s="67">
        <v>42005</v>
      </c>
      <c r="BV401" s="67">
        <v>43070</v>
      </c>
      <c r="BW401" s="47" t="s">
        <v>1068</v>
      </c>
      <c r="BX401" s="47" t="s">
        <v>95</v>
      </c>
      <c r="BY401" s="47" t="s">
        <v>748</v>
      </c>
      <c r="BZ401" s="47">
        <v>1</v>
      </c>
      <c r="CA401" s="47">
        <v>1</v>
      </c>
      <c r="CB401" s="47" t="s">
        <v>1089</v>
      </c>
      <c r="CC401" s="47" t="s">
        <v>97</v>
      </c>
      <c r="CD401" s="47">
        <v>1</v>
      </c>
      <c r="CE401" s="47" t="s">
        <v>738</v>
      </c>
      <c r="CF401" s="47">
        <v>0</v>
      </c>
      <c r="CG401" s="47" t="s">
        <v>97</v>
      </c>
      <c r="CH401" s="47">
        <v>1</v>
      </c>
      <c r="CI401" s="47" t="s">
        <v>116</v>
      </c>
      <c r="CJ401" s="47" t="s">
        <v>98</v>
      </c>
      <c r="CK401" s="47">
        <v>76</v>
      </c>
      <c r="CL401" s="47">
        <v>0</v>
      </c>
      <c r="CM401" s="47">
        <v>0</v>
      </c>
      <c r="CN401" s="47" t="s">
        <v>99</v>
      </c>
      <c r="CO401" s="47" t="s">
        <v>97</v>
      </c>
      <c r="CP401" s="47" t="s">
        <v>100</v>
      </c>
      <c r="CQ401" s="47" t="s">
        <v>126</v>
      </c>
      <c r="CR401" s="48">
        <v>46225</v>
      </c>
      <c r="CT401" s="47" t="s">
        <v>449</v>
      </c>
    </row>
    <row r="402" spans="1:98" s="47" customFormat="1" x14ac:dyDescent="0.35">
      <c r="A402" s="46" t="s">
        <v>1056</v>
      </c>
      <c r="B402" s="46" t="s">
        <v>1073</v>
      </c>
      <c r="C402" s="47" t="s">
        <v>1057</v>
      </c>
      <c r="D402" s="47">
        <v>2021</v>
      </c>
      <c r="E402" s="66" t="s">
        <v>1058</v>
      </c>
      <c r="F402" s="66" t="s">
        <v>1059</v>
      </c>
      <c r="G402" s="47" t="s">
        <v>78</v>
      </c>
      <c r="H402" s="47">
        <v>1</v>
      </c>
      <c r="I402" s="47" t="s">
        <v>1060</v>
      </c>
      <c r="J402" s="47" t="s">
        <v>79</v>
      </c>
      <c r="K402" s="47">
        <v>28</v>
      </c>
      <c r="L402" s="47" t="s">
        <v>104</v>
      </c>
      <c r="M402" s="47" t="s">
        <v>380</v>
      </c>
      <c r="N402" s="47">
        <v>0</v>
      </c>
      <c r="O402" s="47">
        <v>1E-4</v>
      </c>
      <c r="P402" s="92">
        <f t="shared" si="155"/>
        <v>0</v>
      </c>
      <c r="Q402" s="47" t="s">
        <v>312</v>
      </c>
      <c r="R402" s="92">
        <f t="shared" si="156"/>
        <v>-1.9599999999999999E-4</v>
      </c>
      <c r="S402" s="92">
        <f t="shared" si="157"/>
        <v>1.9599999999999999E-4</v>
      </c>
      <c r="T402" s="47">
        <v>1</v>
      </c>
      <c r="U402" s="47">
        <v>14617</v>
      </c>
      <c r="V402" s="47" t="s">
        <v>312</v>
      </c>
      <c r="W402" s="47" t="s">
        <v>312</v>
      </c>
      <c r="X402" s="47">
        <f t="shared" si="161"/>
        <v>14617</v>
      </c>
      <c r="Y402" s="92">
        <f t="shared" si="158"/>
        <v>0</v>
      </c>
      <c r="Z402" s="92">
        <f t="shared" si="159"/>
        <v>8.2712448362053034E-3</v>
      </c>
      <c r="AA402" s="92">
        <f t="shared" si="162"/>
        <v>0</v>
      </c>
      <c r="AB402" s="47" t="s">
        <v>81</v>
      </c>
      <c r="AC402" s="92">
        <f t="shared" si="163"/>
        <v>0</v>
      </c>
      <c r="AD402" s="92" cm="1">
        <f t="array" ref="AD402">_xlfn.IFS(
AND(L402="marginal_effect",M402="level"),N402*AN402/BF402,
AND(L402="marginal_effect",M402="sd (Y)"),N402*BH402*AN402/BF402,
AND(L402="marginal_effect",M402="sd (X)"),N402/AQ402*AN402/BF402,
AND(L402="semi_elasticity",M402="level"),N402*AN402,
AND(L402="semi_elasticity",M402="sd (Y)"),N402*AN402*BH402,
AND(L402="semi_elasticity",M402="sd (X)"),N402*AN402/AQ402,
AND(L402="level-log",M402="level"),N402/BF402,
AND(L402="level-log",M402="sd (X)"),N402/BF402/AQ402,
AND(L402="level-log",M402="sd (Y)"),N402/BF402*BH402,
AND(L402="elasticity",M402="level"),N402,
AND(L402="elasticity",M402="sd (X)"),N402/AQ402,
AND(L402="elasticity",M402="sd (Y)"),N402*BH402,
AND(L402="marginal_effect",M402="percent_of_mean"),N402*AN402/BF402/10)</f>
        <v>0</v>
      </c>
      <c r="AE402" s="51">
        <f t="shared" si="166"/>
        <v>1</v>
      </c>
      <c r="AF402" s="92">
        <f t="shared" si="164"/>
        <v>6.9999999999999994E-5</v>
      </c>
      <c r="AG402" s="92" cm="1">
        <f t="array" ref="AG402">_xlfn.IFS(
AND(L402="marginal_effect",M402="level"),O402*AN402/BF402,
AND(L402="marginal_effect",M402="sd (Y)"),O402*BH402*AN402/BF402,
AND(L402="marginal_effect",M402="sd (X)"),O402/AQ402*AN402/BF402,
AND(L402="semi_elasticity",M402="level"),O402*AN402,
AND(L402="semi_elasticity",M402="sd (Y)"),O402*AN402*BH402,
AND(L402="semi_elasticity",M402="sd (X)"),O402*AN402/AQ402,
AND(L402="level-log",M402="level"),O402/BF402,
AND(L402="level-log",M402="sd (X)"),O402/BF402/AQ402,
AND(L402="level-log",M402="sd (Y)"),O402/BF402*BH402,
AND(L402="elasticity",M402="level"),O402,
AND(L402="elasticity",M402="sd (X)"),O402/AQ402,
AND(L402="elasticity",M402="sd (Y)"),O402*BH402,
AND(L402="marginal_effect",M402="percent_of_mean"),O402*AN402/BF402/10)</f>
        <v>6.9999999999999994E-5</v>
      </c>
      <c r="AH402" s="51">
        <f t="shared" si="167"/>
        <v>1</v>
      </c>
      <c r="AI402" s="92">
        <f t="shared" si="165"/>
        <v>0</v>
      </c>
      <c r="AJ402" s="47">
        <v>0</v>
      </c>
      <c r="AK402" s="47">
        <f t="shared" si="160"/>
        <v>1</v>
      </c>
      <c r="AL402" s="47" t="s">
        <v>162</v>
      </c>
      <c r="AM402" s="47" t="s">
        <v>590</v>
      </c>
      <c r="AN402" s="47">
        <v>0.7</v>
      </c>
      <c r="AO402" s="47">
        <v>0</v>
      </c>
      <c r="AP402" s="47">
        <f t="shared" si="142"/>
        <v>0.7</v>
      </c>
      <c r="AQ402" s="47">
        <v>0.66</v>
      </c>
      <c r="AR402" s="47">
        <v>0</v>
      </c>
      <c r="AS402" s="47">
        <v>12.76</v>
      </c>
      <c r="AT402" s="47" t="s">
        <v>83</v>
      </c>
      <c r="AU402" s="47" t="s">
        <v>109</v>
      </c>
      <c r="AV402" s="47" t="s">
        <v>133</v>
      </c>
      <c r="AW402" s="47" t="s">
        <v>85</v>
      </c>
      <c r="AX402" s="47" t="s">
        <v>86</v>
      </c>
      <c r="AY402" s="47">
        <v>0</v>
      </c>
      <c r="AZ402" s="47">
        <v>0</v>
      </c>
      <c r="BA402" s="47" t="s">
        <v>111</v>
      </c>
      <c r="BB402" s="47" t="s">
        <v>88</v>
      </c>
      <c r="BC402" s="47" t="s">
        <v>113</v>
      </c>
      <c r="BD402" s="47" t="s">
        <v>114</v>
      </c>
      <c r="BE402" s="47" t="s">
        <v>1142</v>
      </c>
      <c r="BF402" s="47">
        <v>65</v>
      </c>
      <c r="BG402" s="47">
        <v>0</v>
      </c>
      <c r="BH402" s="47" t="s">
        <v>312</v>
      </c>
      <c r="BI402" s="47" t="s">
        <v>312</v>
      </c>
      <c r="BJ402" s="47" t="s">
        <v>312</v>
      </c>
      <c r="BK402" s="47" t="s">
        <v>91</v>
      </c>
      <c r="BL402" s="47" t="s">
        <v>1065</v>
      </c>
      <c r="BM402" s="47">
        <v>1</v>
      </c>
      <c r="BN402" s="47" t="s">
        <v>428</v>
      </c>
      <c r="BO402" s="47" t="s">
        <v>1066</v>
      </c>
      <c r="BP402" s="47" t="s">
        <v>1067</v>
      </c>
      <c r="BQ402" s="47" t="s">
        <v>92</v>
      </c>
      <c r="BR402" s="47" t="s">
        <v>93</v>
      </c>
      <c r="BS402" s="47" t="s">
        <v>312</v>
      </c>
      <c r="BT402" s="47" t="s">
        <v>312</v>
      </c>
      <c r="BU402" s="67">
        <v>42005</v>
      </c>
      <c r="BV402" s="67">
        <v>43070</v>
      </c>
      <c r="BW402" s="47" t="s">
        <v>1068</v>
      </c>
      <c r="BX402" s="47" t="s">
        <v>95</v>
      </c>
      <c r="BY402" s="47" t="s">
        <v>748</v>
      </c>
      <c r="BZ402" s="47">
        <v>1</v>
      </c>
      <c r="CA402" s="47">
        <v>1</v>
      </c>
      <c r="CB402" s="47" t="s">
        <v>1089</v>
      </c>
      <c r="CC402" s="47" t="s">
        <v>1070</v>
      </c>
      <c r="CD402" s="47">
        <v>1</v>
      </c>
      <c r="CE402" s="47" t="s">
        <v>738</v>
      </c>
      <c r="CF402" s="47">
        <v>0</v>
      </c>
      <c r="CG402" s="47" t="s">
        <v>97</v>
      </c>
      <c r="CH402" s="47">
        <v>1</v>
      </c>
      <c r="CI402" s="47" t="s">
        <v>116</v>
      </c>
      <c r="CJ402" s="47" t="s">
        <v>98</v>
      </c>
      <c r="CK402" s="47">
        <v>76</v>
      </c>
      <c r="CL402" s="47">
        <v>0</v>
      </c>
      <c r="CM402" s="47">
        <v>0</v>
      </c>
      <c r="CN402" s="47" t="s">
        <v>99</v>
      </c>
      <c r="CO402" s="47" t="s">
        <v>97</v>
      </c>
      <c r="CP402" s="47" t="s">
        <v>100</v>
      </c>
      <c r="CQ402" s="47" t="s">
        <v>126</v>
      </c>
      <c r="CR402" s="48">
        <v>46225</v>
      </c>
      <c r="CT402" s="47" t="s">
        <v>450</v>
      </c>
    </row>
    <row r="403" spans="1:98" s="47" customFormat="1" x14ac:dyDescent="0.35">
      <c r="A403" s="46" t="s">
        <v>1056</v>
      </c>
      <c r="B403" s="46" t="s">
        <v>1074</v>
      </c>
      <c r="C403" s="47" t="s">
        <v>1057</v>
      </c>
      <c r="D403" s="47">
        <v>2021</v>
      </c>
      <c r="E403" s="66" t="s">
        <v>1058</v>
      </c>
      <c r="F403" s="66" t="s">
        <v>1059</v>
      </c>
      <c r="G403" s="47" t="s">
        <v>78</v>
      </c>
      <c r="H403" s="47">
        <v>1</v>
      </c>
      <c r="I403" s="47" t="s">
        <v>1060</v>
      </c>
      <c r="J403" s="47" t="s">
        <v>79</v>
      </c>
      <c r="K403" s="47">
        <v>28</v>
      </c>
      <c r="L403" s="47" t="s">
        <v>104</v>
      </c>
      <c r="M403" s="47" t="s">
        <v>380</v>
      </c>
      <c r="N403" s="47">
        <v>1.1000000000000001E-3</v>
      </c>
      <c r="O403" s="47">
        <v>1.8E-3</v>
      </c>
      <c r="P403" s="92">
        <f t="shared" si="155"/>
        <v>0.61111111111111116</v>
      </c>
      <c r="Q403" s="47" t="s">
        <v>312</v>
      </c>
      <c r="R403" s="92">
        <f t="shared" si="156"/>
        <v>-2.4279999999999996E-3</v>
      </c>
      <c r="S403" s="92">
        <f t="shared" si="157"/>
        <v>4.6280000000000002E-3</v>
      </c>
      <c r="T403" s="47">
        <v>1</v>
      </c>
      <c r="U403" s="47">
        <v>14613</v>
      </c>
      <c r="V403" s="47" t="s">
        <v>312</v>
      </c>
      <c r="W403" s="47" t="s">
        <v>312</v>
      </c>
      <c r="X403" s="47">
        <f t="shared" si="161"/>
        <v>14613</v>
      </c>
      <c r="Y403" s="92">
        <f t="shared" si="158"/>
        <v>5.0552767794407689E-3</v>
      </c>
      <c r="Z403" s="92">
        <f t="shared" si="159"/>
        <v>8.2722710936303477E-3</v>
      </c>
      <c r="AA403" s="92">
        <f t="shared" si="162"/>
        <v>-5.0552767794407689E-3</v>
      </c>
      <c r="AB403" s="47" t="s">
        <v>81</v>
      </c>
      <c r="AC403" s="92">
        <f t="shared" si="163"/>
        <v>2.2297000000000001E-2</v>
      </c>
      <c r="AD403" s="92" cm="1">
        <f t="array" ref="AD403">_xlfn.IFS(
AND(L403="marginal_effect",M403="level"),N403*AN403/BF403,
AND(L403="marginal_effect",M403="sd (Y)"),N403*BH403*AN403/BF403,
AND(L403="marginal_effect",M403="sd (X)"),N403/AQ403*AN403/BF403,
AND(L403="semi_elasticity",M403="level"),N403*AN403,
AND(L403="semi_elasticity",M403="sd (Y)"),N403*AN403*BH403,
AND(L403="semi_elasticity",M403="sd (X)"),N403*AN403/AQ403,
AND(L403="level-log",M403="level"),N403/BF403,
AND(L403="level-log",M403="sd (X)"),N403/BF403/AQ403,
AND(L403="level-log",M403="sd (Y)"),N403/BF403*BH403,
AND(L403="elasticity",M403="level"),N403,
AND(L403="elasticity",M403="sd (X)"),N403/AQ403,
AND(L403="elasticity",M403="sd (Y)"),N403*BH403,
AND(L403="marginal_effect",M403="percent_of_mean"),N403*AN403/BF403/10)</f>
        <v>2.2297000000000001E-2</v>
      </c>
      <c r="AE403" s="51">
        <f t="shared" si="166"/>
        <v>1</v>
      </c>
      <c r="AF403" s="92">
        <f t="shared" si="164"/>
        <v>3.6485999999999998E-2</v>
      </c>
      <c r="AG403" s="92" cm="1">
        <f t="array" ref="AG403">_xlfn.IFS(
AND(L403="marginal_effect",M403="level"),O403*AN403/BF403,
AND(L403="marginal_effect",M403="sd (Y)"),O403*BH403*AN403/BF403,
AND(L403="marginal_effect",M403="sd (X)"),O403/AQ403*AN403/BF403,
AND(L403="semi_elasticity",M403="level"),O403*AN403,
AND(L403="semi_elasticity",M403="sd (Y)"),O403*AN403*BH403,
AND(L403="semi_elasticity",M403="sd (X)"),O403*AN403/AQ403,
AND(L403="level-log",M403="level"),O403/BF403,
AND(L403="level-log",M403="sd (X)"),O403/BF403/AQ403,
AND(L403="level-log",M403="sd (Y)"),O403/BF403*BH403,
AND(L403="elasticity",M403="level"),O403,
AND(L403="elasticity",M403="sd (X)"),O403/AQ403,
AND(L403="elasticity",M403="sd (Y)"),O403*BH403,
AND(L403="marginal_effect",M403="percent_of_mean"),O403*AN403/BF403/10)</f>
        <v>3.6485999999999998E-2</v>
      </c>
      <c r="AH403" s="51">
        <f t="shared" si="167"/>
        <v>1</v>
      </c>
      <c r="AI403" s="92">
        <f t="shared" si="165"/>
        <v>-2.2297000000000001E-2</v>
      </c>
      <c r="AJ403" s="47">
        <v>0</v>
      </c>
      <c r="AK403" s="47">
        <f t="shared" si="160"/>
        <v>1</v>
      </c>
      <c r="AL403" s="47" t="s">
        <v>131</v>
      </c>
      <c r="AM403" s="47" t="s">
        <v>410</v>
      </c>
      <c r="AN403" s="47">
        <v>20.27</v>
      </c>
      <c r="AO403" s="47">
        <v>0</v>
      </c>
      <c r="AP403" s="47">
        <f t="shared" si="142"/>
        <v>20.27</v>
      </c>
      <c r="AQ403" s="47">
        <v>14.08</v>
      </c>
      <c r="AR403" s="47">
        <v>0</v>
      </c>
      <c r="AS403" s="47">
        <v>150</v>
      </c>
      <c r="AT403" s="47" t="s">
        <v>83</v>
      </c>
      <c r="AU403" s="47" t="s">
        <v>109</v>
      </c>
      <c r="AV403" s="47" t="s">
        <v>133</v>
      </c>
      <c r="AW403" s="47" t="s">
        <v>85</v>
      </c>
      <c r="AX403" s="47" t="s">
        <v>86</v>
      </c>
      <c r="AY403" s="47">
        <v>0</v>
      </c>
      <c r="AZ403" s="47">
        <v>0</v>
      </c>
      <c r="BA403" s="47" t="s">
        <v>111</v>
      </c>
      <c r="BB403" s="47" t="s">
        <v>88</v>
      </c>
      <c r="BC403" s="47" t="s">
        <v>113</v>
      </c>
      <c r="BD403" s="47" t="s">
        <v>114</v>
      </c>
      <c r="BE403" s="47" t="s">
        <v>1142</v>
      </c>
      <c r="BF403" s="47">
        <v>65</v>
      </c>
      <c r="BG403" s="47">
        <v>0</v>
      </c>
      <c r="BH403" s="47" t="s">
        <v>312</v>
      </c>
      <c r="BI403" s="47" t="s">
        <v>312</v>
      </c>
      <c r="BJ403" s="47" t="s">
        <v>312</v>
      </c>
      <c r="BK403" s="47" t="s">
        <v>91</v>
      </c>
      <c r="BL403" s="47" t="s">
        <v>1065</v>
      </c>
      <c r="BM403" s="47">
        <v>1</v>
      </c>
      <c r="BN403" s="47" t="s">
        <v>428</v>
      </c>
      <c r="BO403" s="47" t="s">
        <v>1066</v>
      </c>
      <c r="BP403" s="47" t="s">
        <v>1067</v>
      </c>
      <c r="BQ403" s="47" t="s">
        <v>92</v>
      </c>
      <c r="BR403" s="47" t="s">
        <v>93</v>
      </c>
      <c r="BS403" s="47" t="s">
        <v>312</v>
      </c>
      <c r="BT403" s="47" t="s">
        <v>312</v>
      </c>
      <c r="BU403" s="67">
        <v>42005</v>
      </c>
      <c r="BV403" s="67">
        <v>43070</v>
      </c>
      <c r="BW403" s="47" t="s">
        <v>1068</v>
      </c>
      <c r="BX403" s="47" t="s">
        <v>95</v>
      </c>
      <c r="BY403" s="47" t="s">
        <v>748</v>
      </c>
      <c r="BZ403" s="47">
        <v>1</v>
      </c>
      <c r="CA403" s="47">
        <v>1</v>
      </c>
      <c r="CB403" s="47" t="s">
        <v>1089</v>
      </c>
      <c r="CC403" s="47" t="s">
        <v>1070</v>
      </c>
      <c r="CD403" s="47">
        <v>1</v>
      </c>
      <c r="CE403" s="47" t="s">
        <v>738</v>
      </c>
      <c r="CF403" s="47">
        <v>0</v>
      </c>
      <c r="CG403" s="47" t="s">
        <v>97</v>
      </c>
      <c r="CH403" s="47">
        <v>1</v>
      </c>
      <c r="CI403" s="47" t="s">
        <v>116</v>
      </c>
      <c r="CJ403" s="47" t="s">
        <v>98</v>
      </c>
      <c r="CK403" s="47">
        <v>76</v>
      </c>
      <c r="CL403" s="47">
        <v>0</v>
      </c>
      <c r="CM403" s="47">
        <v>0</v>
      </c>
      <c r="CN403" s="47" t="s">
        <v>99</v>
      </c>
      <c r="CO403" s="47" t="s">
        <v>97</v>
      </c>
      <c r="CP403" s="47" t="s">
        <v>100</v>
      </c>
      <c r="CQ403" s="47" t="s">
        <v>126</v>
      </c>
      <c r="CR403" s="48">
        <v>46225</v>
      </c>
      <c r="CT403" s="47" t="s">
        <v>450</v>
      </c>
    </row>
    <row r="404" spans="1:98" s="47" customFormat="1" x14ac:dyDescent="0.35">
      <c r="A404" s="46" t="s">
        <v>1056</v>
      </c>
      <c r="B404" s="46" t="s">
        <v>1075</v>
      </c>
      <c r="C404" s="47" t="s">
        <v>1057</v>
      </c>
      <c r="D404" s="47">
        <v>2021</v>
      </c>
      <c r="E404" s="66" t="s">
        <v>1058</v>
      </c>
      <c r="F404" s="66" t="s">
        <v>1059</v>
      </c>
      <c r="G404" s="47" t="s">
        <v>78</v>
      </c>
      <c r="H404" s="47">
        <v>1</v>
      </c>
      <c r="I404" s="47" t="s">
        <v>1060</v>
      </c>
      <c r="J404" s="47" t="s">
        <v>79</v>
      </c>
      <c r="K404" s="47">
        <v>28</v>
      </c>
      <c r="L404" s="47" t="s">
        <v>104</v>
      </c>
      <c r="M404" s="47" t="s">
        <v>380</v>
      </c>
      <c r="N404" s="47">
        <v>2.7000000000000001E-3</v>
      </c>
      <c r="O404" s="47">
        <v>2.3999999999999998E-3</v>
      </c>
      <c r="P404" s="92">
        <f t="shared" si="155"/>
        <v>1.1250000000000002</v>
      </c>
      <c r="Q404" s="47" t="s">
        <v>312</v>
      </c>
      <c r="R404" s="92">
        <f t="shared" si="156"/>
        <v>-2.0039999999999997E-3</v>
      </c>
      <c r="S404" s="92">
        <f t="shared" si="157"/>
        <v>7.404E-3</v>
      </c>
      <c r="T404" s="47">
        <v>1</v>
      </c>
      <c r="U404" s="47">
        <v>14637</v>
      </c>
      <c r="V404" s="47" t="s">
        <v>312</v>
      </c>
      <c r="W404" s="47" t="s">
        <v>312</v>
      </c>
      <c r="X404" s="47">
        <f t="shared" si="161"/>
        <v>14637</v>
      </c>
      <c r="Y404" s="92">
        <f t="shared" si="158"/>
        <v>9.2983889922009216E-3</v>
      </c>
      <c r="Z404" s="92">
        <f t="shared" si="159"/>
        <v>8.2652346597341508E-3</v>
      </c>
      <c r="AA404" s="92">
        <f t="shared" si="162"/>
        <v>-9.2983889922009216E-3</v>
      </c>
      <c r="AB404" s="47" t="s">
        <v>81</v>
      </c>
      <c r="AC404" s="92">
        <f t="shared" si="163"/>
        <v>7.3790999999999995E-2</v>
      </c>
      <c r="AD404" s="92" cm="1">
        <f t="array" ref="AD404">_xlfn.IFS(
AND(L404="marginal_effect",M404="level"),N404*AN404/BF404,
AND(L404="marginal_effect",M404="sd (Y)"),N404*BH404*AN404/BF404,
AND(L404="marginal_effect",M404="sd (X)"),N404/AQ404*AN404/BF404,
AND(L404="semi_elasticity",M404="level"),N404*AN404,
AND(L404="semi_elasticity",M404="sd (Y)"),N404*AN404*BH404,
AND(L404="semi_elasticity",M404="sd (X)"),N404*AN404/AQ404,
AND(L404="level-log",M404="level"),N404/BF404,
AND(L404="level-log",M404="sd (X)"),N404/BF404/AQ404,
AND(L404="level-log",M404="sd (Y)"),N404/BF404*BH404,
AND(L404="elasticity",M404="level"),N404,
AND(L404="elasticity",M404="sd (X)"),N404/AQ404,
AND(L404="elasticity",M404="sd (Y)"),N404*BH404,
AND(L404="marginal_effect",M404="percent_of_mean"),N404*AN404/BF404/10)</f>
        <v>7.3790999999999995E-2</v>
      </c>
      <c r="AE404" s="51">
        <f t="shared" si="166"/>
        <v>1</v>
      </c>
      <c r="AF404" s="92">
        <f t="shared" si="164"/>
        <v>6.5591999999999984E-2</v>
      </c>
      <c r="AG404" s="92" cm="1">
        <f t="array" ref="AG404">_xlfn.IFS(
AND(L404="marginal_effect",M404="level"),O404*AN404/BF404,
AND(L404="marginal_effect",M404="sd (Y)"),O404*BH404*AN404/BF404,
AND(L404="marginal_effect",M404="sd (X)"),O404/AQ404*AN404/BF404,
AND(L404="semi_elasticity",M404="level"),O404*AN404,
AND(L404="semi_elasticity",M404="sd (Y)"),O404*AN404*BH404,
AND(L404="semi_elasticity",M404="sd (X)"),O404*AN404/AQ404,
AND(L404="level-log",M404="level"),O404/BF404,
AND(L404="level-log",M404="sd (X)"),O404/BF404/AQ404,
AND(L404="level-log",M404="sd (Y)"),O404/BF404*BH404,
AND(L404="elasticity",M404="level"),O404,
AND(L404="elasticity",M404="sd (X)"),O404/AQ404,
AND(L404="elasticity",M404="sd (Y)"),O404*BH404,
AND(L404="marginal_effect",M404="percent_of_mean"),O404*AN404/BF404/10)</f>
        <v>6.5591999999999984E-2</v>
      </c>
      <c r="AH404" s="51">
        <f t="shared" si="167"/>
        <v>1</v>
      </c>
      <c r="AI404" s="92">
        <f t="shared" si="165"/>
        <v>-7.3790999999999995E-2</v>
      </c>
      <c r="AJ404" s="47">
        <v>0</v>
      </c>
      <c r="AK404" s="47">
        <f t="shared" si="160"/>
        <v>1</v>
      </c>
      <c r="AL404" s="47" t="s">
        <v>148</v>
      </c>
      <c r="AM404" s="47" t="s">
        <v>410</v>
      </c>
      <c r="AN404" s="47">
        <v>27.33</v>
      </c>
      <c r="AO404" s="47">
        <v>0</v>
      </c>
      <c r="AP404" s="47">
        <f t="shared" si="142"/>
        <v>27.33</v>
      </c>
      <c r="AQ404" s="47">
        <v>24.83</v>
      </c>
      <c r="AR404" s="47">
        <v>1</v>
      </c>
      <c r="AS404" s="47">
        <v>210</v>
      </c>
      <c r="AT404" s="47" t="s">
        <v>83</v>
      </c>
      <c r="AU404" s="47" t="s">
        <v>109</v>
      </c>
      <c r="AV404" s="47" t="s">
        <v>133</v>
      </c>
      <c r="AW404" s="47" t="s">
        <v>85</v>
      </c>
      <c r="AX404" s="47" t="s">
        <v>86</v>
      </c>
      <c r="AY404" s="47">
        <v>0</v>
      </c>
      <c r="AZ404" s="47">
        <v>0</v>
      </c>
      <c r="BA404" s="47" t="s">
        <v>111</v>
      </c>
      <c r="BB404" s="47" t="s">
        <v>88</v>
      </c>
      <c r="BC404" s="47" t="s">
        <v>113</v>
      </c>
      <c r="BD404" s="47" t="s">
        <v>114</v>
      </c>
      <c r="BE404" s="47" t="s">
        <v>1142</v>
      </c>
      <c r="BF404" s="47">
        <v>65</v>
      </c>
      <c r="BG404" s="47">
        <v>0</v>
      </c>
      <c r="BH404" s="47" t="s">
        <v>312</v>
      </c>
      <c r="BI404" s="47" t="s">
        <v>312</v>
      </c>
      <c r="BJ404" s="47" t="s">
        <v>312</v>
      </c>
      <c r="BK404" s="47" t="s">
        <v>91</v>
      </c>
      <c r="BL404" s="47" t="s">
        <v>1065</v>
      </c>
      <c r="BM404" s="47">
        <v>1</v>
      </c>
      <c r="BN404" s="47" t="s">
        <v>428</v>
      </c>
      <c r="BO404" s="47" t="s">
        <v>1066</v>
      </c>
      <c r="BP404" s="47" t="s">
        <v>1067</v>
      </c>
      <c r="BQ404" s="47" t="s">
        <v>92</v>
      </c>
      <c r="BR404" s="47" t="s">
        <v>93</v>
      </c>
      <c r="BS404" s="47" t="s">
        <v>312</v>
      </c>
      <c r="BT404" s="47" t="s">
        <v>312</v>
      </c>
      <c r="BU404" s="67">
        <v>42005</v>
      </c>
      <c r="BV404" s="67">
        <v>43070</v>
      </c>
      <c r="BW404" s="47" t="s">
        <v>1068</v>
      </c>
      <c r="BX404" s="47" t="s">
        <v>95</v>
      </c>
      <c r="BY404" s="47" t="s">
        <v>748</v>
      </c>
      <c r="BZ404" s="47">
        <v>1</v>
      </c>
      <c r="CA404" s="47">
        <v>1</v>
      </c>
      <c r="CB404" s="47" t="s">
        <v>1089</v>
      </c>
      <c r="CC404" s="47" t="s">
        <v>1070</v>
      </c>
      <c r="CD404" s="47">
        <v>1</v>
      </c>
      <c r="CE404" s="47" t="s">
        <v>738</v>
      </c>
      <c r="CF404" s="47">
        <v>0</v>
      </c>
      <c r="CG404" s="47" t="s">
        <v>97</v>
      </c>
      <c r="CH404" s="47">
        <v>1</v>
      </c>
      <c r="CI404" s="47" t="s">
        <v>116</v>
      </c>
      <c r="CJ404" s="47" t="s">
        <v>98</v>
      </c>
      <c r="CK404" s="47">
        <v>76</v>
      </c>
      <c r="CL404" s="47">
        <v>0</v>
      </c>
      <c r="CM404" s="47">
        <v>0</v>
      </c>
      <c r="CN404" s="47" t="s">
        <v>99</v>
      </c>
      <c r="CO404" s="47" t="s">
        <v>97</v>
      </c>
      <c r="CP404" s="47" t="s">
        <v>100</v>
      </c>
      <c r="CQ404" s="47" t="s">
        <v>126</v>
      </c>
      <c r="CR404" s="48">
        <v>46225</v>
      </c>
      <c r="CT404" s="47" t="s">
        <v>450</v>
      </c>
    </row>
    <row r="405" spans="1:98" s="47" customFormat="1" x14ac:dyDescent="0.35">
      <c r="A405" s="46" t="s">
        <v>1056</v>
      </c>
      <c r="B405" s="46" t="s">
        <v>1076</v>
      </c>
      <c r="C405" s="47" t="s">
        <v>1057</v>
      </c>
      <c r="D405" s="47">
        <v>2021</v>
      </c>
      <c r="E405" s="66" t="s">
        <v>1058</v>
      </c>
      <c r="F405" s="66" t="s">
        <v>1059</v>
      </c>
      <c r="G405" s="47" t="s">
        <v>78</v>
      </c>
      <c r="H405" s="47">
        <v>1</v>
      </c>
      <c r="I405" s="47" t="s">
        <v>1060</v>
      </c>
      <c r="J405" s="47" t="s">
        <v>79</v>
      </c>
      <c r="K405" s="47">
        <v>28</v>
      </c>
      <c r="L405" s="47" t="s">
        <v>104</v>
      </c>
      <c r="M405" s="47" t="s">
        <v>380</v>
      </c>
      <c r="N405" s="47">
        <v>3.5000000000000001E-3</v>
      </c>
      <c r="O405" s="47">
        <v>2.3999999999999998E-3</v>
      </c>
      <c r="P405" s="92">
        <f t="shared" si="155"/>
        <v>1.4583333333333335</v>
      </c>
      <c r="Q405" s="47" t="s">
        <v>312</v>
      </c>
      <c r="R405" s="92">
        <f t="shared" si="156"/>
        <v>-1.2039999999999998E-3</v>
      </c>
      <c r="S405" s="92">
        <f t="shared" si="157"/>
        <v>8.2039999999999995E-3</v>
      </c>
      <c r="T405" s="47">
        <v>1</v>
      </c>
      <c r="U405" s="47">
        <v>13465</v>
      </c>
      <c r="V405" s="47" t="s">
        <v>312</v>
      </c>
      <c r="W405" s="47" t="s">
        <v>312</v>
      </c>
      <c r="X405" s="47">
        <f t="shared" si="161"/>
        <v>13465</v>
      </c>
      <c r="Y405" s="92">
        <f t="shared" si="158"/>
        <v>1.2566644489066345E-2</v>
      </c>
      <c r="Z405" s="92">
        <f t="shared" si="159"/>
        <v>8.6171276496454924E-3</v>
      </c>
      <c r="AA405" s="92">
        <f t="shared" si="162"/>
        <v>-1.2566644489066345E-2</v>
      </c>
      <c r="AB405" s="47" t="s">
        <v>81</v>
      </c>
      <c r="AC405" s="92">
        <f t="shared" si="163"/>
        <v>8.0115000000000006E-2</v>
      </c>
      <c r="AD405" s="92" cm="1">
        <f t="array" ref="AD405">_xlfn.IFS(
AND(L405="marginal_effect",M405="level"),N405*AN405/BF405,
AND(L405="marginal_effect",M405="sd (Y)"),N405*BH405*AN405/BF405,
AND(L405="marginal_effect",M405="sd (X)"),N405/AQ405*AN405/BF405,
AND(L405="semi_elasticity",M405="level"),N405*AN405,
AND(L405="semi_elasticity",M405="sd (Y)"),N405*AN405*BH405,
AND(L405="semi_elasticity",M405="sd (X)"),N405*AN405/AQ405,
AND(L405="level-log",M405="level"),N405/BF405,
AND(L405="level-log",M405="sd (X)"),N405/BF405/AQ405,
AND(L405="level-log",M405="sd (Y)"),N405/BF405*BH405,
AND(L405="elasticity",M405="level"),N405,
AND(L405="elasticity",M405="sd (X)"),N405/AQ405,
AND(L405="elasticity",M405="sd (Y)"),N405*BH405,
AND(L405="marginal_effect",M405="percent_of_mean"),N405*AN405/BF405/10)</f>
        <v>8.0115000000000006E-2</v>
      </c>
      <c r="AE405" s="51">
        <f t="shared" si="166"/>
        <v>1</v>
      </c>
      <c r="AF405" s="92">
        <f t="shared" si="164"/>
        <v>5.4935999999999999E-2</v>
      </c>
      <c r="AG405" s="92" cm="1">
        <f t="array" ref="AG405">_xlfn.IFS(
AND(L405="marginal_effect",M405="level"),O405*AN405/BF405,
AND(L405="marginal_effect",M405="sd (Y)"),O405*BH405*AN405/BF405,
AND(L405="marginal_effect",M405="sd (X)"),O405/AQ405*AN405/BF405,
AND(L405="semi_elasticity",M405="level"),O405*AN405,
AND(L405="semi_elasticity",M405="sd (Y)"),O405*AN405*BH405,
AND(L405="semi_elasticity",M405="sd (X)"),O405*AN405/AQ405,
AND(L405="level-log",M405="level"),O405/BF405,
AND(L405="level-log",M405="sd (X)"),O405/BF405/AQ405,
AND(L405="level-log",M405="sd (Y)"),O405/BF405*BH405,
AND(L405="elasticity",M405="level"),O405,
AND(L405="elasticity",M405="sd (X)"),O405/AQ405,
AND(L405="elasticity",M405="sd (Y)"),O405*BH405,
AND(L405="marginal_effect",M405="percent_of_mean"),O405*AN405/BF405/10)</f>
        <v>5.4935999999999999E-2</v>
      </c>
      <c r="AH405" s="51">
        <f t="shared" si="167"/>
        <v>1</v>
      </c>
      <c r="AI405" s="92">
        <f t="shared" si="165"/>
        <v>-8.0115000000000006E-2</v>
      </c>
      <c r="AJ405" s="47">
        <v>0</v>
      </c>
      <c r="AK405" s="47">
        <f t="shared" si="160"/>
        <v>1</v>
      </c>
      <c r="AL405" s="47" t="s">
        <v>82</v>
      </c>
      <c r="AM405" s="47" t="s">
        <v>1333</v>
      </c>
      <c r="AN405" s="47">
        <v>22.89</v>
      </c>
      <c r="AO405" s="47">
        <v>0</v>
      </c>
      <c r="AP405" s="47">
        <f t="shared" si="142"/>
        <v>22.89</v>
      </c>
      <c r="AQ405" s="47">
        <v>16.149999999999999</v>
      </c>
      <c r="AR405" s="47">
        <v>0</v>
      </c>
      <c r="AS405" s="47">
        <v>698</v>
      </c>
      <c r="AT405" s="47" t="s">
        <v>83</v>
      </c>
      <c r="AU405" s="47" t="s">
        <v>109</v>
      </c>
      <c r="AV405" s="47" t="s">
        <v>133</v>
      </c>
      <c r="AW405" s="47" t="s">
        <v>85</v>
      </c>
      <c r="AX405" s="47" t="s">
        <v>86</v>
      </c>
      <c r="AY405" s="47">
        <v>0</v>
      </c>
      <c r="AZ405" s="47">
        <v>0</v>
      </c>
      <c r="BA405" s="47" t="s">
        <v>111</v>
      </c>
      <c r="BB405" s="47" t="s">
        <v>88</v>
      </c>
      <c r="BC405" s="47" t="s">
        <v>113</v>
      </c>
      <c r="BD405" s="47" t="s">
        <v>114</v>
      </c>
      <c r="BE405" s="47" t="s">
        <v>1142</v>
      </c>
      <c r="BF405" s="47">
        <v>65</v>
      </c>
      <c r="BG405" s="47">
        <v>0</v>
      </c>
      <c r="BH405" s="47" t="s">
        <v>312</v>
      </c>
      <c r="BI405" s="47" t="s">
        <v>312</v>
      </c>
      <c r="BJ405" s="47" t="s">
        <v>312</v>
      </c>
      <c r="BK405" s="47" t="s">
        <v>91</v>
      </c>
      <c r="BL405" s="47" t="s">
        <v>1065</v>
      </c>
      <c r="BM405" s="47">
        <v>1</v>
      </c>
      <c r="BN405" s="47" t="s">
        <v>428</v>
      </c>
      <c r="BO405" s="47" t="s">
        <v>1066</v>
      </c>
      <c r="BP405" s="47" t="s">
        <v>1067</v>
      </c>
      <c r="BQ405" s="47" t="s">
        <v>92</v>
      </c>
      <c r="BR405" s="47" t="s">
        <v>93</v>
      </c>
      <c r="BS405" s="47" t="s">
        <v>312</v>
      </c>
      <c r="BT405" s="47" t="s">
        <v>312</v>
      </c>
      <c r="BU405" s="67">
        <v>42005</v>
      </c>
      <c r="BV405" s="67">
        <v>43070</v>
      </c>
      <c r="BW405" s="47" t="s">
        <v>1068</v>
      </c>
      <c r="BX405" s="47" t="s">
        <v>95</v>
      </c>
      <c r="BY405" s="47" t="s">
        <v>748</v>
      </c>
      <c r="BZ405" s="47">
        <v>1</v>
      </c>
      <c r="CA405" s="47">
        <v>1</v>
      </c>
      <c r="CB405" s="47" t="s">
        <v>1089</v>
      </c>
      <c r="CC405" s="47" t="s">
        <v>1070</v>
      </c>
      <c r="CD405" s="47">
        <v>1</v>
      </c>
      <c r="CE405" s="47" t="s">
        <v>738</v>
      </c>
      <c r="CF405" s="47">
        <v>0</v>
      </c>
      <c r="CG405" s="47" t="s">
        <v>97</v>
      </c>
      <c r="CH405" s="47">
        <v>1</v>
      </c>
      <c r="CI405" s="47" t="s">
        <v>116</v>
      </c>
      <c r="CJ405" s="47" t="s">
        <v>98</v>
      </c>
      <c r="CK405" s="47">
        <v>76</v>
      </c>
      <c r="CL405" s="47">
        <v>0</v>
      </c>
      <c r="CM405" s="47">
        <v>0</v>
      </c>
      <c r="CN405" s="47" t="s">
        <v>99</v>
      </c>
      <c r="CO405" s="47" t="s">
        <v>97</v>
      </c>
      <c r="CP405" s="47" t="s">
        <v>100</v>
      </c>
      <c r="CQ405" s="47" t="s">
        <v>126</v>
      </c>
      <c r="CR405" s="48">
        <v>46225</v>
      </c>
      <c r="CT405" s="47" t="s">
        <v>450</v>
      </c>
    </row>
    <row r="406" spans="1:98" s="47" customFormat="1" x14ac:dyDescent="0.35">
      <c r="A406" s="46" t="s">
        <v>1056</v>
      </c>
      <c r="B406" s="46" t="s">
        <v>1077</v>
      </c>
      <c r="C406" s="47" t="s">
        <v>1057</v>
      </c>
      <c r="D406" s="47">
        <v>2021</v>
      </c>
      <c r="E406" s="66" t="s">
        <v>1058</v>
      </c>
      <c r="F406" s="66" t="s">
        <v>1059</v>
      </c>
      <c r="G406" s="47" t="s">
        <v>78</v>
      </c>
      <c r="H406" s="47">
        <v>1</v>
      </c>
      <c r="I406" s="47" t="s">
        <v>1060</v>
      </c>
      <c r="J406" s="47" t="s">
        <v>79</v>
      </c>
      <c r="K406" s="47">
        <v>28</v>
      </c>
      <c r="L406" s="47" t="s">
        <v>104</v>
      </c>
      <c r="M406" s="47" t="s">
        <v>380</v>
      </c>
      <c r="N406" s="47">
        <v>0</v>
      </c>
      <c r="O406" s="47">
        <v>1E-4</v>
      </c>
      <c r="P406" s="92">
        <f t="shared" si="155"/>
        <v>0</v>
      </c>
      <c r="Q406" s="47" t="s">
        <v>312</v>
      </c>
      <c r="R406" s="92">
        <f t="shared" si="156"/>
        <v>-1.9599999999999999E-4</v>
      </c>
      <c r="S406" s="92">
        <f t="shared" si="157"/>
        <v>1.9599999999999999E-4</v>
      </c>
      <c r="T406" s="47">
        <v>1</v>
      </c>
      <c r="U406" s="47">
        <v>14617</v>
      </c>
      <c r="V406" s="47" t="s">
        <v>312</v>
      </c>
      <c r="W406" s="47" t="s">
        <v>312</v>
      </c>
      <c r="X406" s="47">
        <f t="shared" si="161"/>
        <v>14617</v>
      </c>
      <c r="Y406" s="92">
        <f t="shared" si="158"/>
        <v>0</v>
      </c>
      <c r="Z406" s="92">
        <f t="shared" si="159"/>
        <v>8.2712448362053034E-3</v>
      </c>
      <c r="AA406" s="92">
        <f t="shared" si="162"/>
        <v>0</v>
      </c>
      <c r="AB406" s="47" t="s">
        <v>81</v>
      </c>
      <c r="AC406" s="92">
        <f t="shared" si="163"/>
        <v>0</v>
      </c>
      <c r="AD406" s="92" cm="1">
        <f t="array" ref="AD406">_xlfn.IFS(
AND(L406="marginal_effect",M406="level"),N406*AN406/BF406,
AND(L406="marginal_effect",M406="sd (Y)"),N406*BH406*AN406/BF406,
AND(L406="marginal_effect",M406="sd (X)"),N406/AQ406*AN406/BF406,
AND(L406="semi_elasticity",M406="level"),N406*AN406,
AND(L406="semi_elasticity",M406="sd (Y)"),N406*AN406*BH406,
AND(L406="semi_elasticity",M406="sd (X)"),N406*AN406/AQ406,
AND(L406="level-log",M406="level"),N406/BF406,
AND(L406="level-log",M406="sd (X)"),N406/BF406/AQ406,
AND(L406="level-log",M406="sd (Y)"),N406/BF406*BH406,
AND(L406="elasticity",M406="level"),N406,
AND(L406="elasticity",M406="sd (X)"),N406/AQ406,
AND(L406="elasticity",M406="sd (Y)"),N406*BH406,
AND(L406="marginal_effect",M406="percent_of_mean"),N406*AN406/BF406/10)</f>
        <v>0</v>
      </c>
      <c r="AE406" s="51">
        <f t="shared" si="166"/>
        <v>1</v>
      </c>
      <c r="AF406" s="92">
        <f t="shared" si="164"/>
        <v>6.9999999999999994E-5</v>
      </c>
      <c r="AG406" s="92" cm="1">
        <f t="array" ref="AG406">_xlfn.IFS(
AND(L406="marginal_effect",M406="level"),O406*AN406/BF406,
AND(L406="marginal_effect",M406="sd (Y)"),O406*BH406*AN406/BF406,
AND(L406="marginal_effect",M406="sd (X)"),O406/AQ406*AN406/BF406,
AND(L406="semi_elasticity",M406="level"),O406*AN406,
AND(L406="semi_elasticity",M406="sd (Y)"),O406*AN406*BH406,
AND(L406="semi_elasticity",M406="sd (X)"),O406*AN406/AQ406,
AND(L406="level-log",M406="level"),O406/BF406,
AND(L406="level-log",M406="sd (X)"),O406/BF406/AQ406,
AND(L406="level-log",M406="sd (Y)"),O406/BF406*BH406,
AND(L406="elasticity",M406="level"),O406,
AND(L406="elasticity",M406="sd (X)"),O406/AQ406,
AND(L406="elasticity",M406="sd (Y)"),O406*BH406,
AND(L406="marginal_effect",M406="percent_of_mean"),O406*AN406/BF406/10)</f>
        <v>6.9999999999999994E-5</v>
      </c>
      <c r="AH406" s="51">
        <f t="shared" si="167"/>
        <v>1</v>
      </c>
      <c r="AI406" s="92">
        <f t="shared" si="165"/>
        <v>0</v>
      </c>
      <c r="AJ406" s="47">
        <v>0</v>
      </c>
      <c r="AK406" s="47">
        <f t="shared" si="160"/>
        <v>1</v>
      </c>
      <c r="AL406" s="47" t="s">
        <v>162</v>
      </c>
      <c r="AM406" s="47" t="s">
        <v>590</v>
      </c>
      <c r="AN406" s="47">
        <v>0.7</v>
      </c>
      <c r="AO406" s="47">
        <v>0</v>
      </c>
      <c r="AP406" s="47">
        <f t="shared" si="142"/>
        <v>0.7</v>
      </c>
      <c r="AQ406" s="47">
        <v>0.66</v>
      </c>
      <c r="AR406" s="47">
        <v>0</v>
      </c>
      <c r="AS406" s="47">
        <v>12.76</v>
      </c>
      <c r="AT406" s="47" t="s">
        <v>83</v>
      </c>
      <c r="AU406" s="47" t="s">
        <v>109</v>
      </c>
      <c r="AV406" s="47" t="s">
        <v>133</v>
      </c>
      <c r="AW406" s="47" t="s">
        <v>85</v>
      </c>
      <c r="AX406" s="47" t="s">
        <v>86</v>
      </c>
      <c r="AY406" s="47">
        <v>0</v>
      </c>
      <c r="AZ406" s="47">
        <v>0</v>
      </c>
      <c r="BA406" s="47" t="s">
        <v>111</v>
      </c>
      <c r="BB406" s="47" t="s">
        <v>88</v>
      </c>
      <c r="BC406" s="47" t="s">
        <v>113</v>
      </c>
      <c r="BD406" s="47" t="s">
        <v>114</v>
      </c>
      <c r="BE406" s="47" t="s">
        <v>1142</v>
      </c>
      <c r="BF406" s="47">
        <v>65</v>
      </c>
      <c r="BG406" s="47">
        <v>0</v>
      </c>
      <c r="BH406" s="47" t="s">
        <v>312</v>
      </c>
      <c r="BI406" s="47" t="s">
        <v>312</v>
      </c>
      <c r="BJ406" s="47" t="s">
        <v>312</v>
      </c>
      <c r="BK406" s="47" t="s">
        <v>91</v>
      </c>
      <c r="BL406" s="47" t="s">
        <v>1065</v>
      </c>
      <c r="BM406" s="47">
        <v>1</v>
      </c>
      <c r="BN406" s="47" t="s">
        <v>428</v>
      </c>
      <c r="BO406" s="47" t="s">
        <v>1066</v>
      </c>
      <c r="BP406" s="47" t="s">
        <v>1067</v>
      </c>
      <c r="BQ406" s="47" t="s">
        <v>92</v>
      </c>
      <c r="BR406" s="47" t="s">
        <v>93</v>
      </c>
      <c r="BS406" s="47" t="s">
        <v>312</v>
      </c>
      <c r="BT406" s="47" t="s">
        <v>312</v>
      </c>
      <c r="BU406" s="67">
        <v>42005</v>
      </c>
      <c r="BV406" s="67">
        <v>43070</v>
      </c>
      <c r="BW406" s="47" t="s">
        <v>1068</v>
      </c>
      <c r="BX406" s="47" t="s">
        <v>95</v>
      </c>
      <c r="BY406" s="47" t="s">
        <v>748</v>
      </c>
      <c r="BZ406" s="47">
        <v>1</v>
      </c>
      <c r="CA406" s="47">
        <v>1</v>
      </c>
      <c r="CB406" s="47" t="s">
        <v>1089</v>
      </c>
      <c r="CC406" s="47" t="s">
        <v>1071</v>
      </c>
      <c r="CD406" s="47">
        <v>1</v>
      </c>
      <c r="CE406" s="47" t="s">
        <v>738</v>
      </c>
      <c r="CF406" s="47">
        <v>0</v>
      </c>
      <c r="CG406" s="47" t="s">
        <v>97</v>
      </c>
      <c r="CH406" s="47">
        <v>1</v>
      </c>
      <c r="CI406" s="47" t="s">
        <v>116</v>
      </c>
      <c r="CJ406" s="47" t="s">
        <v>98</v>
      </c>
      <c r="CK406" s="47">
        <v>76</v>
      </c>
      <c r="CL406" s="47">
        <v>0</v>
      </c>
      <c r="CM406" s="47">
        <v>0</v>
      </c>
      <c r="CN406" s="47" t="s">
        <v>99</v>
      </c>
      <c r="CO406" s="47" t="s">
        <v>97</v>
      </c>
      <c r="CP406" s="47" t="s">
        <v>100</v>
      </c>
      <c r="CQ406" s="47" t="s">
        <v>126</v>
      </c>
      <c r="CR406" s="48">
        <v>46225</v>
      </c>
      <c r="CT406" s="47" t="s">
        <v>451</v>
      </c>
    </row>
    <row r="407" spans="1:98" s="47" customFormat="1" x14ac:dyDescent="0.35">
      <c r="A407" s="46" t="s">
        <v>1056</v>
      </c>
      <c r="B407" s="46" t="s">
        <v>1078</v>
      </c>
      <c r="C407" s="47" t="s">
        <v>1057</v>
      </c>
      <c r="D407" s="47">
        <v>2021</v>
      </c>
      <c r="E407" s="66" t="s">
        <v>1058</v>
      </c>
      <c r="F407" s="66" t="s">
        <v>1059</v>
      </c>
      <c r="G407" s="47" t="s">
        <v>78</v>
      </c>
      <c r="H407" s="47">
        <v>1</v>
      </c>
      <c r="I407" s="47" t="s">
        <v>1060</v>
      </c>
      <c r="J407" s="47" t="s">
        <v>79</v>
      </c>
      <c r="K407" s="47">
        <v>28</v>
      </c>
      <c r="L407" s="47" t="s">
        <v>104</v>
      </c>
      <c r="M407" s="47" t="s">
        <v>380</v>
      </c>
      <c r="N407" s="47">
        <v>4.7000000000000002E-3</v>
      </c>
      <c r="O407" s="47">
        <v>2E-3</v>
      </c>
      <c r="P407" s="92">
        <f t="shared" si="155"/>
        <v>2.35</v>
      </c>
      <c r="Q407" s="47" t="s">
        <v>312</v>
      </c>
      <c r="R407" s="92">
        <f t="shared" si="156"/>
        <v>7.8000000000000031E-4</v>
      </c>
      <c r="S407" s="92">
        <f t="shared" si="157"/>
        <v>8.6199999999999992E-3</v>
      </c>
      <c r="T407" s="47">
        <v>1</v>
      </c>
      <c r="U407" s="47">
        <v>14613</v>
      </c>
      <c r="V407" s="47" t="s">
        <v>312</v>
      </c>
      <c r="W407" s="47" t="s">
        <v>312</v>
      </c>
      <c r="X407" s="47">
        <f t="shared" si="161"/>
        <v>14613</v>
      </c>
      <c r="Y407" s="92">
        <f t="shared" si="158"/>
        <v>1.943641314751092E-2</v>
      </c>
      <c r="Z407" s="92">
        <f t="shared" si="159"/>
        <v>8.2708141053237944E-3</v>
      </c>
      <c r="AA407" s="92">
        <f t="shared" si="162"/>
        <v>-1.943641314751092E-2</v>
      </c>
      <c r="AB407" s="47" t="s">
        <v>81</v>
      </c>
      <c r="AC407" s="92">
        <f t="shared" si="163"/>
        <v>9.5269000000000006E-2</v>
      </c>
      <c r="AD407" s="92" cm="1">
        <f t="array" ref="AD407">_xlfn.IFS(
AND(L407="marginal_effect",M407="level"),N407*AN407/BF407,
AND(L407="marginal_effect",M407="sd (Y)"),N407*BH407*AN407/BF407,
AND(L407="marginal_effect",M407="sd (X)"),N407/AQ407*AN407/BF407,
AND(L407="semi_elasticity",M407="level"),N407*AN407,
AND(L407="semi_elasticity",M407="sd (Y)"),N407*AN407*BH407,
AND(L407="semi_elasticity",M407="sd (X)"),N407*AN407/AQ407,
AND(L407="level-log",M407="level"),N407/BF407,
AND(L407="level-log",M407="sd (X)"),N407/BF407/AQ407,
AND(L407="level-log",M407="sd (Y)"),N407/BF407*BH407,
AND(L407="elasticity",M407="level"),N407,
AND(L407="elasticity",M407="sd (X)"),N407/AQ407,
AND(L407="elasticity",M407="sd (Y)"),N407*BH407,
AND(L407="marginal_effect",M407="percent_of_mean"),N407*AN407/BF407/10)</f>
        <v>9.5269000000000006E-2</v>
      </c>
      <c r="AE407" s="51">
        <f t="shared" si="166"/>
        <v>1</v>
      </c>
      <c r="AF407" s="92">
        <f t="shared" si="164"/>
        <v>4.054E-2</v>
      </c>
      <c r="AG407" s="92" cm="1">
        <f t="array" ref="AG407">_xlfn.IFS(
AND(L407="marginal_effect",M407="level"),O407*AN407/BF407,
AND(L407="marginal_effect",M407="sd (Y)"),O407*BH407*AN407/BF407,
AND(L407="marginal_effect",M407="sd (X)"),O407/AQ407*AN407/BF407,
AND(L407="semi_elasticity",M407="level"),O407*AN407,
AND(L407="semi_elasticity",M407="sd (Y)"),O407*AN407*BH407,
AND(L407="semi_elasticity",M407="sd (X)"),O407*AN407/AQ407,
AND(L407="level-log",M407="level"),O407/BF407,
AND(L407="level-log",M407="sd (X)"),O407/BF407/AQ407,
AND(L407="level-log",M407="sd (Y)"),O407/BF407*BH407,
AND(L407="elasticity",M407="level"),O407,
AND(L407="elasticity",M407="sd (X)"),O407/AQ407,
AND(L407="elasticity",M407="sd (Y)"),O407*BH407,
AND(L407="marginal_effect",M407="percent_of_mean"),O407*AN407/BF407/10)</f>
        <v>4.054E-2</v>
      </c>
      <c r="AH407" s="51">
        <f t="shared" si="167"/>
        <v>1</v>
      </c>
      <c r="AI407" s="92">
        <f t="shared" si="165"/>
        <v>-9.5269000000000006E-2</v>
      </c>
      <c r="AJ407" s="47">
        <v>0</v>
      </c>
      <c r="AK407" s="47">
        <f t="shared" si="160"/>
        <v>1</v>
      </c>
      <c r="AL407" s="47" t="s">
        <v>131</v>
      </c>
      <c r="AM407" s="47" t="s">
        <v>410</v>
      </c>
      <c r="AN407" s="47">
        <v>20.27</v>
      </c>
      <c r="AO407" s="47">
        <v>0</v>
      </c>
      <c r="AP407" s="47">
        <f t="shared" si="142"/>
        <v>20.27</v>
      </c>
      <c r="AQ407" s="47">
        <v>14.08</v>
      </c>
      <c r="AR407" s="47">
        <v>0</v>
      </c>
      <c r="AS407" s="47">
        <v>150</v>
      </c>
      <c r="AT407" s="47" t="s">
        <v>83</v>
      </c>
      <c r="AU407" s="47" t="s">
        <v>109</v>
      </c>
      <c r="AV407" s="47" t="s">
        <v>133</v>
      </c>
      <c r="AW407" s="47" t="s">
        <v>85</v>
      </c>
      <c r="AX407" s="47" t="s">
        <v>86</v>
      </c>
      <c r="AY407" s="47">
        <v>0</v>
      </c>
      <c r="AZ407" s="47">
        <v>0</v>
      </c>
      <c r="BA407" s="47" t="s">
        <v>111</v>
      </c>
      <c r="BB407" s="47" t="s">
        <v>88</v>
      </c>
      <c r="BC407" s="47" t="s">
        <v>113</v>
      </c>
      <c r="BD407" s="47" t="s">
        <v>114</v>
      </c>
      <c r="BE407" s="47" t="s">
        <v>1142</v>
      </c>
      <c r="BF407" s="47">
        <v>65</v>
      </c>
      <c r="BG407" s="47">
        <v>0</v>
      </c>
      <c r="BH407" s="47" t="s">
        <v>312</v>
      </c>
      <c r="BI407" s="47" t="s">
        <v>312</v>
      </c>
      <c r="BJ407" s="47" t="s">
        <v>312</v>
      </c>
      <c r="BK407" s="47" t="s">
        <v>91</v>
      </c>
      <c r="BL407" s="47" t="s">
        <v>1065</v>
      </c>
      <c r="BM407" s="47">
        <v>1</v>
      </c>
      <c r="BN407" s="47" t="s">
        <v>428</v>
      </c>
      <c r="BO407" s="47" t="s">
        <v>1066</v>
      </c>
      <c r="BP407" s="47" t="s">
        <v>1067</v>
      </c>
      <c r="BQ407" s="47" t="s">
        <v>92</v>
      </c>
      <c r="BR407" s="47" t="s">
        <v>93</v>
      </c>
      <c r="BS407" s="47" t="s">
        <v>312</v>
      </c>
      <c r="BT407" s="47" t="s">
        <v>312</v>
      </c>
      <c r="BU407" s="67">
        <v>42005</v>
      </c>
      <c r="BV407" s="67">
        <v>43070</v>
      </c>
      <c r="BW407" s="47" t="s">
        <v>1068</v>
      </c>
      <c r="BX407" s="47" t="s">
        <v>95</v>
      </c>
      <c r="BY407" s="47" t="s">
        <v>748</v>
      </c>
      <c r="BZ407" s="47">
        <v>1</v>
      </c>
      <c r="CA407" s="47">
        <v>1</v>
      </c>
      <c r="CB407" s="47" t="s">
        <v>1089</v>
      </c>
      <c r="CC407" s="47" t="s">
        <v>1071</v>
      </c>
      <c r="CD407" s="47">
        <v>1</v>
      </c>
      <c r="CE407" s="47" t="s">
        <v>738</v>
      </c>
      <c r="CF407" s="47">
        <v>0</v>
      </c>
      <c r="CG407" s="47" t="s">
        <v>97</v>
      </c>
      <c r="CH407" s="47">
        <v>1</v>
      </c>
      <c r="CI407" s="47" t="s">
        <v>116</v>
      </c>
      <c r="CJ407" s="47" t="s">
        <v>98</v>
      </c>
      <c r="CK407" s="47">
        <v>76</v>
      </c>
      <c r="CL407" s="47">
        <v>0</v>
      </c>
      <c r="CM407" s="47">
        <v>0</v>
      </c>
      <c r="CN407" s="47" t="s">
        <v>99</v>
      </c>
      <c r="CO407" s="47" t="s">
        <v>97</v>
      </c>
      <c r="CP407" s="47" t="s">
        <v>100</v>
      </c>
      <c r="CQ407" s="47" t="s">
        <v>126</v>
      </c>
      <c r="CR407" s="48">
        <v>46225</v>
      </c>
      <c r="CT407" s="47" t="s">
        <v>451</v>
      </c>
    </row>
    <row r="408" spans="1:98" s="47" customFormat="1" x14ac:dyDescent="0.35">
      <c r="A408" s="46" t="s">
        <v>1056</v>
      </c>
      <c r="B408" s="46" t="s">
        <v>1079</v>
      </c>
      <c r="C408" s="47" t="s">
        <v>1057</v>
      </c>
      <c r="D408" s="47">
        <v>2021</v>
      </c>
      <c r="E408" s="66" t="s">
        <v>1058</v>
      </c>
      <c r="F408" s="66" t="s">
        <v>1059</v>
      </c>
      <c r="G408" s="47" t="s">
        <v>78</v>
      </c>
      <c r="H408" s="47">
        <v>1</v>
      </c>
      <c r="I408" s="47" t="s">
        <v>1060</v>
      </c>
      <c r="J408" s="47" t="s">
        <v>79</v>
      </c>
      <c r="K408" s="47">
        <v>28</v>
      </c>
      <c r="L408" s="47" t="s">
        <v>104</v>
      </c>
      <c r="M408" s="47" t="s">
        <v>380</v>
      </c>
      <c r="N408" s="47">
        <v>2.8999999999999998E-3</v>
      </c>
      <c r="O408" s="47">
        <v>2.7000000000000001E-3</v>
      </c>
      <c r="P408" s="92">
        <f t="shared" si="155"/>
        <v>1.074074074074074</v>
      </c>
      <c r="Q408" s="47" t="s">
        <v>312</v>
      </c>
      <c r="R408" s="92">
        <f t="shared" si="156"/>
        <v>-2.392E-3</v>
      </c>
      <c r="S408" s="92">
        <f t="shared" si="157"/>
        <v>8.1919999999999996E-3</v>
      </c>
      <c r="T408" s="47">
        <v>1</v>
      </c>
      <c r="U408" s="47">
        <v>14637</v>
      </c>
      <c r="V408" s="47" t="s">
        <v>312</v>
      </c>
      <c r="W408" s="47" t="s">
        <v>312</v>
      </c>
      <c r="X408" s="47">
        <f t="shared" si="161"/>
        <v>14637</v>
      </c>
      <c r="Y408" s="92">
        <f t="shared" si="158"/>
        <v>8.877508222861312E-3</v>
      </c>
      <c r="Z408" s="92">
        <f t="shared" si="159"/>
        <v>8.2652662764570832E-3</v>
      </c>
      <c r="AA408" s="92">
        <f t="shared" si="162"/>
        <v>-8.877508222861312E-3</v>
      </c>
      <c r="AB408" s="47" t="s">
        <v>81</v>
      </c>
      <c r="AC408" s="92">
        <f t="shared" si="163"/>
        <v>7.9256999999999994E-2</v>
      </c>
      <c r="AD408" s="92" cm="1">
        <f t="array" ref="AD408">_xlfn.IFS(
AND(L408="marginal_effect",M408="level"),N408*AN408/BF408,
AND(L408="marginal_effect",M408="sd (Y)"),N408*BH408*AN408/BF408,
AND(L408="marginal_effect",M408="sd (X)"),N408/AQ408*AN408/BF408,
AND(L408="semi_elasticity",M408="level"),N408*AN408,
AND(L408="semi_elasticity",M408="sd (Y)"),N408*AN408*BH408,
AND(L408="semi_elasticity",M408="sd (X)"),N408*AN408/AQ408,
AND(L408="level-log",M408="level"),N408/BF408,
AND(L408="level-log",M408="sd (X)"),N408/BF408/AQ408,
AND(L408="level-log",M408="sd (Y)"),N408/BF408*BH408,
AND(L408="elasticity",M408="level"),N408,
AND(L408="elasticity",M408="sd (X)"),N408/AQ408,
AND(L408="elasticity",M408="sd (Y)"),N408*BH408,
AND(L408="marginal_effect",M408="percent_of_mean"),N408*AN408/BF408/10)</f>
        <v>7.9256999999999994E-2</v>
      </c>
      <c r="AE408" s="51">
        <f t="shared" si="166"/>
        <v>1</v>
      </c>
      <c r="AF408" s="92">
        <f t="shared" si="164"/>
        <v>7.3790999999999995E-2</v>
      </c>
      <c r="AG408" s="92" cm="1">
        <f t="array" ref="AG408">_xlfn.IFS(
AND(L408="marginal_effect",M408="level"),O408*AN408/BF408,
AND(L408="marginal_effect",M408="sd (Y)"),O408*BH408*AN408/BF408,
AND(L408="marginal_effect",M408="sd (X)"),O408/AQ408*AN408/BF408,
AND(L408="semi_elasticity",M408="level"),O408*AN408,
AND(L408="semi_elasticity",M408="sd (Y)"),O408*AN408*BH408,
AND(L408="semi_elasticity",M408="sd (X)"),O408*AN408/AQ408,
AND(L408="level-log",M408="level"),O408/BF408,
AND(L408="level-log",M408="sd (X)"),O408/BF408/AQ408,
AND(L408="level-log",M408="sd (Y)"),O408/BF408*BH408,
AND(L408="elasticity",M408="level"),O408,
AND(L408="elasticity",M408="sd (X)"),O408/AQ408,
AND(L408="elasticity",M408="sd (Y)"),O408*BH408,
AND(L408="marginal_effect",M408="percent_of_mean"),O408*AN408/BF408/10)</f>
        <v>7.3790999999999995E-2</v>
      </c>
      <c r="AH408" s="51">
        <f t="shared" si="167"/>
        <v>1</v>
      </c>
      <c r="AI408" s="92">
        <f t="shared" si="165"/>
        <v>-7.9256999999999994E-2</v>
      </c>
      <c r="AJ408" s="47">
        <v>0</v>
      </c>
      <c r="AK408" s="47">
        <f t="shared" si="160"/>
        <v>1</v>
      </c>
      <c r="AL408" s="47" t="s">
        <v>148</v>
      </c>
      <c r="AM408" s="47" t="s">
        <v>410</v>
      </c>
      <c r="AN408" s="47">
        <v>27.33</v>
      </c>
      <c r="AO408" s="47">
        <v>0</v>
      </c>
      <c r="AP408" s="47">
        <f t="shared" si="142"/>
        <v>27.33</v>
      </c>
      <c r="AQ408" s="47">
        <v>24.83</v>
      </c>
      <c r="AR408" s="47">
        <v>1</v>
      </c>
      <c r="AS408" s="47">
        <v>210</v>
      </c>
      <c r="AT408" s="47" t="s">
        <v>83</v>
      </c>
      <c r="AU408" s="47" t="s">
        <v>109</v>
      </c>
      <c r="AV408" s="47" t="s">
        <v>133</v>
      </c>
      <c r="AW408" s="47" t="s">
        <v>85</v>
      </c>
      <c r="AX408" s="47" t="s">
        <v>86</v>
      </c>
      <c r="AY408" s="47">
        <v>0</v>
      </c>
      <c r="AZ408" s="47">
        <v>0</v>
      </c>
      <c r="BA408" s="47" t="s">
        <v>111</v>
      </c>
      <c r="BB408" s="47" t="s">
        <v>88</v>
      </c>
      <c r="BC408" s="47" t="s">
        <v>113</v>
      </c>
      <c r="BD408" s="47" t="s">
        <v>114</v>
      </c>
      <c r="BE408" s="47" t="s">
        <v>1142</v>
      </c>
      <c r="BF408" s="47">
        <v>65</v>
      </c>
      <c r="BG408" s="47">
        <v>0</v>
      </c>
      <c r="BH408" s="47" t="s">
        <v>312</v>
      </c>
      <c r="BI408" s="47" t="s">
        <v>312</v>
      </c>
      <c r="BJ408" s="47" t="s">
        <v>312</v>
      </c>
      <c r="BK408" s="47" t="s">
        <v>91</v>
      </c>
      <c r="BL408" s="47" t="s">
        <v>1065</v>
      </c>
      <c r="BM408" s="47">
        <v>1</v>
      </c>
      <c r="BN408" s="47" t="s">
        <v>428</v>
      </c>
      <c r="BO408" s="47" t="s">
        <v>1066</v>
      </c>
      <c r="BP408" s="47" t="s">
        <v>1067</v>
      </c>
      <c r="BQ408" s="47" t="s">
        <v>92</v>
      </c>
      <c r="BR408" s="47" t="s">
        <v>93</v>
      </c>
      <c r="BS408" s="47" t="s">
        <v>312</v>
      </c>
      <c r="BT408" s="47" t="s">
        <v>312</v>
      </c>
      <c r="BU408" s="67">
        <v>42005</v>
      </c>
      <c r="BV408" s="67">
        <v>43070</v>
      </c>
      <c r="BW408" s="47" t="s">
        <v>1068</v>
      </c>
      <c r="BX408" s="47" t="s">
        <v>95</v>
      </c>
      <c r="BY408" s="47" t="s">
        <v>748</v>
      </c>
      <c r="BZ408" s="47">
        <v>1</v>
      </c>
      <c r="CA408" s="47">
        <v>1</v>
      </c>
      <c r="CB408" s="47" t="s">
        <v>1089</v>
      </c>
      <c r="CC408" s="47" t="s">
        <v>1071</v>
      </c>
      <c r="CD408" s="47">
        <v>1</v>
      </c>
      <c r="CE408" s="47" t="s">
        <v>738</v>
      </c>
      <c r="CF408" s="47">
        <v>0</v>
      </c>
      <c r="CG408" s="47" t="s">
        <v>97</v>
      </c>
      <c r="CH408" s="47">
        <v>1</v>
      </c>
      <c r="CI408" s="47" t="s">
        <v>116</v>
      </c>
      <c r="CJ408" s="47" t="s">
        <v>98</v>
      </c>
      <c r="CK408" s="47">
        <v>76</v>
      </c>
      <c r="CL408" s="47">
        <v>0</v>
      </c>
      <c r="CM408" s="47">
        <v>0</v>
      </c>
      <c r="CN408" s="47" t="s">
        <v>99</v>
      </c>
      <c r="CO408" s="47" t="s">
        <v>97</v>
      </c>
      <c r="CP408" s="47" t="s">
        <v>100</v>
      </c>
      <c r="CQ408" s="47" t="s">
        <v>126</v>
      </c>
      <c r="CR408" s="48">
        <v>46225</v>
      </c>
      <c r="CT408" s="47" t="s">
        <v>451</v>
      </c>
    </row>
    <row r="409" spans="1:98" s="47" customFormat="1" x14ac:dyDescent="0.35">
      <c r="A409" s="46" t="s">
        <v>1056</v>
      </c>
      <c r="B409" s="46" t="s">
        <v>1080</v>
      </c>
      <c r="C409" s="47" t="s">
        <v>1057</v>
      </c>
      <c r="D409" s="47">
        <v>2021</v>
      </c>
      <c r="E409" s="66" t="s">
        <v>1058</v>
      </c>
      <c r="F409" s="66" t="s">
        <v>1059</v>
      </c>
      <c r="G409" s="47" t="s">
        <v>78</v>
      </c>
      <c r="H409" s="47">
        <v>1</v>
      </c>
      <c r="I409" s="47" t="s">
        <v>1060</v>
      </c>
      <c r="J409" s="47" t="s">
        <v>79</v>
      </c>
      <c r="K409" s="47">
        <v>28</v>
      </c>
      <c r="L409" s="47" t="s">
        <v>104</v>
      </c>
      <c r="M409" s="47" t="s">
        <v>380</v>
      </c>
      <c r="N409" s="47">
        <v>4.4999999999999997E-3</v>
      </c>
      <c r="O409" s="47">
        <v>2.0999999999999999E-3</v>
      </c>
      <c r="P409" s="92">
        <f t="shared" si="155"/>
        <v>2.1428571428571428</v>
      </c>
      <c r="Q409" s="47" t="s">
        <v>312</v>
      </c>
      <c r="R409" s="92">
        <f t="shared" si="156"/>
        <v>3.8399999999999979E-4</v>
      </c>
      <c r="S409" s="92">
        <f t="shared" si="157"/>
        <v>8.6159999999999987E-3</v>
      </c>
      <c r="T409" s="47">
        <v>1</v>
      </c>
      <c r="U409" s="47">
        <v>13465</v>
      </c>
      <c r="V409" s="47" t="s">
        <v>312</v>
      </c>
      <c r="W409" s="47" t="s">
        <v>312</v>
      </c>
      <c r="X409" s="47">
        <f t="shared" si="161"/>
        <v>13465</v>
      </c>
      <c r="Y409" s="92">
        <f t="shared" si="158"/>
        <v>1.8463583771795102E-2</v>
      </c>
      <c r="Z409" s="92">
        <f t="shared" si="159"/>
        <v>8.616339093504382E-3</v>
      </c>
      <c r="AA409" s="92">
        <f t="shared" si="162"/>
        <v>-1.8463583771795102E-2</v>
      </c>
      <c r="AB409" s="47" t="s">
        <v>81</v>
      </c>
      <c r="AC409" s="92">
        <f t="shared" si="163"/>
        <v>0.103005</v>
      </c>
      <c r="AD409" s="92" cm="1">
        <f t="array" ref="AD409">_xlfn.IFS(
AND(L409="marginal_effect",M409="level"),N409*AN409/BF409,
AND(L409="marginal_effect",M409="sd (Y)"),N409*BH409*AN409/BF409,
AND(L409="marginal_effect",M409="sd (X)"),N409/AQ409*AN409/BF409,
AND(L409="semi_elasticity",M409="level"),N409*AN409,
AND(L409="semi_elasticity",M409="sd (Y)"),N409*AN409*BH409,
AND(L409="semi_elasticity",M409="sd (X)"),N409*AN409/AQ409,
AND(L409="level-log",M409="level"),N409/BF409,
AND(L409="level-log",M409="sd (X)"),N409/BF409/AQ409,
AND(L409="level-log",M409="sd (Y)"),N409/BF409*BH409,
AND(L409="elasticity",M409="level"),N409,
AND(L409="elasticity",M409="sd (X)"),N409/AQ409,
AND(L409="elasticity",M409="sd (Y)"),N409*BH409,
AND(L409="marginal_effect",M409="percent_of_mean"),N409*AN409/BF409/10)</f>
        <v>0.103005</v>
      </c>
      <c r="AE409" s="51">
        <f t="shared" si="166"/>
        <v>1</v>
      </c>
      <c r="AF409" s="92">
        <f t="shared" si="164"/>
        <v>4.8069000000000001E-2</v>
      </c>
      <c r="AG409" s="92" cm="1">
        <f t="array" ref="AG409">_xlfn.IFS(
AND(L409="marginal_effect",M409="level"),O409*AN409/BF409,
AND(L409="marginal_effect",M409="sd (Y)"),O409*BH409*AN409/BF409,
AND(L409="marginal_effect",M409="sd (X)"),O409/AQ409*AN409/BF409,
AND(L409="semi_elasticity",M409="level"),O409*AN409,
AND(L409="semi_elasticity",M409="sd (Y)"),O409*AN409*BH409,
AND(L409="semi_elasticity",M409="sd (X)"),O409*AN409/AQ409,
AND(L409="level-log",M409="level"),O409/BF409,
AND(L409="level-log",M409="sd (X)"),O409/BF409/AQ409,
AND(L409="level-log",M409="sd (Y)"),O409/BF409*BH409,
AND(L409="elasticity",M409="level"),O409,
AND(L409="elasticity",M409="sd (X)"),O409/AQ409,
AND(L409="elasticity",M409="sd (Y)"),O409*BH409,
AND(L409="marginal_effect",M409="percent_of_mean"),O409*AN409/BF409/10)</f>
        <v>4.8069000000000001E-2</v>
      </c>
      <c r="AH409" s="51">
        <f t="shared" si="167"/>
        <v>1</v>
      </c>
      <c r="AI409" s="92">
        <f t="shared" si="165"/>
        <v>-0.103005</v>
      </c>
      <c r="AJ409" s="47">
        <v>0</v>
      </c>
      <c r="AK409" s="47">
        <f t="shared" si="160"/>
        <v>1</v>
      </c>
      <c r="AL409" s="47" t="s">
        <v>82</v>
      </c>
      <c r="AM409" s="47" t="s">
        <v>1333</v>
      </c>
      <c r="AN409" s="47">
        <v>22.89</v>
      </c>
      <c r="AO409" s="47">
        <v>0</v>
      </c>
      <c r="AP409" s="47">
        <f t="shared" si="142"/>
        <v>22.89</v>
      </c>
      <c r="AQ409" s="47">
        <v>16.149999999999999</v>
      </c>
      <c r="AR409" s="47">
        <v>0</v>
      </c>
      <c r="AS409" s="47">
        <v>698</v>
      </c>
      <c r="AT409" s="47" t="s">
        <v>83</v>
      </c>
      <c r="AU409" s="47" t="s">
        <v>109</v>
      </c>
      <c r="AV409" s="47" t="s">
        <v>133</v>
      </c>
      <c r="AW409" s="47" t="s">
        <v>85</v>
      </c>
      <c r="AX409" s="47" t="s">
        <v>86</v>
      </c>
      <c r="AY409" s="47">
        <v>0</v>
      </c>
      <c r="AZ409" s="47">
        <v>0</v>
      </c>
      <c r="BA409" s="47" t="s">
        <v>111</v>
      </c>
      <c r="BB409" s="47" t="s">
        <v>88</v>
      </c>
      <c r="BC409" s="47" t="s">
        <v>113</v>
      </c>
      <c r="BD409" s="47" t="s">
        <v>114</v>
      </c>
      <c r="BE409" s="47" t="s">
        <v>1142</v>
      </c>
      <c r="BF409" s="47">
        <v>65</v>
      </c>
      <c r="BG409" s="47">
        <v>0</v>
      </c>
      <c r="BH409" s="47" t="s">
        <v>312</v>
      </c>
      <c r="BI409" s="47" t="s">
        <v>312</v>
      </c>
      <c r="BJ409" s="47" t="s">
        <v>312</v>
      </c>
      <c r="BK409" s="47" t="s">
        <v>91</v>
      </c>
      <c r="BL409" s="47" t="s">
        <v>1065</v>
      </c>
      <c r="BM409" s="47">
        <v>1</v>
      </c>
      <c r="BN409" s="47" t="s">
        <v>428</v>
      </c>
      <c r="BO409" s="47" t="s">
        <v>1066</v>
      </c>
      <c r="BP409" s="47" t="s">
        <v>1067</v>
      </c>
      <c r="BQ409" s="47" t="s">
        <v>92</v>
      </c>
      <c r="BR409" s="47" t="s">
        <v>93</v>
      </c>
      <c r="BS409" s="47" t="s">
        <v>312</v>
      </c>
      <c r="BT409" s="47" t="s">
        <v>312</v>
      </c>
      <c r="BU409" s="67">
        <v>42005</v>
      </c>
      <c r="BV409" s="67">
        <v>43070</v>
      </c>
      <c r="BW409" s="47" t="s">
        <v>1068</v>
      </c>
      <c r="BX409" s="47" t="s">
        <v>95</v>
      </c>
      <c r="BY409" s="47" t="s">
        <v>748</v>
      </c>
      <c r="BZ409" s="47">
        <v>1</v>
      </c>
      <c r="CA409" s="47">
        <v>1</v>
      </c>
      <c r="CB409" s="47" t="s">
        <v>1089</v>
      </c>
      <c r="CC409" s="47" t="s">
        <v>1071</v>
      </c>
      <c r="CD409" s="47">
        <v>1</v>
      </c>
      <c r="CE409" s="47" t="s">
        <v>738</v>
      </c>
      <c r="CF409" s="47">
        <v>0</v>
      </c>
      <c r="CG409" s="47" t="s">
        <v>97</v>
      </c>
      <c r="CH409" s="47">
        <v>1</v>
      </c>
      <c r="CI409" s="47" t="s">
        <v>116</v>
      </c>
      <c r="CJ409" s="47" t="s">
        <v>98</v>
      </c>
      <c r="CK409" s="47">
        <v>76</v>
      </c>
      <c r="CL409" s="47">
        <v>0</v>
      </c>
      <c r="CM409" s="47">
        <v>0</v>
      </c>
      <c r="CN409" s="47" t="s">
        <v>99</v>
      </c>
      <c r="CO409" s="47" t="s">
        <v>97</v>
      </c>
      <c r="CP409" s="47" t="s">
        <v>100</v>
      </c>
      <c r="CQ409" s="47" t="s">
        <v>126</v>
      </c>
      <c r="CR409" s="48">
        <v>46225</v>
      </c>
      <c r="CT409" s="47" t="s">
        <v>451</v>
      </c>
    </row>
    <row r="410" spans="1:98" s="47" customFormat="1" x14ac:dyDescent="0.35">
      <c r="A410" s="46" t="s">
        <v>1056</v>
      </c>
      <c r="B410" s="46" t="s">
        <v>1081</v>
      </c>
      <c r="C410" s="47" t="s">
        <v>1057</v>
      </c>
      <c r="D410" s="47">
        <v>2021</v>
      </c>
      <c r="E410" s="66" t="s">
        <v>1058</v>
      </c>
      <c r="F410" s="66" t="s">
        <v>1059</v>
      </c>
      <c r="G410" s="47" t="s">
        <v>78</v>
      </c>
      <c r="H410" s="47">
        <v>1</v>
      </c>
      <c r="I410" s="47" t="s">
        <v>1060</v>
      </c>
      <c r="J410" s="47" t="s">
        <v>79</v>
      </c>
      <c r="K410" s="47">
        <v>28</v>
      </c>
      <c r="L410" s="47" t="s">
        <v>104</v>
      </c>
      <c r="M410" s="47" t="s">
        <v>380</v>
      </c>
      <c r="N410" s="47">
        <v>0</v>
      </c>
      <c r="O410" s="47">
        <v>1E-4</v>
      </c>
      <c r="P410" s="92">
        <f t="shared" si="155"/>
        <v>0</v>
      </c>
      <c r="Q410" s="47" t="s">
        <v>312</v>
      </c>
      <c r="R410" s="92">
        <f t="shared" si="156"/>
        <v>-1.9599999999999999E-4</v>
      </c>
      <c r="S410" s="92">
        <f t="shared" si="157"/>
        <v>1.9599999999999999E-4</v>
      </c>
      <c r="T410" s="47">
        <v>1</v>
      </c>
      <c r="U410" s="47">
        <v>14617</v>
      </c>
      <c r="V410" s="47" t="s">
        <v>312</v>
      </c>
      <c r="W410" s="47" t="s">
        <v>312</v>
      </c>
      <c r="X410" s="47">
        <f t="shared" si="161"/>
        <v>14617</v>
      </c>
      <c r="Y410" s="92">
        <f t="shared" si="158"/>
        <v>0</v>
      </c>
      <c r="Z410" s="92">
        <f t="shared" si="159"/>
        <v>8.2712448362053034E-3</v>
      </c>
      <c r="AA410" s="92">
        <f t="shared" si="162"/>
        <v>0</v>
      </c>
      <c r="AB410" s="47" t="s">
        <v>81</v>
      </c>
      <c r="AC410" s="92">
        <f t="shared" si="163"/>
        <v>0</v>
      </c>
      <c r="AD410" s="92" cm="1">
        <f t="array" ref="AD410">_xlfn.IFS(
AND(L410="marginal_effect",M410="level"),N410*AN410/BF410,
AND(L410="marginal_effect",M410="sd (Y)"),N410*BH410*AN410/BF410,
AND(L410="marginal_effect",M410="sd (X)"),N410/AQ410*AN410/BF410,
AND(L410="semi_elasticity",M410="level"),N410*AN410,
AND(L410="semi_elasticity",M410="sd (Y)"),N410*AN410*BH410,
AND(L410="semi_elasticity",M410="sd (X)"),N410*AN410/AQ410,
AND(L410="level-log",M410="level"),N410/BF410,
AND(L410="level-log",M410="sd (X)"),N410/BF410/AQ410,
AND(L410="level-log",M410="sd (Y)"),N410/BF410*BH410,
AND(L410="elasticity",M410="level"),N410,
AND(L410="elasticity",M410="sd (X)"),N410/AQ410,
AND(L410="elasticity",M410="sd (Y)"),N410*BH410,
AND(L410="marginal_effect",M410="percent_of_mean"),N410*AN410/BF410/10)</f>
        <v>0</v>
      </c>
      <c r="AE410" s="51">
        <f t="shared" si="166"/>
        <v>1</v>
      </c>
      <c r="AF410" s="92">
        <f t="shared" si="164"/>
        <v>6.9999999999999994E-5</v>
      </c>
      <c r="AG410" s="92" cm="1">
        <f t="array" ref="AG410">_xlfn.IFS(
AND(L410="marginal_effect",M410="level"),O410*AN410/BF410,
AND(L410="marginal_effect",M410="sd (Y)"),O410*BH410*AN410/BF410,
AND(L410="marginal_effect",M410="sd (X)"),O410/AQ410*AN410/BF410,
AND(L410="semi_elasticity",M410="level"),O410*AN410,
AND(L410="semi_elasticity",M410="sd (Y)"),O410*AN410*BH410,
AND(L410="semi_elasticity",M410="sd (X)"),O410*AN410/AQ410,
AND(L410="level-log",M410="level"),O410/BF410,
AND(L410="level-log",M410="sd (X)"),O410/BF410/AQ410,
AND(L410="level-log",M410="sd (Y)"),O410/BF410*BH410,
AND(L410="elasticity",M410="level"),O410,
AND(L410="elasticity",M410="sd (X)"),O410/AQ410,
AND(L410="elasticity",M410="sd (Y)"),O410*BH410,
AND(L410="marginal_effect",M410="percent_of_mean"),O410*AN410/BF410/10)</f>
        <v>6.9999999999999994E-5</v>
      </c>
      <c r="AH410" s="51">
        <f t="shared" si="167"/>
        <v>1</v>
      </c>
      <c r="AI410" s="92">
        <f t="shared" si="165"/>
        <v>0</v>
      </c>
      <c r="AJ410" s="47">
        <v>0</v>
      </c>
      <c r="AK410" s="47">
        <f t="shared" si="160"/>
        <v>1</v>
      </c>
      <c r="AL410" s="47" t="s">
        <v>162</v>
      </c>
      <c r="AM410" s="47" t="s">
        <v>590</v>
      </c>
      <c r="AN410" s="47">
        <v>0.7</v>
      </c>
      <c r="AO410" s="47">
        <v>0</v>
      </c>
      <c r="AP410" s="47">
        <f t="shared" si="142"/>
        <v>0.7</v>
      </c>
      <c r="AQ410" s="47">
        <v>0.66</v>
      </c>
      <c r="AR410" s="47">
        <v>0</v>
      </c>
      <c r="AS410" s="47">
        <v>12.76</v>
      </c>
      <c r="AT410" s="47" t="s">
        <v>83</v>
      </c>
      <c r="AU410" s="47" t="s">
        <v>109</v>
      </c>
      <c r="AV410" s="47" t="s">
        <v>133</v>
      </c>
      <c r="AW410" s="47" t="s">
        <v>85</v>
      </c>
      <c r="AX410" s="47" t="s">
        <v>86</v>
      </c>
      <c r="AY410" s="47">
        <v>0</v>
      </c>
      <c r="AZ410" s="47">
        <v>0</v>
      </c>
      <c r="BA410" s="47" t="s">
        <v>111</v>
      </c>
      <c r="BB410" s="47" t="s">
        <v>88</v>
      </c>
      <c r="BC410" s="47" t="s">
        <v>113</v>
      </c>
      <c r="BD410" s="47" t="s">
        <v>114</v>
      </c>
      <c r="BE410" s="47" t="s">
        <v>1142</v>
      </c>
      <c r="BF410" s="47">
        <v>65</v>
      </c>
      <c r="BG410" s="47">
        <v>0</v>
      </c>
      <c r="BH410" s="47" t="s">
        <v>312</v>
      </c>
      <c r="BI410" s="47" t="s">
        <v>312</v>
      </c>
      <c r="BJ410" s="47" t="s">
        <v>312</v>
      </c>
      <c r="BK410" s="47" t="s">
        <v>91</v>
      </c>
      <c r="BL410" s="47" t="s">
        <v>1065</v>
      </c>
      <c r="BM410" s="47">
        <v>1</v>
      </c>
      <c r="BN410" s="47" t="s">
        <v>428</v>
      </c>
      <c r="BO410" s="47" t="s">
        <v>1066</v>
      </c>
      <c r="BP410" s="47" t="s">
        <v>1067</v>
      </c>
      <c r="BQ410" s="47" t="s">
        <v>92</v>
      </c>
      <c r="BR410" s="47" t="s">
        <v>93</v>
      </c>
      <c r="BS410" s="47" t="s">
        <v>312</v>
      </c>
      <c r="BT410" s="47" t="s">
        <v>312</v>
      </c>
      <c r="BU410" s="67">
        <v>42005</v>
      </c>
      <c r="BV410" s="67">
        <v>43070</v>
      </c>
      <c r="BW410" s="47" t="s">
        <v>1068</v>
      </c>
      <c r="BX410" s="47" t="s">
        <v>95</v>
      </c>
      <c r="BY410" s="47" t="s">
        <v>748</v>
      </c>
      <c r="BZ410" s="47">
        <v>1</v>
      </c>
      <c r="CA410" s="47">
        <v>1</v>
      </c>
      <c r="CB410" s="47" t="s">
        <v>1089</v>
      </c>
      <c r="CC410" s="47" t="s">
        <v>1071</v>
      </c>
      <c r="CD410" s="47">
        <v>1</v>
      </c>
      <c r="CE410" s="47" t="s">
        <v>738</v>
      </c>
      <c r="CF410" s="47">
        <v>0</v>
      </c>
      <c r="CG410" s="47" t="s">
        <v>97</v>
      </c>
      <c r="CH410" s="47">
        <v>1</v>
      </c>
      <c r="CI410" s="47" t="s">
        <v>116</v>
      </c>
      <c r="CJ410" s="47" t="s">
        <v>98</v>
      </c>
      <c r="CK410" s="47">
        <v>76</v>
      </c>
      <c r="CL410" s="47">
        <v>0</v>
      </c>
      <c r="CM410" s="47">
        <v>0</v>
      </c>
      <c r="CN410" s="47" t="s">
        <v>99</v>
      </c>
      <c r="CO410" s="47" t="s">
        <v>97</v>
      </c>
      <c r="CP410" s="47" t="s">
        <v>100</v>
      </c>
      <c r="CQ410" s="47" t="s">
        <v>126</v>
      </c>
      <c r="CR410" s="48">
        <v>46225</v>
      </c>
      <c r="CT410" s="47" t="s">
        <v>452</v>
      </c>
    </row>
    <row r="411" spans="1:98" s="47" customFormat="1" x14ac:dyDescent="0.35">
      <c r="A411" s="46" t="s">
        <v>1056</v>
      </c>
      <c r="B411" s="46" t="s">
        <v>1082</v>
      </c>
      <c r="C411" s="47" t="s">
        <v>1057</v>
      </c>
      <c r="D411" s="47">
        <v>2021</v>
      </c>
      <c r="E411" s="66" t="s">
        <v>1058</v>
      </c>
      <c r="F411" s="66" t="s">
        <v>1059</v>
      </c>
      <c r="G411" s="47" t="s">
        <v>78</v>
      </c>
      <c r="H411" s="47">
        <v>1</v>
      </c>
      <c r="I411" s="47" t="s">
        <v>1060</v>
      </c>
      <c r="J411" s="47" t="s">
        <v>79</v>
      </c>
      <c r="K411" s="47">
        <v>28</v>
      </c>
      <c r="L411" s="47" t="s">
        <v>104</v>
      </c>
      <c r="M411" s="47" t="s">
        <v>380</v>
      </c>
      <c r="N411" s="47">
        <v>5.1999999999999998E-3</v>
      </c>
      <c r="O411" s="47">
        <v>2.2000000000000001E-3</v>
      </c>
      <c r="P411" s="92">
        <f t="shared" si="155"/>
        <v>2.3636363636363633</v>
      </c>
      <c r="Q411" s="47" t="s">
        <v>312</v>
      </c>
      <c r="R411" s="92">
        <f t="shared" si="156"/>
        <v>8.879999999999999E-4</v>
      </c>
      <c r="S411" s="92">
        <f t="shared" si="157"/>
        <v>9.5119999999999996E-3</v>
      </c>
      <c r="T411" s="47">
        <v>1</v>
      </c>
      <c r="U411" s="47">
        <v>14613</v>
      </c>
      <c r="V411" s="47" t="s">
        <v>312</v>
      </c>
      <c r="W411" s="47" t="s">
        <v>312</v>
      </c>
      <c r="X411" s="47">
        <f t="shared" si="161"/>
        <v>14613</v>
      </c>
      <c r="Y411" s="92">
        <f t="shared" si="158"/>
        <v>1.9549153997976226E-2</v>
      </c>
      <c r="Z411" s="92">
        <f t="shared" si="159"/>
        <v>8.2707959222207104E-3</v>
      </c>
      <c r="AA411" s="92">
        <f t="shared" si="162"/>
        <v>-1.9549153997976226E-2</v>
      </c>
      <c r="AB411" s="47" t="s">
        <v>81</v>
      </c>
      <c r="AC411" s="92">
        <f t="shared" si="163"/>
        <v>0.105404</v>
      </c>
      <c r="AD411" s="92" cm="1">
        <f t="array" ref="AD411">_xlfn.IFS(
AND(L411="marginal_effect",M411="level"),N411*AN411/BF411,
AND(L411="marginal_effect",M411="sd (Y)"),N411*BH411*AN411/BF411,
AND(L411="marginal_effect",M411="sd (X)"),N411/AQ411*AN411/BF411,
AND(L411="semi_elasticity",M411="level"),N411*AN411,
AND(L411="semi_elasticity",M411="sd (Y)"),N411*AN411*BH411,
AND(L411="semi_elasticity",M411="sd (X)"),N411*AN411/AQ411,
AND(L411="level-log",M411="level"),N411/BF411,
AND(L411="level-log",M411="sd (X)"),N411/BF411/AQ411,
AND(L411="level-log",M411="sd (Y)"),N411/BF411*BH411,
AND(L411="elasticity",M411="level"),N411,
AND(L411="elasticity",M411="sd (X)"),N411/AQ411,
AND(L411="elasticity",M411="sd (Y)"),N411*BH411,
AND(L411="marginal_effect",M411="percent_of_mean"),N411*AN411/BF411/10)</f>
        <v>0.105404</v>
      </c>
      <c r="AE411" s="51">
        <f t="shared" si="166"/>
        <v>1</v>
      </c>
      <c r="AF411" s="92">
        <f t="shared" si="164"/>
        <v>4.4594000000000002E-2</v>
      </c>
      <c r="AG411" s="92" cm="1">
        <f t="array" ref="AG411">_xlfn.IFS(
AND(L411="marginal_effect",M411="level"),O411*AN411/BF411,
AND(L411="marginal_effect",M411="sd (Y)"),O411*BH411*AN411/BF411,
AND(L411="marginal_effect",M411="sd (X)"),O411/AQ411*AN411/BF411,
AND(L411="semi_elasticity",M411="level"),O411*AN411,
AND(L411="semi_elasticity",M411="sd (Y)"),O411*AN411*BH411,
AND(L411="semi_elasticity",M411="sd (X)"),O411*AN411/AQ411,
AND(L411="level-log",M411="level"),O411/BF411,
AND(L411="level-log",M411="sd (X)"),O411/BF411/AQ411,
AND(L411="level-log",M411="sd (Y)"),O411/BF411*BH411,
AND(L411="elasticity",M411="level"),O411,
AND(L411="elasticity",M411="sd (X)"),O411/AQ411,
AND(L411="elasticity",M411="sd (Y)"),O411*BH411,
AND(L411="marginal_effect",M411="percent_of_mean"),O411*AN411/BF411/10)</f>
        <v>4.4594000000000002E-2</v>
      </c>
      <c r="AH411" s="51">
        <f t="shared" si="167"/>
        <v>1</v>
      </c>
      <c r="AI411" s="92">
        <f t="shared" si="165"/>
        <v>-0.105404</v>
      </c>
      <c r="AJ411" s="47">
        <v>0</v>
      </c>
      <c r="AK411" s="47">
        <f t="shared" si="160"/>
        <v>1</v>
      </c>
      <c r="AL411" s="47" t="s">
        <v>131</v>
      </c>
      <c r="AM411" s="47" t="s">
        <v>410</v>
      </c>
      <c r="AN411" s="47">
        <v>20.27</v>
      </c>
      <c r="AO411" s="47">
        <v>0</v>
      </c>
      <c r="AP411" s="47">
        <f t="shared" si="142"/>
        <v>20.27</v>
      </c>
      <c r="AQ411" s="47">
        <v>14.08</v>
      </c>
      <c r="AR411" s="47">
        <v>0</v>
      </c>
      <c r="AS411" s="47">
        <v>150</v>
      </c>
      <c r="AT411" s="47" t="s">
        <v>83</v>
      </c>
      <c r="AU411" s="47" t="s">
        <v>109</v>
      </c>
      <c r="AV411" s="47" t="s">
        <v>133</v>
      </c>
      <c r="AW411" s="47" t="s">
        <v>85</v>
      </c>
      <c r="AX411" s="47" t="s">
        <v>86</v>
      </c>
      <c r="AY411" s="47">
        <v>0</v>
      </c>
      <c r="AZ411" s="47">
        <v>0</v>
      </c>
      <c r="BA411" s="47" t="s">
        <v>111</v>
      </c>
      <c r="BB411" s="47" t="s">
        <v>88</v>
      </c>
      <c r="BC411" s="47" t="s">
        <v>113</v>
      </c>
      <c r="BD411" s="47" t="s">
        <v>114</v>
      </c>
      <c r="BE411" s="47" t="s">
        <v>1142</v>
      </c>
      <c r="BF411" s="47">
        <v>65</v>
      </c>
      <c r="BG411" s="47">
        <v>0</v>
      </c>
      <c r="BH411" s="47" t="s">
        <v>312</v>
      </c>
      <c r="BI411" s="47" t="s">
        <v>312</v>
      </c>
      <c r="BJ411" s="47" t="s">
        <v>312</v>
      </c>
      <c r="BK411" s="47" t="s">
        <v>91</v>
      </c>
      <c r="BL411" s="47" t="s">
        <v>1065</v>
      </c>
      <c r="BM411" s="47">
        <v>1</v>
      </c>
      <c r="BN411" s="47" t="s">
        <v>428</v>
      </c>
      <c r="BO411" s="47" t="s">
        <v>1066</v>
      </c>
      <c r="BP411" s="47" t="s">
        <v>1067</v>
      </c>
      <c r="BQ411" s="47" t="s">
        <v>92</v>
      </c>
      <c r="BR411" s="47" t="s">
        <v>93</v>
      </c>
      <c r="BS411" s="47" t="s">
        <v>312</v>
      </c>
      <c r="BT411" s="47" t="s">
        <v>312</v>
      </c>
      <c r="BU411" s="67">
        <v>42005</v>
      </c>
      <c r="BV411" s="67">
        <v>43070</v>
      </c>
      <c r="BW411" s="47" t="s">
        <v>1068</v>
      </c>
      <c r="BX411" s="47" t="s">
        <v>95</v>
      </c>
      <c r="BY411" s="47" t="s">
        <v>748</v>
      </c>
      <c r="BZ411" s="47">
        <v>1</v>
      </c>
      <c r="CA411" s="47">
        <v>1</v>
      </c>
      <c r="CB411" s="47" t="s">
        <v>1089</v>
      </c>
      <c r="CC411" s="47" t="s">
        <v>1071</v>
      </c>
      <c r="CD411" s="47">
        <v>1</v>
      </c>
      <c r="CE411" s="47" t="s">
        <v>738</v>
      </c>
      <c r="CF411" s="47">
        <v>0</v>
      </c>
      <c r="CG411" s="47" t="s">
        <v>97</v>
      </c>
      <c r="CH411" s="47">
        <v>1</v>
      </c>
      <c r="CI411" s="47" t="s">
        <v>116</v>
      </c>
      <c r="CJ411" s="47" t="s">
        <v>98</v>
      </c>
      <c r="CK411" s="47">
        <v>76</v>
      </c>
      <c r="CL411" s="47">
        <v>1</v>
      </c>
      <c r="CM411" s="47">
        <v>1</v>
      </c>
      <c r="CN411" s="47" t="s">
        <v>99</v>
      </c>
      <c r="CO411" s="47" t="s">
        <v>97</v>
      </c>
      <c r="CP411" s="47" t="s">
        <v>100</v>
      </c>
      <c r="CQ411" s="47" t="s">
        <v>126</v>
      </c>
      <c r="CR411" s="48">
        <v>46225</v>
      </c>
      <c r="CT411" s="47" t="s">
        <v>452</v>
      </c>
    </row>
    <row r="412" spans="1:98" s="47" customFormat="1" x14ac:dyDescent="0.35">
      <c r="A412" s="46" t="s">
        <v>1056</v>
      </c>
      <c r="B412" s="46" t="s">
        <v>1083</v>
      </c>
      <c r="C412" s="47" t="s">
        <v>1057</v>
      </c>
      <c r="D412" s="47">
        <v>2021</v>
      </c>
      <c r="E412" s="66" t="s">
        <v>1058</v>
      </c>
      <c r="F412" s="66" t="s">
        <v>1059</v>
      </c>
      <c r="G412" s="47" t="s">
        <v>78</v>
      </c>
      <c r="H412" s="47">
        <v>1</v>
      </c>
      <c r="I412" s="47" t="s">
        <v>1060</v>
      </c>
      <c r="J412" s="47" t="s">
        <v>79</v>
      </c>
      <c r="K412" s="47">
        <v>28</v>
      </c>
      <c r="L412" s="47" t="s">
        <v>104</v>
      </c>
      <c r="M412" s="47" t="s">
        <v>380</v>
      </c>
      <c r="N412" s="47">
        <v>2.5000000000000001E-3</v>
      </c>
      <c r="O412" s="47">
        <v>2.8999999999999998E-3</v>
      </c>
      <c r="P412" s="92">
        <f t="shared" si="155"/>
        <v>0.86206896551724144</v>
      </c>
      <c r="Q412" s="47" t="s">
        <v>312</v>
      </c>
      <c r="R412" s="92">
        <f t="shared" si="156"/>
        <v>-3.1839999999999998E-3</v>
      </c>
      <c r="S412" s="92">
        <f t="shared" si="157"/>
        <v>8.1840000000000003E-3</v>
      </c>
      <c r="T412" s="47">
        <v>1</v>
      </c>
      <c r="U412" s="47">
        <v>14637</v>
      </c>
      <c r="V412" s="47" t="s">
        <v>312</v>
      </c>
      <c r="W412" s="47" t="s">
        <v>312</v>
      </c>
      <c r="X412" s="47">
        <f t="shared" si="161"/>
        <v>14637</v>
      </c>
      <c r="Y412" s="92">
        <f t="shared" si="158"/>
        <v>7.125329450964309E-3</v>
      </c>
      <c r="Z412" s="92">
        <f t="shared" si="159"/>
        <v>8.2653821631185984E-3</v>
      </c>
      <c r="AA412" s="92">
        <f t="shared" si="162"/>
        <v>-7.125329450964309E-3</v>
      </c>
      <c r="AB412" s="47" t="s">
        <v>81</v>
      </c>
      <c r="AC412" s="92">
        <f t="shared" si="163"/>
        <v>6.8324999999999997E-2</v>
      </c>
      <c r="AD412" s="92" cm="1">
        <f t="array" ref="AD412">_xlfn.IFS(
AND(L412="marginal_effect",M412="level"),N412*AN412/BF412,
AND(L412="marginal_effect",M412="sd (Y)"),N412*BH412*AN412/BF412,
AND(L412="marginal_effect",M412="sd (X)"),N412/AQ412*AN412/BF412,
AND(L412="semi_elasticity",M412="level"),N412*AN412,
AND(L412="semi_elasticity",M412="sd (Y)"),N412*AN412*BH412,
AND(L412="semi_elasticity",M412="sd (X)"),N412*AN412/AQ412,
AND(L412="level-log",M412="level"),N412/BF412,
AND(L412="level-log",M412="sd (X)"),N412/BF412/AQ412,
AND(L412="level-log",M412="sd (Y)"),N412/BF412*BH412,
AND(L412="elasticity",M412="level"),N412,
AND(L412="elasticity",M412="sd (X)"),N412/AQ412,
AND(L412="elasticity",M412="sd (Y)"),N412*BH412,
AND(L412="marginal_effect",M412="percent_of_mean"),N412*AN412/BF412/10)</f>
        <v>6.8324999999999997E-2</v>
      </c>
      <c r="AE412" s="51">
        <f t="shared" si="166"/>
        <v>1</v>
      </c>
      <c r="AF412" s="92">
        <f t="shared" si="164"/>
        <v>7.9256999999999994E-2</v>
      </c>
      <c r="AG412" s="92" cm="1">
        <f t="array" ref="AG412">_xlfn.IFS(
AND(L412="marginal_effect",M412="level"),O412*AN412/BF412,
AND(L412="marginal_effect",M412="sd (Y)"),O412*BH412*AN412/BF412,
AND(L412="marginal_effect",M412="sd (X)"),O412/AQ412*AN412/BF412,
AND(L412="semi_elasticity",M412="level"),O412*AN412,
AND(L412="semi_elasticity",M412="sd (Y)"),O412*AN412*BH412,
AND(L412="semi_elasticity",M412="sd (X)"),O412*AN412/AQ412,
AND(L412="level-log",M412="level"),O412/BF412,
AND(L412="level-log",M412="sd (X)"),O412/BF412/AQ412,
AND(L412="level-log",M412="sd (Y)"),O412/BF412*BH412,
AND(L412="elasticity",M412="level"),O412,
AND(L412="elasticity",M412="sd (X)"),O412/AQ412,
AND(L412="elasticity",M412="sd (Y)"),O412*BH412,
AND(L412="marginal_effect",M412="percent_of_mean"),O412*AN412/BF412/10)</f>
        <v>7.9256999999999994E-2</v>
      </c>
      <c r="AH412" s="51">
        <f t="shared" si="167"/>
        <v>1</v>
      </c>
      <c r="AI412" s="92">
        <f t="shared" si="165"/>
        <v>-6.8324999999999997E-2</v>
      </c>
      <c r="AJ412" s="47">
        <v>0</v>
      </c>
      <c r="AK412" s="47">
        <f t="shared" si="160"/>
        <v>1</v>
      </c>
      <c r="AL412" s="47" t="s">
        <v>148</v>
      </c>
      <c r="AM412" s="47" t="s">
        <v>410</v>
      </c>
      <c r="AN412" s="47">
        <v>27.33</v>
      </c>
      <c r="AO412" s="47">
        <v>0</v>
      </c>
      <c r="AP412" s="47">
        <f t="shared" si="142"/>
        <v>27.33</v>
      </c>
      <c r="AQ412" s="47">
        <v>24.83</v>
      </c>
      <c r="AR412" s="47">
        <v>1</v>
      </c>
      <c r="AS412" s="47">
        <v>210</v>
      </c>
      <c r="AT412" s="47" t="s">
        <v>83</v>
      </c>
      <c r="AU412" s="47" t="s">
        <v>109</v>
      </c>
      <c r="AV412" s="47" t="s">
        <v>133</v>
      </c>
      <c r="AW412" s="47" t="s">
        <v>85</v>
      </c>
      <c r="AX412" s="47" t="s">
        <v>86</v>
      </c>
      <c r="AY412" s="47">
        <v>0</v>
      </c>
      <c r="AZ412" s="47">
        <v>0</v>
      </c>
      <c r="BA412" s="47" t="s">
        <v>111</v>
      </c>
      <c r="BB412" s="47" t="s">
        <v>88</v>
      </c>
      <c r="BC412" s="47" t="s">
        <v>113</v>
      </c>
      <c r="BD412" s="47" t="s">
        <v>114</v>
      </c>
      <c r="BE412" s="47" t="s">
        <v>1142</v>
      </c>
      <c r="BF412" s="47">
        <v>65</v>
      </c>
      <c r="BG412" s="47">
        <v>0</v>
      </c>
      <c r="BH412" s="47" t="s">
        <v>312</v>
      </c>
      <c r="BI412" s="47" t="s">
        <v>312</v>
      </c>
      <c r="BJ412" s="47" t="s">
        <v>312</v>
      </c>
      <c r="BK412" s="47" t="s">
        <v>91</v>
      </c>
      <c r="BL412" s="47" t="s">
        <v>1065</v>
      </c>
      <c r="BM412" s="47">
        <v>1</v>
      </c>
      <c r="BN412" s="47" t="s">
        <v>428</v>
      </c>
      <c r="BO412" s="47" t="s">
        <v>1066</v>
      </c>
      <c r="BP412" s="47" t="s">
        <v>1067</v>
      </c>
      <c r="BQ412" s="47" t="s">
        <v>92</v>
      </c>
      <c r="BR412" s="47" t="s">
        <v>93</v>
      </c>
      <c r="BS412" s="47" t="s">
        <v>312</v>
      </c>
      <c r="BT412" s="47" t="s">
        <v>312</v>
      </c>
      <c r="BU412" s="67">
        <v>42005</v>
      </c>
      <c r="BV412" s="67">
        <v>43070</v>
      </c>
      <c r="BW412" s="47" t="s">
        <v>1068</v>
      </c>
      <c r="BX412" s="47" t="s">
        <v>95</v>
      </c>
      <c r="BY412" s="47" t="s">
        <v>748</v>
      </c>
      <c r="BZ412" s="47">
        <v>1</v>
      </c>
      <c r="CA412" s="47">
        <v>1</v>
      </c>
      <c r="CB412" s="47" t="s">
        <v>1089</v>
      </c>
      <c r="CC412" s="47" t="s">
        <v>1071</v>
      </c>
      <c r="CD412" s="47">
        <v>1</v>
      </c>
      <c r="CE412" s="47" t="s">
        <v>738</v>
      </c>
      <c r="CF412" s="47">
        <v>0</v>
      </c>
      <c r="CG412" s="47" t="s">
        <v>97</v>
      </c>
      <c r="CH412" s="47">
        <v>1</v>
      </c>
      <c r="CI412" s="47" t="s">
        <v>116</v>
      </c>
      <c r="CJ412" s="47" t="s">
        <v>98</v>
      </c>
      <c r="CK412" s="47">
        <v>76</v>
      </c>
      <c r="CL412" s="47">
        <v>0</v>
      </c>
      <c r="CM412" s="47">
        <v>0</v>
      </c>
      <c r="CN412" s="47" t="s">
        <v>99</v>
      </c>
      <c r="CO412" s="47" t="s">
        <v>97</v>
      </c>
      <c r="CP412" s="47" t="s">
        <v>100</v>
      </c>
      <c r="CQ412" s="47" t="s">
        <v>126</v>
      </c>
      <c r="CR412" s="48">
        <v>46225</v>
      </c>
      <c r="CT412" s="47" t="s">
        <v>452</v>
      </c>
    </row>
    <row r="413" spans="1:98" s="47" customFormat="1" x14ac:dyDescent="0.35">
      <c r="A413" s="46" t="s">
        <v>1056</v>
      </c>
      <c r="B413" s="46" t="s">
        <v>1084</v>
      </c>
      <c r="C413" s="47" t="s">
        <v>1057</v>
      </c>
      <c r="D413" s="47">
        <v>2021</v>
      </c>
      <c r="E413" s="66" t="s">
        <v>1058</v>
      </c>
      <c r="F413" s="66" t="s">
        <v>1059</v>
      </c>
      <c r="G413" s="47" t="s">
        <v>78</v>
      </c>
      <c r="H413" s="47">
        <v>1</v>
      </c>
      <c r="I413" s="47" t="s">
        <v>1060</v>
      </c>
      <c r="J413" s="47" t="s">
        <v>79</v>
      </c>
      <c r="K413" s="47">
        <v>28</v>
      </c>
      <c r="L413" s="47" t="s">
        <v>104</v>
      </c>
      <c r="M413" s="47" t="s">
        <v>380</v>
      </c>
      <c r="N413" s="47">
        <v>6.7000000000000002E-3</v>
      </c>
      <c r="O413" s="47">
        <v>2.8999999999999998E-3</v>
      </c>
      <c r="P413" s="92">
        <f t="shared" si="155"/>
        <v>2.3103448275862073</v>
      </c>
      <c r="Q413" s="47" t="s">
        <v>312</v>
      </c>
      <c r="R413" s="92">
        <f t="shared" si="156"/>
        <v>1.0160000000000004E-3</v>
      </c>
      <c r="S413" s="92">
        <f t="shared" si="157"/>
        <v>1.2383999999999999E-2</v>
      </c>
      <c r="T413" s="47">
        <v>1</v>
      </c>
      <c r="U413" s="47">
        <v>13465</v>
      </c>
      <c r="V413" s="47" t="s">
        <v>312</v>
      </c>
      <c r="W413" s="47" t="s">
        <v>312</v>
      </c>
      <c r="X413" s="47">
        <f t="shared" si="161"/>
        <v>13465</v>
      </c>
      <c r="Y413" s="92">
        <f t="shared" si="158"/>
        <v>1.990616332951374E-2</v>
      </c>
      <c r="Z413" s="92">
        <f t="shared" si="159"/>
        <v>8.616100545610423E-3</v>
      </c>
      <c r="AA413" s="92">
        <f t="shared" si="162"/>
        <v>-1.990616332951374E-2</v>
      </c>
      <c r="AB413" s="47" t="s">
        <v>81</v>
      </c>
      <c r="AC413" s="92">
        <f t="shared" si="163"/>
        <v>0.153363</v>
      </c>
      <c r="AD413" s="92" cm="1">
        <f t="array" ref="AD413">_xlfn.IFS(
AND(L413="marginal_effect",M413="level"),N413*AN413/BF413,
AND(L413="marginal_effect",M413="sd (Y)"),N413*BH413*AN413/BF413,
AND(L413="marginal_effect",M413="sd (X)"),N413/AQ413*AN413/BF413,
AND(L413="semi_elasticity",M413="level"),N413*AN413,
AND(L413="semi_elasticity",M413="sd (Y)"),N413*AN413*BH413,
AND(L413="semi_elasticity",M413="sd (X)"),N413*AN413/AQ413,
AND(L413="level-log",M413="level"),N413/BF413,
AND(L413="level-log",M413="sd (X)"),N413/BF413/AQ413,
AND(L413="level-log",M413="sd (Y)"),N413/BF413*BH413,
AND(L413="elasticity",M413="level"),N413,
AND(L413="elasticity",M413="sd (X)"),N413/AQ413,
AND(L413="elasticity",M413="sd (Y)"),N413*BH413,
AND(L413="marginal_effect",M413="percent_of_mean"),N413*AN413/BF413/10)</f>
        <v>0.153363</v>
      </c>
      <c r="AE413" s="51">
        <f t="shared" si="166"/>
        <v>1</v>
      </c>
      <c r="AF413" s="92">
        <f t="shared" si="164"/>
        <v>6.6380999999999996E-2</v>
      </c>
      <c r="AG413" s="92" cm="1">
        <f t="array" ref="AG413">_xlfn.IFS(
AND(L413="marginal_effect",M413="level"),O413*AN413/BF413,
AND(L413="marginal_effect",M413="sd (Y)"),O413*BH413*AN413/BF413,
AND(L413="marginal_effect",M413="sd (X)"),O413/AQ413*AN413/BF413,
AND(L413="semi_elasticity",M413="level"),O413*AN413,
AND(L413="semi_elasticity",M413="sd (Y)"),O413*AN413*BH413,
AND(L413="semi_elasticity",M413="sd (X)"),O413*AN413/AQ413,
AND(L413="level-log",M413="level"),O413/BF413,
AND(L413="level-log",M413="sd (X)"),O413/BF413/AQ413,
AND(L413="level-log",M413="sd (Y)"),O413/BF413*BH413,
AND(L413="elasticity",M413="level"),O413,
AND(L413="elasticity",M413="sd (X)"),O413/AQ413,
AND(L413="elasticity",M413="sd (Y)"),O413*BH413,
AND(L413="marginal_effect",M413="percent_of_mean"),O413*AN413/BF413/10)</f>
        <v>6.6380999999999996E-2</v>
      </c>
      <c r="AH413" s="51">
        <f t="shared" si="167"/>
        <v>1</v>
      </c>
      <c r="AI413" s="92">
        <f t="shared" si="165"/>
        <v>-0.153363</v>
      </c>
      <c r="AJ413" s="47">
        <v>0</v>
      </c>
      <c r="AK413" s="47">
        <f t="shared" si="160"/>
        <v>1</v>
      </c>
      <c r="AL413" s="47" t="s">
        <v>82</v>
      </c>
      <c r="AM413" s="47" t="s">
        <v>1333</v>
      </c>
      <c r="AN413" s="47">
        <v>22.89</v>
      </c>
      <c r="AO413" s="47">
        <v>0</v>
      </c>
      <c r="AP413" s="47">
        <f t="shared" si="142"/>
        <v>22.89</v>
      </c>
      <c r="AQ413" s="47">
        <v>16.149999999999999</v>
      </c>
      <c r="AR413" s="47">
        <v>0</v>
      </c>
      <c r="AS413" s="47">
        <v>698</v>
      </c>
      <c r="AT413" s="47" t="s">
        <v>83</v>
      </c>
      <c r="AU413" s="47" t="s">
        <v>109</v>
      </c>
      <c r="AV413" s="47" t="s">
        <v>133</v>
      </c>
      <c r="AW413" s="47" t="s">
        <v>85</v>
      </c>
      <c r="AX413" s="47" t="s">
        <v>86</v>
      </c>
      <c r="AY413" s="47">
        <v>0</v>
      </c>
      <c r="AZ413" s="47">
        <v>0</v>
      </c>
      <c r="BA413" s="47" t="s">
        <v>111</v>
      </c>
      <c r="BB413" s="47" t="s">
        <v>88</v>
      </c>
      <c r="BC413" s="47" t="s">
        <v>113</v>
      </c>
      <c r="BD413" s="47" t="s">
        <v>114</v>
      </c>
      <c r="BE413" s="47" t="s">
        <v>1142</v>
      </c>
      <c r="BF413" s="47">
        <v>65</v>
      </c>
      <c r="BG413" s="47">
        <v>0</v>
      </c>
      <c r="BH413" s="47" t="s">
        <v>312</v>
      </c>
      <c r="BI413" s="47" t="s">
        <v>312</v>
      </c>
      <c r="BJ413" s="47" t="s">
        <v>312</v>
      </c>
      <c r="BK413" s="47" t="s">
        <v>91</v>
      </c>
      <c r="BL413" s="47" t="s">
        <v>1065</v>
      </c>
      <c r="BM413" s="47">
        <v>1</v>
      </c>
      <c r="BN413" s="47" t="s">
        <v>428</v>
      </c>
      <c r="BO413" s="47" t="s">
        <v>1066</v>
      </c>
      <c r="BP413" s="47" t="s">
        <v>1067</v>
      </c>
      <c r="BQ413" s="47" t="s">
        <v>92</v>
      </c>
      <c r="BR413" s="47" t="s">
        <v>93</v>
      </c>
      <c r="BS413" s="47" t="s">
        <v>312</v>
      </c>
      <c r="BT413" s="47" t="s">
        <v>312</v>
      </c>
      <c r="BU413" s="67">
        <v>42005</v>
      </c>
      <c r="BV413" s="67">
        <v>43070</v>
      </c>
      <c r="BW413" s="47" t="s">
        <v>1068</v>
      </c>
      <c r="BX413" s="47" t="s">
        <v>95</v>
      </c>
      <c r="BY413" s="47" t="s">
        <v>748</v>
      </c>
      <c r="BZ413" s="47">
        <v>1</v>
      </c>
      <c r="CA413" s="47">
        <v>1</v>
      </c>
      <c r="CB413" s="47" t="s">
        <v>1089</v>
      </c>
      <c r="CC413" s="47" t="s">
        <v>1071</v>
      </c>
      <c r="CD413" s="47">
        <v>1</v>
      </c>
      <c r="CE413" s="47" t="s">
        <v>738</v>
      </c>
      <c r="CF413" s="47">
        <v>0</v>
      </c>
      <c r="CG413" s="47" t="s">
        <v>97</v>
      </c>
      <c r="CH413" s="47">
        <v>1</v>
      </c>
      <c r="CI413" s="47" t="s">
        <v>116</v>
      </c>
      <c r="CJ413" s="47" t="s">
        <v>98</v>
      </c>
      <c r="CK413" s="47">
        <v>76</v>
      </c>
      <c r="CL413" s="47">
        <v>1</v>
      </c>
      <c r="CM413" s="47">
        <v>1</v>
      </c>
      <c r="CN413" s="47" t="s">
        <v>99</v>
      </c>
      <c r="CO413" s="47" t="s">
        <v>97</v>
      </c>
      <c r="CP413" s="47" t="s">
        <v>100</v>
      </c>
      <c r="CQ413" s="47" t="s">
        <v>126</v>
      </c>
      <c r="CR413" s="48">
        <v>46225</v>
      </c>
      <c r="CT413" s="47" t="s">
        <v>452</v>
      </c>
    </row>
    <row r="414" spans="1:98" s="47" customFormat="1" x14ac:dyDescent="0.35">
      <c r="A414" s="46" t="s">
        <v>1056</v>
      </c>
      <c r="B414" s="46" t="s">
        <v>1085</v>
      </c>
      <c r="C414" s="47" t="s">
        <v>1057</v>
      </c>
      <c r="D414" s="47">
        <v>2021</v>
      </c>
      <c r="E414" s="66" t="s">
        <v>1058</v>
      </c>
      <c r="F414" s="66" t="s">
        <v>1059</v>
      </c>
      <c r="G414" s="47" t="s">
        <v>78</v>
      </c>
      <c r="H414" s="47">
        <v>1</v>
      </c>
      <c r="I414" s="47" t="s">
        <v>1060</v>
      </c>
      <c r="J414" s="47" t="s">
        <v>79</v>
      </c>
      <c r="K414" s="47">
        <v>28</v>
      </c>
      <c r="L414" s="47" t="s">
        <v>104</v>
      </c>
      <c r="M414" s="47" t="s">
        <v>380</v>
      </c>
      <c r="N414" s="47">
        <v>1E-4</v>
      </c>
      <c r="O414" s="47">
        <v>1E-4</v>
      </c>
      <c r="P414" s="92">
        <f t="shared" si="155"/>
        <v>1</v>
      </c>
      <c r="Q414" s="47" t="s">
        <v>312</v>
      </c>
      <c r="R414" s="92">
        <f t="shared" si="156"/>
        <v>-9.5999999999999989E-5</v>
      </c>
      <c r="S414" s="92">
        <f t="shared" si="157"/>
        <v>2.9599999999999998E-4</v>
      </c>
      <c r="T414" s="47">
        <v>1</v>
      </c>
      <c r="U414" s="47">
        <v>14617</v>
      </c>
      <c r="V414" s="47" t="s">
        <v>312</v>
      </c>
      <c r="W414" s="47" t="s">
        <v>312</v>
      </c>
      <c r="X414" s="47">
        <f t="shared" si="161"/>
        <v>14617</v>
      </c>
      <c r="Y414" s="92">
        <f t="shared" si="158"/>
        <v>8.2709619183541083E-3</v>
      </c>
      <c r="Z414" s="92">
        <f t="shared" si="159"/>
        <v>8.2709619183541083E-3</v>
      </c>
      <c r="AA414" s="92">
        <f t="shared" si="162"/>
        <v>-8.2709619183541083E-3</v>
      </c>
      <c r="AB414" s="47" t="s">
        <v>81</v>
      </c>
      <c r="AC414" s="92">
        <f t="shared" si="163"/>
        <v>6.9999999999999994E-5</v>
      </c>
      <c r="AD414" s="92" cm="1">
        <f t="array" ref="AD414">_xlfn.IFS(
AND(L414="marginal_effect",M414="level"),N414*AN414/BF414,
AND(L414="marginal_effect",M414="sd (Y)"),N414*BH414*AN414/BF414,
AND(L414="marginal_effect",M414="sd (X)"),N414/AQ414*AN414/BF414,
AND(L414="semi_elasticity",M414="level"),N414*AN414,
AND(L414="semi_elasticity",M414="sd (Y)"),N414*AN414*BH414,
AND(L414="semi_elasticity",M414="sd (X)"),N414*AN414/AQ414,
AND(L414="level-log",M414="level"),N414/BF414,
AND(L414="level-log",M414="sd (X)"),N414/BF414/AQ414,
AND(L414="level-log",M414="sd (Y)"),N414/BF414*BH414,
AND(L414="elasticity",M414="level"),N414,
AND(L414="elasticity",M414="sd (X)"),N414/AQ414,
AND(L414="elasticity",M414="sd (Y)"),N414*BH414,
AND(L414="marginal_effect",M414="percent_of_mean"),N414*AN414/BF414/10)</f>
        <v>6.9999999999999994E-5</v>
      </c>
      <c r="AE414" s="51">
        <f t="shared" si="166"/>
        <v>1</v>
      </c>
      <c r="AF414" s="92">
        <f t="shared" si="164"/>
        <v>6.9999999999999994E-5</v>
      </c>
      <c r="AG414" s="92" cm="1">
        <f t="array" ref="AG414">_xlfn.IFS(
AND(L414="marginal_effect",M414="level"),O414*AN414/BF414,
AND(L414="marginal_effect",M414="sd (Y)"),O414*BH414*AN414/BF414,
AND(L414="marginal_effect",M414="sd (X)"),O414/AQ414*AN414/BF414,
AND(L414="semi_elasticity",M414="level"),O414*AN414,
AND(L414="semi_elasticity",M414="sd (Y)"),O414*AN414*BH414,
AND(L414="semi_elasticity",M414="sd (X)"),O414*AN414/AQ414,
AND(L414="level-log",M414="level"),O414/BF414,
AND(L414="level-log",M414="sd (X)"),O414/BF414/AQ414,
AND(L414="level-log",M414="sd (Y)"),O414/BF414*BH414,
AND(L414="elasticity",M414="level"),O414,
AND(L414="elasticity",M414="sd (X)"),O414/AQ414,
AND(L414="elasticity",M414="sd (Y)"),O414*BH414,
AND(L414="marginal_effect",M414="percent_of_mean"),O414*AN414/BF414/10)</f>
        <v>6.9999999999999994E-5</v>
      </c>
      <c r="AH414" s="51">
        <f t="shared" si="167"/>
        <v>1</v>
      </c>
      <c r="AI414" s="92">
        <f t="shared" si="165"/>
        <v>-6.9999999999999994E-5</v>
      </c>
      <c r="AJ414" s="47">
        <v>0</v>
      </c>
      <c r="AK414" s="47">
        <f t="shared" si="160"/>
        <v>1</v>
      </c>
      <c r="AL414" s="47" t="s">
        <v>162</v>
      </c>
      <c r="AM414" s="47" t="s">
        <v>590</v>
      </c>
      <c r="AN414" s="47">
        <v>0.7</v>
      </c>
      <c r="AO414" s="47">
        <v>0</v>
      </c>
      <c r="AP414" s="47">
        <f t="shared" si="142"/>
        <v>0.7</v>
      </c>
      <c r="AQ414" s="47">
        <v>0.66</v>
      </c>
      <c r="AR414" s="47">
        <v>0</v>
      </c>
      <c r="AS414" s="47">
        <v>12.76</v>
      </c>
      <c r="AT414" s="47" t="s">
        <v>83</v>
      </c>
      <c r="AU414" s="47" t="s">
        <v>109</v>
      </c>
      <c r="AV414" s="47" t="s">
        <v>133</v>
      </c>
      <c r="AW414" s="47" t="s">
        <v>85</v>
      </c>
      <c r="AX414" s="47" t="s">
        <v>86</v>
      </c>
      <c r="AY414" s="47">
        <v>0</v>
      </c>
      <c r="AZ414" s="47">
        <v>0</v>
      </c>
      <c r="BA414" s="47" t="s">
        <v>111</v>
      </c>
      <c r="BB414" s="47" t="s">
        <v>88</v>
      </c>
      <c r="BC414" s="47" t="s">
        <v>113</v>
      </c>
      <c r="BD414" s="47" t="s">
        <v>114</v>
      </c>
      <c r="BE414" s="47" t="s">
        <v>1142</v>
      </c>
      <c r="BF414" s="47">
        <v>65</v>
      </c>
      <c r="BG414" s="47">
        <v>0</v>
      </c>
      <c r="BH414" s="47" t="s">
        <v>312</v>
      </c>
      <c r="BI414" s="47" t="s">
        <v>312</v>
      </c>
      <c r="BJ414" s="47" t="s">
        <v>312</v>
      </c>
      <c r="BK414" s="47" t="s">
        <v>91</v>
      </c>
      <c r="BL414" s="47" t="s">
        <v>1065</v>
      </c>
      <c r="BM414" s="47">
        <v>1</v>
      </c>
      <c r="BN414" s="47" t="s">
        <v>428</v>
      </c>
      <c r="BO414" s="47" t="s">
        <v>1066</v>
      </c>
      <c r="BP414" s="47" t="s">
        <v>1067</v>
      </c>
      <c r="BQ414" s="47" t="s">
        <v>92</v>
      </c>
      <c r="BR414" s="47" t="s">
        <v>93</v>
      </c>
      <c r="BS414" s="47" t="s">
        <v>312</v>
      </c>
      <c r="BT414" s="47" t="s">
        <v>312</v>
      </c>
      <c r="BU414" s="67">
        <v>42005</v>
      </c>
      <c r="BV414" s="67">
        <v>43070</v>
      </c>
      <c r="BW414" s="47" t="s">
        <v>1068</v>
      </c>
      <c r="BX414" s="47" t="s">
        <v>95</v>
      </c>
      <c r="BY414" s="47" t="s">
        <v>748</v>
      </c>
      <c r="BZ414" s="47">
        <v>1</v>
      </c>
      <c r="CA414" s="47">
        <v>1</v>
      </c>
      <c r="CB414" s="47" t="s">
        <v>1089</v>
      </c>
      <c r="CC414" s="47" t="s">
        <v>1072</v>
      </c>
      <c r="CD414" s="47">
        <v>1</v>
      </c>
      <c r="CE414" s="47" t="s">
        <v>738</v>
      </c>
      <c r="CF414" s="47">
        <v>0</v>
      </c>
      <c r="CG414" s="47" t="s">
        <v>97</v>
      </c>
      <c r="CH414" s="47">
        <v>1</v>
      </c>
      <c r="CI414" s="47" t="s">
        <v>116</v>
      </c>
      <c r="CJ414" s="47" t="s">
        <v>98</v>
      </c>
      <c r="CK414" s="47">
        <v>76</v>
      </c>
      <c r="CL414" s="47">
        <v>0</v>
      </c>
      <c r="CM414" s="47">
        <v>0</v>
      </c>
      <c r="CN414" s="47" t="s">
        <v>99</v>
      </c>
      <c r="CO414" s="47" t="s">
        <v>97</v>
      </c>
      <c r="CP414" s="47" t="s">
        <v>100</v>
      </c>
      <c r="CQ414" s="47" t="s">
        <v>126</v>
      </c>
      <c r="CR414" s="48">
        <v>46225</v>
      </c>
      <c r="CT414" s="47" t="s">
        <v>521</v>
      </c>
    </row>
    <row r="415" spans="1:98" s="47" customFormat="1" x14ac:dyDescent="0.35">
      <c r="A415" s="46" t="s">
        <v>1056</v>
      </c>
      <c r="B415" s="46" t="s">
        <v>1086</v>
      </c>
      <c r="C415" s="47" t="s">
        <v>1057</v>
      </c>
      <c r="D415" s="47">
        <v>2021</v>
      </c>
      <c r="E415" s="66" t="s">
        <v>1058</v>
      </c>
      <c r="F415" s="66" t="s">
        <v>1059</v>
      </c>
      <c r="G415" s="47" t="s">
        <v>78</v>
      </c>
      <c r="H415" s="47">
        <v>1</v>
      </c>
      <c r="I415" s="47" t="s">
        <v>1060</v>
      </c>
      <c r="J415" s="47" t="s">
        <v>79</v>
      </c>
      <c r="K415" s="47">
        <v>28</v>
      </c>
      <c r="L415" s="47" t="s">
        <v>104</v>
      </c>
      <c r="M415" s="47" t="s">
        <v>380</v>
      </c>
      <c r="N415" s="47">
        <v>9.4000000000000004E-3</v>
      </c>
      <c r="O415" s="47">
        <v>3.0000000000000001E-3</v>
      </c>
      <c r="P415" s="92">
        <f t="shared" si="155"/>
        <v>3.1333333333333333</v>
      </c>
      <c r="Q415" s="47" t="s">
        <v>312</v>
      </c>
      <c r="R415" s="92">
        <f t="shared" si="156"/>
        <v>3.5200000000000006E-3</v>
      </c>
      <c r="S415" s="92">
        <f t="shared" si="157"/>
        <v>1.528E-2</v>
      </c>
      <c r="T415" s="47">
        <v>1</v>
      </c>
      <c r="U415" s="47">
        <v>14613</v>
      </c>
      <c r="V415" s="47" t="s">
        <v>312</v>
      </c>
      <c r="W415" s="47" t="s">
        <v>312</v>
      </c>
      <c r="X415" s="47">
        <f t="shared" si="161"/>
        <v>14613</v>
      </c>
      <c r="Y415" s="92">
        <f t="shared" si="158"/>
        <v>2.5911411107918787E-2</v>
      </c>
      <c r="Z415" s="92">
        <f t="shared" si="159"/>
        <v>8.2695992897613146E-3</v>
      </c>
      <c r="AA415" s="92">
        <f t="shared" si="162"/>
        <v>-2.5911411107918787E-2</v>
      </c>
      <c r="AB415" s="47" t="s">
        <v>81</v>
      </c>
      <c r="AC415" s="92">
        <f t="shared" si="163"/>
        <v>0.19053800000000001</v>
      </c>
      <c r="AD415" s="92" cm="1">
        <f t="array" ref="AD415">_xlfn.IFS(
AND(L415="marginal_effect",M415="level"),N415*AN415/BF415,
AND(L415="marginal_effect",M415="sd (Y)"),N415*BH415*AN415/BF415,
AND(L415="marginal_effect",M415="sd (X)"),N415/AQ415*AN415/BF415,
AND(L415="semi_elasticity",M415="level"),N415*AN415,
AND(L415="semi_elasticity",M415="sd (Y)"),N415*AN415*BH415,
AND(L415="semi_elasticity",M415="sd (X)"),N415*AN415/AQ415,
AND(L415="level-log",M415="level"),N415/BF415,
AND(L415="level-log",M415="sd (X)"),N415/BF415/AQ415,
AND(L415="level-log",M415="sd (Y)"),N415/BF415*BH415,
AND(L415="elasticity",M415="level"),N415,
AND(L415="elasticity",M415="sd (X)"),N415/AQ415,
AND(L415="elasticity",M415="sd (Y)"),N415*BH415,
AND(L415="marginal_effect",M415="percent_of_mean"),N415*AN415/BF415/10)</f>
        <v>0.19053800000000001</v>
      </c>
      <c r="AE415" s="51">
        <f t="shared" si="166"/>
        <v>1</v>
      </c>
      <c r="AF415" s="92">
        <f t="shared" si="164"/>
        <v>6.0810000000000003E-2</v>
      </c>
      <c r="AG415" s="92" cm="1">
        <f t="array" ref="AG415">_xlfn.IFS(
AND(L415="marginal_effect",M415="level"),O415*AN415/BF415,
AND(L415="marginal_effect",M415="sd (Y)"),O415*BH415*AN415/BF415,
AND(L415="marginal_effect",M415="sd (X)"),O415/AQ415*AN415/BF415,
AND(L415="semi_elasticity",M415="level"),O415*AN415,
AND(L415="semi_elasticity",M415="sd (Y)"),O415*AN415*BH415,
AND(L415="semi_elasticity",M415="sd (X)"),O415*AN415/AQ415,
AND(L415="level-log",M415="level"),O415/BF415,
AND(L415="level-log",M415="sd (X)"),O415/BF415/AQ415,
AND(L415="level-log",M415="sd (Y)"),O415/BF415*BH415,
AND(L415="elasticity",M415="level"),O415,
AND(L415="elasticity",M415="sd (X)"),O415/AQ415,
AND(L415="elasticity",M415="sd (Y)"),O415*BH415,
AND(L415="marginal_effect",M415="percent_of_mean"),O415*AN415/BF415/10)</f>
        <v>6.0810000000000003E-2</v>
      </c>
      <c r="AH415" s="51">
        <f t="shared" si="167"/>
        <v>1</v>
      </c>
      <c r="AI415" s="92">
        <f t="shared" si="165"/>
        <v>-0.19053800000000001</v>
      </c>
      <c r="AJ415" s="47">
        <v>0</v>
      </c>
      <c r="AK415" s="47">
        <f t="shared" si="160"/>
        <v>1</v>
      </c>
      <c r="AL415" s="47" t="s">
        <v>131</v>
      </c>
      <c r="AM415" s="47" t="s">
        <v>410</v>
      </c>
      <c r="AN415" s="47">
        <v>20.27</v>
      </c>
      <c r="AO415" s="47">
        <v>0</v>
      </c>
      <c r="AP415" s="47">
        <f t="shared" ref="AP415:AP478" si="168">AN415</f>
        <v>20.27</v>
      </c>
      <c r="AQ415" s="47">
        <v>14.08</v>
      </c>
      <c r="AR415" s="47">
        <v>0</v>
      </c>
      <c r="AS415" s="47">
        <v>150</v>
      </c>
      <c r="AT415" s="47" t="s">
        <v>83</v>
      </c>
      <c r="AU415" s="47" t="s">
        <v>109</v>
      </c>
      <c r="AV415" s="47" t="s">
        <v>133</v>
      </c>
      <c r="AW415" s="47" t="s">
        <v>85</v>
      </c>
      <c r="AX415" s="47" t="s">
        <v>86</v>
      </c>
      <c r="AY415" s="47">
        <v>0</v>
      </c>
      <c r="AZ415" s="47">
        <v>0</v>
      </c>
      <c r="BA415" s="47" t="s">
        <v>111</v>
      </c>
      <c r="BB415" s="47" t="s">
        <v>88</v>
      </c>
      <c r="BC415" s="47" t="s">
        <v>113</v>
      </c>
      <c r="BD415" s="47" t="s">
        <v>114</v>
      </c>
      <c r="BE415" s="47" t="s">
        <v>1142</v>
      </c>
      <c r="BF415" s="47">
        <v>65</v>
      </c>
      <c r="BG415" s="47">
        <v>0</v>
      </c>
      <c r="BH415" s="47" t="s">
        <v>312</v>
      </c>
      <c r="BI415" s="47" t="s">
        <v>312</v>
      </c>
      <c r="BJ415" s="47" t="s">
        <v>312</v>
      </c>
      <c r="BK415" s="47" t="s">
        <v>91</v>
      </c>
      <c r="BL415" s="47" t="s">
        <v>1065</v>
      </c>
      <c r="BM415" s="47">
        <v>1</v>
      </c>
      <c r="BN415" s="47" t="s">
        <v>428</v>
      </c>
      <c r="BO415" s="47" t="s">
        <v>1066</v>
      </c>
      <c r="BP415" s="47" t="s">
        <v>1067</v>
      </c>
      <c r="BQ415" s="47" t="s">
        <v>92</v>
      </c>
      <c r="BR415" s="47" t="s">
        <v>93</v>
      </c>
      <c r="BS415" s="47" t="s">
        <v>312</v>
      </c>
      <c r="BT415" s="47" t="s">
        <v>312</v>
      </c>
      <c r="BU415" s="67">
        <v>42005</v>
      </c>
      <c r="BV415" s="67">
        <v>43070</v>
      </c>
      <c r="BW415" s="47" t="s">
        <v>1068</v>
      </c>
      <c r="BX415" s="47" t="s">
        <v>95</v>
      </c>
      <c r="BY415" s="47" t="s">
        <v>748</v>
      </c>
      <c r="BZ415" s="47">
        <v>1</v>
      </c>
      <c r="CA415" s="47">
        <v>1</v>
      </c>
      <c r="CB415" s="47" t="s">
        <v>1089</v>
      </c>
      <c r="CC415" s="47" t="s">
        <v>1072</v>
      </c>
      <c r="CD415" s="47">
        <v>1</v>
      </c>
      <c r="CE415" s="47" t="s">
        <v>738</v>
      </c>
      <c r="CF415" s="47">
        <v>0</v>
      </c>
      <c r="CG415" s="47" t="s">
        <v>97</v>
      </c>
      <c r="CH415" s="47">
        <v>1</v>
      </c>
      <c r="CI415" s="47" t="s">
        <v>116</v>
      </c>
      <c r="CJ415" s="47" t="s">
        <v>98</v>
      </c>
      <c r="CK415" s="47">
        <v>76</v>
      </c>
      <c r="CL415" s="47">
        <v>0</v>
      </c>
      <c r="CM415" s="47">
        <v>0</v>
      </c>
      <c r="CN415" s="47" t="s">
        <v>99</v>
      </c>
      <c r="CO415" s="47" t="s">
        <v>97</v>
      </c>
      <c r="CP415" s="47" t="s">
        <v>100</v>
      </c>
      <c r="CQ415" s="47" t="s">
        <v>126</v>
      </c>
      <c r="CR415" s="48">
        <v>46225</v>
      </c>
      <c r="CT415" s="47" t="s">
        <v>521</v>
      </c>
    </row>
    <row r="416" spans="1:98" s="47" customFormat="1" x14ac:dyDescent="0.35">
      <c r="A416" s="46" t="s">
        <v>1056</v>
      </c>
      <c r="B416" s="46" t="s">
        <v>1087</v>
      </c>
      <c r="C416" s="47" t="s">
        <v>1057</v>
      </c>
      <c r="D416" s="47">
        <v>2021</v>
      </c>
      <c r="E416" s="66" t="s">
        <v>1058</v>
      </c>
      <c r="F416" s="66" t="s">
        <v>1059</v>
      </c>
      <c r="G416" s="47" t="s">
        <v>78</v>
      </c>
      <c r="H416" s="47">
        <v>1</v>
      </c>
      <c r="I416" s="47" t="s">
        <v>1060</v>
      </c>
      <c r="J416" s="47" t="s">
        <v>79</v>
      </c>
      <c r="K416" s="47">
        <v>28</v>
      </c>
      <c r="L416" s="47" t="s">
        <v>104</v>
      </c>
      <c r="M416" s="47" t="s">
        <v>380</v>
      </c>
      <c r="N416" s="47">
        <v>4.4999999999999997E-3</v>
      </c>
      <c r="O416" s="47">
        <v>3.0000000000000001E-3</v>
      </c>
      <c r="P416" s="92">
        <f t="shared" si="155"/>
        <v>1.4999999999999998</v>
      </c>
      <c r="Q416" s="47" t="s">
        <v>312</v>
      </c>
      <c r="R416" s="92">
        <f t="shared" si="156"/>
        <v>-1.3800000000000002E-3</v>
      </c>
      <c r="S416" s="92">
        <f t="shared" si="157"/>
        <v>1.038E-2</v>
      </c>
      <c r="T416" s="47">
        <v>1</v>
      </c>
      <c r="U416" s="47">
        <v>14637</v>
      </c>
      <c r="V416" s="47" t="s">
        <v>312</v>
      </c>
      <c r="W416" s="47" t="s">
        <v>312</v>
      </c>
      <c r="X416" s="47">
        <f t="shared" si="161"/>
        <v>14637</v>
      </c>
      <c r="Y416" s="92">
        <f t="shared" si="158"/>
        <v>1.23974351533317E-2</v>
      </c>
      <c r="Z416" s="92">
        <f t="shared" si="159"/>
        <v>8.264956768887801E-3</v>
      </c>
      <c r="AA416" s="92">
        <f t="shared" si="162"/>
        <v>-1.23974351533317E-2</v>
      </c>
      <c r="AB416" s="47" t="s">
        <v>81</v>
      </c>
      <c r="AC416" s="92">
        <f t="shared" si="163"/>
        <v>0.12298499999999998</v>
      </c>
      <c r="AD416" s="92" cm="1">
        <f t="array" ref="AD416">_xlfn.IFS(
AND(L416="marginal_effect",M416="level"),N416*AN416/BF416,
AND(L416="marginal_effect",M416="sd (Y)"),N416*BH416*AN416/BF416,
AND(L416="marginal_effect",M416="sd (X)"),N416/AQ416*AN416/BF416,
AND(L416="semi_elasticity",M416="level"),N416*AN416,
AND(L416="semi_elasticity",M416="sd (Y)"),N416*AN416*BH416,
AND(L416="semi_elasticity",M416="sd (X)"),N416*AN416/AQ416,
AND(L416="level-log",M416="level"),N416/BF416,
AND(L416="level-log",M416="sd (X)"),N416/BF416/AQ416,
AND(L416="level-log",M416="sd (Y)"),N416/BF416*BH416,
AND(L416="elasticity",M416="level"),N416,
AND(L416="elasticity",M416="sd (X)"),N416/AQ416,
AND(L416="elasticity",M416="sd (Y)"),N416*BH416,
AND(L416="marginal_effect",M416="percent_of_mean"),N416*AN416/BF416/10)</f>
        <v>0.12298499999999998</v>
      </c>
      <c r="AE416" s="51">
        <f t="shared" si="166"/>
        <v>1</v>
      </c>
      <c r="AF416" s="92">
        <f t="shared" si="164"/>
        <v>8.1989999999999993E-2</v>
      </c>
      <c r="AG416" s="92" cm="1">
        <f t="array" ref="AG416">_xlfn.IFS(
AND(L416="marginal_effect",M416="level"),O416*AN416/BF416,
AND(L416="marginal_effect",M416="sd (Y)"),O416*BH416*AN416/BF416,
AND(L416="marginal_effect",M416="sd (X)"),O416/AQ416*AN416/BF416,
AND(L416="semi_elasticity",M416="level"),O416*AN416,
AND(L416="semi_elasticity",M416="sd (Y)"),O416*AN416*BH416,
AND(L416="semi_elasticity",M416="sd (X)"),O416*AN416/AQ416,
AND(L416="level-log",M416="level"),O416/BF416,
AND(L416="level-log",M416="sd (X)"),O416/BF416/AQ416,
AND(L416="level-log",M416="sd (Y)"),O416/BF416*BH416,
AND(L416="elasticity",M416="level"),O416,
AND(L416="elasticity",M416="sd (X)"),O416/AQ416,
AND(L416="elasticity",M416="sd (Y)"),O416*BH416,
AND(L416="marginal_effect",M416="percent_of_mean"),O416*AN416/BF416/10)</f>
        <v>8.1989999999999993E-2</v>
      </c>
      <c r="AH416" s="51">
        <f t="shared" si="167"/>
        <v>1</v>
      </c>
      <c r="AI416" s="92">
        <f t="shared" si="165"/>
        <v>-0.12298499999999998</v>
      </c>
      <c r="AJ416" s="47">
        <v>0</v>
      </c>
      <c r="AK416" s="47">
        <f t="shared" si="160"/>
        <v>1</v>
      </c>
      <c r="AL416" s="47" t="s">
        <v>148</v>
      </c>
      <c r="AM416" s="47" t="s">
        <v>410</v>
      </c>
      <c r="AN416" s="47">
        <v>27.33</v>
      </c>
      <c r="AO416" s="47">
        <v>0</v>
      </c>
      <c r="AP416" s="47">
        <f t="shared" si="168"/>
        <v>27.33</v>
      </c>
      <c r="AQ416" s="47">
        <v>24.83</v>
      </c>
      <c r="AR416" s="47">
        <v>1</v>
      </c>
      <c r="AS416" s="47">
        <v>210</v>
      </c>
      <c r="AT416" s="47" t="s">
        <v>83</v>
      </c>
      <c r="AU416" s="47" t="s">
        <v>109</v>
      </c>
      <c r="AV416" s="47" t="s">
        <v>133</v>
      </c>
      <c r="AW416" s="47" t="s">
        <v>85</v>
      </c>
      <c r="AX416" s="47" t="s">
        <v>86</v>
      </c>
      <c r="AY416" s="47">
        <v>0</v>
      </c>
      <c r="AZ416" s="47">
        <v>0</v>
      </c>
      <c r="BA416" s="47" t="s">
        <v>111</v>
      </c>
      <c r="BB416" s="47" t="s">
        <v>88</v>
      </c>
      <c r="BC416" s="47" t="s">
        <v>113</v>
      </c>
      <c r="BD416" s="47" t="s">
        <v>114</v>
      </c>
      <c r="BE416" s="47" t="s">
        <v>1142</v>
      </c>
      <c r="BF416" s="47">
        <v>65</v>
      </c>
      <c r="BG416" s="47">
        <v>0</v>
      </c>
      <c r="BH416" s="47" t="s">
        <v>312</v>
      </c>
      <c r="BI416" s="47" t="s">
        <v>312</v>
      </c>
      <c r="BJ416" s="47" t="s">
        <v>312</v>
      </c>
      <c r="BK416" s="47" t="s">
        <v>91</v>
      </c>
      <c r="BL416" s="47" t="s">
        <v>1065</v>
      </c>
      <c r="BM416" s="47">
        <v>1</v>
      </c>
      <c r="BN416" s="47" t="s">
        <v>428</v>
      </c>
      <c r="BO416" s="47" t="s">
        <v>1066</v>
      </c>
      <c r="BP416" s="47" t="s">
        <v>1067</v>
      </c>
      <c r="BQ416" s="47" t="s">
        <v>92</v>
      </c>
      <c r="BR416" s="47" t="s">
        <v>93</v>
      </c>
      <c r="BS416" s="47" t="s">
        <v>312</v>
      </c>
      <c r="BT416" s="47" t="s">
        <v>312</v>
      </c>
      <c r="BU416" s="67">
        <v>42005</v>
      </c>
      <c r="BV416" s="67">
        <v>43070</v>
      </c>
      <c r="BW416" s="47" t="s">
        <v>1068</v>
      </c>
      <c r="BX416" s="47" t="s">
        <v>95</v>
      </c>
      <c r="BY416" s="47" t="s">
        <v>748</v>
      </c>
      <c r="BZ416" s="47">
        <v>1</v>
      </c>
      <c r="CA416" s="47">
        <v>1</v>
      </c>
      <c r="CB416" s="47" t="s">
        <v>1089</v>
      </c>
      <c r="CC416" s="47" t="s">
        <v>1072</v>
      </c>
      <c r="CD416" s="47">
        <v>1</v>
      </c>
      <c r="CE416" s="47" t="s">
        <v>738</v>
      </c>
      <c r="CF416" s="47">
        <v>0</v>
      </c>
      <c r="CG416" s="47" t="s">
        <v>97</v>
      </c>
      <c r="CH416" s="47">
        <v>1</v>
      </c>
      <c r="CI416" s="47" t="s">
        <v>116</v>
      </c>
      <c r="CJ416" s="47" t="s">
        <v>98</v>
      </c>
      <c r="CK416" s="47">
        <v>76</v>
      </c>
      <c r="CL416" s="47">
        <v>0</v>
      </c>
      <c r="CM416" s="47">
        <v>0</v>
      </c>
      <c r="CN416" s="47" t="s">
        <v>99</v>
      </c>
      <c r="CO416" s="47" t="s">
        <v>97</v>
      </c>
      <c r="CP416" s="47" t="s">
        <v>100</v>
      </c>
      <c r="CQ416" s="47" t="s">
        <v>126</v>
      </c>
      <c r="CR416" s="48">
        <v>46225</v>
      </c>
      <c r="CT416" s="47" t="s">
        <v>521</v>
      </c>
    </row>
    <row r="417" spans="1:98" s="47" customFormat="1" x14ac:dyDescent="0.35">
      <c r="A417" s="46" t="s">
        <v>1056</v>
      </c>
      <c r="B417" s="46" t="s">
        <v>1088</v>
      </c>
      <c r="C417" s="47" t="s">
        <v>1057</v>
      </c>
      <c r="D417" s="47">
        <v>2021</v>
      </c>
      <c r="E417" s="66" t="s">
        <v>1058</v>
      </c>
      <c r="F417" s="66" t="s">
        <v>1059</v>
      </c>
      <c r="G417" s="47" t="s">
        <v>78</v>
      </c>
      <c r="H417" s="47">
        <v>1</v>
      </c>
      <c r="I417" s="47" t="s">
        <v>1060</v>
      </c>
      <c r="J417" s="47" t="s">
        <v>79</v>
      </c>
      <c r="K417" s="47">
        <v>28</v>
      </c>
      <c r="L417" s="47" t="s">
        <v>104</v>
      </c>
      <c r="M417" s="47" t="s">
        <v>380</v>
      </c>
      <c r="N417" s="47">
        <v>1.04E-2</v>
      </c>
      <c r="O417" s="47">
        <v>3.2000000000000002E-3</v>
      </c>
      <c r="P417" s="92">
        <f t="shared" si="155"/>
        <v>3.2499999999999996</v>
      </c>
      <c r="Q417" s="47" t="s">
        <v>312</v>
      </c>
      <c r="R417" s="92">
        <f t="shared" si="156"/>
        <v>4.1279999999999997E-3</v>
      </c>
      <c r="S417" s="92">
        <f t="shared" si="157"/>
        <v>1.6671999999999999E-2</v>
      </c>
      <c r="T417" s="47">
        <v>1</v>
      </c>
      <c r="U417" s="47">
        <v>13465</v>
      </c>
      <c r="V417" s="47" t="s">
        <v>312</v>
      </c>
      <c r="W417" s="47" t="s">
        <v>312</v>
      </c>
      <c r="X417" s="47">
        <f t="shared" si="161"/>
        <v>13465</v>
      </c>
      <c r="Y417" s="92">
        <f t="shared" si="158"/>
        <v>2.7996897651772525E-2</v>
      </c>
      <c r="Z417" s="92">
        <f t="shared" si="159"/>
        <v>8.6144300466992393E-3</v>
      </c>
      <c r="AA417" s="92">
        <f t="shared" si="162"/>
        <v>-2.7996897651772525E-2</v>
      </c>
      <c r="AB417" s="47" t="s">
        <v>81</v>
      </c>
      <c r="AC417" s="92">
        <f t="shared" si="163"/>
        <v>0.23805599999999999</v>
      </c>
      <c r="AD417" s="92" cm="1">
        <f t="array" ref="AD417">_xlfn.IFS(
AND(L417="marginal_effect",M417="level"),N417*AN417/BF417,
AND(L417="marginal_effect",M417="sd (Y)"),N417*BH417*AN417/BF417,
AND(L417="marginal_effect",M417="sd (X)"),N417/AQ417*AN417/BF417,
AND(L417="semi_elasticity",M417="level"),N417*AN417,
AND(L417="semi_elasticity",M417="sd (Y)"),N417*AN417*BH417,
AND(L417="semi_elasticity",M417="sd (X)"),N417*AN417/AQ417,
AND(L417="level-log",M417="level"),N417/BF417,
AND(L417="level-log",M417="sd (X)"),N417/BF417/AQ417,
AND(L417="level-log",M417="sd (Y)"),N417/BF417*BH417,
AND(L417="elasticity",M417="level"),N417,
AND(L417="elasticity",M417="sd (X)"),N417/AQ417,
AND(L417="elasticity",M417="sd (Y)"),N417*BH417,
AND(L417="marginal_effect",M417="percent_of_mean"),N417*AN417/BF417/10)</f>
        <v>0.23805599999999999</v>
      </c>
      <c r="AE417" s="51">
        <f t="shared" si="166"/>
        <v>1</v>
      </c>
      <c r="AF417" s="92">
        <f t="shared" si="164"/>
        <v>7.3248000000000008E-2</v>
      </c>
      <c r="AG417" s="92" cm="1">
        <f t="array" ref="AG417">_xlfn.IFS(
AND(L417="marginal_effect",M417="level"),O417*AN417/BF417,
AND(L417="marginal_effect",M417="sd (Y)"),O417*BH417*AN417/BF417,
AND(L417="marginal_effect",M417="sd (X)"),O417/AQ417*AN417/BF417,
AND(L417="semi_elasticity",M417="level"),O417*AN417,
AND(L417="semi_elasticity",M417="sd (Y)"),O417*AN417*BH417,
AND(L417="semi_elasticity",M417="sd (X)"),O417*AN417/AQ417,
AND(L417="level-log",M417="level"),O417/BF417,
AND(L417="level-log",M417="sd (X)"),O417/BF417/AQ417,
AND(L417="level-log",M417="sd (Y)"),O417/BF417*BH417,
AND(L417="elasticity",M417="level"),O417,
AND(L417="elasticity",M417="sd (X)"),O417/AQ417,
AND(L417="elasticity",M417="sd (Y)"),O417*BH417,
AND(L417="marginal_effect",M417="percent_of_mean"),O417*AN417/BF417/10)</f>
        <v>7.3248000000000008E-2</v>
      </c>
      <c r="AH417" s="51">
        <f t="shared" si="167"/>
        <v>1</v>
      </c>
      <c r="AI417" s="92">
        <f t="shared" si="165"/>
        <v>-0.23805599999999999</v>
      </c>
      <c r="AJ417" s="47">
        <v>0</v>
      </c>
      <c r="AK417" s="47">
        <f t="shared" si="160"/>
        <v>1</v>
      </c>
      <c r="AL417" s="47" t="s">
        <v>82</v>
      </c>
      <c r="AM417" s="47" t="s">
        <v>1333</v>
      </c>
      <c r="AN417" s="47">
        <v>22.89</v>
      </c>
      <c r="AO417" s="47">
        <v>0</v>
      </c>
      <c r="AP417" s="47">
        <f t="shared" si="168"/>
        <v>22.89</v>
      </c>
      <c r="AQ417" s="47">
        <v>16.149999999999999</v>
      </c>
      <c r="AR417" s="47">
        <v>0</v>
      </c>
      <c r="AS417" s="47">
        <v>698</v>
      </c>
      <c r="AT417" s="47" t="s">
        <v>83</v>
      </c>
      <c r="AU417" s="47" t="s">
        <v>109</v>
      </c>
      <c r="AV417" s="47" t="s">
        <v>133</v>
      </c>
      <c r="AW417" s="47" t="s">
        <v>85</v>
      </c>
      <c r="AX417" s="47" t="s">
        <v>86</v>
      </c>
      <c r="AY417" s="47">
        <v>0</v>
      </c>
      <c r="AZ417" s="47">
        <v>0</v>
      </c>
      <c r="BA417" s="47" t="s">
        <v>111</v>
      </c>
      <c r="BB417" s="47" t="s">
        <v>88</v>
      </c>
      <c r="BC417" s="47" t="s">
        <v>113</v>
      </c>
      <c r="BD417" s="47" t="s">
        <v>114</v>
      </c>
      <c r="BE417" s="47" t="s">
        <v>1142</v>
      </c>
      <c r="BF417" s="47">
        <v>65</v>
      </c>
      <c r="BG417" s="47">
        <v>0</v>
      </c>
      <c r="BH417" s="47" t="s">
        <v>312</v>
      </c>
      <c r="BI417" s="47" t="s">
        <v>312</v>
      </c>
      <c r="BJ417" s="47" t="s">
        <v>312</v>
      </c>
      <c r="BK417" s="47" t="s">
        <v>91</v>
      </c>
      <c r="BL417" s="47" t="s">
        <v>1065</v>
      </c>
      <c r="BM417" s="47">
        <v>1</v>
      </c>
      <c r="BN417" s="47" t="s">
        <v>428</v>
      </c>
      <c r="BO417" s="47" t="s">
        <v>1066</v>
      </c>
      <c r="BP417" s="47" t="s">
        <v>1067</v>
      </c>
      <c r="BQ417" s="47" t="s">
        <v>92</v>
      </c>
      <c r="BR417" s="47" t="s">
        <v>93</v>
      </c>
      <c r="BS417" s="47" t="s">
        <v>312</v>
      </c>
      <c r="BT417" s="47" t="s">
        <v>312</v>
      </c>
      <c r="BU417" s="67">
        <v>42005</v>
      </c>
      <c r="BV417" s="67">
        <v>43070</v>
      </c>
      <c r="BW417" s="47" t="s">
        <v>1068</v>
      </c>
      <c r="BX417" s="47" t="s">
        <v>95</v>
      </c>
      <c r="BY417" s="47" t="s">
        <v>748</v>
      </c>
      <c r="BZ417" s="47">
        <v>1</v>
      </c>
      <c r="CA417" s="47">
        <v>1</v>
      </c>
      <c r="CB417" s="47" t="s">
        <v>1089</v>
      </c>
      <c r="CC417" s="47" t="s">
        <v>1072</v>
      </c>
      <c r="CD417" s="47">
        <v>1</v>
      </c>
      <c r="CE417" s="47" t="s">
        <v>738</v>
      </c>
      <c r="CF417" s="47">
        <v>0</v>
      </c>
      <c r="CG417" s="47" t="s">
        <v>97</v>
      </c>
      <c r="CH417" s="47">
        <v>1</v>
      </c>
      <c r="CI417" s="47" t="s">
        <v>116</v>
      </c>
      <c r="CJ417" s="47" t="s">
        <v>98</v>
      </c>
      <c r="CK417" s="47">
        <v>76</v>
      </c>
      <c r="CL417" s="47">
        <v>0</v>
      </c>
      <c r="CM417" s="47">
        <v>0</v>
      </c>
      <c r="CN417" s="47" t="s">
        <v>99</v>
      </c>
      <c r="CO417" s="47" t="s">
        <v>97</v>
      </c>
      <c r="CP417" s="47" t="s">
        <v>100</v>
      </c>
      <c r="CQ417" s="47" t="s">
        <v>126</v>
      </c>
      <c r="CR417" s="48">
        <v>46225</v>
      </c>
      <c r="CT417" s="47" t="s">
        <v>521</v>
      </c>
    </row>
    <row r="418" spans="1:98" s="47" customFormat="1" x14ac:dyDescent="0.35">
      <c r="A418" s="46" t="s">
        <v>1056</v>
      </c>
      <c r="B418" s="46" t="s">
        <v>1090</v>
      </c>
      <c r="C418" s="47" t="s">
        <v>1057</v>
      </c>
      <c r="D418" s="47">
        <v>2021</v>
      </c>
      <c r="E418" s="66" t="s">
        <v>1058</v>
      </c>
      <c r="F418" s="66" t="s">
        <v>1059</v>
      </c>
      <c r="G418" s="47" t="s">
        <v>78</v>
      </c>
      <c r="H418" s="47">
        <v>1</v>
      </c>
      <c r="I418" s="47" t="s">
        <v>1060</v>
      </c>
      <c r="J418" s="47" t="s">
        <v>79</v>
      </c>
      <c r="K418" s="47">
        <v>28</v>
      </c>
      <c r="L418" s="47" t="s">
        <v>104</v>
      </c>
      <c r="M418" s="47" t="s">
        <v>380</v>
      </c>
      <c r="N418" s="47">
        <v>2E-3</v>
      </c>
      <c r="O418" s="47">
        <v>1E-4</v>
      </c>
      <c r="P418" s="92">
        <f t="shared" si="155"/>
        <v>20</v>
      </c>
      <c r="Q418" s="47" t="s">
        <v>312</v>
      </c>
      <c r="R418" s="92">
        <f t="shared" si="156"/>
        <v>1.804E-3</v>
      </c>
      <c r="S418" s="92">
        <f t="shared" si="157"/>
        <v>2.196E-3</v>
      </c>
      <c r="T418" s="47">
        <v>1</v>
      </c>
      <c r="U418" s="47">
        <v>13403</v>
      </c>
      <c r="V418" s="47" t="s">
        <v>312</v>
      </c>
      <c r="W418" s="47" t="s">
        <v>312</v>
      </c>
      <c r="X418" s="47">
        <f t="shared" si="161"/>
        <v>13403</v>
      </c>
      <c r="Y418" s="92">
        <f t="shared" si="158"/>
        <v>0.17023280359166121</v>
      </c>
      <c r="Z418" s="92">
        <f t="shared" si="159"/>
        <v>8.5116401795830611E-3</v>
      </c>
      <c r="AA418" s="92">
        <f t="shared" si="162"/>
        <v>-0.17023280359166121</v>
      </c>
      <c r="AB418" s="47" t="s">
        <v>81</v>
      </c>
      <c r="AC418" s="92">
        <f t="shared" si="163"/>
        <v>1.4E-3</v>
      </c>
      <c r="AD418" s="92" cm="1">
        <f t="array" ref="AD418">_xlfn.IFS(
AND(L418="marginal_effect",M418="level"),N418*AN418/BF418,
AND(L418="marginal_effect",M418="sd (Y)"),N418*BH418*AN418/BF418,
AND(L418="marginal_effect",M418="sd (X)"),N418/AQ418*AN418/BF418,
AND(L418="semi_elasticity",M418="level"),N418*AN418,
AND(L418="semi_elasticity",M418="sd (Y)"),N418*AN418*BH418,
AND(L418="semi_elasticity",M418="sd (X)"),N418*AN418/AQ418,
AND(L418="level-log",M418="level"),N418/BF418,
AND(L418="level-log",M418="sd (X)"),N418/BF418/AQ418,
AND(L418="level-log",M418="sd (Y)"),N418/BF418*BH418,
AND(L418="elasticity",M418="level"),N418,
AND(L418="elasticity",M418="sd (X)"),N418/AQ418,
AND(L418="elasticity",M418="sd (Y)"),N418*BH418,
AND(L418="marginal_effect",M418="percent_of_mean"),N418*AN418/BF418/10)</f>
        <v>1.4E-3</v>
      </c>
      <c r="AE418" s="51">
        <f t="shared" si="166"/>
        <v>1</v>
      </c>
      <c r="AF418" s="92">
        <f t="shared" si="164"/>
        <v>6.9999999999999994E-5</v>
      </c>
      <c r="AG418" s="92" cm="1">
        <f t="array" ref="AG418">_xlfn.IFS(
AND(L418="marginal_effect",M418="level"),O418*AN418/BF418,
AND(L418="marginal_effect",M418="sd (Y)"),O418*BH418*AN418/BF418,
AND(L418="marginal_effect",M418="sd (X)"),O418/AQ418*AN418/BF418,
AND(L418="semi_elasticity",M418="level"),O418*AN418,
AND(L418="semi_elasticity",M418="sd (Y)"),O418*AN418*BH418,
AND(L418="semi_elasticity",M418="sd (X)"),O418*AN418/AQ418,
AND(L418="level-log",M418="level"),O418/BF418,
AND(L418="level-log",M418="sd (X)"),O418/BF418/AQ418,
AND(L418="level-log",M418="sd (Y)"),O418/BF418*BH418,
AND(L418="elasticity",M418="level"),O418,
AND(L418="elasticity",M418="sd (X)"),O418/AQ418,
AND(L418="elasticity",M418="sd (Y)"),O418*BH418,
AND(L418="marginal_effect",M418="percent_of_mean"),O418*AN418/BF418/10)</f>
        <v>6.9999999999999994E-5</v>
      </c>
      <c r="AH418" s="51">
        <f t="shared" si="167"/>
        <v>1</v>
      </c>
      <c r="AI418" s="92">
        <f t="shared" si="165"/>
        <v>-1.4E-3</v>
      </c>
      <c r="AJ418" s="47">
        <v>0</v>
      </c>
      <c r="AK418" s="47">
        <f t="shared" si="160"/>
        <v>1</v>
      </c>
      <c r="AL418" s="47" t="s">
        <v>162</v>
      </c>
      <c r="AM418" s="47" t="s">
        <v>590</v>
      </c>
      <c r="AN418" s="47">
        <v>0.7</v>
      </c>
      <c r="AO418" s="47">
        <v>0</v>
      </c>
      <c r="AP418" s="47">
        <f t="shared" si="168"/>
        <v>0.7</v>
      </c>
      <c r="AQ418" s="47">
        <v>0.66</v>
      </c>
      <c r="AR418" s="47">
        <v>0</v>
      </c>
      <c r="AS418" s="47">
        <v>12.76</v>
      </c>
      <c r="AT418" s="47" t="s">
        <v>83</v>
      </c>
      <c r="AU418" s="47" t="s">
        <v>109</v>
      </c>
      <c r="AV418" s="47" t="s">
        <v>133</v>
      </c>
      <c r="AW418" s="47" t="s">
        <v>85</v>
      </c>
      <c r="AX418" s="47" t="s">
        <v>86</v>
      </c>
      <c r="AY418" s="47">
        <v>0</v>
      </c>
      <c r="AZ418" s="47">
        <v>0</v>
      </c>
      <c r="BA418" s="47" t="s">
        <v>111</v>
      </c>
      <c r="BB418" s="47" t="s">
        <v>88</v>
      </c>
      <c r="BC418" s="47" t="s">
        <v>113</v>
      </c>
      <c r="BD418" s="47" t="s">
        <v>114</v>
      </c>
      <c r="BE418" s="47" t="s">
        <v>1142</v>
      </c>
      <c r="BF418" s="47">
        <v>65</v>
      </c>
      <c r="BG418" s="47">
        <v>0</v>
      </c>
      <c r="BH418" s="47" t="s">
        <v>312</v>
      </c>
      <c r="BI418" s="47" t="s">
        <v>312</v>
      </c>
      <c r="BJ418" s="47" t="s">
        <v>312</v>
      </c>
      <c r="BK418" s="47" t="s">
        <v>91</v>
      </c>
      <c r="BL418" s="47" t="s">
        <v>1065</v>
      </c>
      <c r="BM418" s="47">
        <v>1</v>
      </c>
      <c r="BN418" s="47" t="s">
        <v>428</v>
      </c>
      <c r="BO418" s="47" t="s">
        <v>1066</v>
      </c>
      <c r="BP418" s="47" t="s">
        <v>1067</v>
      </c>
      <c r="BQ418" s="47" t="s">
        <v>92</v>
      </c>
      <c r="BR418" s="47" t="s">
        <v>93</v>
      </c>
      <c r="BS418" s="47" t="s">
        <v>312</v>
      </c>
      <c r="BT418" s="47" t="s">
        <v>312</v>
      </c>
      <c r="BU418" s="67">
        <v>42005</v>
      </c>
      <c r="BV418" s="67">
        <v>43070</v>
      </c>
      <c r="BW418" s="47" t="s">
        <v>1068</v>
      </c>
      <c r="BX418" s="47" t="s">
        <v>95</v>
      </c>
      <c r="BY418" s="47" t="s">
        <v>748</v>
      </c>
      <c r="BZ418" s="47">
        <v>1</v>
      </c>
      <c r="CA418" s="47">
        <v>1</v>
      </c>
      <c r="CB418" s="47" t="s">
        <v>1069</v>
      </c>
      <c r="CC418" s="47" t="s">
        <v>1071</v>
      </c>
      <c r="CD418" s="47">
        <v>1</v>
      </c>
      <c r="CE418" s="47" t="s">
        <v>141</v>
      </c>
      <c r="CF418" s="47">
        <v>0</v>
      </c>
      <c r="CG418" s="47" t="s">
        <v>97</v>
      </c>
      <c r="CH418" s="47">
        <v>1</v>
      </c>
      <c r="CI418" s="47" t="s">
        <v>116</v>
      </c>
      <c r="CJ418" s="47" t="s">
        <v>98</v>
      </c>
      <c r="CK418" s="47">
        <v>76</v>
      </c>
      <c r="CL418" s="47">
        <v>0</v>
      </c>
      <c r="CM418" s="47">
        <v>0</v>
      </c>
      <c r="CN418" s="47" t="s">
        <v>99</v>
      </c>
      <c r="CO418" s="47" t="s">
        <v>97</v>
      </c>
      <c r="CP418" s="47" t="s">
        <v>100</v>
      </c>
      <c r="CQ418" s="47" t="s">
        <v>126</v>
      </c>
      <c r="CR418" s="48">
        <v>46225</v>
      </c>
      <c r="CT418" s="47" t="s">
        <v>704</v>
      </c>
    </row>
    <row r="419" spans="1:98" s="47" customFormat="1" x14ac:dyDescent="0.35">
      <c r="A419" s="46" t="s">
        <v>1056</v>
      </c>
      <c r="B419" s="46" t="s">
        <v>1091</v>
      </c>
      <c r="C419" s="47" t="s">
        <v>1057</v>
      </c>
      <c r="D419" s="47">
        <v>2021</v>
      </c>
      <c r="E419" s="66" t="s">
        <v>1058</v>
      </c>
      <c r="F419" s="66" t="s">
        <v>1059</v>
      </c>
      <c r="G419" s="47" t="s">
        <v>78</v>
      </c>
      <c r="H419" s="47">
        <v>1</v>
      </c>
      <c r="I419" s="47" t="s">
        <v>1060</v>
      </c>
      <c r="J419" s="47" t="s">
        <v>79</v>
      </c>
      <c r="K419" s="47">
        <v>28</v>
      </c>
      <c r="L419" s="47" t="s">
        <v>104</v>
      </c>
      <c r="M419" s="47" t="s">
        <v>380</v>
      </c>
      <c r="N419" s="47">
        <v>1.18E-2</v>
      </c>
      <c r="O419" s="47">
        <v>2.2000000000000001E-3</v>
      </c>
      <c r="P419" s="92">
        <f t="shared" si="155"/>
        <v>5.3636363636363633</v>
      </c>
      <c r="Q419" s="47" t="s">
        <v>312</v>
      </c>
      <c r="R419" s="92">
        <f t="shared" si="156"/>
        <v>7.4879999999999999E-3</v>
      </c>
      <c r="S419" s="92">
        <f t="shared" si="157"/>
        <v>1.6112000000000001E-2</v>
      </c>
      <c r="T419" s="47">
        <v>1</v>
      </c>
      <c r="U419" s="47">
        <v>13417</v>
      </c>
      <c r="V419" s="47" t="s">
        <v>312</v>
      </c>
      <c r="W419" s="47" t="s">
        <v>312</v>
      </c>
      <c r="X419" s="47">
        <f t="shared" si="161"/>
        <v>13417</v>
      </c>
      <c r="Y419" s="92">
        <f t="shared" si="158"/>
        <v>4.6255833402330054E-2</v>
      </c>
      <c r="Z419" s="92">
        <f t="shared" si="159"/>
        <v>8.6239689394174684E-3</v>
      </c>
      <c r="AA419" s="92">
        <f t="shared" si="162"/>
        <v>-4.6255833402330054E-2</v>
      </c>
      <c r="AB419" s="47" t="s">
        <v>81</v>
      </c>
      <c r="AC419" s="92">
        <f t="shared" si="163"/>
        <v>0.23918599999999998</v>
      </c>
      <c r="AD419" s="92" cm="1">
        <f t="array" ref="AD419">_xlfn.IFS(
AND(L419="marginal_effect",M419="level"),N419*AN419/BF419,
AND(L419="marginal_effect",M419="sd (Y)"),N419*BH419*AN419/BF419,
AND(L419="marginal_effect",M419="sd (X)"),N419/AQ419*AN419/BF419,
AND(L419="semi_elasticity",M419="level"),N419*AN419,
AND(L419="semi_elasticity",M419="sd (Y)"),N419*AN419*BH419,
AND(L419="semi_elasticity",M419="sd (X)"),N419*AN419/AQ419,
AND(L419="level-log",M419="level"),N419/BF419,
AND(L419="level-log",M419="sd (X)"),N419/BF419/AQ419,
AND(L419="level-log",M419="sd (Y)"),N419/BF419*BH419,
AND(L419="elasticity",M419="level"),N419,
AND(L419="elasticity",M419="sd (X)"),N419/AQ419,
AND(L419="elasticity",M419="sd (Y)"),N419*BH419,
AND(L419="marginal_effect",M419="percent_of_mean"),N419*AN419/BF419/10)</f>
        <v>0.23918599999999998</v>
      </c>
      <c r="AE419" s="51">
        <f t="shared" si="166"/>
        <v>1</v>
      </c>
      <c r="AF419" s="92">
        <f t="shared" si="164"/>
        <v>4.4594000000000002E-2</v>
      </c>
      <c r="AG419" s="92" cm="1">
        <f t="array" ref="AG419">_xlfn.IFS(
AND(L419="marginal_effect",M419="level"),O419*AN419/BF419,
AND(L419="marginal_effect",M419="sd (Y)"),O419*BH419*AN419/BF419,
AND(L419="marginal_effect",M419="sd (X)"),O419/AQ419*AN419/BF419,
AND(L419="semi_elasticity",M419="level"),O419*AN419,
AND(L419="semi_elasticity",M419="sd (Y)"),O419*AN419*BH419,
AND(L419="semi_elasticity",M419="sd (X)"),O419*AN419/AQ419,
AND(L419="level-log",M419="level"),O419/BF419,
AND(L419="level-log",M419="sd (X)"),O419/BF419/AQ419,
AND(L419="level-log",M419="sd (Y)"),O419/BF419*BH419,
AND(L419="elasticity",M419="level"),O419,
AND(L419="elasticity",M419="sd (X)"),O419/AQ419,
AND(L419="elasticity",M419="sd (Y)"),O419*BH419,
AND(L419="marginal_effect",M419="percent_of_mean"),O419*AN419/BF419/10)</f>
        <v>4.4594000000000002E-2</v>
      </c>
      <c r="AH419" s="51">
        <f t="shared" si="167"/>
        <v>1</v>
      </c>
      <c r="AI419" s="92">
        <f t="shared" si="165"/>
        <v>-0.23918599999999998</v>
      </c>
      <c r="AJ419" s="47">
        <v>0</v>
      </c>
      <c r="AK419" s="47">
        <f t="shared" si="160"/>
        <v>1</v>
      </c>
      <c r="AL419" s="47" t="s">
        <v>131</v>
      </c>
      <c r="AM419" s="47" t="s">
        <v>410</v>
      </c>
      <c r="AN419" s="47">
        <v>20.27</v>
      </c>
      <c r="AO419" s="47">
        <v>0</v>
      </c>
      <c r="AP419" s="47">
        <f t="shared" si="168"/>
        <v>20.27</v>
      </c>
      <c r="AQ419" s="47">
        <v>14.08</v>
      </c>
      <c r="AR419" s="47">
        <v>0</v>
      </c>
      <c r="AS419" s="47">
        <v>150</v>
      </c>
      <c r="AT419" s="47" t="s">
        <v>83</v>
      </c>
      <c r="AU419" s="47" t="s">
        <v>109</v>
      </c>
      <c r="AV419" s="47" t="s">
        <v>133</v>
      </c>
      <c r="AW419" s="47" t="s">
        <v>85</v>
      </c>
      <c r="AX419" s="47" t="s">
        <v>86</v>
      </c>
      <c r="AY419" s="47">
        <v>0</v>
      </c>
      <c r="AZ419" s="47">
        <v>0</v>
      </c>
      <c r="BA419" s="47" t="s">
        <v>111</v>
      </c>
      <c r="BB419" s="47" t="s">
        <v>88</v>
      </c>
      <c r="BC419" s="47" t="s">
        <v>113</v>
      </c>
      <c r="BD419" s="47" t="s">
        <v>114</v>
      </c>
      <c r="BE419" s="47" t="s">
        <v>1142</v>
      </c>
      <c r="BF419" s="47">
        <v>65</v>
      </c>
      <c r="BG419" s="47">
        <v>0</v>
      </c>
      <c r="BH419" s="47" t="s">
        <v>312</v>
      </c>
      <c r="BI419" s="47" t="s">
        <v>312</v>
      </c>
      <c r="BJ419" s="47" t="s">
        <v>312</v>
      </c>
      <c r="BK419" s="47" t="s">
        <v>91</v>
      </c>
      <c r="BL419" s="47" t="s">
        <v>1065</v>
      </c>
      <c r="BM419" s="47">
        <v>1</v>
      </c>
      <c r="BN419" s="47" t="s">
        <v>428</v>
      </c>
      <c r="BO419" s="47" t="s">
        <v>1066</v>
      </c>
      <c r="BP419" s="47" t="s">
        <v>1067</v>
      </c>
      <c r="BQ419" s="47" t="s">
        <v>92</v>
      </c>
      <c r="BR419" s="47" t="s">
        <v>93</v>
      </c>
      <c r="BS419" s="47" t="s">
        <v>312</v>
      </c>
      <c r="BT419" s="47" t="s">
        <v>312</v>
      </c>
      <c r="BU419" s="67">
        <v>42005</v>
      </c>
      <c r="BV419" s="67">
        <v>43070</v>
      </c>
      <c r="BW419" s="47" t="s">
        <v>1068</v>
      </c>
      <c r="BX419" s="47" t="s">
        <v>95</v>
      </c>
      <c r="BY419" s="47" t="s">
        <v>748</v>
      </c>
      <c r="BZ419" s="47">
        <v>1</v>
      </c>
      <c r="CA419" s="47">
        <v>1</v>
      </c>
      <c r="CB419" s="47" t="s">
        <v>1069</v>
      </c>
      <c r="CC419" s="47" t="s">
        <v>1071</v>
      </c>
      <c r="CD419" s="47">
        <v>1</v>
      </c>
      <c r="CE419" s="47" t="s">
        <v>141</v>
      </c>
      <c r="CF419" s="47">
        <v>0</v>
      </c>
      <c r="CG419" s="47" t="s">
        <v>97</v>
      </c>
      <c r="CH419" s="47">
        <v>1</v>
      </c>
      <c r="CI419" s="47" t="s">
        <v>116</v>
      </c>
      <c r="CJ419" s="47" t="s">
        <v>98</v>
      </c>
      <c r="CK419" s="47">
        <v>76</v>
      </c>
      <c r="CL419" s="47">
        <v>0</v>
      </c>
      <c r="CM419" s="47">
        <v>0</v>
      </c>
      <c r="CN419" s="47" t="s">
        <v>99</v>
      </c>
      <c r="CO419" s="47" t="s">
        <v>97</v>
      </c>
      <c r="CP419" s="47" t="s">
        <v>100</v>
      </c>
      <c r="CQ419" s="47" t="s">
        <v>126</v>
      </c>
      <c r="CR419" s="48">
        <v>46225</v>
      </c>
      <c r="CT419" s="47" t="s">
        <v>457</v>
      </c>
    </row>
    <row r="420" spans="1:98" s="47" customFormat="1" x14ac:dyDescent="0.35">
      <c r="A420" s="46" t="s">
        <v>1056</v>
      </c>
      <c r="B420" s="46" t="s">
        <v>1092</v>
      </c>
      <c r="C420" s="47" t="s">
        <v>1057</v>
      </c>
      <c r="D420" s="47">
        <v>2021</v>
      </c>
      <c r="E420" s="66" t="s">
        <v>1058</v>
      </c>
      <c r="F420" s="66" t="s">
        <v>1059</v>
      </c>
      <c r="G420" s="47" t="s">
        <v>78</v>
      </c>
      <c r="H420" s="47">
        <v>1</v>
      </c>
      <c r="I420" s="47" t="s">
        <v>1060</v>
      </c>
      <c r="J420" s="47" t="s">
        <v>79</v>
      </c>
      <c r="K420" s="47">
        <v>28</v>
      </c>
      <c r="L420" s="47" t="s">
        <v>104</v>
      </c>
      <c r="M420" s="47" t="s">
        <v>380</v>
      </c>
      <c r="N420" s="47">
        <v>-1.2999999999999999E-3</v>
      </c>
      <c r="O420" s="47">
        <v>2.8999999999999998E-3</v>
      </c>
      <c r="P420" s="92">
        <f t="shared" si="155"/>
        <v>-0.44827586206896552</v>
      </c>
      <c r="Q420" s="47" t="s">
        <v>312</v>
      </c>
      <c r="R420" s="92">
        <f t="shared" si="156"/>
        <v>-6.9839999999999998E-3</v>
      </c>
      <c r="S420" s="92">
        <f t="shared" si="157"/>
        <v>4.3839999999999999E-3</v>
      </c>
      <c r="T420" s="47">
        <v>1</v>
      </c>
      <c r="U420" s="47">
        <v>13423</v>
      </c>
      <c r="V420" s="47" t="s">
        <v>312</v>
      </c>
      <c r="W420" s="47" t="s">
        <v>312</v>
      </c>
      <c r="X420" s="47">
        <f t="shared" si="161"/>
        <v>13423</v>
      </c>
      <c r="Y420" s="92">
        <f t="shared" si="158"/>
        <v>-3.8691655163350571E-3</v>
      </c>
      <c r="Z420" s="92">
        <f t="shared" si="159"/>
        <v>8.6312153825935899E-3</v>
      </c>
      <c r="AA420" s="92">
        <f t="shared" si="162"/>
        <v>3.8691655163350571E-3</v>
      </c>
      <c r="AB420" s="47" t="s">
        <v>81</v>
      </c>
      <c r="AC420" s="92">
        <f t="shared" si="163"/>
        <v>-3.5528999999999998E-2</v>
      </c>
      <c r="AD420" s="92" cm="1">
        <f t="array" ref="AD420">_xlfn.IFS(
AND(L420="marginal_effect",M420="level"),N420*AN420/BF420,
AND(L420="marginal_effect",M420="sd (Y)"),N420*BH420*AN420/BF420,
AND(L420="marginal_effect",M420="sd (X)"),N420/AQ420*AN420/BF420,
AND(L420="semi_elasticity",M420="level"),N420*AN420,
AND(L420="semi_elasticity",M420="sd (Y)"),N420*AN420*BH420,
AND(L420="semi_elasticity",M420="sd (X)"),N420*AN420/AQ420,
AND(L420="level-log",M420="level"),N420/BF420,
AND(L420="level-log",M420="sd (X)"),N420/BF420/AQ420,
AND(L420="level-log",M420="sd (Y)"),N420/BF420*BH420,
AND(L420="elasticity",M420="level"),N420,
AND(L420="elasticity",M420="sd (X)"),N420/AQ420,
AND(L420="elasticity",M420="sd (Y)"),N420*BH420,
AND(L420="marginal_effect",M420="percent_of_mean"),N420*AN420/BF420/10)</f>
        <v>-3.5528999999999998E-2</v>
      </c>
      <c r="AE420" s="51">
        <f t="shared" si="166"/>
        <v>1</v>
      </c>
      <c r="AF420" s="92">
        <f t="shared" si="164"/>
        <v>7.9256999999999994E-2</v>
      </c>
      <c r="AG420" s="92" cm="1">
        <f t="array" ref="AG420">_xlfn.IFS(
AND(L420="marginal_effect",M420="level"),O420*AN420/BF420,
AND(L420="marginal_effect",M420="sd (Y)"),O420*BH420*AN420/BF420,
AND(L420="marginal_effect",M420="sd (X)"),O420/AQ420*AN420/BF420,
AND(L420="semi_elasticity",M420="level"),O420*AN420,
AND(L420="semi_elasticity",M420="sd (Y)"),O420*AN420*BH420,
AND(L420="semi_elasticity",M420="sd (X)"),O420*AN420/AQ420,
AND(L420="level-log",M420="level"),O420/BF420,
AND(L420="level-log",M420="sd (X)"),O420/BF420/AQ420,
AND(L420="level-log",M420="sd (Y)"),O420/BF420*BH420,
AND(L420="elasticity",M420="level"),O420,
AND(L420="elasticity",M420="sd (X)"),O420/AQ420,
AND(L420="elasticity",M420="sd (Y)"),O420*BH420,
AND(L420="marginal_effect",M420="percent_of_mean"),O420*AN420/BF420/10)</f>
        <v>7.9256999999999994E-2</v>
      </c>
      <c r="AH420" s="51">
        <f t="shared" si="167"/>
        <v>1</v>
      </c>
      <c r="AI420" s="92">
        <f t="shared" si="165"/>
        <v>3.5528999999999998E-2</v>
      </c>
      <c r="AJ420" s="47">
        <v>0</v>
      </c>
      <c r="AK420" s="47">
        <f t="shared" si="160"/>
        <v>1</v>
      </c>
      <c r="AL420" s="47" t="s">
        <v>148</v>
      </c>
      <c r="AM420" s="47" t="s">
        <v>410</v>
      </c>
      <c r="AN420" s="47">
        <v>27.33</v>
      </c>
      <c r="AO420" s="47">
        <v>0</v>
      </c>
      <c r="AP420" s="47">
        <f t="shared" si="168"/>
        <v>27.33</v>
      </c>
      <c r="AQ420" s="47">
        <v>24.83</v>
      </c>
      <c r="AR420" s="47">
        <v>1</v>
      </c>
      <c r="AS420" s="47">
        <v>210</v>
      </c>
      <c r="AT420" s="47" t="s">
        <v>83</v>
      </c>
      <c r="AU420" s="47" t="s">
        <v>109</v>
      </c>
      <c r="AV420" s="47" t="s">
        <v>133</v>
      </c>
      <c r="AW420" s="47" t="s">
        <v>85</v>
      </c>
      <c r="AX420" s="47" t="s">
        <v>86</v>
      </c>
      <c r="AY420" s="47">
        <v>0</v>
      </c>
      <c r="AZ420" s="47">
        <v>0</v>
      </c>
      <c r="BA420" s="47" t="s">
        <v>111</v>
      </c>
      <c r="BB420" s="47" t="s">
        <v>88</v>
      </c>
      <c r="BC420" s="47" t="s">
        <v>113</v>
      </c>
      <c r="BD420" s="47" t="s">
        <v>114</v>
      </c>
      <c r="BE420" s="47" t="s">
        <v>1142</v>
      </c>
      <c r="BF420" s="47">
        <v>65</v>
      </c>
      <c r="BG420" s="47">
        <v>0</v>
      </c>
      <c r="BH420" s="47" t="s">
        <v>312</v>
      </c>
      <c r="BI420" s="47" t="s">
        <v>312</v>
      </c>
      <c r="BJ420" s="47" t="s">
        <v>312</v>
      </c>
      <c r="BK420" s="47" t="s">
        <v>91</v>
      </c>
      <c r="BL420" s="47" t="s">
        <v>1065</v>
      </c>
      <c r="BM420" s="47">
        <v>1</v>
      </c>
      <c r="BN420" s="47" t="s">
        <v>428</v>
      </c>
      <c r="BO420" s="47" t="s">
        <v>1066</v>
      </c>
      <c r="BP420" s="47" t="s">
        <v>1067</v>
      </c>
      <c r="BQ420" s="47" t="s">
        <v>92</v>
      </c>
      <c r="BR420" s="47" t="s">
        <v>93</v>
      </c>
      <c r="BS420" s="47" t="s">
        <v>312</v>
      </c>
      <c r="BT420" s="47" t="s">
        <v>312</v>
      </c>
      <c r="BU420" s="67">
        <v>42005</v>
      </c>
      <c r="BV420" s="67">
        <v>43070</v>
      </c>
      <c r="BW420" s="47" t="s">
        <v>1068</v>
      </c>
      <c r="BX420" s="47" t="s">
        <v>95</v>
      </c>
      <c r="BY420" s="47" t="s">
        <v>748</v>
      </c>
      <c r="BZ420" s="47">
        <v>1</v>
      </c>
      <c r="CA420" s="47">
        <v>1</v>
      </c>
      <c r="CB420" s="47" t="s">
        <v>1069</v>
      </c>
      <c r="CC420" s="47" t="s">
        <v>1071</v>
      </c>
      <c r="CD420" s="47">
        <v>1</v>
      </c>
      <c r="CE420" s="47" t="s">
        <v>141</v>
      </c>
      <c r="CF420" s="47">
        <v>0</v>
      </c>
      <c r="CG420" s="47" t="s">
        <v>97</v>
      </c>
      <c r="CH420" s="47">
        <v>1</v>
      </c>
      <c r="CI420" s="47" t="s">
        <v>116</v>
      </c>
      <c r="CJ420" s="47" t="s">
        <v>98</v>
      </c>
      <c r="CK420" s="47">
        <v>76</v>
      </c>
      <c r="CL420" s="47">
        <v>0</v>
      </c>
      <c r="CM420" s="47">
        <v>0</v>
      </c>
      <c r="CN420" s="47" t="s">
        <v>99</v>
      </c>
      <c r="CO420" s="47" t="s">
        <v>97</v>
      </c>
      <c r="CP420" s="47" t="s">
        <v>100</v>
      </c>
      <c r="CQ420" s="47" t="s">
        <v>126</v>
      </c>
      <c r="CR420" s="48">
        <v>46225</v>
      </c>
      <c r="CT420" s="47" t="s">
        <v>660</v>
      </c>
    </row>
    <row r="421" spans="1:98" s="47" customFormat="1" x14ac:dyDescent="0.35">
      <c r="A421" s="46" t="s">
        <v>1056</v>
      </c>
      <c r="B421" s="46" t="s">
        <v>1093</v>
      </c>
      <c r="C421" s="47" t="s">
        <v>1057</v>
      </c>
      <c r="D421" s="47">
        <v>2021</v>
      </c>
      <c r="E421" s="66" t="s">
        <v>1058</v>
      </c>
      <c r="F421" s="66" t="s">
        <v>1059</v>
      </c>
      <c r="G421" s="47" t="s">
        <v>78</v>
      </c>
      <c r="H421" s="47">
        <v>1</v>
      </c>
      <c r="I421" s="47" t="s">
        <v>1060</v>
      </c>
      <c r="J421" s="47" t="s">
        <v>79</v>
      </c>
      <c r="K421" s="47">
        <v>28</v>
      </c>
      <c r="L421" s="47" t="s">
        <v>104</v>
      </c>
      <c r="M421" s="47" t="s">
        <v>380</v>
      </c>
      <c r="N421" s="47">
        <v>6.4000000000000003E-3</v>
      </c>
      <c r="O421" s="47">
        <v>2.8999999999999998E-3</v>
      </c>
      <c r="P421" s="92">
        <f t="shared" si="155"/>
        <v>2.2068965517241383</v>
      </c>
      <c r="Q421" s="47" t="s">
        <v>312</v>
      </c>
      <c r="R421" s="92">
        <f t="shared" si="156"/>
        <v>7.1600000000000049E-4</v>
      </c>
      <c r="S421" s="92">
        <f t="shared" si="157"/>
        <v>1.2084000000000001E-2</v>
      </c>
      <c r="T421" s="47">
        <v>1</v>
      </c>
      <c r="U421" s="47">
        <v>12251</v>
      </c>
      <c r="V421" s="47" t="s">
        <v>312</v>
      </c>
      <c r="W421" s="47" t="s">
        <v>312</v>
      </c>
      <c r="X421" s="47">
        <f t="shared" si="161"/>
        <v>12251</v>
      </c>
      <c r="Y421" s="92">
        <f t="shared" si="158"/>
        <v>1.9934708813106994E-2</v>
      </c>
      <c r="Z421" s="92">
        <f t="shared" si="159"/>
        <v>9.0329149309391048E-3</v>
      </c>
      <c r="AA421" s="92">
        <f t="shared" si="162"/>
        <v>-1.9934708813106994E-2</v>
      </c>
      <c r="AB421" s="47" t="s">
        <v>81</v>
      </c>
      <c r="AC421" s="92">
        <f t="shared" si="163"/>
        <v>0.14649600000000002</v>
      </c>
      <c r="AD421" s="92" cm="1">
        <f t="array" ref="AD421">_xlfn.IFS(
AND(L421="marginal_effect",M421="level"),N421*AN421/BF421,
AND(L421="marginal_effect",M421="sd (Y)"),N421*BH421*AN421/BF421,
AND(L421="marginal_effect",M421="sd (X)"),N421/AQ421*AN421/BF421,
AND(L421="semi_elasticity",M421="level"),N421*AN421,
AND(L421="semi_elasticity",M421="sd (Y)"),N421*AN421*BH421,
AND(L421="semi_elasticity",M421="sd (X)"),N421*AN421/AQ421,
AND(L421="level-log",M421="level"),N421/BF421,
AND(L421="level-log",M421="sd (X)"),N421/BF421/AQ421,
AND(L421="level-log",M421="sd (Y)"),N421/BF421*BH421,
AND(L421="elasticity",M421="level"),N421,
AND(L421="elasticity",M421="sd (X)"),N421/AQ421,
AND(L421="elasticity",M421="sd (Y)"),N421*BH421,
AND(L421="marginal_effect",M421="percent_of_mean"),N421*AN421/BF421/10)</f>
        <v>0.14649600000000002</v>
      </c>
      <c r="AE421" s="51">
        <f t="shared" si="166"/>
        <v>1</v>
      </c>
      <c r="AF421" s="92">
        <f t="shared" si="164"/>
        <v>6.6380999999999996E-2</v>
      </c>
      <c r="AG421" s="92" cm="1">
        <f t="array" ref="AG421">_xlfn.IFS(
AND(L421="marginal_effect",M421="level"),O421*AN421/BF421,
AND(L421="marginal_effect",M421="sd (Y)"),O421*BH421*AN421/BF421,
AND(L421="marginal_effect",M421="sd (X)"),O421/AQ421*AN421/BF421,
AND(L421="semi_elasticity",M421="level"),O421*AN421,
AND(L421="semi_elasticity",M421="sd (Y)"),O421*AN421*BH421,
AND(L421="semi_elasticity",M421="sd (X)"),O421*AN421/AQ421,
AND(L421="level-log",M421="level"),O421/BF421,
AND(L421="level-log",M421="sd (X)"),O421/BF421/AQ421,
AND(L421="level-log",M421="sd (Y)"),O421/BF421*BH421,
AND(L421="elasticity",M421="level"),O421,
AND(L421="elasticity",M421="sd (X)"),O421/AQ421,
AND(L421="elasticity",M421="sd (Y)"),O421*BH421,
AND(L421="marginal_effect",M421="percent_of_mean"),O421*AN421/BF421/10)</f>
        <v>6.6380999999999996E-2</v>
      </c>
      <c r="AH421" s="51">
        <f t="shared" si="167"/>
        <v>1</v>
      </c>
      <c r="AI421" s="92">
        <f t="shared" si="165"/>
        <v>-0.14649600000000002</v>
      </c>
      <c r="AJ421" s="47">
        <v>0</v>
      </c>
      <c r="AK421" s="47">
        <f t="shared" si="160"/>
        <v>1</v>
      </c>
      <c r="AL421" s="47" t="s">
        <v>82</v>
      </c>
      <c r="AM421" s="47" t="s">
        <v>1333</v>
      </c>
      <c r="AN421" s="47">
        <v>22.89</v>
      </c>
      <c r="AO421" s="47">
        <v>0</v>
      </c>
      <c r="AP421" s="47">
        <f t="shared" si="168"/>
        <v>22.89</v>
      </c>
      <c r="AQ421" s="47">
        <v>16.149999999999999</v>
      </c>
      <c r="AR421" s="47">
        <v>0</v>
      </c>
      <c r="AS421" s="47">
        <v>698</v>
      </c>
      <c r="AT421" s="47" t="s">
        <v>83</v>
      </c>
      <c r="AU421" s="47" t="s">
        <v>109</v>
      </c>
      <c r="AV421" s="47" t="s">
        <v>133</v>
      </c>
      <c r="AW421" s="47" t="s">
        <v>85</v>
      </c>
      <c r="AX421" s="47" t="s">
        <v>86</v>
      </c>
      <c r="AY421" s="47">
        <v>0</v>
      </c>
      <c r="AZ421" s="47">
        <v>0</v>
      </c>
      <c r="BA421" s="47" t="s">
        <v>111</v>
      </c>
      <c r="BB421" s="47" t="s">
        <v>88</v>
      </c>
      <c r="BC421" s="47" t="s">
        <v>113</v>
      </c>
      <c r="BD421" s="47" t="s">
        <v>114</v>
      </c>
      <c r="BE421" s="47" t="s">
        <v>1142</v>
      </c>
      <c r="BF421" s="47">
        <v>65</v>
      </c>
      <c r="BG421" s="47">
        <v>0</v>
      </c>
      <c r="BH421" s="47" t="s">
        <v>312</v>
      </c>
      <c r="BI421" s="47" t="s">
        <v>312</v>
      </c>
      <c r="BJ421" s="47" t="s">
        <v>312</v>
      </c>
      <c r="BK421" s="47" t="s">
        <v>91</v>
      </c>
      <c r="BL421" s="47" t="s">
        <v>1065</v>
      </c>
      <c r="BM421" s="47">
        <v>1</v>
      </c>
      <c r="BN421" s="47" t="s">
        <v>428</v>
      </c>
      <c r="BO421" s="47" t="s">
        <v>1066</v>
      </c>
      <c r="BP421" s="47" t="s">
        <v>1067</v>
      </c>
      <c r="BQ421" s="47" t="s">
        <v>92</v>
      </c>
      <c r="BR421" s="47" t="s">
        <v>93</v>
      </c>
      <c r="BS421" s="47" t="s">
        <v>312</v>
      </c>
      <c r="BT421" s="47" t="s">
        <v>312</v>
      </c>
      <c r="BU421" s="67">
        <v>42005</v>
      </c>
      <c r="BV421" s="67">
        <v>43070</v>
      </c>
      <c r="BW421" s="47" t="s">
        <v>1068</v>
      </c>
      <c r="BX421" s="47" t="s">
        <v>95</v>
      </c>
      <c r="BY421" s="47" t="s">
        <v>748</v>
      </c>
      <c r="BZ421" s="47">
        <v>1</v>
      </c>
      <c r="CA421" s="47">
        <v>1</v>
      </c>
      <c r="CB421" s="47" t="s">
        <v>1069</v>
      </c>
      <c r="CC421" s="47" t="s">
        <v>1071</v>
      </c>
      <c r="CD421" s="47">
        <v>1</v>
      </c>
      <c r="CE421" s="47" t="s">
        <v>141</v>
      </c>
      <c r="CF421" s="47">
        <v>0</v>
      </c>
      <c r="CG421" s="47" t="s">
        <v>97</v>
      </c>
      <c r="CH421" s="47">
        <v>1</v>
      </c>
      <c r="CI421" s="47" t="s">
        <v>116</v>
      </c>
      <c r="CJ421" s="47" t="s">
        <v>98</v>
      </c>
      <c r="CK421" s="47">
        <v>76</v>
      </c>
      <c r="CL421" s="47">
        <v>0</v>
      </c>
      <c r="CM421" s="47">
        <v>0</v>
      </c>
      <c r="CN421" s="47" t="s">
        <v>99</v>
      </c>
      <c r="CO421" s="47" t="s">
        <v>97</v>
      </c>
      <c r="CP421" s="47" t="s">
        <v>100</v>
      </c>
      <c r="CQ421" s="47" t="s">
        <v>126</v>
      </c>
      <c r="CR421" s="48">
        <v>46225</v>
      </c>
      <c r="CT421" s="47" t="s">
        <v>661</v>
      </c>
    </row>
    <row r="422" spans="1:98" s="47" customFormat="1" x14ac:dyDescent="0.35">
      <c r="A422" s="46" t="s">
        <v>1056</v>
      </c>
      <c r="B422" s="46" t="s">
        <v>1094</v>
      </c>
      <c r="C422" s="47" t="s">
        <v>1057</v>
      </c>
      <c r="D422" s="47">
        <v>2021</v>
      </c>
      <c r="E422" s="66" t="s">
        <v>1058</v>
      </c>
      <c r="F422" s="66" t="s">
        <v>1059</v>
      </c>
      <c r="G422" s="47" t="s">
        <v>78</v>
      </c>
      <c r="H422" s="47">
        <v>1</v>
      </c>
      <c r="I422" s="47" t="s">
        <v>1060</v>
      </c>
      <c r="J422" s="47" t="s">
        <v>79</v>
      </c>
      <c r="K422" s="47">
        <v>28</v>
      </c>
      <c r="L422" s="47" t="s">
        <v>104</v>
      </c>
      <c r="M422" s="47" t="s">
        <v>380</v>
      </c>
      <c r="N422" s="47">
        <v>1E-4</v>
      </c>
      <c r="O422" s="47">
        <v>0</v>
      </c>
      <c r="P422" s="92" t="e">
        <f t="shared" si="155"/>
        <v>#DIV/0!</v>
      </c>
      <c r="Q422" s="47" t="s">
        <v>312</v>
      </c>
      <c r="R422" s="92">
        <f t="shared" si="156"/>
        <v>1E-4</v>
      </c>
      <c r="S422" s="92">
        <f t="shared" si="157"/>
        <v>1E-4</v>
      </c>
      <c r="T422" s="47">
        <v>1</v>
      </c>
      <c r="U422" s="47">
        <v>1946</v>
      </c>
      <c r="V422" s="47" t="s">
        <v>312</v>
      </c>
      <c r="W422" s="47" t="s">
        <v>312</v>
      </c>
      <c r="X422" s="47">
        <f t="shared" si="161"/>
        <v>1946</v>
      </c>
      <c r="Y422" s="92" t="e">
        <f t="shared" si="158"/>
        <v>#DIV/0!</v>
      </c>
      <c r="Z422" s="92" t="e">
        <f t="shared" si="159"/>
        <v>#DIV/0!</v>
      </c>
      <c r="AA422" s="92" t="e">
        <f t="shared" si="162"/>
        <v>#DIV/0!</v>
      </c>
      <c r="AB422" s="47" t="s">
        <v>81</v>
      </c>
      <c r="AC422" s="92">
        <f t="shared" si="163"/>
        <v>6.9999999999999994E-5</v>
      </c>
      <c r="AD422" s="92" cm="1">
        <f t="array" ref="AD422">_xlfn.IFS(
AND(L422="marginal_effect",M422="level"),N422*AN422/BF422,
AND(L422="marginal_effect",M422="sd (Y)"),N422*BH422*AN422/BF422,
AND(L422="marginal_effect",M422="sd (X)"),N422/AQ422*AN422/BF422,
AND(L422="semi_elasticity",M422="level"),N422*AN422,
AND(L422="semi_elasticity",M422="sd (Y)"),N422*AN422*BH422,
AND(L422="semi_elasticity",M422="sd (X)"),N422*AN422/AQ422,
AND(L422="level-log",M422="level"),N422/BF422,
AND(L422="level-log",M422="sd (X)"),N422/BF422/AQ422,
AND(L422="level-log",M422="sd (Y)"),N422/BF422*BH422,
AND(L422="elasticity",M422="level"),N422,
AND(L422="elasticity",M422="sd (X)"),N422/AQ422,
AND(L422="elasticity",M422="sd (Y)"),N422*BH422,
AND(L422="marginal_effect",M422="percent_of_mean"),N422*AN422/BF422/10)</f>
        <v>6.9999999999999994E-5</v>
      </c>
      <c r="AE422" s="51">
        <f t="shared" si="166"/>
        <v>1</v>
      </c>
      <c r="AF422" s="92">
        <f t="shared" si="164"/>
        <v>0</v>
      </c>
      <c r="AG422" s="92" cm="1">
        <f t="array" ref="AG422">_xlfn.IFS(
AND(L422="marginal_effect",M422="level"),O422*AN422/BF422,
AND(L422="marginal_effect",M422="sd (Y)"),O422*BH422*AN422/BF422,
AND(L422="marginal_effect",M422="sd (X)"),O422/AQ422*AN422/BF422,
AND(L422="semi_elasticity",M422="level"),O422*AN422,
AND(L422="semi_elasticity",M422="sd (Y)"),O422*AN422*BH422,
AND(L422="semi_elasticity",M422="sd (X)"),O422*AN422/AQ422,
AND(L422="level-log",M422="level"),O422/BF422,
AND(L422="level-log",M422="sd (X)"),O422/BF422/AQ422,
AND(L422="level-log",M422="sd (Y)"),O422/BF422*BH422,
AND(L422="elasticity",M422="level"),O422,
AND(L422="elasticity",M422="sd (X)"),O422/AQ422,
AND(L422="elasticity",M422="sd (Y)"),O422*BH422,
AND(L422="marginal_effect",M422="percent_of_mean"),O422*AN422/BF422/10)</f>
        <v>0</v>
      </c>
      <c r="AH422" s="51">
        <f t="shared" si="167"/>
        <v>1</v>
      </c>
      <c r="AI422" s="92">
        <f t="shared" si="165"/>
        <v>-6.9999999999999994E-5</v>
      </c>
      <c r="AJ422" s="47">
        <v>0</v>
      </c>
      <c r="AK422" s="47" t="e">
        <f t="shared" si="160"/>
        <v>#DIV/0!</v>
      </c>
      <c r="AL422" s="47" t="s">
        <v>162</v>
      </c>
      <c r="AM422" s="47" t="s">
        <v>590</v>
      </c>
      <c r="AN422" s="47">
        <v>0.7</v>
      </c>
      <c r="AO422" s="47">
        <v>0</v>
      </c>
      <c r="AP422" s="47">
        <f t="shared" si="168"/>
        <v>0.7</v>
      </c>
      <c r="AQ422" s="47">
        <v>0.66</v>
      </c>
      <c r="AR422" s="47">
        <v>0</v>
      </c>
      <c r="AS422" s="47">
        <v>12.76</v>
      </c>
      <c r="AT422" s="47" t="s">
        <v>83</v>
      </c>
      <c r="AU422" s="47" t="s">
        <v>109</v>
      </c>
      <c r="AV422" s="47" t="s">
        <v>133</v>
      </c>
      <c r="AW422" s="47" t="s">
        <v>85</v>
      </c>
      <c r="AX422" s="47" t="s">
        <v>86</v>
      </c>
      <c r="AY422" s="47">
        <v>0</v>
      </c>
      <c r="AZ422" s="47">
        <v>0</v>
      </c>
      <c r="BA422" s="47" t="s">
        <v>111</v>
      </c>
      <c r="BB422" s="47" t="s">
        <v>88</v>
      </c>
      <c r="BC422" s="47" t="s">
        <v>113</v>
      </c>
      <c r="BD422" s="47" t="s">
        <v>114</v>
      </c>
      <c r="BE422" s="47" t="s">
        <v>1142</v>
      </c>
      <c r="BF422" s="47">
        <v>65</v>
      </c>
      <c r="BG422" s="47">
        <v>0</v>
      </c>
      <c r="BH422" s="47" t="s">
        <v>312</v>
      </c>
      <c r="BI422" s="47" t="s">
        <v>312</v>
      </c>
      <c r="BJ422" s="47" t="s">
        <v>312</v>
      </c>
      <c r="BK422" s="47" t="s">
        <v>91</v>
      </c>
      <c r="BL422" s="47" t="s">
        <v>1065</v>
      </c>
      <c r="BM422" s="47">
        <v>1</v>
      </c>
      <c r="BN422" s="47" t="s">
        <v>428</v>
      </c>
      <c r="BO422" s="47" t="s">
        <v>1066</v>
      </c>
      <c r="BP422" s="47" t="s">
        <v>1067</v>
      </c>
      <c r="BQ422" s="47" t="s">
        <v>92</v>
      </c>
      <c r="BR422" s="47" t="s">
        <v>93</v>
      </c>
      <c r="BS422" s="47" t="s">
        <v>312</v>
      </c>
      <c r="BT422" s="47" t="s">
        <v>312</v>
      </c>
      <c r="BU422" s="67">
        <v>42005</v>
      </c>
      <c r="BV422" s="67">
        <v>43070</v>
      </c>
      <c r="BW422" s="47" t="s">
        <v>1068</v>
      </c>
      <c r="BX422" s="47" t="s">
        <v>95</v>
      </c>
      <c r="BY422" s="47" t="s">
        <v>748</v>
      </c>
      <c r="BZ422" s="47">
        <v>1</v>
      </c>
      <c r="CA422" s="47">
        <v>1</v>
      </c>
      <c r="CB422" s="47" t="s">
        <v>1089</v>
      </c>
      <c r="CC422" s="47" t="s">
        <v>1071</v>
      </c>
      <c r="CD422" s="47">
        <v>1</v>
      </c>
      <c r="CE422" s="47" t="s">
        <v>738</v>
      </c>
      <c r="CF422" s="47">
        <v>0</v>
      </c>
      <c r="CG422" s="47" t="s">
        <v>97</v>
      </c>
      <c r="CH422" s="47">
        <v>1</v>
      </c>
      <c r="CI422" s="47" t="s">
        <v>116</v>
      </c>
      <c r="CJ422" s="47" t="s">
        <v>98</v>
      </c>
      <c r="CK422" s="47">
        <v>76</v>
      </c>
      <c r="CL422" s="47">
        <v>0</v>
      </c>
      <c r="CM422" s="47">
        <v>0</v>
      </c>
      <c r="CN422" s="47" t="s">
        <v>99</v>
      </c>
      <c r="CO422" s="47" t="s">
        <v>1106</v>
      </c>
      <c r="CP422" s="47" t="s">
        <v>100</v>
      </c>
      <c r="CQ422" s="47" t="s">
        <v>126</v>
      </c>
      <c r="CR422" s="48">
        <v>46225</v>
      </c>
      <c r="CT422" s="47" t="s">
        <v>780</v>
      </c>
    </row>
    <row r="423" spans="1:98" s="47" customFormat="1" x14ac:dyDescent="0.35">
      <c r="A423" s="46" t="s">
        <v>1056</v>
      </c>
      <c r="B423" s="46" t="s">
        <v>1095</v>
      </c>
      <c r="C423" s="47" t="s">
        <v>1057</v>
      </c>
      <c r="D423" s="47">
        <v>2021</v>
      </c>
      <c r="E423" s="66" t="s">
        <v>1058</v>
      </c>
      <c r="F423" s="66" t="s">
        <v>1059</v>
      </c>
      <c r="G423" s="47" t="s">
        <v>78</v>
      </c>
      <c r="H423" s="47">
        <v>1</v>
      </c>
      <c r="I423" s="47" t="s">
        <v>1060</v>
      </c>
      <c r="J423" s="47" t="s">
        <v>79</v>
      </c>
      <c r="K423" s="47">
        <v>28</v>
      </c>
      <c r="L423" s="47" t="s">
        <v>104</v>
      </c>
      <c r="M423" s="47" t="s">
        <v>380</v>
      </c>
      <c r="N423" s="47">
        <v>2.0000000000000001E-4</v>
      </c>
      <c r="O423" s="47">
        <v>2E-3</v>
      </c>
      <c r="P423" s="92">
        <f t="shared" si="155"/>
        <v>0.1</v>
      </c>
      <c r="Q423" s="47" t="s">
        <v>312</v>
      </c>
      <c r="R423" s="92">
        <f t="shared" si="156"/>
        <v>-3.7199999999999998E-3</v>
      </c>
      <c r="S423" s="92">
        <f t="shared" si="157"/>
        <v>4.1199999999999995E-3</v>
      </c>
      <c r="T423" s="47">
        <v>1</v>
      </c>
      <c r="U423" s="47">
        <v>1946</v>
      </c>
      <c r="V423" s="47" t="s">
        <v>312</v>
      </c>
      <c r="W423" s="47" t="s">
        <v>312</v>
      </c>
      <c r="X423" s="47">
        <f t="shared" si="161"/>
        <v>1946</v>
      </c>
      <c r="Y423" s="92">
        <f t="shared" si="158"/>
        <v>2.2668744427877196E-3</v>
      </c>
      <c r="Z423" s="92">
        <f t="shared" si="159"/>
        <v>2.2668744427877197E-2</v>
      </c>
      <c r="AA423" s="92">
        <f t="shared" si="162"/>
        <v>-2.2668744427877196E-3</v>
      </c>
      <c r="AB423" s="47" t="s">
        <v>81</v>
      </c>
      <c r="AC423" s="92">
        <f t="shared" si="163"/>
        <v>4.0540000000000003E-3</v>
      </c>
      <c r="AD423" s="92" cm="1">
        <f t="array" ref="AD423">_xlfn.IFS(
AND(L423="marginal_effect",M423="level"),N423*AN423/BF423,
AND(L423="marginal_effect",M423="sd (Y)"),N423*BH423*AN423/BF423,
AND(L423="marginal_effect",M423="sd (X)"),N423/AQ423*AN423/BF423,
AND(L423="semi_elasticity",M423="level"),N423*AN423,
AND(L423="semi_elasticity",M423="sd (Y)"),N423*AN423*BH423,
AND(L423="semi_elasticity",M423="sd (X)"),N423*AN423/AQ423,
AND(L423="level-log",M423="level"),N423/BF423,
AND(L423="level-log",M423="sd (X)"),N423/BF423/AQ423,
AND(L423="level-log",M423="sd (Y)"),N423/BF423*BH423,
AND(L423="elasticity",M423="level"),N423,
AND(L423="elasticity",M423="sd (X)"),N423/AQ423,
AND(L423="elasticity",M423="sd (Y)"),N423*BH423,
AND(L423="marginal_effect",M423="percent_of_mean"),N423*AN423/BF423/10)</f>
        <v>4.0540000000000003E-3</v>
      </c>
      <c r="AE423" s="51">
        <f t="shared" si="166"/>
        <v>1</v>
      </c>
      <c r="AF423" s="92">
        <f t="shared" si="164"/>
        <v>4.054E-2</v>
      </c>
      <c r="AG423" s="92" cm="1">
        <f t="array" ref="AG423">_xlfn.IFS(
AND(L423="marginal_effect",M423="level"),O423*AN423/BF423,
AND(L423="marginal_effect",M423="sd (Y)"),O423*BH423*AN423/BF423,
AND(L423="marginal_effect",M423="sd (X)"),O423/AQ423*AN423/BF423,
AND(L423="semi_elasticity",M423="level"),O423*AN423,
AND(L423="semi_elasticity",M423="sd (Y)"),O423*AN423*BH423,
AND(L423="semi_elasticity",M423="sd (X)"),O423*AN423/AQ423,
AND(L423="level-log",M423="level"),O423/BF423,
AND(L423="level-log",M423="sd (X)"),O423/BF423/AQ423,
AND(L423="level-log",M423="sd (Y)"),O423/BF423*BH423,
AND(L423="elasticity",M423="level"),O423,
AND(L423="elasticity",M423="sd (X)"),O423/AQ423,
AND(L423="elasticity",M423="sd (Y)"),O423*BH423,
AND(L423="marginal_effect",M423="percent_of_mean"),O423*AN423/BF423/10)</f>
        <v>4.054E-2</v>
      </c>
      <c r="AH423" s="51">
        <f t="shared" si="167"/>
        <v>1</v>
      </c>
      <c r="AI423" s="92">
        <f t="shared" si="165"/>
        <v>-4.0540000000000003E-3</v>
      </c>
      <c r="AJ423" s="47">
        <v>0</v>
      </c>
      <c r="AK423" s="47">
        <f t="shared" si="160"/>
        <v>1</v>
      </c>
      <c r="AL423" s="47" t="s">
        <v>131</v>
      </c>
      <c r="AM423" s="47" t="s">
        <v>410</v>
      </c>
      <c r="AN423" s="47">
        <v>20.27</v>
      </c>
      <c r="AO423" s="47">
        <v>0</v>
      </c>
      <c r="AP423" s="47">
        <f t="shared" si="168"/>
        <v>20.27</v>
      </c>
      <c r="AQ423" s="47">
        <v>14.08</v>
      </c>
      <c r="AR423" s="47">
        <v>0</v>
      </c>
      <c r="AS423" s="47">
        <v>150</v>
      </c>
      <c r="AT423" s="47" t="s">
        <v>83</v>
      </c>
      <c r="AU423" s="47" t="s">
        <v>109</v>
      </c>
      <c r="AV423" s="47" t="s">
        <v>133</v>
      </c>
      <c r="AW423" s="47" t="s">
        <v>85</v>
      </c>
      <c r="AX423" s="47" t="s">
        <v>86</v>
      </c>
      <c r="AY423" s="47">
        <v>0</v>
      </c>
      <c r="AZ423" s="47">
        <v>0</v>
      </c>
      <c r="BA423" s="47" t="s">
        <v>111</v>
      </c>
      <c r="BB423" s="47" t="s">
        <v>88</v>
      </c>
      <c r="BC423" s="47" t="s">
        <v>113</v>
      </c>
      <c r="BD423" s="47" t="s">
        <v>114</v>
      </c>
      <c r="BE423" s="47" t="s">
        <v>1142</v>
      </c>
      <c r="BF423" s="47">
        <v>65</v>
      </c>
      <c r="BG423" s="47">
        <v>0</v>
      </c>
      <c r="BH423" s="47" t="s">
        <v>312</v>
      </c>
      <c r="BI423" s="47" t="s">
        <v>312</v>
      </c>
      <c r="BJ423" s="47" t="s">
        <v>312</v>
      </c>
      <c r="BK423" s="47" t="s">
        <v>91</v>
      </c>
      <c r="BL423" s="47" t="s">
        <v>1065</v>
      </c>
      <c r="BM423" s="47">
        <v>1</v>
      </c>
      <c r="BN423" s="47" t="s">
        <v>428</v>
      </c>
      <c r="BO423" s="47" t="s">
        <v>1066</v>
      </c>
      <c r="BP423" s="47" t="s">
        <v>1067</v>
      </c>
      <c r="BQ423" s="47" t="s">
        <v>92</v>
      </c>
      <c r="BR423" s="47" t="s">
        <v>93</v>
      </c>
      <c r="BS423" s="47" t="s">
        <v>312</v>
      </c>
      <c r="BT423" s="47" t="s">
        <v>312</v>
      </c>
      <c r="BU423" s="67">
        <v>42005</v>
      </c>
      <c r="BV423" s="67">
        <v>43070</v>
      </c>
      <c r="BW423" s="47" t="s">
        <v>1068</v>
      </c>
      <c r="BX423" s="47" t="s">
        <v>95</v>
      </c>
      <c r="BY423" s="47" t="s">
        <v>748</v>
      </c>
      <c r="BZ423" s="47">
        <v>1</v>
      </c>
      <c r="CA423" s="47">
        <v>1</v>
      </c>
      <c r="CB423" s="47" t="s">
        <v>1089</v>
      </c>
      <c r="CC423" s="47" t="s">
        <v>1071</v>
      </c>
      <c r="CD423" s="47">
        <v>1</v>
      </c>
      <c r="CE423" s="47" t="s">
        <v>738</v>
      </c>
      <c r="CF423" s="47">
        <v>0</v>
      </c>
      <c r="CG423" s="47" t="s">
        <v>97</v>
      </c>
      <c r="CH423" s="47">
        <v>1</v>
      </c>
      <c r="CI423" s="47" t="s">
        <v>116</v>
      </c>
      <c r="CJ423" s="47" t="s">
        <v>98</v>
      </c>
      <c r="CK423" s="47">
        <v>76</v>
      </c>
      <c r="CL423" s="47">
        <v>0</v>
      </c>
      <c r="CM423" s="47">
        <v>0</v>
      </c>
      <c r="CN423" s="47" t="s">
        <v>99</v>
      </c>
      <c r="CO423" s="47" t="s">
        <v>1106</v>
      </c>
      <c r="CP423" s="47" t="s">
        <v>100</v>
      </c>
      <c r="CQ423" s="47" t="s">
        <v>126</v>
      </c>
      <c r="CR423" s="48">
        <v>46225</v>
      </c>
      <c r="CT423" s="47" t="s">
        <v>780</v>
      </c>
    </row>
    <row r="424" spans="1:98" s="47" customFormat="1" x14ac:dyDescent="0.35">
      <c r="A424" s="46" t="s">
        <v>1056</v>
      </c>
      <c r="B424" s="46" t="s">
        <v>1096</v>
      </c>
      <c r="C424" s="47" t="s">
        <v>1057</v>
      </c>
      <c r="D424" s="47">
        <v>2021</v>
      </c>
      <c r="E424" s="66" t="s">
        <v>1058</v>
      </c>
      <c r="F424" s="66" t="s">
        <v>1059</v>
      </c>
      <c r="G424" s="47" t="s">
        <v>78</v>
      </c>
      <c r="H424" s="47">
        <v>1</v>
      </c>
      <c r="I424" s="47" t="s">
        <v>1060</v>
      </c>
      <c r="J424" s="47" t="s">
        <v>79</v>
      </c>
      <c r="K424" s="47">
        <v>28</v>
      </c>
      <c r="L424" s="47" t="s">
        <v>104</v>
      </c>
      <c r="M424" s="47" t="s">
        <v>380</v>
      </c>
      <c r="N424" s="47">
        <v>4.0000000000000002E-4</v>
      </c>
      <c r="O424" s="47">
        <v>1.1000000000000001E-3</v>
      </c>
      <c r="P424" s="92">
        <f t="shared" si="155"/>
        <v>0.36363636363636365</v>
      </c>
      <c r="Q424" s="47" t="s">
        <v>312</v>
      </c>
      <c r="R424" s="92">
        <f t="shared" si="156"/>
        <v>-1.756E-3</v>
      </c>
      <c r="S424" s="92">
        <f t="shared" si="157"/>
        <v>2.5560000000000001E-3</v>
      </c>
      <c r="T424" s="47">
        <v>1</v>
      </c>
      <c r="U424" s="47">
        <v>1946</v>
      </c>
      <c r="V424" s="47" t="s">
        <v>312</v>
      </c>
      <c r="W424" s="47" t="s">
        <v>312</v>
      </c>
      <c r="X424" s="47">
        <f t="shared" si="161"/>
        <v>1946</v>
      </c>
      <c r="Y424" s="92">
        <f t="shared" si="158"/>
        <v>8.2429209217582625E-3</v>
      </c>
      <c r="Z424" s="92">
        <f t="shared" si="159"/>
        <v>2.2668032534835226E-2</v>
      </c>
      <c r="AA424" s="92">
        <f t="shared" si="162"/>
        <v>-8.2429209217582625E-3</v>
      </c>
      <c r="AB424" s="47" t="s">
        <v>81</v>
      </c>
      <c r="AC424" s="92">
        <f t="shared" si="163"/>
        <v>1.0931999999999999E-2</v>
      </c>
      <c r="AD424" s="92" cm="1">
        <f t="array" ref="AD424">_xlfn.IFS(
AND(L424="marginal_effect",M424="level"),N424*AN424/BF424,
AND(L424="marginal_effect",M424="sd (Y)"),N424*BH424*AN424/BF424,
AND(L424="marginal_effect",M424="sd (X)"),N424/AQ424*AN424/BF424,
AND(L424="semi_elasticity",M424="level"),N424*AN424,
AND(L424="semi_elasticity",M424="sd (Y)"),N424*AN424*BH424,
AND(L424="semi_elasticity",M424="sd (X)"),N424*AN424/AQ424,
AND(L424="level-log",M424="level"),N424/BF424,
AND(L424="level-log",M424="sd (X)"),N424/BF424/AQ424,
AND(L424="level-log",M424="sd (Y)"),N424/BF424*BH424,
AND(L424="elasticity",M424="level"),N424,
AND(L424="elasticity",M424="sd (X)"),N424/AQ424,
AND(L424="elasticity",M424="sd (Y)"),N424*BH424,
AND(L424="marginal_effect",M424="percent_of_mean"),N424*AN424/BF424/10)</f>
        <v>1.0931999999999999E-2</v>
      </c>
      <c r="AE424" s="51">
        <f t="shared" si="166"/>
        <v>1</v>
      </c>
      <c r="AF424" s="92">
        <f t="shared" si="164"/>
        <v>3.0062999999999999E-2</v>
      </c>
      <c r="AG424" s="92" cm="1">
        <f t="array" ref="AG424">_xlfn.IFS(
AND(L424="marginal_effect",M424="level"),O424*AN424/BF424,
AND(L424="marginal_effect",M424="sd (Y)"),O424*BH424*AN424/BF424,
AND(L424="marginal_effect",M424="sd (X)"),O424/AQ424*AN424/BF424,
AND(L424="semi_elasticity",M424="level"),O424*AN424,
AND(L424="semi_elasticity",M424="sd (Y)"),O424*AN424*BH424,
AND(L424="semi_elasticity",M424="sd (X)"),O424*AN424/AQ424,
AND(L424="level-log",M424="level"),O424/BF424,
AND(L424="level-log",M424="sd (X)"),O424/BF424/AQ424,
AND(L424="level-log",M424="sd (Y)"),O424/BF424*BH424,
AND(L424="elasticity",M424="level"),O424,
AND(L424="elasticity",M424="sd (X)"),O424/AQ424,
AND(L424="elasticity",M424="sd (Y)"),O424*BH424,
AND(L424="marginal_effect",M424="percent_of_mean"),O424*AN424/BF424/10)</f>
        <v>3.0062999999999999E-2</v>
      </c>
      <c r="AH424" s="51">
        <f t="shared" si="167"/>
        <v>1</v>
      </c>
      <c r="AI424" s="92">
        <f t="shared" si="165"/>
        <v>-1.0931999999999999E-2</v>
      </c>
      <c r="AJ424" s="47">
        <v>0</v>
      </c>
      <c r="AK424" s="47">
        <f t="shared" si="160"/>
        <v>1</v>
      </c>
      <c r="AL424" s="47" t="s">
        <v>148</v>
      </c>
      <c r="AM424" s="47" t="s">
        <v>410</v>
      </c>
      <c r="AN424" s="47">
        <v>27.33</v>
      </c>
      <c r="AO424" s="47">
        <v>0</v>
      </c>
      <c r="AP424" s="47">
        <f t="shared" si="168"/>
        <v>27.33</v>
      </c>
      <c r="AQ424" s="47">
        <v>24.83</v>
      </c>
      <c r="AR424" s="47">
        <v>1</v>
      </c>
      <c r="AS424" s="47">
        <v>210</v>
      </c>
      <c r="AT424" s="47" t="s">
        <v>83</v>
      </c>
      <c r="AU424" s="47" t="s">
        <v>109</v>
      </c>
      <c r="AV424" s="47" t="s">
        <v>133</v>
      </c>
      <c r="AW424" s="47" t="s">
        <v>85</v>
      </c>
      <c r="AX424" s="47" t="s">
        <v>86</v>
      </c>
      <c r="AY424" s="47">
        <v>0</v>
      </c>
      <c r="AZ424" s="47">
        <v>0</v>
      </c>
      <c r="BA424" s="47" t="s">
        <v>111</v>
      </c>
      <c r="BB424" s="47" t="s">
        <v>88</v>
      </c>
      <c r="BC424" s="47" t="s">
        <v>113</v>
      </c>
      <c r="BD424" s="47" t="s">
        <v>114</v>
      </c>
      <c r="BE424" s="47" t="s">
        <v>1142</v>
      </c>
      <c r="BF424" s="47">
        <v>65</v>
      </c>
      <c r="BG424" s="47">
        <v>0</v>
      </c>
      <c r="BH424" s="47" t="s">
        <v>312</v>
      </c>
      <c r="BI424" s="47" t="s">
        <v>312</v>
      </c>
      <c r="BJ424" s="47" t="s">
        <v>312</v>
      </c>
      <c r="BK424" s="47" t="s">
        <v>91</v>
      </c>
      <c r="BL424" s="47" t="s">
        <v>1065</v>
      </c>
      <c r="BM424" s="47">
        <v>1</v>
      </c>
      <c r="BN424" s="47" t="s">
        <v>428</v>
      </c>
      <c r="BO424" s="47" t="s">
        <v>1066</v>
      </c>
      <c r="BP424" s="47" t="s">
        <v>1067</v>
      </c>
      <c r="BQ424" s="47" t="s">
        <v>92</v>
      </c>
      <c r="BR424" s="47" t="s">
        <v>93</v>
      </c>
      <c r="BS424" s="47" t="s">
        <v>312</v>
      </c>
      <c r="BT424" s="47" t="s">
        <v>312</v>
      </c>
      <c r="BU424" s="67">
        <v>42005</v>
      </c>
      <c r="BV424" s="67">
        <v>43070</v>
      </c>
      <c r="BW424" s="47" t="s">
        <v>1068</v>
      </c>
      <c r="BX424" s="47" t="s">
        <v>95</v>
      </c>
      <c r="BY424" s="47" t="s">
        <v>748</v>
      </c>
      <c r="BZ424" s="47">
        <v>1</v>
      </c>
      <c r="CA424" s="47">
        <v>1</v>
      </c>
      <c r="CB424" s="47" t="s">
        <v>1089</v>
      </c>
      <c r="CC424" s="47" t="s">
        <v>1071</v>
      </c>
      <c r="CD424" s="47">
        <v>1</v>
      </c>
      <c r="CE424" s="47" t="s">
        <v>738</v>
      </c>
      <c r="CF424" s="47">
        <v>0</v>
      </c>
      <c r="CG424" s="47" t="s">
        <v>97</v>
      </c>
      <c r="CH424" s="47">
        <v>1</v>
      </c>
      <c r="CI424" s="47" t="s">
        <v>116</v>
      </c>
      <c r="CJ424" s="47" t="s">
        <v>98</v>
      </c>
      <c r="CK424" s="47">
        <v>76</v>
      </c>
      <c r="CL424" s="47">
        <v>0</v>
      </c>
      <c r="CM424" s="47">
        <v>0</v>
      </c>
      <c r="CN424" s="47" t="s">
        <v>99</v>
      </c>
      <c r="CO424" s="47" t="s">
        <v>1106</v>
      </c>
      <c r="CP424" s="47" t="s">
        <v>100</v>
      </c>
      <c r="CQ424" s="47" t="s">
        <v>126</v>
      </c>
      <c r="CR424" s="48">
        <v>46225</v>
      </c>
      <c r="CT424" s="47" t="s">
        <v>780</v>
      </c>
    </row>
    <row r="425" spans="1:98" s="47" customFormat="1" x14ac:dyDescent="0.35">
      <c r="A425" s="46" t="s">
        <v>1056</v>
      </c>
      <c r="B425" s="46" t="s">
        <v>1097</v>
      </c>
      <c r="C425" s="47" t="s">
        <v>1057</v>
      </c>
      <c r="D425" s="47">
        <v>2021</v>
      </c>
      <c r="E425" s="66" t="s">
        <v>1058</v>
      </c>
      <c r="F425" s="66" t="s">
        <v>1059</v>
      </c>
      <c r="G425" s="47" t="s">
        <v>78</v>
      </c>
      <c r="H425" s="47">
        <v>1</v>
      </c>
      <c r="I425" s="47" t="s">
        <v>1060</v>
      </c>
      <c r="J425" s="47" t="s">
        <v>79</v>
      </c>
      <c r="K425" s="47">
        <v>28</v>
      </c>
      <c r="L425" s="47" t="s">
        <v>104</v>
      </c>
      <c r="M425" s="47" t="s">
        <v>380</v>
      </c>
      <c r="N425" s="47">
        <v>2.2000000000000001E-3</v>
      </c>
      <c r="O425" s="47">
        <v>1.5E-3</v>
      </c>
      <c r="P425" s="92">
        <f t="shared" si="155"/>
        <v>1.4666666666666668</v>
      </c>
      <c r="Q425" s="47" t="s">
        <v>312</v>
      </c>
      <c r="R425" s="92">
        <f t="shared" si="156"/>
        <v>-7.3999999999999977E-4</v>
      </c>
      <c r="S425" s="92">
        <f t="shared" si="157"/>
        <v>5.1400000000000005E-3</v>
      </c>
      <c r="T425" s="47">
        <v>1</v>
      </c>
      <c r="U425" s="47">
        <v>1835</v>
      </c>
      <c r="V425" s="47" t="s">
        <v>312</v>
      </c>
      <c r="W425" s="47" t="s">
        <v>312</v>
      </c>
      <c r="X425" s="47">
        <f t="shared" si="161"/>
        <v>1835</v>
      </c>
      <c r="Y425" s="92">
        <f t="shared" si="158"/>
        <v>3.4218343518221443E-2</v>
      </c>
      <c r="Z425" s="92">
        <f t="shared" si="159"/>
        <v>2.333068876242371E-2</v>
      </c>
      <c r="AA425" s="92">
        <f t="shared" si="162"/>
        <v>-3.4218343518221443E-2</v>
      </c>
      <c r="AB425" s="47" t="s">
        <v>81</v>
      </c>
      <c r="AC425" s="92">
        <f t="shared" si="163"/>
        <v>5.0358000000000007E-2</v>
      </c>
      <c r="AD425" s="92" cm="1">
        <f t="array" ref="AD425">_xlfn.IFS(
AND(L425="marginal_effect",M425="level"),N425*AN425/BF425,
AND(L425="marginal_effect",M425="sd (Y)"),N425*BH425*AN425/BF425,
AND(L425="marginal_effect",M425="sd (X)"),N425/AQ425*AN425/BF425,
AND(L425="semi_elasticity",M425="level"),N425*AN425,
AND(L425="semi_elasticity",M425="sd (Y)"),N425*AN425*BH425,
AND(L425="semi_elasticity",M425="sd (X)"),N425*AN425/AQ425,
AND(L425="level-log",M425="level"),N425/BF425,
AND(L425="level-log",M425="sd (X)"),N425/BF425/AQ425,
AND(L425="level-log",M425="sd (Y)"),N425/BF425*BH425,
AND(L425="elasticity",M425="level"),N425,
AND(L425="elasticity",M425="sd (X)"),N425/AQ425,
AND(L425="elasticity",M425="sd (Y)"),N425*BH425,
AND(L425="marginal_effect",M425="percent_of_mean"),N425*AN425/BF425/10)</f>
        <v>5.0358000000000007E-2</v>
      </c>
      <c r="AE425" s="51">
        <f t="shared" si="166"/>
        <v>1</v>
      </c>
      <c r="AF425" s="92">
        <f t="shared" si="164"/>
        <v>3.4335000000000004E-2</v>
      </c>
      <c r="AG425" s="92" cm="1">
        <f t="array" ref="AG425">_xlfn.IFS(
AND(L425="marginal_effect",M425="level"),O425*AN425/BF425,
AND(L425="marginal_effect",M425="sd (Y)"),O425*BH425*AN425/BF425,
AND(L425="marginal_effect",M425="sd (X)"),O425/AQ425*AN425/BF425,
AND(L425="semi_elasticity",M425="level"),O425*AN425,
AND(L425="semi_elasticity",M425="sd (Y)"),O425*AN425*BH425,
AND(L425="semi_elasticity",M425="sd (X)"),O425*AN425/AQ425,
AND(L425="level-log",M425="level"),O425/BF425,
AND(L425="level-log",M425="sd (X)"),O425/BF425/AQ425,
AND(L425="level-log",M425="sd (Y)"),O425/BF425*BH425,
AND(L425="elasticity",M425="level"),O425,
AND(L425="elasticity",M425="sd (X)"),O425/AQ425,
AND(L425="elasticity",M425="sd (Y)"),O425*BH425,
AND(L425="marginal_effect",M425="percent_of_mean"),O425*AN425/BF425/10)</f>
        <v>3.4335000000000004E-2</v>
      </c>
      <c r="AH425" s="51">
        <f t="shared" si="167"/>
        <v>1</v>
      </c>
      <c r="AI425" s="92">
        <f t="shared" si="165"/>
        <v>-5.0358000000000007E-2</v>
      </c>
      <c r="AJ425" s="47">
        <v>0</v>
      </c>
      <c r="AK425" s="47">
        <f t="shared" si="160"/>
        <v>1</v>
      </c>
      <c r="AL425" s="47" t="s">
        <v>82</v>
      </c>
      <c r="AM425" s="47" t="s">
        <v>1333</v>
      </c>
      <c r="AN425" s="47">
        <v>22.89</v>
      </c>
      <c r="AO425" s="47">
        <v>0</v>
      </c>
      <c r="AP425" s="47">
        <f t="shared" si="168"/>
        <v>22.89</v>
      </c>
      <c r="AQ425" s="47">
        <v>16.149999999999999</v>
      </c>
      <c r="AR425" s="47">
        <v>0</v>
      </c>
      <c r="AS425" s="47">
        <v>698</v>
      </c>
      <c r="AT425" s="47" t="s">
        <v>83</v>
      </c>
      <c r="AU425" s="47" t="s">
        <v>109</v>
      </c>
      <c r="AV425" s="47" t="s">
        <v>133</v>
      </c>
      <c r="AW425" s="47" t="s">
        <v>85</v>
      </c>
      <c r="AX425" s="47" t="s">
        <v>86</v>
      </c>
      <c r="AY425" s="47">
        <v>0</v>
      </c>
      <c r="AZ425" s="47">
        <v>0</v>
      </c>
      <c r="BA425" s="47" t="s">
        <v>111</v>
      </c>
      <c r="BB425" s="47" t="s">
        <v>88</v>
      </c>
      <c r="BC425" s="47" t="s">
        <v>113</v>
      </c>
      <c r="BD425" s="47" t="s">
        <v>114</v>
      </c>
      <c r="BE425" s="47" t="s">
        <v>1142</v>
      </c>
      <c r="BF425" s="47">
        <v>65</v>
      </c>
      <c r="BG425" s="47">
        <v>0</v>
      </c>
      <c r="BH425" s="47" t="s">
        <v>312</v>
      </c>
      <c r="BI425" s="47" t="s">
        <v>312</v>
      </c>
      <c r="BJ425" s="47" t="s">
        <v>312</v>
      </c>
      <c r="BK425" s="47" t="s">
        <v>91</v>
      </c>
      <c r="BL425" s="47" t="s">
        <v>1065</v>
      </c>
      <c r="BM425" s="47">
        <v>1</v>
      </c>
      <c r="BN425" s="47" t="s">
        <v>428</v>
      </c>
      <c r="BO425" s="47" t="s">
        <v>1066</v>
      </c>
      <c r="BP425" s="47" t="s">
        <v>1067</v>
      </c>
      <c r="BQ425" s="47" t="s">
        <v>92</v>
      </c>
      <c r="BR425" s="47" t="s">
        <v>93</v>
      </c>
      <c r="BS425" s="47" t="s">
        <v>312</v>
      </c>
      <c r="BT425" s="47" t="s">
        <v>312</v>
      </c>
      <c r="BU425" s="67">
        <v>42005</v>
      </c>
      <c r="BV425" s="67">
        <v>43070</v>
      </c>
      <c r="BW425" s="47" t="s">
        <v>1068</v>
      </c>
      <c r="BX425" s="47" t="s">
        <v>95</v>
      </c>
      <c r="BY425" s="47" t="s">
        <v>748</v>
      </c>
      <c r="BZ425" s="47">
        <v>1</v>
      </c>
      <c r="CA425" s="47">
        <v>1</v>
      </c>
      <c r="CB425" s="47" t="s">
        <v>1089</v>
      </c>
      <c r="CC425" s="47" t="s">
        <v>1071</v>
      </c>
      <c r="CD425" s="47">
        <v>1</v>
      </c>
      <c r="CE425" s="47" t="s">
        <v>738</v>
      </c>
      <c r="CF425" s="47">
        <v>0</v>
      </c>
      <c r="CG425" s="47" t="s">
        <v>97</v>
      </c>
      <c r="CH425" s="47">
        <v>1</v>
      </c>
      <c r="CI425" s="47" t="s">
        <v>116</v>
      </c>
      <c r="CJ425" s="47" t="s">
        <v>98</v>
      </c>
      <c r="CK425" s="47">
        <v>76</v>
      </c>
      <c r="CL425" s="47">
        <v>0</v>
      </c>
      <c r="CM425" s="47">
        <v>0</v>
      </c>
      <c r="CN425" s="47" t="s">
        <v>99</v>
      </c>
      <c r="CO425" s="47" t="s">
        <v>1106</v>
      </c>
      <c r="CP425" s="47" t="s">
        <v>100</v>
      </c>
      <c r="CQ425" s="47" t="s">
        <v>126</v>
      </c>
      <c r="CR425" s="48">
        <v>46225</v>
      </c>
      <c r="CT425" s="47" t="s">
        <v>780</v>
      </c>
    </row>
    <row r="426" spans="1:98" s="47" customFormat="1" x14ac:dyDescent="0.35">
      <c r="A426" s="46" t="s">
        <v>1056</v>
      </c>
      <c r="B426" s="46" t="s">
        <v>1098</v>
      </c>
      <c r="C426" s="47" t="s">
        <v>1057</v>
      </c>
      <c r="D426" s="47">
        <v>2021</v>
      </c>
      <c r="E426" s="66" t="s">
        <v>1058</v>
      </c>
      <c r="F426" s="66" t="s">
        <v>1059</v>
      </c>
      <c r="G426" s="47" t="s">
        <v>78</v>
      </c>
      <c r="H426" s="47">
        <v>1</v>
      </c>
      <c r="I426" s="47" t="s">
        <v>1060</v>
      </c>
      <c r="J426" s="47" t="s">
        <v>79</v>
      </c>
      <c r="K426" s="47">
        <v>28</v>
      </c>
      <c r="L426" s="47" t="s">
        <v>104</v>
      </c>
      <c r="M426" s="47" t="s">
        <v>380</v>
      </c>
      <c r="N426" s="47">
        <v>1E-4</v>
      </c>
      <c r="O426" s="47">
        <v>1E-4</v>
      </c>
      <c r="P426" s="92">
        <f t="shared" si="155"/>
        <v>1</v>
      </c>
      <c r="Q426" s="47" t="s">
        <v>312</v>
      </c>
      <c r="R426" s="92">
        <f t="shared" si="156"/>
        <v>-9.5999999999999989E-5</v>
      </c>
      <c r="S426" s="92">
        <f t="shared" si="157"/>
        <v>2.9599999999999998E-4</v>
      </c>
      <c r="T426" s="47">
        <v>1</v>
      </c>
      <c r="U426" s="47">
        <v>4346</v>
      </c>
      <c r="V426" s="47" t="s">
        <v>312</v>
      </c>
      <c r="W426" s="47" t="s">
        <v>312</v>
      </c>
      <c r="X426" s="47">
        <f t="shared" si="161"/>
        <v>4346</v>
      </c>
      <c r="Y426" s="92">
        <f t="shared" si="158"/>
        <v>1.5167191839776337E-2</v>
      </c>
      <c r="Z426" s="92">
        <f t="shared" si="159"/>
        <v>1.5167191839776335E-2</v>
      </c>
      <c r="AA426" s="92">
        <f t="shared" si="162"/>
        <v>-1.5167191839776337E-2</v>
      </c>
      <c r="AB426" s="47" t="s">
        <v>81</v>
      </c>
      <c r="AC426" s="92">
        <f t="shared" si="163"/>
        <v>6.9999999999999994E-5</v>
      </c>
      <c r="AD426" s="92" cm="1">
        <f t="array" ref="AD426">_xlfn.IFS(
AND(L426="marginal_effect",M426="level"),N426*AN426/BF426,
AND(L426="marginal_effect",M426="sd (Y)"),N426*BH426*AN426/BF426,
AND(L426="marginal_effect",M426="sd (X)"),N426/AQ426*AN426/BF426,
AND(L426="semi_elasticity",M426="level"),N426*AN426,
AND(L426="semi_elasticity",M426="sd (Y)"),N426*AN426*BH426,
AND(L426="semi_elasticity",M426="sd (X)"),N426*AN426/AQ426,
AND(L426="level-log",M426="level"),N426/BF426,
AND(L426="level-log",M426="sd (X)"),N426/BF426/AQ426,
AND(L426="level-log",M426="sd (Y)"),N426/BF426*BH426,
AND(L426="elasticity",M426="level"),N426,
AND(L426="elasticity",M426="sd (X)"),N426/AQ426,
AND(L426="elasticity",M426="sd (Y)"),N426*BH426,
AND(L426="marginal_effect",M426="percent_of_mean"),N426*AN426/BF426/10)</f>
        <v>6.9999999999999994E-5</v>
      </c>
      <c r="AE426" s="51">
        <f t="shared" si="166"/>
        <v>1</v>
      </c>
      <c r="AF426" s="92">
        <f t="shared" si="164"/>
        <v>6.9999999999999994E-5</v>
      </c>
      <c r="AG426" s="92" cm="1">
        <f t="array" ref="AG426">_xlfn.IFS(
AND(L426="marginal_effect",M426="level"),O426*AN426/BF426,
AND(L426="marginal_effect",M426="sd (Y)"),O426*BH426*AN426/BF426,
AND(L426="marginal_effect",M426="sd (X)"),O426/AQ426*AN426/BF426,
AND(L426="semi_elasticity",M426="level"),O426*AN426,
AND(L426="semi_elasticity",M426="sd (Y)"),O426*AN426*BH426,
AND(L426="semi_elasticity",M426="sd (X)"),O426*AN426/AQ426,
AND(L426="level-log",M426="level"),O426/BF426,
AND(L426="level-log",M426="sd (X)"),O426/BF426/AQ426,
AND(L426="level-log",M426="sd (Y)"),O426/BF426*BH426,
AND(L426="elasticity",M426="level"),O426,
AND(L426="elasticity",M426="sd (X)"),O426/AQ426,
AND(L426="elasticity",M426="sd (Y)"),O426*BH426,
AND(L426="marginal_effect",M426="percent_of_mean"),O426*AN426/BF426/10)</f>
        <v>6.9999999999999994E-5</v>
      </c>
      <c r="AH426" s="51">
        <f t="shared" si="167"/>
        <v>1</v>
      </c>
      <c r="AI426" s="92">
        <f t="shared" si="165"/>
        <v>-6.9999999999999994E-5</v>
      </c>
      <c r="AJ426" s="47">
        <v>0</v>
      </c>
      <c r="AK426" s="47">
        <f t="shared" si="160"/>
        <v>1</v>
      </c>
      <c r="AL426" s="47" t="s">
        <v>162</v>
      </c>
      <c r="AM426" s="47" t="s">
        <v>590</v>
      </c>
      <c r="AN426" s="47">
        <v>0.7</v>
      </c>
      <c r="AO426" s="47">
        <v>0</v>
      </c>
      <c r="AP426" s="47">
        <f t="shared" si="168"/>
        <v>0.7</v>
      </c>
      <c r="AQ426" s="47">
        <v>0.66</v>
      </c>
      <c r="AR426" s="47">
        <v>0</v>
      </c>
      <c r="AS426" s="47">
        <v>12.76</v>
      </c>
      <c r="AT426" s="47" t="s">
        <v>83</v>
      </c>
      <c r="AU426" s="47" t="s">
        <v>109</v>
      </c>
      <c r="AV426" s="47" t="s">
        <v>133</v>
      </c>
      <c r="AW426" s="47" t="s">
        <v>85</v>
      </c>
      <c r="AX426" s="47" t="s">
        <v>86</v>
      </c>
      <c r="AY426" s="47">
        <v>0</v>
      </c>
      <c r="AZ426" s="47">
        <v>0</v>
      </c>
      <c r="BA426" s="47" t="s">
        <v>111</v>
      </c>
      <c r="BB426" s="47" t="s">
        <v>88</v>
      </c>
      <c r="BC426" s="47" t="s">
        <v>113</v>
      </c>
      <c r="BD426" s="47" t="s">
        <v>114</v>
      </c>
      <c r="BE426" s="47" t="s">
        <v>1142</v>
      </c>
      <c r="BF426" s="47">
        <v>65</v>
      </c>
      <c r="BG426" s="47">
        <v>0</v>
      </c>
      <c r="BH426" s="47" t="s">
        <v>312</v>
      </c>
      <c r="BI426" s="47" t="s">
        <v>312</v>
      </c>
      <c r="BJ426" s="47" t="s">
        <v>312</v>
      </c>
      <c r="BK426" s="47" t="s">
        <v>91</v>
      </c>
      <c r="BL426" s="47" t="s">
        <v>1065</v>
      </c>
      <c r="BM426" s="47">
        <v>1</v>
      </c>
      <c r="BN426" s="47" t="s">
        <v>428</v>
      </c>
      <c r="BO426" s="47" t="s">
        <v>1066</v>
      </c>
      <c r="BP426" s="47" t="s">
        <v>1067</v>
      </c>
      <c r="BQ426" s="47" t="s">
        <v>92</v>
      </c>
      <c r="BR426" s="47" t="s">
        <v>93</v>
      </c>
      <c r="BS426" s="47" t="s">
        <v>312</v>
      </c>
      <c r="BT426" s="47" t="s">
        <v>312</v>
      </c>
      <c r="BU426" s="67">
        <v>42005</v>
      </c>
      <c r="BV426" s="67">
        <v>43070</v>
      </c>
      <c r="BW426" s="47" t="s">
        <v>1068</v>
      </c>
      <c r="BX426" s="47" t="s">
        <v>95</v>
      </c>
      <c r="BY426" s="47" t="s">
        <v>748</v>
      </c>
      <c r="BZ426" s="47">
        <v>1</v>
      </c>
      <c r="CA426" s="47">
        <v>1</v>
      </c>
      <c r="CB426" s="47" t="s">
        <v>1089</v>
      </c>
      <c r="CC426" s="47" t="s">
        <v>1071</v>
      </c>
      <c r="CD426" s="47">
        <v>1</v>
      </c>
      <c r="CE426" s="47" t="s">
        <v>738</v>
      </c>
      <c r="CF426" s="47">
        <v>0</v>
      </c>
      <c r="CG426" s="47" t="s">
        <v>97</v>
      </c>
      <c r="CH426" s="47">
        <v>1</v>
      </c>
      <c r="CI426" s="47" t="s">
        <v>116</v>
      </c>
      <c r="CJ426" s="47" t="s">
        <v>98</v>
      </c>
      <c r="CK426" s="47">
        <v>76</v>
      </c>
      <c r="CL426" s="47">
        <v>0</v>
      </c>
      <c r="CM426" s="47">
        <v>0</v>
      </c>
      <c r="CN426" s="47" t="s">
        <v>99</v>
      </c>
      <c r="CO426" s="47" t="s">
        <v>1106</v>
      </c>
      <c r="CP426" s="47" t="s">
        <v>100</v>
      </c>
      <c r="CQ426" s="47" t="s">
        <v>126</v>
      </c>
      <c r="CR426" s="48">
        <v>46225</v>
      </c>
      <c r="CT426" s="47" t="s">
        <v>673</v>
      </c>
    </row>
    <row r="427" spans="1:98" s="47" customFormat="1" x14ac:dyDescent="0.35">
      <c r="A427" s="46" t="s">
        <v>1056</v>
      </c>
      <c r="B427" s="46" t="s">
        <v>1105</v>
      </c>
      <c r="C427" s="47" t="s">
        <v>1057</v>
      </c>
      <c r="D427" s="47">
        <v>2021</v>
      </c>
      <c r="E427" s="66" t="s">
        <v>1058</v>
      </c>
      <c r="F427" s="66" t="s">
        <v>1059</v>
      </c>
      <c r="G427" s="47" t="s">
        <v>78</v>
      </c>
      <c r="H427" s="47">
        <v>1</v>
      </c>
      <c r="I427" s="47" t="s">
        <v>1060</v>
      </c>
      <c r="J427" s="47" t="s">
        <v>79</v>
      </c>
      <c r="K427" s="47">
        <v>28</v>
      </c>
      <c r="L427" s="47" t="s">
        <v>104</v>
      </c>
      <c r="M427" s="47" t="s">
        <v>380</v>
      </c>
      <c r="N427" s="47">
        <v>4.1999999999999997E-3</v>
      </c>
      <c r="O427" s="47">
        <v>3.0999999999999999E-3</v>
      </c>
      <c r="P427" s="92">
        <f t="shared" si="155"/>
        <v>1.3548387096774193</v>
      </c>
      <c r="Q427" s="47" t="s">
        <v>312</v>
      </c>
      <c r="R427" s="92">
        <f t="shared" si="156"/>
        <v>-1.8760000000000001E-3</v>
      </c>
      <c r="S427" s="92">
        <f t="shared" si="157"/>
        <v>1.0276E-2</v>
      </c>
      <c r="T427" s="47">
        <v>1</v>
      </c>
      <c r="U427" s="47">
        <v>4348</v>
      </c>
      <c r="V427" s="47" t="s">
        <v>312</v>
      </c>
      <c r="W427" s="47" t="s">
        <v>312</v>
      </c>
      <c r="X427" s="47">
        <f t="shared" si="161"/>
        <v>4348</v>
      </c>
      <c r="Y427" s="92">
        <f t="shared" si="158"/>
        <v>2.054239971611679E-2</v>
      </c>
      <c r="Z427" s="92">
        <f t="shared" si="159"/>
        <v>1.5162247409514775E-2</v>
      </c>
      <c r="AA427" s="92">
        <f t="shared" si="162"/>
        <v>-2.054239971611679E-2</v>
      </c>
      <c r="AB427" s="47" t="s">
        <v>81</v>
      </c>
      <c r="AC427" s="92">
        <f t="shared" si="163"/>
        <v>8.5133999999999987E-2</v>
      </c>
      <c r="AD427" s="92" cm="1">
        <f t="array" ref="AD427">_xlfn.IFS(
AND(L427="marginal_effect",M427="level"),N427*AN427/BF427,
AND(L427="marginal_effect",M427="sd (Y)"),N427*BH427*AN427/BF427,
AND(L427="marginal_effect",M427="sd (X)"),N427/AQ427*AN427/BF427,
AND(L427="semi_elasticity",M427="level"),N427*AN427,
AND(L427="semi_elasticity",M427="sd (Y)"),N427*AN427*BH427,
AND(L427="semi_elasticity",M427="sd (X)"),N427*AN427/AQ427,
AND(L427="level-log",M427="level"),N427/BF427,
AND(L427="level-log",M427="sd (X)"),N427/BF427/AQ427,
AND(L427="level-log",M427="sd (Y)"),N427/BF427*BH427,
AND(L427="elasticity",M427="level"),N427,
AND(L427="elasticity",M427="sd (X)"),N427/AQ427,
AND(L427="elasticity",M427="sd (Y)"),N427*BH427,
AND(L427="marginal_effect",M427="percent_of_mean"),N427*AN427/BF427/10)</f>
        <v>8.5133999999999987E-2</v>
      </c>
      <c r="AE427" s="51">
        <f t="shared" si="166"/>
        <v>1</v>
      </c>
      <c r="AF427" s="92">
        <f t="shared" si="164"/>
        <v>6.283699999999999E-2</v>
      </c>
      <c r="AG427" s="92" cm="1">
        <f t="array" ref="AG427">_xlfn.IFS(
AND(L427="marginal_effect",M427="level"),O427*AN427/BF427,
AND(L427="marginal_effect",M427="sd (Y)"),O427*BH427*AN427/BF427,
AND(L427="marginal_effect",M427="sd (X)"),O427/AQ427*AN427/BF427,
AND(L427="semi_elasticity",M427="level"),O427*AN427,
AND(L427="semi_elasticity",M427="sd (Y)"),O427*AN427*BH427,
AND(L427="semi_elasticity",M427="sd (X)"),O427*AN427/AQ427,
AND(L427="level-log",M427="level"),O427/BF427,
AND(L427="level-log",M427="sd (X)"),O427/BF427/AQ427,
AND(L427="level-log",M427="sd (Y)"),O427/BF427*BH427,
AND(L427="elasticity",M427="level"),O427,
AND(L427="elasticity",M427="sd (X)"),O427/AQ427,
AND(L427="elasticity",M427="sd (Y)"),O427*BH427,
AND(L427="marginal_effect",M427="percent_of_mean"),O427*AN427/BF427/10)</f>
        <v>6.283699999999999E-2</v>
      </c>
      <c r="AH427" s="51">
        <f t="shared" si="167"/>
        <v>1</v>
      </c>
      <c r="AI427" s="92">
        <f t="shared" si="165"/>
        <v>-8.5133999999999987E-2</v>
      </c>
      <c r="AJ427" s="47">
        <v>0</v>
      </c>
      <c r="AK427" s="47">
        <f t="shared" si="160"/>
        <v>1</v>
      </c>
      <c r="AL427" s="47" t="s">
        <v>131</v>
      </c>
      <c r="AM427" s="47" t="s">
        <v>410</v>
      </c>
      <c r="AN427" s="47">
        <v>20.27</v>
      </c>
      <c r="AO427" s="47">
        <v>0</v>
      </c>
      <c r="AP427" s="47">
        <f t="shared" si="168"/>
        <v>20.27</v>
      </c>
      <c r="AQ427" s="47">
        <v>14.08</v>
      </c>
      <c r="AR427" s="47">
        <v>0</v>
      </c>
      <c r="AS427" s="47">
        <v>150</v>
      </c>
      <c r="AT427" s="47" t="s">
        <v>83</v>
      </c>
      <c r="AU427" s="47" t="s">
        <v>109</v>
      </c>
      <c r="AV427" s="47" t="s">
        <v>133</v>
      </c>
      <c r="AW427" s="47" t="s">
        <v>85</v>
      </c>
      <c r="AX427" s="47" t="s">
        <v>86</v>
      </c>
      <c r="AY427" s="47">
        <v>0</v>
      </c>
      <c r="AZ427" s="47">
        <v>0</v>
      </c>
      <c r="BA427" s="47" t="s">
        <v>111</v>
      </c>
      <c r="BB427" s="47" t="s">
        <v>88</v>
      </c>
      <c r="BC427" s="47" t="s">
        <v>113</v>
      </c>
      <c r="BD427" s="47" t="s">
        <v>114</v>
      </c>
      <c r="BE427" s="47" t="s">
        <v>1142</v>
      </c>
      <c r="BF427" s="47">
        <v>65</v>
      </c>
      <c r="BG427" s="47">
        <v>0</v>
      </c>
      <c r="BH427" s="47" t="s">
        <v>312</v>
      </c>
      <c r="BI427" s="47" t="s">
        <v>312</v>
      </c>
      <c r="BJ427" s="47" t="s">
        <v>312</v>
      </c>
      <c r="BK427" s="47" t="s">
        <v>91</v>
      </c>
      <c r="BL427" s="47" t="s">
        <v>1065</v>
      </c>
      <c r="BM427" s="47">
        <v>1</v>
      </c>
      <c r="BN427" s="47" t="s">
        <v>428</v>
      </c>
      <c r="BO427" s="47" t="s">
        <v>1066</v>
      </c>
      <c r="BP427" s="47" t="s">
        <v>1067</v>
      </c>
      <c r="BQ427" s="47" t="s">
        <v>92</v>
      </c>
      <c r="BR427" s="47" t="s">
        <v>93</v>
      </c>
      <c r="BS427" s="47" t="s">
        <v>312</v>
      </c>
      <c r="BT427" s="47" t="s">
        <v>312</v>
      </c>
      <c r="BU427" s="67">
        <v>42005</v>
      </c>
      <c r="BV427" s="67">
        <v>43070</v>
      </c>
      <c r="BW427" s="47" t="s">
        <v>1068</v>
      </c>
      <c r="BX427" s="47" t="s">
        <v>95</v>
      </c>
      <c r="BY427" s="47" t="s">
        <v>748</v>
      </c>
      <c r="BZ427" s="47">
        <v>1</v>
      </c>
      <c r="CA427" s="47">
        <v>1</v>
      </c>
      <c r="CB427" s="47" t="s">
        <v>1089</v>
      </c>
      <c r="CC427" s="47" t="s">
        <v>1071</v>
      </c>
      <c r="CD427" s="47">
        <v>1</v>
      </c>
      <c r="CE427" s="47" t="s">
        <v>738</v>
      </c>
      <c r="CF427" s="47">
        <v>0</v>
      </c>
      <c r="CG427" s="47" t="s">
        <v>97</v>
      </c>
      <c r="CH427" s="47">
        <v>1</v>
      </c>
      <c r="CI427" s="47" t="s">
        <v>116</v>
      </c>
      <c r="CJ427" s="47" t="s">
        <v>98</v>
      </c>
      <c r="CK427" s="47">
        <v>76</v>
      </c>
      <c r="CL427" s="47">
        <v>0</v>
      </c>
      <c r="CM427" s="47">
        <v>0</v>
      </c>
      <c r="CN427" s="47" t="s">
        <v>99</v>
      </c>
      <c r="CO427" s="47" t="s">
        <v>1106</v>
      </c>
      <c r="CP427" s="47" t="s">
        <v>100</v>
      </c>
      <c r="CQ427" s="47" t="s">
        <v>126</v>
      </c>
      <c r="CR427" s="48">
        <v>46225</v>
      </c>
      <c r="CT427" s="47" t="s">
        <v>673</v>
      </c>
    </row>
    <row r="428" spans="1:98" s="47" customFormat="1" x14ac:dyDescent="0.35">
      <c r="A428" s="46" t="s">
        <v>1056</v>
      </c>
      <c r="B428" s="46" t="s">
        <v>1104</v>
      </c>
      <c r="C428" s="47" t="s">
        <v>1057</v>
      </c>
      <c r="D428" s="47">
        <v>2021</v>
      </c>
      <c r="E428" s="66" t="s">
        <v>1058</v>
      </c>
      <c r="F428" s="66" t="s">
        <v>1059</v>
      </c>
      <c r="G428" s="47" t="s">
        <v>78</v>
      </c>
      <c r="H428" s="47">
        <v>1</v>
      </c>
      <c r="I428" s="47" t="s">
        <v>1060</v>
      </c>
      <c r="J428" s="47" t="s">
        <v>79</v>
      </c>
      <c r="K428" s="47">
        <v>28</v>
      </c>
      <c r="L428" s="47" t="s">
        <v>104</v>
      </c>
      <c r="M428" s="47" t="s">
        <v>380</v>
      </c>
      <c r="N428" s="47">
        <v>-8.9999999999999998E-4</v>
      </c>
      <c r="O428" s="47">
        <v>1.8E-3</v>
      </c>
      <c r="P428" s="92">
        <f t="shared" si="155"/>
        <v>-0.5</v>
      </c>
      <c r="Q428" s="47" t="s">
        <v>312</v>
      </c>
      <c r="R428" s="92">
        <f t="shared" si="156"/>
        <v>-4.4279999999999996E-3</v>
      </c>
      <c r="S428" s="92">
        <f t="shared" si="157"/>
        <v>2.6280000000000001E-3</v>
      </c>
      <c r="T428" s="47">
        <v>1</v>
      </c>
      <c r="U428" s="47">
        <v>4353</v>
      </c>
      <c r="V428" s="47" t="s">
        <v>312</v>
      </c>
      <c r="W428" s="47" t="s">
        <v>312</v>
      </c>
      <c r="X428" s="47">
        <f t="shared" si="161"/>
        <v>4353</v>
      </c>
      <c r="Y428" s="92">
        <f t="shared" si="158"/>
        <v>-7.5781500462343224E-3</v>
      </c>
      <c r="Z428" s="92">
        <f t="shared" si="159"/>
        <v>1.5156300092468643E-2</v>
      </c>
      <c r="AA428" s="92">
        <f t="shared" si="162"/>
        <v>7.5781500462343224E-3</v>
      </c>
      <c r="AB428" s="47" t="s">
        <v>81</v>
      </c>
      <c r="AC428" s="92">
        <f t="shared" si="163"/>
        <v>-2.4596999999999997E-2</v>
      </c>
      <c r="AD428" s="92" cm="1">
        <f t="array" ref="AD428">_xlfn.IFS(
AND(L428="marginal_effect",M428="level"),N428*AN428/BF428,
AND(L428="marginal_effect",M428="sd (Y)"),N428*BH428*AN428/BF428,
AND(L428="marginal_effect",M428="sd (X)"),N428/AQ428*AN428/BF428,
AND(L428="semi_elasticity",M428="level"),N428*AN428,
AND(L428="semi_elasticity",M428="sd (Y)"),N428*AN428*BH428,
AND(L428="semi_elasticity",M428="sd (X)"),N428*AN428/AQ428,
AND(L428="level-log",M428="level"),N428/BF428,
AND(L428="level-log",M428="sd (X)"),N428/BF428/AQ428,
AND(L428="level-log",M428="sd (Y)"),N428/BF428*BH428,
AND(L428="elasticity",M428="level"),N428,
AND(L428="elasticity",M428="sd (X)"),N428/AQ428,
AND(L428="elasticity",M428="sd (Y)"),N428*BH428,
AND(L428="marginal_effect",M428="percent_of_mean"),N428*AN428/BF428/10)</f>
        <v>-2.4596999999999997E-2</v>
      </c>
      <c r="AE428" s="51">
        <f t="shared" si="166"/>
        <v>1</v>
      </c>
      <c r="AF428" s="92">
        <f t="shared" si="164"/>
        <v>4.9193999999999995E-2</v>
      </c>
      <c r="AG428" s="92" cm="1">
        <f t="array" ref="AG428">_xlfn.IFS(
AND(L428="marginal_effect",M428="level"),O428*AN428/BF428,
AND(L428="marginal_effect",M428="sd (Y)"),O428*BH428*AN428/BF428,
AND(L428="marginal_effect",M428="sd (X)"),O428/AQ428*AN428/BF428,
AND(L428="semi_elasticity",M428="level"),O428*AN428,
AND(L428="semi_elasticity",M428="sd (Y)"),O428*AN428*BH428,
AND(L428="semi_elasticity",M428="sd (X)"),O428*AN428/AQ428,
AND(L428="level-log",M428="level"),O428/BF428,
AND(L428="level-log",M428="sd (X)"),O428/BF428/AQ428,
AND(L428="level-log",M428="sd (Y)"),O428/BF428*BH428,
AND(L428="elasticity",M428="level"),O428,
AND(L428="elasticity",M428="sd (X)"),O428/AQ428,
AND(L428="elasticity",M428="sd (Y)"),O428*BH428,
AND(L428="marginal_effect",M428="percent_of_mean"),O428*AN428/BF428/10)</f>
        <v>4.9193999999999995E-2</v>
      </c>
      <c r="AH428" s="51">
        <f t="shared" si="167"/>
        <v>1</v>
      </c>
      <c r="AI428" s="92">
        <f t="shared" si="165"/>
        <v>2.4596999999999997E-2</v>
      </c>
      <c r="AJ428" s="47">
        <v>0</v>
      </c>
      <c r="AK428" s="47">
        <f t="shared" si="160"/>
        <v>1</v>
      </c>
      <c r="AL428" s="47" t="s">
        <v>148</v>
      </c>
      <c r="AM428" s="47" t="s">
        <v>410</v>
      </c>
      <c r="AN428" s="47">
        <v>27.33</v>
      </c>
      <c r="AO428" s="47">
        <v>0</v>
      </c>
      <c r="AP428" s="47">
        <f t="shared" si="168"/>
        <v>27.33</v>
      </c>
      <c r="AQ428" s="47">
        <v>24.83</v>
      </c>
      <c r="AR428" s="47">
        <v>1</v>
      </c>
      <c r="AS428" s="47">
        <v>210</v>
      </c>
      <c r="AT428" s="47" t="s">
        <v>83</v>
      </c>
      <c r="AU428" s="47" t="s">
        <v>109</v>
      </c>
      <c r="AV428" s="47" t="s">
        <v>133</v>
      </c>
      <c r="AW428" s="47" t="s">
        <v>85</v>
      </c>
      <c r="AX428" s="47" t="s">
        <v>86</v>
      </c>
      <c r="AY428" s="47">
        <v>0</v>
      </c>
      <c r="AZ428" s="47">
        <v>0</v>
      </c>
      <c r="BA428" s="47" t="s">
        <v>111</v>
      </c>
      <c r="BB428" s="47" t="s">
        <v>88</v>
      </c>
      <c r="BC428" s="47" t="s">
        <v>113</v>
      </c>
      <c r="BD428" s="47" t="s">
        <v>114</v>
      </c>
      <c r="BE428" s="47" t="s">
        <v>1142</v>
      </c>
      <c r="BF428" s="47">
        <v>65</v>
      </c>
      <c r="BG428" s="47">
        <v>0</v>
      </c>
      <c r="BH428" s="47" t="s">
        <v>312</v>
      </c>
      <c r="BI428" s="47" t="s">
        <v>312</v>
      </c>
      <c r="BJ428" s="47" t="s">
        <v>312</v>
      </c>
      <c r="BK428" s="47" t="s">
        <v>91</v>
      </c>
      <c r="BL428" s="47" t="s">
        <v>1065</v>
      </c>
      <c r="BM428" s="47">
        <v>1</v>
      </c>
      <c r="BN428" s="47" t="s">
        <v>428</v>
      </c>
      <c r="BO428" s="47" t="s">
        <v>1066</v>
      </c>
      <c r="BP428" s="47" t="s">
        <v>1067</v>
      </c>
      <c r="BQ428" s="47" t="s">
        <v>92</v>
      </c>
      <c r="BR428" s="47" t="s">
        <v>93</v>
      </c>
      <c r="BS428" s="47" t="s">
        <v>312</v>
      </c>
      <c r="BT428" s="47" t="s">
        <v>312</v>
      </c>
      <c r="BU428" s="67">
        <v>42005</v>
      </c>
      <c r="BV428" s="67">
        <v>43070</v>
      </c>
      <c r="BW428" s="47" t="s">
        <v>1068</v>
      </c>
      <c r="BX428" s="47" t="s">
        <v>95</v>
      </c>
      <c r="BY428" s="47" t="s">
        <v>748</v>
      </c>
      <c r="BZ428" s="47">
        <v>1</v>
      </c>
      <c r="CA428" s="47">
        <v>1</v>
      </c>
      <c r="CB428" s="47" t="s">
        <v>1089</v>
      </c>
      <c r="CC428" s="47" t="s">
        <v>1071</v>
      </c>
      <c r="CD428" s="47">
        <v>1</v>
      </c>
      <c r="CE428" s="47" t="s">
        <v>738</v>
      </c>
      <c r="CF428" s="47">
        <v>0</v>
      </c>
      <c r="CG428" s="47" t="s">
        <v>97</v>
      </c>
      <c r="CH428" s="47">
        <v>1</v>
      </c>
      <c r="CI428" s="47" t="s">
        <v>116</v>
      </c>
      <c r="CJ428" s="47" t="s">
        <v>98</v>
      </c>
      <c r="CK428" s="47">
        <v>76</v>
      </c>
      <c r="CL428" s="47">
        <v>0</v>
      </c>
      <c r="CM428" s="47">
        <v>0</v>
      </c>
      <c r="CN428" s="47" t="s">
        <v>99</v>
      </c>
      <c r="CO428" s="47" t="s">
        <v>1106</v>
      </c>
      <c r="CP428" s="47" t="s">
        <v>100</v>
      </c>
      <c r="CQ428" s="47" t="s">
        <v>126</v>
      </c>
      <c r="CR428" s="48">
        <v>46225</v>
      </c>
      <c r="CT428" s="47" t="s">
        <v>673</v>
      </c>
    </row>
    <row r="429" spans="1:98" s="47" customFormat="1" x14ac:dyDescent="0.35">
      <c r="A429" s="46" t="s">
        <v>1056</v>
      </c>
      <c r="B429" s="46" t="s">
        <v>1099</v>
      </c>
      <c r="C429" s="47" t="s">
        <v>1057</v>
      </c>
      <c r="D429" s="47">
        <v>2021</v>
      </c>
      <c r="E429" s="66" t="s">
        <v>1058</v>
      </c>
      <c r="F429" s="66" t="s">
        <v>1059</v>
      </c>
      <c r="G429" s="47" t="s">
        <v>78</v>
      </c>
      <c r="H429" s="47">
        <v>1</v>
      </c>
      <c r="I429" s="47" t="s">
        <v>1060</v>
      </c>
      <c r="J429" s="47" t="s">
        <v>79</v>
      </c>
      <c r="K429" s="47">
        <v>28</v>
      </c>
      <c r="L429" s="47" t="s">
        <v>104</v>
      </c>
      <c r="M429" s="47" t="s">
        <v>380</v>
      </c>
      <c r="N429" s="47">
        <v>8.9999999999999998E-4</v>
      </c>
      <c r="O429" s="47">
        <v>1.9E-3</v>
      </c>
      <c r="P429" s="92">
        <f t="shared" ref="P429:P460" si="169">N429/O429</f>
        <v>0.47368421052631576</v>
      </c>
      <c r="Q429" s="47" t="s">
        <v>312</v>
      </c>
      <c r="R429" s="92">
        <f t="shared" ref="R429:R460" si="170">N429-1.96*O429</f>
        <v>-2.8240000000000001E-3</v>
      </c>
      <c r="S429" s="92">
        <f t="shared" ref="S429:S460" si="171">N429+1.96*O429</f>
        <v>4.6239999999999996E-3</v>
      </c>
      <c r="T429" s="47">
        <v>1</v>
      </c>
      <c r="U429" s="47">
        <v>3960</v>
      </c>
      <c r="V429" s="47" t="s">
        <v>312</v>
      </c>
      <c r="W429" s="47" t="s">
        <v>312</v>
      </c>
      <c r="X429" s="47">
        <f t="shared" si="161"/>
        <v>3960</v>
      </c>
      <c r="Y429" s="92">
        <f t="shared" ref="Y429:Y460" si="172">P429/(P429^2 + X429)^(1/2)</f>
        <v>7.5271229875366373E-3</v>
      </c>
      <c r="Z429" s="92">
        <f t="shared" ref="Z429:Z460" si="173">((1-Y429^2)/X429)^(1/2)</f>
        <v>1.5890592973688458E-2</v>
      </c>
      <c r="AA429" s="92">
        <f t="shared" si="162"/>
        <v>-7.5271229875366373E-3</v>
      </c>
      <c r="AB429" s="47" t="s">
        <v>81</v>
      </c>
      <c r="AC429" s="92">
        <f t="shared" si="163"/>
        <v>2.0601000000000001E-2</v>
      </c>
      <c r="AD429" s="92" cm="1">
        <f t="array" ref="AD429">_xlfn.IFS(
AND(L429="marginal_effect",M429="level"),N429*AN429/BF429,
AND(L429="marginal_effect",M429="sd (Y)"),N429*BH429*AN429/BF429,
AND(L429="marginal_effect",M429="sd (X)"),N429/AQ429*AN429/BF429,
AND(L429="semi_elasticity",M429="level"),N429*AN429,
AND(L429="semi_elasticity",M429="sd (Y)"),N429*AN429*BH429,
AND(L429="semi_elasticity",M429="sd (X)"),N429*AN429/AQ429,
AND(L429="level-log",M429="level"),N429/BF429,
AND(L429="level-log",M429="sd (X)"),N429/BF429/AQ429,
AND(L429="level-log",M429="sd (Y)"),N429/BF429*BH429,
AND(L429="elasticity",M429="level"),N429,
AND(L429="elasticity",M429="sd (X)"),N429/AQ429,
AND(L429="elasticity",M429="sd (Y)"),N429*BH429,
AND(L429="marginal_effect",M429="percent_of_mean"),N429*AN429/BF429/10)</f>
        <v>2.0601000000000001E-2</v>
      </c>
      <c r="AE429" s="51">
        <f t="shared" si="166"/>
        <v>1</v>
      </c>
      <c r="AF429" s="92">
        <f t="shared" si="164"/>
        <v>4.3491000000000002E-2</v>
      </c>
      <c r="AG429" s="92" cm="1">
        <f t="array" ref="AG429">_xlfn.IFS(
AND(L429="marginal_effect",M429="level"),O429*AN429/BF429,
AND(L429="marginal_effect",M429="sd (Y)"),O429*BH429*AN429/BF429,
AND(L429="marginal_effect",M429="sd (X)"),O429/AQ429*AN429/BF429,
AND(L429="semi_elasticity",M429="level"),O429*AN429,
AND(L429="semi_elasticity",M429="sd (Y)"),O429*AN429*BH429,
AND(L429="semi_elasticity",M429="sd (X)"),O429*AN429/AQ429,
AND(L429="level-log",M429="level"),O429/BF429,
AND(L429="level-log",M429="sd (X)"),O429/BF429/AQ429,
AND(L429="level-log",M429="sd (Y)"),O429/BF429*BH429,
AND(L429="elasticity",M429="level"),O429,
AND(L429="elasticity",M429="sd (X)"),O429/AQ429,
AND(L429="elasticity",M429="sd (Y)"),O429*BH429,
AND(L429="marginal_effect",M429="percent_of_mean"),O429*AN429/BF429/10)</f>
        <v>4.3491000000000002E-2</v>
      </c>
      <c r="AH429" s="51">
        <f t="shared" si="167"/>
        <v>1</v>
      </c>
      <c r="AI429" s="92">
        <f t="shared" si="165"/>
        <v>-2.0601000000000001E-2</v>
      </c>
      <c r="AJ429" s="47">
        <v>0</v>
      </c>
      <c r="AK429" s="47">
        <f t="shared" ref="AK429:AK460" si="174">IF(P429=(AC429/AF429),1,0)</f>
        <v>1</v>
      </c>
      <c r="AL429" s="47" t="s">
        <v>82</v>
      </c>
      <c r="AM429" s="47" t="s">
        <v>1333</v>
      </c>
      <c r="AN429" s="47">
        <v>22.89</v>
      </c>
      <c r="AO429" s="47">
        <v>0</v>
      </c>
      <c r="AP429" s="47">
        <f t="shared" si="168"/>
        <v>22.89</v>
      </c>
      <c r="AQ429" s="47">
        <v>16.149999999999999</v>
      </c>
      <c r="AR429" s="47">
        <v>0</v>
      </c>
      <c r="AS429" s="47">
        <v>698</v>
      </c>
      <c r="AT429" s="47" t="s">
        <v>83</v>
      </c>
      <c r="AU429" s="47" t="s">
        <v>109</v>
      </c>
      <c r="AV429" s="47" t="s">
        <v>133</v>
      </c>
      <c r="AW429" s="47" t="s">
        <v>85</v>
      </c>
      <c r="AX429" s="47" t="s">
        <v>86</v>
      </c>
      <c r="AY429" s="47">
        <v>0</v>
      </c>
      <c r="AZ429" s="47">
        <v>0</v>
      </c>
      <c r="BA429" s="47" t="s">
        <v>111</v>
      </c>
      <c r="BB429" s="47" t="s">
        <v>88</v>
      </c>
      <c r="BC429" s="47" t="s">
        <v>113</v>
      </c>
      <c r="BD429" s="47" t="s">
        <v>114</v>
      </c>
      <c r="BE429" s="47" t="s">
        <v>1142</v>
      </c>
      <c r="BF429" s="47">
        <v>65</v>
      </c>
      <c r="BG429" s="47">
        <v>0</v>
      </c>
      <c r="BH429" s="47" t="s">
        <v>312</v>
      </c>
      <c r="BI429" s="47" t="s">
        <v>312</v>
      </c>
      <c r="BJ429" s="47" t="s">
        <v>312</v>
      </c>
      <c r="BK429" s="47" t="s">
        <v>91</v>
      </c>
      <c r="BL429" s="47" t="s">
        <v>1065</v>
      </c>
      <c r="BM429" s="47">
        <v>1</v>
      </c>
      <c r="BN429" s="47" t="s">
        <v>428</v>
      </c>
      <c r="BO429" s="47" t="s">
        <v>1066</v>
      </c>
      <c r="BP429" s="47" t="s">
        <v>1067</v>
      </c>
      <c r="BQ429" s="47" t="s">
        <v>92</v>
      </c>
      <c r="BR429" s="47" t="s">
        <v>93</v>
      </c>
      <c r="BS429" s="47" t="s">
        <v>312</v>
      </c>
      <c r="BT429" s="47" t="s">
        <v>312</v>
      </c>
      <c r="BU429" s="67">
        <v>42005</v>
      </c>
      <c r="BV429" s="67">
        <v>43070</v>
      </c>
      <c r="BW429" s="47" t="s">
        <v>1068</v>
      </c>
      <c r="BX429" s="47" t="s">
        <v>95</v>
      </c>
      <c r="BY429" s="47" t="s">
        <v>748</v>
      </c>
      <c r="BZ429" s="47">
        <v>1</v>
      </c>
      <c r="CA429" s="47">
        <v>1</v>
      </c>
      <c r="CB429" s="47" t="s">
        <v>1089</v>
      </c>
      <c r="CC429" s="47" t="s">
        <v>1071</v>
      </c>
      <c r="CD429" s="47">
        <v>1</v>
      </c>
      <c r="CE429" s="47" t="s">
        <v>738</v>
      </c>
      <c r="CF429" s="47">
        <v>0</v>
      </c>
      <c r="CG429" s="47" t="s">
        <v>97</v>
      </c>
      <c r="CH429" s="47">
        <v>1</v>
      </c>
      <c r="CI429" s="47" t="s">
        <v>116</v>
      </c>
      <c r="CJ429" s="47" t="s">
        <v>98</v>
      </c>
      <c r="CK429" s="47">
        <v>76</v>
      </c>
      <c r="CL429" s="47">
        <v>0</v>
      </c>
      <c r="CM429" s="47">
        <v>0</v>
      </c>
      <c r="CN429" s="47" t="s">
        <v>99</v>
      </c>
      <c r="CO429" s="47" t="s">
        <v>1106</v>
      </c>
      <c r="CP429" s="47" t="s">
        <v>100</v>
      </c>
      <c r="CQ429" s="47" t="s">
        <v>126</v>
      </c>
      <c r="CR429" s="48">
        <v>46225</v>
      </c>
      <c r="CT429" s="47" t="s">
        <v>673</v>
      </c>
    </row>
    <row r="430" spans="1:98" s="47" customFormat="1" x14ac:dyDescent="0.35">
      <c r="A430" s="46" t="s">
        <v>1056</v>
      </c>
      <c r="B430" s="46" t="s">
        <v>1100</v>
      </c>
      <c r="C430" s="47" t="s">
        <v>1057</v>
      </c>
      <c r="D430" s="47">
        <v>2021</v>
      </c>
      <c r="E430" s="66" t="s">
        <v>1058</v>
      </c>
      <c r="F430" s="66" t="s">
        <v>1059</v>
      </c>
      <c r="G430" s="47" t="s">
        <v>78</v>
      </c>
      <c r="H430" s="47">
        <v>1</v>
      </c>
      <c r="I430" s="47" t="s">
        <v>1060</v>
      </c>
      <c r="J430" s="47" t="s">
        <v>79</v>
      </c>
      <c r="K430" s="47">
        <v>28</v>
      </c>
      <c r="L430" s="47" t="s">
        <v>104</v>
      </c>
      <c r="M430" s="47" t="s">
        <v>380</v>
      </c>
      <c r="N430" s="47">
        <v>0</v>
      </c>
      <c r="O430" s="47">
        <v>0</v>
      </c>
      <c r="P430" s="92" t="e">
        <f t="shared" si="169"/>
        <v>#DIV/0!</v>
      </c>
      <c r="Q430" s="47" t="s">
        <v>312</v>
      </c>
      <c r="R430" s="92">
        <f t="shared" si="170"/>
        <v>0</v>
      </c>
      <c r="S430" s="92">
        <f t="shared" si="171"/>
        <v>0</v>
      </c>
      <c r="T430" s="47">
        <v>1</v>
      </c>
      <c r="U430" s="47">
        <v>5908</v>
      </c>
      <c r="V430" s="47" t="s">
        <v>312</v>
      </c>
      <c r="W430" s="47" t="s">
        <v>312</v>
      </c>
      <c r="X430" s="47">
        <f t="shared" ref="X430:X461" si="175">U430</f>
        <v>5908</v>
      </c>
      <c r="Y430" s="92" t="e">
        <f t="shared" si="172"/>
        <v>#DIV/0!</v>
      </c>
      <c r="Z430" s="92" t="e">
        <f t="shared" si="173"/>
        <v>#DIV/0!</v>
      </c>
      <c r="AA430" s="92" t="e">
        <f t="shared" ref="AA430:AA461" si="176">-Y430</f>
        <v>#DIV/0!</v>
      </c>
      <c r="AB430" s="47" t="s">
        <v>81</v>
      </c>
      <c r="AC430" s="92">
        <f t="shared" ref="AC430:AC461" si="177">N430*AN430</f>
        <v>0</v>
      </c>
      <c r="AD430" s="92" cm="1">
        <f t="array" ref="AD430">_xlfn.IFS(
AND(L430="marginal_effect",M430="level"),N430*AN430/BF430,
AND(L430="marginal_effect",M430="sd (Y)"),N430*BH430*AN430/BF430,
AND(L430="marginal_effect",M430="sd (X)"),N430/AQ430*AN430/BF430,
AND(L430="semi_elasticity",M430="level"),N430*AN430,
AND(L430="semi_elasticity",M430="sd (Y)"),N430*AN430*BH430,
AND(L430="semi_elasticity",M430="sd (X)"),N430*AN430/AQ430,
AND(L430="level-log",M430="level"),N430/BF430,
AND(L430="level-log",M430="sd (X)"),N430/BF430/AQ430,
AND(L430="level-log",M430="sd (Y)"),N430/BF430*BH430,
AND(L430="elasticity",M430="level"),N430,
AND(L430="elasticity",M430="sd (X)"),N430/AQ430,
AND(L430="elasticity",M430="sd (Y)"),N430*BH430,
AND(L430="marginal_effect",M430="percent_of_mean"),N430*AN430/BF430/10)</f>
        <v>0</v>
      </c>
      <c r="AE430" s="51">
        <f t="shared" si="166"/>
        <v>1</v>
      </c>
      <c r="AF430" s="92">
        <f t="shared" ref="AF430:AF461" si="178">O430*AN430</f>
        <v>0</v>
      </c>
      <c r="AG430" s="92" cm="1">
        <f t="array" ref="AG430">_xlfn.IFS(
AND(L430="marginal_effect",M430="level"),O430*AN430/BF430,
AND(L430="marginal_effect",M430="sd (Y)"),O430*BH430*AN430/BF430,
AND(L430="marginal_effect",M430="sd (X)"),O430/AQ430*AN430/BF430,
AND(L430="semi_elasticity",M430="level"),O430*AN430,
AND(L430="semi_elasticity",M430="sd (Y)"),O430*AN430*BH430,
AND(L430="semi_elasticity",M430="sd (X)"),O430*AN430/AQ430,
AND(L430="level-log",M430="level"),O430/BF430,
AND(L430="level-log",M430="sd (X)"),O430/BF430/AQ430,
AND(L430="level-log",M430="sd (Y)"),O430/BF430*BH430,
AND(L430="elasticity",M430="level"),O430,
AND(L430="elasticity",M430="sd (X)"),O430/AQ430,
AND(L430="elasticity",M430="sd (Y)"),O430*BH430,
AND(L430="marginal_effect",M430="percent_of_mean"),O430*AN430/BF430/10)</f>
        <v>0</v>
      </c>
      <c r="AH430" s="51">
        <f t="shared" si="167"/>
        <v>1</v>
      </c>
      <c r="AI430" s="92">
        <f t="shared" ref="AI430:AI461" si="179">-AC430</f>
        <v>0</v>
      </c>
      <c r="AJ430" s="47">
        <v>0</v>
      </c>
      <c r="AK430" s="47" t="e">
        <f t="shared" si="174"/>
        <v>#DIV/0!</v>
      </c>
      <c r="AL430" s="47" t="s">
        <v>162</v>
      </c>
      <c r="AM430" s="47" t="s">
        <v>590</v>
      </c>
      <c r="AN430" s="47">
        <v>0.7</v>
      </c>
      <c r="AO430" s="47">
        <v>0</v>
      </c>
      <c r="AP430" s="47">
        <f t="shared" si="168"/>
        <v>0.7</v>
      </c>
      <c r="AQ430" s="47">
        <v>0.66</v>
      </c>
      <c r="AR430" s="47">
        <v>0</v>
      </c>
      <c r="AS430" s="47">
        <v>12.76</v>
      </c>
      <c r="AT430" s="47" t="s">
        <v>83</v>
      </c>
      <c r="AU430" s="47" t="s">
        <v>109</v>
      </c>
      <c r="AV430" s="47" t="s">
        <v>133</v>
      </c>
      <c r="AW430" s="47" t="s">
        <v>85</v>
      </c>
      <c r="AX430" s="47" t="s">
        <v>86</v>
      </c>
      <c r="AY430" s="47">
        <v>0</v>
      </c>
      <c r="AZ430" s="47">
        <v>0</v>
      </c>
      <c r="BA430" s="47" t="s">
        <v>111</v>
      </c>
      <c r="BB430" s="47" t="s">
        <v>88</v>
      </c>
      <c r="BC430" s="47" t="s">
        <v>113</v>
      </c>
      <c r="BD430" s="47" t="s">
        <v>114</v>
      </c>
      <c r="BE430" s="47" t="s">
        <v>1142</v>
      </c>
      <c r="BF430" s="47">
        <v>65</v>
      </c>
      <c r="BG430" s="47">
        <v>0</v>
      </c>
      <c r="BH430" s="47" t="s">
        <v>312</v>
      </c>
      <c r="BI430" s="47" t="s">
        <v>312</v>
      </c>
      <c r="BJ430" s="47" t="s">
        <v>312</v>
      </c>
      <c r="BK430" s="47" t="s">
        <v>91</v>
      </c>
      <c r="BL430" s="47" t="s">
        <v>1065</v>
      </c>
      <c r="BM430" s="47">
        <v>1</v>
      </c>
      <c r="BN430" s="47" t="s">
        <v>428</v>
      </c>
      <c r="BO430" s="47" t="s">
        <v>1066</v>
      </c>
      <c r="BP430" s="47" t="s">
        <v>1067</v>
      </c>
      <c r="BQ430" s="47" t="s">
        <v>92</v>
      </c>
      <c r="BR430" s="47" t="s">
        <v>93</v>
      </c>
      <c r="BS430" s="47" t="s">
        <v>312</v>
      </c>
      <c r="BT430" s="47" t="s">
        <v>312</v>
      </c>
      <c r="BU430" s="67">
        <v>42005</v>
      </c>
      <c r="BV430" s="67">
        <v>43070</v>
      </c>
      <c r="BW430" s="47" t="s">
        <v>1068</v>
      </c>
      <c r="BX430" s="47" t="s">
        <v>95</v>
      </c>
      <c r="BY430" s="47" t="s">
        <v>748</v>
      </c>
      <c r="BZ430" s="47">
        <v>1</v>
      </c>
      <c r="CA430" s="47">
        <v>1</v>
      </c>
      <c r="CB430" s="47" t="s">
        <v>1089</v>
      </c>
      <c r="CC430" s="47" t="s">
        <v>1071</v>
      </c>
      <c r="CD430" s="47">
        <v>1</v>
      </c>
      <c r="CE430" s="47" t="s">
        <v>738</v>
      </c>
      <c r="CF430" s="47">
        <v>0</v>
      </c>
      <c r="CG430" s="47" t="s">
        <v>97</v>
      </c>
      <c r="CH430" s="47">
        <v>1</v>
      </c>
      <c r="CI430" s="47" t="s">
        <v>116</v>
      </c>
      <c r="CJ430" s="47" t="s">
        <v>98</v>
      </c>
      <c r="CK430" s="47">
        <v>76</v>
      </c>
      <c r="CL430" s="47">
        <v>0</v>
      </c>
      <c r="CM430" s="47">
        <v>0</v>
      </c>
      <c r="CN430" s="47" t="s">
        <v>99</v>
      </c>
      <c r="CO430" s="47" t="s">
        <v>1106</v>
      </c>
      <c r="CP430" s="47" t="s">
        <v>100</v>
      </c>
      <c r="CQ430" s="47" t="s">
        <v>126</v>
      </c>
      <c r="CR430" s="48">
        <v>46225</v>
      </c>
      <c r="CT430" s="47" t="s">
        <v>672</v>
      </c>
    </row>
    <row r="431" spans="1:98" s="47" customFormat="1" x14ac:dyDescent="0.35">
      <c r="A431" s="46" t="s">
        <v>1056</v>
      </c>
      <c r="B431" s="46" t="s">
        <v>1101</v>
      </c>
      <c r="C431" s="47" t="s">
        <v>1057</v>
      </c>
      <c r="D431" s="47">
        <v>2021</v>
      </c>
      <c r="E431" s="66" t="s">
        <v>1058</v>
      </c>
      <c r="F431" s="66" t="s">
        <v>1059</v>
      </c>
      <c r="G431" s="47" t="s">
        <v>78</v>
      </c>
      <c r="H431" s="47">
        <v>1</v>
      </c>
      <c r="I431" s="47" t="s">
        <v>1060</v>
      </c>
      <c r="J431" s="47" t="s">
        <v>79</v>
      </c>
      <c r="K431" s="47">
        <v>28</v>
      </c>
      <c r="L431" s="47" t="s">
        <v>104</v>
      </c>
      <c r="M431" s="47" t="s">
        <v>380</v>
      </c>
      <c r="N431" s="47">
        <v>1.8E-3</v>
      </c>
      <c r="O431" s="47">
        <v>2.5999999999999999E-3</v>
      </c>
      <c r="P431" s="92">
        <f t="shared" si="169"/>
        <v>0.69230769230769229</v>
      </c>
      <c r="Q431" s="47" t="s">
        <v>312</v>
      </c>
      <c r="R431" s="92">
        <f t="shared" si="170"/>
        <v>-3.2959999999999999E-3</v>
      </c>
      <c r="S431" s="92">
        <f t="shared" si="171"/>
        <v>6.8959999999999994E-3</v>
      </c>
      <c r="T431" s="47">
        <v>1</v>
      </c>
      <c r="U431" s="47">
        <v>5919</v>
      </c>
      <c r="V431" s="47" t="s">
        <v>312</v>
      </c>
      <c r="W431" s="47" t="s">
        <v>312</v>
      </c>
      <c r="X431" s="47">
        <f t="shared" si="175"/>
        <v>5919</v>
      </c>
      <c r="Y431" s="92">
        <f t="shared" si="172"/>
        <v>8.998236518446643E-3</v>
      </c>
      <c r="Z431" s="92">
        <f t="shared" si="173"/>
        <v>1.2997452748867374E-2</v>
      </c>
      <c r="AA431" s="92">
        <f t="shared" si="176"/>
        <v>-8.998236518446643E-3</v>
      </c>
      <c r="AB431" s="47" t="s">
        <v>81</v>
      </c>
      <c r="AC431" s="92">
        <f t="shared" si="177"/>
        <v>3.6485999999999998E-2</v>
      </c>
      <c r="AD431" s="92" cm="1">
        <f t="array" ref="AD431">_xlfn.IFS(
AND(L431="marginal_effect",M431="level"),N431*AN431/BF431,
AND(L431="marginal_effect",M431="sd (Y)"),N431*BH431*AN431/BF431,
AND(L431="marginal_effect",M431="sd (X)"),N431/AQ431*AN431/BF431,
AND(L431="semi_elasticity",M431="level"),N431*AN431,
AND(L431="semi_elasticity",M431="sd (Y)"),N431*AN431*BH431,
AND(L431="semi_elasticity",M431="sd (X)"),N431*AN431/AQ431,
AND(L431="level-log",M431="level"),N431/BF431,
AND(L431="level-log",M431="sd (X)"),N431/BF431/AQ431,
AND(L431="level-log",M431="sd (Y)"),N431/BF431*BH431,
AND(L431="elasticity",M431="level"),N431,
AND(L431="elasticity",M431="sd (X)"),N431/AQ431,
AND(L431="elasticity",M431="sd (Y)"),N431*BH431,
AND(L431="marginal_effect",M431="percent_of_mean"),N431*AN431/BF431/10)</f>
        <v>3.6485999999999998E-2</v>
      </c>
      <c r="AE431" s="51">
        <f t="shared" si="166"/>
        <v>1</v>
      </c>
      <c r="AF431" s="92">
        <f t="shared" si="178"/>
        <v>5.2701999999999999E-2</v>
      </c>
      <c r="AG431" s="92" cm="1">
        <f t="array" ref="AG431">_xlfn.IFS(
AND(L431="marginal_effect",M431="level"),O431*AN431/BF431,
AND(L431="marginal_effect",M431="sd (Y)"),O431*BH431*AN431/BF431,
AND(L431="marginal_effect",M431="sd (X)"),O431/AQ431*AN431/BF431,
AND(L431="semi_elasticity",M431="level"),O431*AN431,
AND(L431="semi_elasticity",M431="sd (Y)"),O431*AN431*BH431,
AND(L431="semi_elasticity",M431="sd (X)"),O431*AN431/AQ431,
AND(L431="level-log",M431="level"),O431/BF431,
AND(L431="level-log",M431="sd (X)"),O431/BF431/AQ431,
AND(L431="level-log",M431="sd (Y)"),O431/BF431*BH431,
AND(L431="elasticity",M431="level"),O431,
AND(L431="elasticity",M431="sd (X)"),O431/AQ431,
AND(L431="elasticity",M431="sd (Y)"),O431*BH431,
AND(L431="marginal_effect",M431="percent_of_mean"),O431*AN431/BF431/10)</f>
        <v>5.2701999999999999E-2</v>
      </c>
      <c r="AH431" s="51">
        <f t="shared" si="167"/>
        <v>1</v>
      </c>
      <c r="AI431" s="92">
        <f t="shared" si="179"/>
        <v>-3.6485999999999998E-2</v>
      </c>
      <c r="AJ431" s="47">
        <v>0</v>
      </c>
      <c r="AK431" s="47">
        <f t="shared" si="174"/>
        <v>1</v>
      </c>
      <c r="AL431" s="47" t="s">
        <v>131</v>
      </c>
      <c r="AM431" s="47" t="s">
        <v>410</v>
      </c>
      <c r="AN431" s="47">
        <v>20.27</v>
      </c>
      <c r="AO431" s="47">
        <v>0</v>
      </c>
      <c r="AP431" s="47">
        <f t="shared" si="168"/>
        <v>20.27</v>
      </c>
      <c r="AQ431" s="47">
        <v>14.08</v>
      </c>
      <c r="AR431" s="47">
        <v>0</v>
      </c>
      <c r="AS431" s="47">
        <v>150</v>
      </c>
      <c r="AT431" s="47" t="s">
        <v>83</v>
      </c>
      <c r="AU431" s="47" t="s">
        <v>109</v>
      </c>
      <c r="AV431" s="47" t="s">
        <v>133</v>
      </c>
      <c r="AW431" s="47" t="s">
        <v>85</v>
      </c>
      <c r="AX431" s="47" t="s">
        <v>86</v>
      </c>
      <c r="AY431" s="47">
        <v>0</v>
      </c>
      <c r="AZ431" s="47">
        <v>0</v>
      </c>
      <c r="BA431" s="47" t="s">
        <v>111</v>
      </c>
      <c r="BB431" s="47" t="s">
        <v>88</v>
      </c>
      <c r="BC431" s="47" t="s">
        <v>113</v>
      </c>
      <c r="BD431" s="47" t="s">
        <v>114</v>
      </c>
      <c r="BE431" s="47" t="s">
        <v>1142</v>
      </c>
      <c r="BF431" s="47">
        <v>65</v>
      </c>
      <c r="BG431" s="47">
        <v>0</v>
      </c>
      <c r="BH431" s="47" t="s">
        <v>312</v>
      </c>
      <c r="BI431" s="47" t="s">
        <v>312</v>
      </c>
      <c r="BJ431" s="47" t="s">
        <v>312</v>
      </c>
      <c r="BK431" s="47" t="s">
        <v>91</v>
      </c>
      <c r="BL431" s="47" t="s">
        <v>1065</v>
      </c>
      <c r="BM431" s="47">
        <v>1</v>
      </c>
      <c r="BN431" s="47" t="s">
        <v>428</v>
      </c>
      <c r="BO431" s="47" t="s">
        <v>1066</v>
      </c>
      <c r="BP431" s="47" t="s">
        <v>1067</v>
      </c>
      <c r="BQ431" s="47" t="s">
        <v>92</v>
      </c>
      <c r="BR431" s="47" t="s">
        <v>93</v>
      </c>
      <c r="BS431" s="47" t="s">
        <v>312</v>
      </c>
      <c r="BT431" s="47" t="s">
        <v>312</v>
      </c>
      <c r="BU431" s="67">
        <v>42005</v>
      </c>
      <c r="BV431" s="67">
        <v>43070</v>
      </c>
      <c r="BW431" s="47" t="s">
        <v>1068</v>
      </c>
      <c r="BX431" s="47" t="s">
        <v>95</v>
      </c>
      <c r="BY431" s="47" t="s">
        <v>748</v>
      </c>
      <c r="BZ431" s="47">
        <v>1</v>
      </c>
      <c r="CA431" s="47">
        <v>1</v>
      </c>
      <c r="CB431" s="47" t="s">
        <v>1089</v>
      </c>
      <c r="CC431" s="47" t="s">
        <v>1071</v>
      </c>
      <c r="CD431" s="47">
        <v>1</v>
      </c>
      <c r="CE431" s="47" t="s">
        <v>738</v>
      </c>
      <c r="CF431" s="47">
        <v>0</v>
      </c>
      <c r="CG431" s="47" t="s">
        <v>97</v>
      </c>
      <c r="CH431" s="47">
        <v>1</v>
      </c>
      <c r="CI431" s="47" t="s">
        <v>116</v>
      </c>
      <c r="CJ431" s="47" t="s">
        <v>98</v>
      </c>
      <c r="CK431" s="47">
        <v>76</v>
      </c>
      <c r="CL431" s="47">
        <v>0</v>
      </c>
      <c r="CM431" s="47">
        <v>0</v>
      </c>
      <c r="CN431" s="47" t="s">
        <v>99</v>
      </c>
      <c r="CO431" s="47" t="s">
        <v>1106</v>
      </c>
      <c r="CP431" s="47" t="s">
        <v>100</v>
      </c>
      <c r="CQ431" s="47" t="s">
        <v>126</v>
      </c>
      <c r="CR431" s="48">
        <v>46225</v>
      </c>
      <c r="CT431" s="47" t="s">
        <v>672</v>
      </c>
    </row>
    <row r="432" spans="1:98" s="47" customFormat="1" x14ac:dyDescent="0.35">
      <c r="A432" s="46" t="s">
        <v>1056</v>
      </c>
      <c r="B432" s="46" t="s">
        <v>1102</v>
      </c>
      <c r="C432" s="47" t="s">
        <v>1057</v>
      </c>
      <c r="D432" s="47">
        <v>2021</v>
      </c>
      <c r="E432" s="66" t="s">
        <v>1058</v>
      </c>
      <c r="F432" s="66" t="s">
        <v>1059</v>
      </c>
      <c r="G432" s="47" t="s">
        <v>78</v>
      </c>
      <c r="H432" s="47">
        <v>1</v>
      </c>
      <c r="I432" s="47" t="s">
        <v>1060</v>
      </c>
      <c r="J432" s="47" t="s">
        <v>79</v>
      </c>
      <c r="K432" s="47">
        <v>28</v>
      </c>
      <c r="L432" s="47" t="s">
        <v>104</v>
      </c>
      <c r="M432" s="47" t="s">
        <v>380</v>
      </c>
      <c r="N432" s="47">
        <v>-2.0999999999999999E-3</v>
      </c>
      <c r="O432" s="47">
        <v>8.0000000000000004E-4</v>
      </c>
      <c r="P432" s="92">
        <f t="shared" si="169"/>
        <v>-2.6249999999999996</v>
      </c>
      <c r="Q432" s="47" t="s">
        <v>312</v>
      </c>
      <c r="R432" s="92">
        <f t="shared" si="170"/>
        <v>-3.6679999999999998E-3</v>
      </c>
      <c r="S432" s="92">
        <f t="shared" si="171"/>
        <v>-5.3199999999999992E-4</v>
      </c>
      <c r="T432" s="47">
        <v>1</v>
      </c>
      <c r="U432" s="47">
        <v>5921</v>
      </c>
      <c r="V432" s="47" t="s">
        <v>312</v>
      </c>
      <c r="W432" s="47" t="s">
        <v>312</v>
      </c>
      <c r="X432" s="47">
        <f t="shared" si="175"/>
        <v>5921</v>
      </c>
      <c r="Y432" s="92">
        <f t="shared" si="172"/>
        <v>-3.4094098913005459E-2</v>
      </c>
      <c r="Z432" s="92">
        <f t="shared" si="173"/>
        <v>1.2988228157335416E-2</v>
      </c>
      <c r="AA432" s="92">
        <f t="shared" si="176"/>
        <v>3.4094098913005459E-2</v>
      </c>
      <c r="AB432" s="47" t="s">
        <v>81</v>
      </c>
      <c r="AC432" s="92">
        <f t="shared" si="177"/>
        <v>-5.7392999999999993E-2</v>
      </c>
      <c r="AD432" s="92" cm="1">
        <f t="array" ref="AD432">_xlfn.IFS(
AND(L432="marginal_effect",M432="level"),N432*AN432/BF432,
AND(L432="marginal_effect",M432="sd (Y)"),N432*BH432*AN432/BF432,
AND(L432="marginal_effect",M432="sd (X)"),N432/AQ432*AN432/BF432,
AND(L432="semi_elasticity",M432="level"),N432*AN432,
AND(L432="semi_elasticity",M432="sd (Y)"),N432*AN432*BH432,
AND(L432="semi_elasticity",M432="sd (X)"),N432*AN432/AQ432,
AND(L432="level-log",M432="level"),N432/BF432,
AND(L432="level-log",M432="sd (X)"),N432/BF432/AQ432,
AND(L432="level-log",M432="sd (Y)"),N432/BF432*BH432,
AND(L432="elasticity",M432="level"),N432,
AND(L432="elasticity",M432="sd (X)"),N432/AQ432,
AND(L432="elasticity",M432="sd (Y)"),N432*BH432,
AND(L432="marginal_effect",M432="percent_of_mean"),N432*AN432/BF432/10)</f>
        <v>-5.7392999999999993E-2</v>
      </c>
      <c r="AE432" s="51">
        <f t="shared" si="166"/>
        <v>1</v>
      </c>
      <c r="AF432" s="92">
        <f t="shared" si="178"/>
        <v>2.1863999999999998E-2</v>
      </c>
      <c r="AG432" s="92" cm="1">
        <f t="array" ref="AG432">_xlfn.IFS(
AND(L432="marginal_effect",M432="level"),O432*AN432/BF432,
AND(L432="marginal_effect",M432="sd (Y)"),O432*BH432*AN432/BF432,
AND(L432="marginal_effect",M432="sd (X)"),O432/AQ432*AN432/BF432,
AND(L432="semi_elasticity",M432="level"),O432*AN432,
AND(L432="semi_elasticity",M432="sd (Y)"),O432*AN432*BH432,
AND(L432="semi_elasticity",M432="sd (X)"),O432*AN432/AQ432,
AND(L432="level-log",M432="level"),O432/BF432,
AND(L432="level-log",M432="sd (X)"),O432/BF432/AQ432,
AND(L432="level-log",M432="sd (Y)"),O432/BF432*BH432,
AND(L432="elasticity",M432="level"),O432,
AND(L432="elasticity",M432="sd (X)"),O432/AQ432,
AND(L432="elasticity",M432="sd (Y)"),O432*BH432,
AND(L432="marginal_effect",M432="percent_of_mean"),O432*AN432/BF432/10)</f>
        <v>2.1863999999999998E-2</v>
      </c>
      <c r="AH432" s="51">
        <f t="shared" si="167"/>
        <v>1</v>
      </c>
      <c r="AI432" s="92">
        <f t="shared" si="179"/>
        <v>5.7392999999999993E-2</v>
      </c>
      <c r="AJ432" s="47">
        <v>0</v>
      </c>
      <c r="AK432" s="47">
        <f t="shared" si="174"/>
        <v>1</v>
      </c>
      <c r="AL432" s="47" t="s">
        <v>148</v>
      </c>
      <c r="AM432" s="47" t="s">
        <v>410</v>
      </c>
      <c r="AN432" s="47">
        <v>27.33</v>
      </c>
      <c r="AO432" s="47">
        <v>0</v>
      </c>
      <c r="AP432" s="47">
        <f t="shared" si="168"/>
        <v>27.33</v>
      </c>
      <c r="AQ432" s="47">
        <v>24.83</v>
      </c>
      <c r="AR432" s="47">
        <v>1</v>
      </c>
      <c r="AS432" s="47">
        <v>210</v>
      </c>
      <c r="AT432" s="47" t="s">
        <v>83</v>
      </c>
      <c r="AU432" s="47" t="s">
        <v>109</v>
      </c>
      <c r="AV432" s="47" t="s">
        <v>133</v>
      </c>
      <c r="AW432" s="47" t="s">
        <v>85</v>
      </c>
      <c r="AX432" s="47" t="s">
        <v>86</v>
      </c>
      <c r="AY432" s="47">
        <v>0</v>
      </c>
      <c r="AZ432" s="47">
        <v>0</v>
      </c>
      <c r="BA432" s="47" t="s">
        <v>111</v>
      </c>
      <c r="BB432" s="47" t="s">
        <v>88</v>
      </c>
      <c r="BC432" s="47" t="s">
        <v>113</v>
      </c>
      <c r="BD432" s="47" t="s">
        <v>114</v>
      </c>
      <c r="BE432" s="47" t="s">
        <v>1142</v>
      </c>
      <c r="BF432" s="47">
        <v>65</v>
      </c>
      <c r="BG432" s="47">
        <v>0</v>
      </c>
      <c r="BH432" s="47" t="s">
        <v>312</v>
      </c>
      <c r="BI432" s="47" t="s">
        <v>312</v>
      </c>
      <c r="BJ432" s="47" t="s">
        <v>312</v>
      </c>
      <c r="BK432" s="47" t="s">
        <v>91</v>
      </c>
      <c r="BL432" s="47" t="s">
        <v>1065</v>
      </c>
      <c r="BM432" s="47">
        <v>1</v>
      </c>
      <c r="BN432" s="47" t="s">
        <v>428</v>
      </c>
      <c r="BO432" s="47" t="s">
        <v>1066</v>
      </c>
      <c r="BP432" s="47" t="s">
        <v>1067</v>
      </c>
      <c r="BQ432" s="47" t="s">
        <v>92</v>
      </c>
      <c r="BR432" s="47" t="s">
        <v>93</v>
      </c>
      <c r="BS432" s="47" t="s">
        <v>312</v>
      </c>
      <c r="BT432" s="47" t="s">
        <v>312</v>
      </c>
      <c r="BU432" s="67">
        <v>42005</v>
      </c>
      <c r="BV432" s="67">
        <v>43070</v>
      </c>
      <c r="BW432" s="47" t="s">
        <v>1068</v>
      </c>
      <c r="BX432" s="47" t="s">
        <v>95</v>
      </c>
      <c r="BY432" s="47" t="s">
        <v>748</v>
      </c>
      <c r="BZ432" s="47">
        <v>1</v>
      </c>
      <c r="CA432" s="47">
        <v>1</v>
      </c>
      <c r="CB432" s="47" t="s">
        <v>1089</v>
      </c>
      <c r="CC432" s="47" t="s">
        <v>1071</v>
      </c>
      <c r="CD432" s="47">
        <v>1</v>
      </c>
      <c r="CE432" s="47" t="s">
        <v>738</v>
      </c>
      <c r="CF432" s="47">
        <v>0</v>
      </c>
      <c r="CG432" s="47" t="s">
        <v>97</v>
      </c>
      <c r="CH432" s="47">
        <v>1</v>
      </c>
      <c r="CI432" s="47" t="s">
        <v>116</v>
      </c>
      <c r="CJ432" s="47" t="s">
        <v>98</v>
      </c>
      <c r="CK432" s="47">
        <v>76</v>
      </c>
      <c r="CL432" s="47">
        <v>0</v>
      </c>
      <c r="CM432" s="47">
        <v>0</v>
      </c>
      <c r="CN432" s="47" t="s">
        <v>99</v>
      </c>
      <c r="CO432" s="47" t="s">
        <v>1106</v>
      </c>
      <c r="CP432" s="47" t="s">
        <v>100</v>
      </c>
      <c r="CQ432" s="47" t="s">
        <v>126</v>
      </c>
      <c r="CR432" s="48">
        <v>46225</v>
      </c>
      <c r="CT432" s="47" t="s">
        <v>672</v>
      </c>
    </row>
    <row r="433" spans="1:98" s="47" customFormat="1" x14ac:dyDescent="0.35">
      <c r="A433" s="46" t="s">
        <v>1056</v>
      </c>
      <c r="B433" s="46" t="s">
        <v>1103</v>
      </c>
      <c r="C433" s="47" t="s">
        <v>1057</v>
      </c>
      <c r="D433" s="47">
        <v>2021</v>
      </c>
      <c r="E433" s="66" t="s">
        <v>1058</v>
      </c>
      <c r="F433" s="66" t="s">
        <v>1059</v>
      </c>
      <c r="G433" s="47" t="s">
        <v>78</v>
      </c>
      <c r="H433" s="47">
        <v>1</v>
      </c>
      <c r="I433" s="47" t="s">
        <v>1060</v>
      </c>
      <c r="J433" s="47" t="s">
        <v>79</v>
      </c>
      <c r="K433" s="47">
        <v>28</v>
      </c>
      <c r="L433" s="47" t="s">
        <v>104</v>
      </c>
      <c r="M433" s="47" t="s">
        <v>380</v>
      </c>
      <c r="N433" s="47">
        <v>-2.0000000000000001E-4</v>
      </c>
      <c r="O433" s="47">
        <v>1E-3</v>
      </c>
      <c r="P433" s="92">
        <f t="shared" si="169"/>
        <v>-0.2</v>
      </c>
      <c r="Q433" s="47" t="s">
        <v>312</v>
      </c>
      <c r="R433" s="92">
        <f t="shared" si="170"/>
        <v>-2.16E-3</v>
      </c>
      <c r="S433" s="92">
        <f t="shared" si="171"/>
        <v>1.7599999999999998E-3</v>
      </c>
      <c r="T433" s="47">
        <v>1</v>
      </c>
      <c r="U433" s="47">
        <v>5307</v>
      </c>
      <c r="V433" s="47" t="s">
        <v>312</v>
      </c>
      <c r="W433" s="47" t="s">
        <v>312</v>
      </c>
      <c r="X433" s="47">
        <f t="shared" si="175"/>
        <v>5307</v>
      </c>
      <c r="Y433" s="92">
        <f t="shared" si="172"/>
        <v>-2.7453885316792758E-3</v>
      </c>
      <c r="Z433" s="92">
        <f t="shared" si="173"/>
        <v>1.3726942658396378E-2</v>
      </c>
      <c r="AA433" s="92">
        <f t="shared" si="176"/>
        <v>2.7453885316792758E-3</v>
      </c>
      <c r="AB433" s="47" t="s">
        <v>81</v>
      </c>
      <c r="AC433" s="92">
        <f t="shared" si="177"/>
        <v>-4.5780000000000005E-3</v>
      </c>
      <c r="AD433" s="92" cm="1">
        <f t="array" ref="AD433">_xlfn.IFS(
AND(L433="marginal_effect",M433="level"),N433*AN433/BF433,
AND(L433="marginal_effect",M433="sd (Y)"),N433*BH433*AN433/BF433,
AND(L433="marginal_effect",M433="sd (X)"),N433/AQ433*AN433/BF433,
AND(L433="semi_elasticity",M433="level"),N433*AN433,
AND(L433="semi_elasticity",M433="sd (Y)"),N433*AN433*BH433,
AND(L433="semi_elasticity",M433="sd (X)"),N433*AN433/AQ433,
AND(L433="level-log",M433="level"),N433/BF433,
AND(L433="level-log",M433="sd (X)"),N433/BF433/AQ433,
AND(L433="level-log",M433="sd (Y)"),N433/BF433*BH433,
AND(L433="elasticity",M433="level"),N433,
AND(L433="elasticity",M433="sd (X)"),N433/AQ433,
AND(L433="elasticity",M433="sd (Y)"),N433*BH433,
AND(L433="marginal_effect",M433="percent_of_mean"),N433*AN433/BF433/10)</f>
        <v>-4.5780000000000005E-3</v>
      </c>
      <c r="AE433" s="51">
        <f t="shared" si="166"/>
        <v>1</v>
      </c>
      <c r="AF433" s="92">
        <f t="shared" si="178"/>
        <v>2.2890000000000001E-2</v>
      </c>
      <c r="AG433" s="92" cm="1">
        <f t="array" ref="AG433">_xlfn.IFS(
AND(L433="marginal_effect",M433="level"),O433*AN433/BF433,
AND(L433="marginal_effect",M433="sd (Y)"),O433*BH433*AN433/BF433,
AND(L433="marginal_effect",M433="sd (X)"),O433/AQ433*AN433/BF433,
AND(L433="semi_elasticity",M433="level"),O433*AN433,
AND(L433="semi_elasticity",M433="sd (Y)"),O433*AN433*BH433,
AND(L433="semi_elasticity",M433="sd (X)"),O433*AN433/AQ433,
AND(L433="level-log",M433="level"),O433/BF433,
AND(L433="level-log",M433="sd (X)"),O433/BF433/AQ433,
AND(L433="level-log",M433="sd (Y)"),O433/BF433*BH433,
AND(L433="elasticity",M433="level"),O433,
AND(L433="elasticity",M433="sd (X)"),O433/AQ433,
AND(L433="elasticity",M433="sd (Y)"),O433*BH433,
AND(L433="marginal_effect",M433="percent_of_mean"),O433*AN433/BF433/10)</f>
        <v>2.2890000000000001E-2</v>
      </c>
      <c r="AH433" s="51">
        <f t="shared" si="167"/>
        <v>1</v>
      </c>
      <c r="AI433" s="92">
        <f t="shared" si="179"/>
        <v>4.5780000000000005E-3</v>
      </c>
      <c r="AJ433" s="47">
        <v>0</v>
      </c>
      <c r="AK433" s="47">
        <f t="shared" si="174"/>
        <v>1</v>
      </c>
      <c r="AL433" s="47" t="s">
        <v>82</v>
      </c>
      <c r="AM433" s="47" t="s">
        <v>1333</v>
      </c>
      <c r="AN433" s="47">
        <v>22.89</v>
      </c>
      <c r="AO433" s="47">
        <v>0</v>
      </c>
      <c r="AP433" s="47">
        <f t="shared" si="168"/>
        <v>22.89</v>
      </c>
      <c r="AQ433" s="47">
        <v>16.149999999999999</v>
      </c>
      <c r="AR433" s="47">
        <v>0</v>
      </c>
      <c r="AS433" s="47">
        <v>698</v>
      </c>
      <c r="AT433" s="47" t="s">
        <v>83</v>
      </c>
      <c r="AU433" s="47" t="s">
        <v>109</v>
      </c>
      <c r="AV433" s="47" t="s">
        <v>133</v>
      </c>
      <c r="AW433" s="47" t="s">
        <v>85</v>
      </c>
      <c r="AX433" s="47" t="s">
        <v>86</v>
      </c>
      <c r="AY433" s="47">
        <v>0</v>
      </c>
      <c r="AZ433" s="47">
        <v>0</v>
      </c>
      <c r="BA433" s="47" t="s">
        <v>111</v>
      </c>
      <c r="BB433" s="47" t="s">
        <v>88</v>
      </c>
      <c r="BC433" s="47" t="s">
        <v>113</v>
      </c>
      <c r="BD433" s="47" t="s">
        <v>114</v>
      </c>
      <c r="BE433" s="47" t="s">
        <v>1142</v>
      </c>
      <c r="BF433" s="47">
        <v>65</v>
      </c>
      <c r="BG433" s="47">
        <v>0</v>
      </c>
      <c r="BH433" s="47" t="s">
        <v>312</v>
      </c>
      <c r="BI433" s="47" t="s">
        <v>312</v>
      </c>
      <c r="BJ433" s="47" t="s">
        <v>312</v>
      </c>
      <c r="BK433" s="47" t="s">
        <v>91</v>
      </c>
      <c r="BL433" s="47" t="s">
        <v>1065</v>
      </c>
      <c r="BM433" s="47">
        <v>1</v>
      </c>
      <c r="BN433" s="47" t="s">
        <v>428</v>
      </c>
      <c r="BO433" s="47" t="s">
        <v>1066</v>
      </c>
      <c r="BP433" s="47" t="s">
        <v>1067</v>
      </c>
      <c r="BQ433" s="47" t="s">
        <v>92</v>
      </c>
      <c r="BR433" s="47" t="s">
        <v>93</v>
      </c>
      <c r="BS433" s="47" t="s">
        <v>312</v>
      </c>
      <c r="BT433" s="47" t="s">
        <v>312</v>
      </c>
      <c r="BU433" s="67">
        <v>42005</v>
      </c>
      <c r="BV433" s="67">
        <v>43070</v>
      </c>
      <c r="BW433" s="47" t="s">
        <v>1068</v>
      </c>
      <c r="BX433" s="47" t="s">
        <v>95</v>
      </c>
      <c r="BY433" s="47" t="s">
        <v>748</v>
      </c>
      <c r="BZ433" s="47">
        <v>1</v>
      </c>
      <c r="CA433" s="47">
        <v>1</v>
      </c>
      <c r="CB433" s="47" t="s">
        <v>1089</v>
      </c>
      <c r="CC433" s="47" t="s">
        <v>1071</v>
      </c>
      <c r="CD433" s="47">
        <v>1</v>
      </c>
      <c r="CE433" s="47" t="s">
        <v>738</v>
      </c>
      <c r="CF433" s="47">
        <v>0</v>
      </c>
      <c r="CG433" s="47" t="s">
        <v>97</v>
      </c>
      <c r="CH433" s="47">
        <v>1</v>
      </c>
      <c r="CI433" s="47" t="s">
        <v>116</v>
      </c>
      <c r="CJ433" s="47" t="s">
        <v>98</v>
      </c>
      <c r="CK433" s="47">
        <v>76</v>
      </c>
      <c r="CL433" s="47">
        <v>0</v>
      </c>
      <c r="CM433" s="47">
        <v>0</v>
      </c>
      <c r="CN433" s="47" t="s">
        <v>99</v>
      </c>
      <c r="CO433" s="47" t="s">
        <v>1106</v>
      </c>
      <c r="CP433" s="47" t="s">
        <v>100</v>
      </c>
      <c r="CQ433" s="47" t="s">
        <v>126</v>
      </c>
      <c r="CR433" s="48">
        <v>46225</v>
      </c>
      <c r="CT433" s="47" t="s">
        <v>672</v>
      </c>
    </row>
    <row r="434" spans="1:98" s="47" customFormat="1" x14ac:dyDescent="0.35">
      <c r="A434" s="46" t="s">
        <v>1056</v>
      </c>
      <c r="B434" s="46" t="s">
        <v>1108</v>
      </c>
      <c r="C434" s="47" t="s">
        <v>1057</v>
      </c>
      <c r="D434" s="47">
        <v>2021</v>
      </c>
      <c r="E434" s="66" t="s">
        <v>1058</v>
      </c>
      <c r="F434" s="66" t="s">
        <v>1059</v>
      </c>
      <c r="G434" s="47" t="s">
        <v>78</v>
      </c>
      <c r="H434" s="47">
        <v>1</v>
      </c>
      <c r="I434" s="47" t="s">
        <v>1060</v>
      </c>
      <c r="J434" s="47" t="s">
        <v>79</v>
      </c>
      <c r="K434" s="47">
        <v>28</v>
      </c>
      <c r="L434" s="47" t="s">
        <v>104</v>
      </c>
      <c r="M434" s="47" t="s">
        <v>380</v>
      </c>
      <c r="N434" s="47">
        <v>0</v>
      </c>
      <c r="O434" s="47">
        <v>1E-4</v>
      </c>
      <c r="P434" s="92">
        <f t="shared" si="169"/>
        <v>0</v>
      </c>
      <c r="Q434" s="47" t="s">
        <v>312</v>
      </c>
      <c r="R434" s="92">
        <f t="shared" si="170"/>
        <v>-1.9599999999999999E-4</v>
      </c>
      <c r="S434" s="92">
        <f t="shared" si="171"/>
        <v>1.9599999999999999E-4</v>
      </c>
      <c r="T434" s="47">
        <v>1</v>
      </c>
      <c r="U434" s="47">
        <v>12037</v>
      </c>
      <c r="V434" s="47" t="s">
        <v>312</v>
      </c>
      <c r="W434" s="47" t="s">
        <v>312</v>
      </c>
      <c r="X434" s="47">
        <f t="shared" si="175"/>
        <v>12037</v>
      </c>
      <c r="Y434" s="92">
        <f t="shared" si="172"/>
        <v>0</v>
      </c>
      <c r="Z434" s="92">
        <f t="shared" si="173"/>
        <v>9.1146683263304412E-3</v>
      </c>
      <c r="AA434" s="92">
        <f t="shared" si="176"/>
        <v>0</v>
      </c>
      <c r="AB434" s="47" t="s">
        <v>81</v>
      </c>
      <c r="AC434" s="92">
        <f t="shared" si="177"/>
        <v>0</v>
      </c>
      <c r="AD434" s="92" cm="1">
        <f t="array" ref="AD434">_xlfn.IFS(
AND(L434="marginal_effect",M434="level"),N434*AN434/BF434,
AND(L434="marginal_effect",M434="sd (Y)"),N434*BH434*AN434/BF434,
AND(L434="marginal_effect",M434="sd (X)"),N434/AQ434*AN434/BF434,
AND(L434="semi_elasticity",M434="level"),N434*AN434,
AND(L434="semi_elasticity",M434="sd (Y)"),N434*AN434*BH434,
AND(L434="semi_elasticity",M434="sd (X)"),N434*AN434/AQ434,
AND(L434="level-log",M434="level"),N434/BF434,
AND(L434="level-log",M434="sd (X)"),N434/BF434/AQ434,
AND(L434="level-log",M434="sd (Y)"),N434/BF434*BH434,
AND(L434="elasticity",M434="level"),N434,
AND(L434="elasticity",M434="sd (X)"),N434/AQ434,
AND(L434="elasticity",M434="sd (Y)"),N434*BH434,
AND(L434="marginal_effect",M434="percent_of_mean"),N434*AN434/BF434/10)</f>
        <v>0</v>
      </c>
      <c r="AE434" s="51">
        <f t="shared" si="166"/>
        <v>1</v>
      </c>
      <c r="AF434" s="92">
        <f t="shared" si="178"/>
        <v>6.9999999999999994E-5</v>
      </c>
      <c r="AG434" s="92" cm="1">
        <f t="array" ref="AG434">_xlfn.IFS(
AND(L434="marginal_effect",M434="level"),O434*AN434/BF434,
AND(L434="marginal_effect",M434="sd (Y)"),O434*BH434*AN434/BF434,
AND(L434="marginal_effect",M434="sd (X)"),O434/AQ434*AN434/BF434,
AND(L434="semi_elasticity",M434="level"),O434*AN434,
AND(L434="semi_elasticity",M434="sd (Y)"),O434*AN434*BH434,
AND(L434="semi_elasticity",M434="sd (X)"),O434*AN434/AQ434,
AND(L434="level-log",M434="level"),O434/BF434,
AND(L434="level-log",M434="sd (X)"),O434/BF434/AQ434,
AND(L434="level-log",M434="sd (Y)"),O434/BF434*BH434,
AND(L434="elasticity",M434="level"),O434,
AND(L434="elasticity",M434="sd (X)"),O434/AQ434,
AND(L434="elasticity",M434="sd (Y)"),O434*BH434,
AND(L434="marginal_effect",M434="percent_of_mean"),O434*AN434/BF434/10)</f>
        <v>6.9999999999999994E-5</v>
      </c>
      <c r="AH434" s="51">
        <f t="shared" si="167"/>
        <v>1</v>
      </c>
      <c r="AI434" s="92">
        <f t="shared" si="179"/>
        <v>0</v>
      </c>
      <c r="AJ434" s="47">
        <v>0</v>
      </c>
      <c r="AK434" s="47">
        <f t="shared" si="174"/>
        <v>1</v>
      </c>
      <c r="AL434" s="47" t="s">
        <v>162</v>
      </c>
      <c r="AM434" s="47" t="s">
        <v>590</v>
      </c>
      <c r="AN434" s="47">
        <v>0.7</v>
      </c>
      <c r="AO434" s="47">
        <v>0</v>
      </c>
      <c r="AP434" s="47">
        <f t="shared" si="168"/>
        <v>0.7</v>
      </c>
      <c r="AQ434" s="47">
        <v>0.66</v>
      </c>
      <c r="AR434" s="47">
        <v>0</v>
      </c>
      <c r="AS434" s="47">
        <v>12.76</v>
      </c>
      <c r="AT434" s="47" t="s">
        <v>83</v>
      </c>
      <c r="AU434" s="47" t="s">
        <v>109</v>
      </c>
      <c r="AV434" s="47" t="s">
        <v>133</v>
      </c>
      <c r="AW434" s="47" t="s">
        <v>85</v>
      </c>
      <c r="AX434" s="47" t="s">
        <v>86</v>
      </c>
      <c r="AY434" s="47">
        <v>0</v>
      </c>
      <c r="AZ434" s="47">
        <v>0</v>
      </c>
      <c r="BA434" s="47" t="s">
        <v>111</v>
      </c>
      <c r="BB434" s="47" t="s">
        <v>88</v>
      </c>
      <c r="BC434" s="47" t="s">
        <v>113</v>
      </c>
      <c r="BD434" s="47" t="s">
        <v>114</v>
      </c>
      <c r="BE434" s="47" t="s">
        <v>1142</v>
      </c>
      <c r="BF434" s="47">
        <v>65</v>
      </c>
      <c r="BG434" s="47">
        <v>0</v>
      </c>
      <c r="BH434" s="47" t="s">
        <v>312</v>
      </c>
      <c r="BI434" s="47" t="s">
        <v>312</v>
      </c>
      <c r="BJ434" s="47" t="s">
        <v>312</v>
      </c>
      <c r="BK434" s="47" t="s">
        <v>91</v>
      </c>
      <c r="BL434" s="47" t="s">
        <v>1065</v>
      </c>
      <c r="BM434" s="47">
        <v>1</v>
      </c>
      <c r="BN434" s="47" t="s">
        <v>428</v>
      </c>
      <c r="BO434" s="47" t="s">
        <v>1066</v>
      </c>
      <c r="BP434" s="47" t="s">
        <v>1067</v>
      </c>
      <c r="BQ434" s="47" t="s">
        <v>92</v>
      </c>
      <c r="BR434" s="47" t="s">
        <v>93</v>
      </c>
      <c r="BS434" s="47" t="s">
        <v>312</v>
      </c>
      <c r="BT434" s="47" t="s">
        <v>312</v>
      </c>
      <c r="BU434" s="67">
        <v>42005</v>
      </c>
      <c r="BV434" s="67">
        <v>43070</v>
      </c>
      <c r="BW434" s="47" t="s">
        <v>1068</v>
      </c>
      <c r="BX434" s="47" t="s">
        <v>95</v>
      </c>
      <c r="BY434" s="47" t="s">
        <v>748</v>
      </c>
      <c r="BZ434" s="47">
        <v>1</v>
      </c>
      <c r="CA434" s="47">
        <v>1</v>
      </c>
      <c r="CB434" s="47" t="s">
        <v>1089</v>
      </c>
      <c r="CC434" s="47" t="s">
        <v>1071</v>
      </c>
      <c r="CD434" s="47">
        <v>1</v>
      </c>
      <c r="CE434" s="47" t="s">
        <v>738</v>
      </c>
      <c r="CF434" s="47">
        <v>0</v>
      </c>
      <c r="CG434" s="47" t="s">
        <v>97</v>
      </c>
      <c r="CH434" s="47">
        <v>1</v>
      </c>
      <c r="CI434" s="47" t="s">
        <v>116</v>
      </c>
      <c r="CJ434" s="47" t="s">
        <v>98</v>
      </c>
      <c r="CK434" s="47">
        <v>76</v>
      </c>
      <c r="CL434" s="47">
        <v>0</v>
      </c>
      <c r="CM434" s="47">
        <v>0</v>
      </c>
      <c r="CN434" s="47" t="s">
        <v>99</v>
      </c>
      <c r="CO434" s="47" t="s">
        <v>1107</v>
      </c>
      <c r="CP434" s="47" t="s">
        <v>100</v>
      </c>
      <c r="CQ434" s="47" t="s">
        <v>126</v>
      </c>
      <c r="CR434" s="48">
        <v>46225</v>
      </c>
      <c r="CT434" s="47" t="s">
        <v>782</v>
      </c>
    </row>
    <row r="435" spans="1:98" s="47" customFormat="1" x14ac:dyDescent="0.35">
      <c r="A435" s="46" t="s">
        <v>1056</v>
      </c>
      <c r="B435" s="46" t="s">
        <v>1109</v>
      </c>
      <c r="C435" s="47" t="s">
        <v>1057</v>
      </c>
      <c r="D435" s="47">
        <v>2021</v>
      </c>
      <c r="E435" s="66" t="s">
        <v>1058</v>
      </c>
      <c r="F435" s="66" t="s">
        <v>1059</v>
      </c>
      <c r="G435" s="47" t="s">
        <v>78</v>
      </c>
      <c r="H435" s="47">
        <v>1</v>
      </c>
      <c r="I435" s="47" t="s">
        <v>1060</v>
      </c>
      <c r="J435" s="47" t="s">
        <v>79</v>
      </c>
      <c r="K435" s="47">
        <v>28</v>
      </c>
      <c r="L435" s="47" t="s">
        <v>104</v>
      </c>
      <c r="M435" s="47" t="s">
        <v>380</v>
      </c>
      <c r="N435" s="47">
        <v>4.4000000000000003E-3</v>
      </c>
      <c r="O435" s="47">
        <v>2.0999999999999999E-3</v>
      </c>
      <c r="P435" s="92">
        <f t="shared" si="169"/>
        <v>2.0952380952380953</v>
      </c>
      <c r="Q435" s="47" t="s">
        <v>312</v>
      </c>
      <c r="R435" s="92">
        <f t="shared" si="170"/>
        <v>2.840000000000004E-4</v>
      </c>
      <c r="S435" s="92">
        <f t="shared" si="171"/>
        <v>8.5159999999999993E-3</v>
      </c>
      <c r="T435" s="47">
        <v>1</v>
      </c>
      <c r="U435" s="47">
        <v>12040</v>
      </c>
      <c r="V435" s="47" t="s">
        <v>312</v>
      </c>
      <c r="W435" s="47" t="s">
        <v>312</v>
      </c>
      <c r="X435" s="47">
        <f t="shared" si="175"/>
        <v>12040</v>
      </c>
      <c r="Y435" s="92">
        <f t="shared" si="172"/>
        <v>1.9091540650458854E-2</v>
      </c>
      <c r="Z435" s="92">
        <f t="shared" si="173"/>
        <v>9.1118716740826357E-3</v>
      </c>
      <c r="AA435" s="92">
        <f t="shared" si="176"/>
        <v>-1.9091540650458854E-2</v>
      </c>
      <c r="AB435" s="47" t="s">
        <v>81</v>
      </c>
      <c r="AC435" s="92">
        <f t="shared" si="177"/>
        <v>8.9188000000000003E-2</v>
      </c>
      <c r="AD435" s="92" cm="1">
        <f t="array" ref="AD435">_xlfn.IFS(
AND(L435="marginal_effect",M435="level"),N435*AN435/BF435,
AND(L435="marginal_effect",M435="sd (Y)"),N435*BH435*AN435/BF435,
AND(L435="marginal_effect",M435="sd (X)"),N435/AQ435*AN435/BF435,
AND(L435="semi_elasticity",M435="level"),N435*AN435,
AND(L435="semi_elasticity",M435="sd (Y)"),N435*AN435*BH435,
AND(L435="semi_elasticity",M435="sd (X)"),N435*AN435/AQ435,
AND(L435="level-log",M435="level"),N435/BF435,
AND(L435="level-log",M435="sd (X)"),N435/BF435/AQ435,
AND(L435="level-log",M435="sd (Y)"),N435/BF435*BH435,
AND(L435="elasticity",M435="level"),N435,
AND(L435="elasticity",M435="sd (X)"),N435/AQ435,
AND(L435="elasticity",M435="sd (Y)"),N435*BH435,
AND(L435="marginal_effect",M435="percent_of_mean"),N435*AN435/BF435/10)</f>
        <v>8.9188000000000003E-2</v>
      </c>
      <c r="AE435" s="51">
        <f t="shared" si="166"/>
        <v>1</v>
      </c>
      <c r="AF435" s="92">
        <f t="shared" si="178"/>
        <v>4.2566999999999994E-2</v>
      </c>
      <c r="AG435" s="92" cm="1">
        <f t="array" ref="AG435">_xlfn.IFS(
AND(L435="marginal_effect",M435="level"),O435*AN435/BF435,
AND(L435="marginal_effect",M435="sd (Y)"),O435*BH435*AN435/BF435,
AND(L435="marginal_effect",M435="sd (X)"),O435/AQ435*AN435/BF435,
AND(L435="semi_elasticity",M435="level"),O435*AN435,
AND(L435="semi_elasticity",M435="sd (Y)"),O435*AN435*BH435,
AND(L435="semi_elasticity",M435="sd (X)"),O435*AN435/AQ435,
AND(L435="level-log",M435="level"),O435/BF435,
AND(L435="level-log",M435="sd (X)"),O435/BF435/AQ435,
AND(L435="level-log",M435="sd (Y)"),O435/BF435*BH435,
AND(L435="elasticity",M435="level"),O435,
AND(L435="elasticity",M435="sd (X)"),O435/AQ435,
AND(L435="elasticity",M435="sd (Y)"),O435*BH435,
AND(L435="marginal_effect",M435="percent_of_mean"),O435*AN435/BF435/10)</f>
        <v>4.2566999999999994E-2</v>
      </c>
      <c r="AH435" s="51">
        <f t="shared" si="167"/>
        <v>1</v>
      </c>
      <c r="AI435" s="92">
        <f t="shared" si="179"/>
        <v>-8.9188000000000003E-2</v>
      </c>
      <c r="AJ435" s="47">
        <v>0</v>
      </c>
      <c r="AK435" s="47">
        <f t="shared" si="174"/>
        <v>1</v>
      </c>
      <c r="AL435" s="47" t="s">
        <v>131</v>
      </c>
      <c r="AM435" s="47" t="s">
        <v>410</v>
      </c>
      <c r="AN435" s="47">
        <v>20.27</v>
      </c>
      <c r="AO435" s="47">
        <v>0</v>
      </c>
      <c r="AP435" s="47">
        <f t="shared" si="168"/>
        <v>20.27</v>
      </c>
      <c r="AQ435" s="47">
        <v>14.08</v>
      </c>
      <c r="AR435" s="47">
        <v>0</v>
      </c>
      <c r="AS435" s="47">
        <v>150</v>
      </c>
      <c r="AT435" s="47" t="s">
        <v>83</v>
      </c>
      <c r="AU435" s="47" t="s">
        <v>109</v>
      </c>
      <c r="AV435" s="47" t="s">
        <v>133</v>
      </c>
      <c r="AW435" s="47" t="s">
        <v>85</v>
      </c>
      <c r="AX435" s="47" t="s">
        <v>86</v>
      </c>
      <c r="AY435" s="47">
        <v>0</v>
      </c>
      <c r="AZ435" s="47">
        <v>0</v>
      </c>
      <c r="BA435" s="47" t="s">
        <v>111</v>
      </c>
      <c r="BB435" s="47" t="s">
        <v>88</v>
      </c>
      <c r="BC435" s="47" t="s">
        <v>113</v>
      </c>
      <c r="BD435" s="47" t="s">
        <v>114</v>
      </c>
      <c r="BE435" s="47" t="s">
        <v>1142</v>
      </c>
      <c r="BF435" s="47">
        <v>65</v>
      </c>
      <c r="BG435" s="47">
        <v>0</v>
      </c>
      <c r="BH435" s="47" t="s">
        <v>312</v>
      </c>
      <c r="BI435" s="47" t="s">
        <v>312</v>
      </c>
      <c r="BJ435" s="47" t="s">
        <v>312</v>
      </c>
      <c r="BK435" s="47" t="s">
        <v>91</v>
      </c>
      <c r="BL435" s="47" t="s">
        <v>1065</v>
      </c>
      <c r="BM435" s="47">
        <v>1</v>
      </c>
      <c r="BN435" s="47" t="s">
        <v>428</v>
      </c>
      <c r="BO435" s="47" t="s">
        <v>1066</v>
      </c>
      <c r="BP435" s="47" t="s">
        <v>1067</v>
      </c>
      <c r="BQ435" s="47" t="s">
        <v>92</v>
      </c>
      <c r="BR435" s="47" t="s">
        <v>93</v>
      </c>
      <c r="BS435" s="47" t="s">
        <v>312</v>
      </c>
      <c r="BT435" s="47" t="s">
        <v>312</v>
      </c>
      <c r="BU435" s="67">
        <v>42005</v>
      </c>
      <c r="BV435" s="67">
        <v>43070</v>
      </c>
      <c r="BW435" s="47" t="s">
        <v>1068</v>
      </c>
      <c r="BX435" s="47" t="s">
        <v>95</v>
      </c>
      <c r="BY435" s="47" t="s">
        <v>748</v>
      </c>
      <c r="BZ435" s="47">
        <v>1</v>
      </c>
      <c r="CA435" s="47">
        <v>1</v>
      </c>
      <c r="CB435" s="47" t="s">
        <v>1089</v>
      </c>
      <c r="CC435" s="47" t="s">
        <v>1071</v>
      </c>
      <c r="CD435" s="47">
        <v>1</v>
      </c>
      <c r="CE435" s="47" t="s">
        <v>738</v>
      </c>
      <c r="CF435" s="47">
        <v>0</v>
      </c>
      <c r="CG435" s="47" t="s">
        <v>97</v>
      </c>
      <c r="CH435" s="47">
        <v>1</v>
      </c>
      <c r="CI435" s="47" t="s">
        <v>116</v>
      </c>
      <c r="CJ435" s="47" t="s">
        <v>98</v>
      </c>
      <c r="CK435" s="47">
        <v>76</v>
      </c>
      <c r="CL435" s="47">
        <v>0</v>
      </c>
      <c r="CM435" s="47">
        <v>0</v>
      </c>
      <c r="CN435" s="47" t="s">
        <v>99</v>
      </c>
      <c r="CO435" s="47" t="s">
        <v>1107</v>
      </c>
      <c r="CP435" s="47" t="s">
        <v>100</v>
      </c>
      <c r="CQ435" s="47" t="s">
        <v>126</v>
      </c>
      <c r="CR435" s="48">
        <v>46225</v>
      </c>
      <c r="CT435" s="47" t="s">
        <v>782</v>
      </c>
    </row>
    <row r="436" spans="1:98" s="47" customFormat="1" x14ac:dyDescent="0.35">
      <c r="A436" s="46" t="s">
        <v>1056</v>
      </c>
      <c r="B436" s="46" t="s">
        <v>1110</v>
      </c>
      <c r="C436" s="47" t="s">
        <v>1057</v>
      </c>
      <c r="D436" s="47">
        <v>2021</v>
      </c>
      <c r="E436" s="66" t="s">
        <v>1058</v>
      </c>
      <c r="F436" s="66" t="s">
        <v>1059</v>
      </c>
      <c r="G436" s="47" t="s">
        <v>78</v>
      </c>
      <c r="H436" s="47">
        <v>1</v>
      </c>
      <c r="I436" s="47" t="s">
        <v>1060</v>
      </c>
      <c r="J436" s="47" t="s">
        <v>79</v>
      </c>
      <c r="K436" s="47">
        <v>28</v>
      </c>
      <c r="L436" s="47" t="s">
        <v>104</v>
      </c>
      <c r="M436" s="47" t="s">
        <v>380</v>
      </c>
      <c r="N436" s="47">
        <v>3.3999999999999998E-3</v>
      </c>
      <c r="O436" s="47">
        <v>3.8E-3</v>
      </c>
      <c r="P436" s="92">
        <f t="shared" si="169"/>
        <v>0.89473684210526316</v>
      </c>
      <c r="Q436" s="47" t="s">
        <v>312</v>
      </c>
      <c r="R436" s="92">
        <f t="shared" si="170"/>
        <v>-4.0479999999999995E-3</v>
      </c>
      <c r="S436" s="92">
        <f t="shared" si="171"/>
        <v>1.0848E-2</v>
      </c>
      <c r="T436" s="47">
        <v>1</v>
      </c>
      <c r="U436" s="47">
        <v>12047</v>
      </c>
      <c r="V436" s="47" t="s">
        <v>312</v>
      </c>
      <c r="W436" s="47" t="s">
        <v>312</v>
      </c>
      <c r="X436" s="47">
        <f t="shared" si="175"/>
        <v>12047</v>
      </c>
      <c r="Y436" s="92">
        <f t="shared" si="172"/>
        <v>8.1515732551187946E-3</v>
      </c>
      <c r="Z436" s="92">
        <f t="shared" si="173"/>
        <v>9.1105818733680666E-3</v>
      </c>
      <c r="AA436" s="92">
        <f t="shared" si="176"/>
        <v>-8.1515732551187946E-3</v>
      </c>
      <c r="AB436" s="47" t="s">
        <v>81</v>
      </c>
      <c r="AC436" s="92">
        <f t="shared" si="177"/>
        <v>9.2921999999999991E-2</v>
      </c>
      <c r="AD436" s="92" cm="1">
        <f t="array" ref="AD436">_xlfn.IFS(
AND(L436="marginal_effect",M436="level"),N436*AN436/BF436,
AND(L436="marginal_effect",M436="sd (Y)"),N436*BH436*AN436/BF436,
AND(L436="marginal_effect",M436="sd (X)"),N436/AQ436*AN436/BF436,
AND(L436="semi_elasticity",M436="level"),N436*AN436,
AND(L436="semi_elasticity",M436="sd (Y)"),N436*AN436*BH436,
AND(L436="semi_elasticity",M436="sd (X)"),N436*AN436/AQ436,
AND(L436="level-log",M436="level"),N436/BF436,
AND(L436="level-log",M436="sd (X)"),N436/BF436/AQ436,
AND(L436="level-log",M436="sd (Y)"),N436/BF436*BH436,
AND(L436="elasticity",M436="level"),N436,
AND(L436="elasticity",M436="sd (X)"),N436/AQ436,
AND(L436="elasticity",M436="sd (Y)"),N436*BH436,
AND(L436="marginal_effect",M436="percent_of_mean"),N436*AN436/BF436/10)</f>
        <v>9.2921999999999991E-2</v>
      </c>
      <c r="AE436" s="51">
        <f t="shared" si="166"/>
        <v>1</v>
      </c>
      <c r="AF436" s="92">
        <f t="shared" si="178"/>
        <v>0.10385399999999999</v>
      </c>
      <c r="AG436" s="92" cm="1">
        <f t="array" ref="AG436">_xlfn.IFS(
AND(L436="marginal_effect",M436="level"),O436*AN436/BF436,
AND(L436="marginal_effect",M436="sd (Y)"),O436*BH436*AN436/BF436,
AND(L436="marginal_effect",M436="sd (X)"),O436/AQ436*AN436/BF436,
AND(L436="semi_elasticity",M436="level"),O436*AN436,
AND(L436="semi_elasticity",M436="sd (Y)"),O436*AN436*BH436,
AND(L436="semi_elasticity",M436="sd (X)"),O436*AN436/AQ436,
AND(L436="level-log",M436="level"),O436/BF436,
AND(L436="level-log",M436="sd (X)"),O436/BF436/AQ436,
AND(L436="level-log",M436="sd (Y)"),O436/BF436*BH436,
AND(L436="elasticity",M436="level"),O436,
AND(L436="elasticity",M436="sd (X)"),O436/AQ436,
AND(L436="elasticity",M436="sd (Y)"),O436*BH436,
AND(L436="marginal_effect",M436="percent_of_mean"),O436*AN436/BF436/10)</f>
        <v>0.10385399999999999</v>
      </c>
      <c r="AH436" s="51">
        <f t="shared" si="167"/>
        <v>1</v>
      </c>
      <c r="AI436" s="92">
        <f t="shared" si="179"/>
        <v>-9.2921999999999991E-2</v>
      </c>
      <c r="AJ436" s="47">
        <v>0</v>
      </c>
      <c r="AK436" s="47">
        <f t="shared" si="174"/>
        <v>1</v>
      </c>
      <c r="AL436" s="47" t="s">
        <v>148</v>
      </c>
      <c r="AM436" s="47" t="s">
        <v>410</v>
      </c>
      <c r="AN436" s="47">
        <v>27.33</v>
      </c>
      <c r="AO436" s="47">
        <v>0</v>
      </c>
      <c r="AP436" s="47">
        <f t="shared" si="168"/>
        <v>27.33</v>
      </c>
      <c r="AQ436" s="47">
        <v>24.83</v>
      </c>
      <c r="AR436" s="47">
        <v>1</v>
      </c>
      <c r="AS436" s="47">
        <v>210</v>
      </c>
      <c r="AT436" s="47" t="s">
        <v>83</v>
      </c>
      <c r="AU436" s="47" t="s">
        <v>109</v>
      </c>
      <c r="AV436" s="47" t="s">
        <v>133</v>
      </c>
      <c r="AW436" s="47" t="s">
        <v>85</v>
      </c>
      <c r="AX436" s="47" t="s">
        <v>86</v>
      </c>
      <c r="AY436" s="47">
        <v>0</v>
      </c>
      <c r="AZ436" s="47">
        <v>0</v>
      </c>
      <c r="BA436" s="47" t="s">
        <v>111</v>
      </c>
      <c r="BB436" s="47" t="s">
        <v>88</v>
      </c>
      <c r="BC436" s="47" t="s">
        <v>113</v>
      </c>
      <c r="BD436" s="47" t="s">
        <v>114</v>
      </c>
      <c r="BE436" s="47" t="s">
        <v>1142</v>
      </c>
      <c r="BF436" s="47">
        <v>65</v>
      </c>
      <c r="BG436" s="47">
        <v>0</v>
      </c>
      <c r="BH436" s="47" t="s">
        <v>312</v>
      </c>
      <c r="BI436" s="47" t="s">
        <v>312</v>
      </c>
      <c r="BJ436" s="47" t="s">
        <v>312</v>
      </c>
      <c r="BK436" s="47" t="s">
        <v>91</v>
      </c>
      <c r="BL436" s="47" t="s">
        <v>1065</v>
      </c>
      <c r="BM436" s="47">
        <v>1</v>
      </c>
      <c r="BN436" s="47" t="s">
        <v>428</v>
      </c>
      <c r="BO436" s="47" t="s">
        <v>1066</v>
      </c>
      <c r="BP436" s="47" t="s">
        <v>1067</v>
      </c>
      <c r="BQ436" s="47" t="s">
        <v>92</v>
      </c>
      <c r="BR436" s="47" t="s">
        <v>93</v>
      </c>
      <c r="BS436" s="47" t="s">
        <v>312</v>
      </c>
      <c r="BT436" s="47" t="s">
        <v>312</v>
      </c>
      <c r="BU436" s="67">
        <v>42005</v>
      </c>
      <c r="BV436" s="67">
        <v>43070</v>
      </c>
      <c r="BW436" s="47" t="s">
        <v>1068</v>
      </c>
      <c r="BX436" s="47" t="s">
        <v>95</v>
      </c>
      <c r="BY436" s="47" t="s">
        <v>748</v>
      </c>
      <c r="BZ436" s="47">
        <v>1</v>
      </c>
      <c r="CA436" s="47">
        <v>1</v>
      </c>
      <c r="CB436" s="47" t="s">
        <v>1089</v>
      </c>
      <c r="CC436" s="47" t="s">
        <v>1071</v>
      </c>
      <c r="CD436" s="47">
        <v>1</v>
      </c>
      <c r="CE436" s="47" t="s">
        <v>738</v>
      </c>
      <c r="CF436" s="47">
        <v>0</v>
      </c>
      <c r="CG436" s="47" t="s">
        <v>97</v>
      </c>
      <c r="CH436" s="47">
        <v>1</v>
      </c>
      <c r="CI436" s="47" t="s">
        <v>116</v>
      </c>
      <c r="CJ436" s="47" t="s">
        <v>98</v>
      </c>
      <c r="CK436" s="47">
        <v>76</v>
      </c>
      <c r="CL436" s="47">
        <v>0</v>
      </c>
      <c r="CM436" s="47">
        <v>0</v>
      </c>
      <c r="CN436" s="47" t="s">
        <v>99</v>
      </c>
      <c r="CO436" s="47" t="s">
        <v>1107</v>
      </c>
      <c r="CP436" s="47" t="s">
        <v>100</v>
      </c>
      <c r="CQ436" s="47" t="s">
        <v>126</v>
      </c>
      <c r="CR436" s="48">
        <v>46225</v>
      </c>
      <c r="CT436" s="47" t="s">
        <v>782</v>
      </c>
    </row>
    <row r="437" spans="1:98" s="47" customFormat="1" x14ac:dyDescent="0.35">
      <c r="A437" s="46" t="s">
        <v>1056</v>
      </c>
      <c r="B437" s="46" t="s">
        <v>1111</v>
      </c>
      <c r="C437" s="47" t="s">
        <v>1057</v>
      </c>
      <c r="D437" s="47">
        <v>2021</v>
      </c>
      <c r="E437" s="66" t="s">
        <v>1058</v>
      </c>
      <c r="F437" s="66" t="s">
        <v>1059</v>
      </c>
      <c r="G437" s="47" t="s">
        <v>78</v>
      </c>
      <c r="H437" s="47">
        <v>1</v>
      </c>
      <c r="I437" s="47" t="s">
        <v>1060</v>
      </c>
      <c r="J437" s="47" t="s">
        <v>79</v>
      </c>
      <c r="K437" s="47">
        <v>28</v>
      </c>
      <c r="L437" s="47" t="s">
        <v>104</v>
      </c>
      <c r="M437" s="47" t="s">
        <v>380</v>
      </c>
      <c r="N437" s="47">
        <v>3.5999999999999999E-3</v>
      </c>
      <c r="O437" s="47">
        <v>2.3999999999999998E-3</v>
      </c>
      <c r="P437" s="92">
        <f t="shared" si="169"/>
        <v>1.5</v>
      </c>
      <c r="Q437" s="47" t="s">
        <v>312</v>
      </c>
      <c r="R437" s="92">
        <f t="shared" si="170"/>
        <v>-1.1039999999999999E-3</v>
      </c>
      <c r="S437" s="92">
        <f t="shared" si="171"/>
        <v>8.3039999999999989E-3</v>
      </c>
      <c r="T437" s="47">
        <v>1</v>
      </c>
      <c r="U437" s="47">
        <v>11258</v>
      </c>
      <c r="V437" s="47" t="s">
        <v>312</v>
      </c>
      <c r="W437" s="47" t="s">
        <v>312</v>
      </c>
      <c r="X437" s="47">
        <f t="shared" si="175"/>
        <v>11258</v>
      </c>
      <c r="Y437" s="92">
        <f t="shared" si="172"/>
        <v>1.4135697494334685E-2</v>
      </c>
      <c r="Z437" s="92">
        <f t="shared" si="173"/>
        <v>9.4237983295564574E-3</v>
      </c>
      <c r="AA437" s="92">
        <f t="shared" si="176"/>
        <v>-1.4135697494334685E-2</v>
      </c>
      <c r="AB437" s="47" t="s">
        <v>81</v>
      </c>
      <c r="AC437" s="92">
        <f t="shared" si="177"/>
        <v>8.2404000000000005E-2</v>
      </c>
      <c r="AD437" s="92" cm="1">
        <f t="array" ref="AD437">_xlfn.IFS(
AND(L437="marginal_effect",M437="level"),N437*AN437/BF437,
AND(L437="marginal_effect",M437="sd (Y)"),N437*BH437*AN437/BF437,
AND(L437="marginal_effect",M437="sd (X)"),N437/AQ437*AN437/BF437,
AND(L437="semi_elasticity",M437="level"),N437*AN437,
AND(L437="semi_elasticity",M437="sd (Y)"),N437*AN437*BH437,
AND(L437="semi_elasticity",M437="sd (X)"),N437*AN437/AQ437,
AND(L437="level-log",M437="level"),N437/BF437,
AND(L437="level-log",M437="sd (X)"),N437/BF437/AQ437,
AND(L437="level-log",M437="sd (Y)"),N437/BF437*BH437,
AND(L437="elasticity",M437="level"),N437,
AND(L437="elasticity",M437="sd (X)"),N437/AQ437,
AND(L437="elasticity",M437="sd (Y)"),N437*BH437,
AND(L437="marginal_effect",M437="percent_of_mean"),N437*AN437/BF437/10)</f>
        <v>8.2404000000000005E-2</v>
      </c>
      <c r="AE437" s="51">
        <f t="shared" si="166"/>
        <v>1</v>
      </c>
      <c r="AF437" s="92">
        <f t="shared" si="178"/>
        <v>5.4935999999999999E-2</v>
      </c>
      <c r="AG437" s="92" cm="1">
        <f t="array" ref="AG437">_xlfn.IFS(
AND(L437="marginal_effect",M437="level"),O437*AN437/BF437,
AND(L437="marginal_effect",M437="sd (Y)"),O437*BH437*AN437/BF437,
AND(L437="marginal_effect",M437="sd (X)"),O437/AQ437*AN437/BF437,
AND(L437="semi_elasticity",M437="level"),O437*AN437,
AND(L437="semi_elasticity",M437="sd (Y)"),O437*AN437*BH437,
AND(L437="semi_elasticity",M437="sd (X)"),O437*AN437/AQ437,
AND(L437="level-log",M437="level"),O437/BF437,
AND(L437="level-log",M437="sd (X)"),O437/BF437/AQ437,
AND(L437="level-log",M437="sd (Y)"),O437/BF437*BH437,
AND(L437="elasticity",M437="level"),O437,
AND(L437="elasticity",M437="sd (X)"),O437/AQ437,
AND(L437="elasticity",M437="sd (Y)"),O437*BH437,
AND(L437="marginal_effect",M437="percent_of_mean"),O437*AN437/BF437/10)</f>
        <v>5.4935999999999999E-2</v>
      </c>
      <c r="AH437" s="51">
        <f t="shared" si="167"/>
        <v>1</v>
      </c>
      <c r="AI437" s="92">
        <f t="shared" si="179"/>
        <v>-8.2404000000000005E-2</v>
      </c>
      <c r="AJ437" s="47">
        <v>0</v>
      </c>
      <c r="AK437" s="47">
        <f t="shared" si="174"/>
        <v>1</v>
      </c>
      <c r="AL437" s="47" t="s">
        <v>82</v>
      </c>
      <c r="AM437" s="47" t="s">
        <v>1333</v>
      </c>
      <c r="AN437" s="47">
        <v>22.89</v>
      </c>
      <c r="AO437" s="47">
        <v>0</v>
      </c>
      <c r="AP437" s="47">
        <f t="shared" si="168"/>
        <v>22.89</v>
      </c>
      <c r="AQ437" s="47">
        <v>16.149999999999999</v>
      </c>
      <c r="AR437" s="47">
        <v>0</v>
      </c>
      <c r="AS437" s="47">
        <v>698</v>
      </c>
      <c r="AT437" s="47" t="s">
        <v>83</v>
      </c>
      <c r="AU437" s="47" t="s">
        <v>109</v>
      </c>
      <c r="AV437" s="47" t="s">
        <v>133</v>
      </c>
      <c r="AW437" s="47" t="s">
        <v>85</v>
      </c>
      <c r="AX437" s="47" t="s">
        <v>86</v>
      </c>
      <c r="AY437" s="47">
        <v>0</v>
      </c>
      <c r="AZ437" s="47">
        <v>0</v>
      </c>
      <c r="BA437" s="47" t="s">
        <v>111</v>
      </c>
      <c r="BB437" s="47" t="s">
        <v>88</v>
      </c>
      <c r="BC437" s="47" t="s">
        <v>113</v>
      </c>
      <c r="BD437" s="47" t="s">
        <v>114</v>
      </c>
      <c r="BE437" s="47" t="s">
        <v>1142</v>
      </c>
      <c r="BF437" s="47">
        <v>65</v>
      </c>
      <c r="BG437" s="47">
        <v>0</v>
      </c>
      <c r="BH437" s="47" t="s">
        <v>312</v>
      </c>
      <c r="BI437" s="47" t="s">
        <v>312</v>
      </c>
      <c r="BJ437" s="47" t="s">
        <v>312</v>
      </c>
      <c r="BK437" s="47" t="s">
        <v>91</v>
      </c>
      <c r="BL437" s="47" t="s">
        <v>1065</v>
      </c>
      <c r="BM437" s="47">
        <v>1</v>
      </c>
      <c r="BN437" s="47" t="s">
        <v>428</v>
      </c>
      <c r="BO437" s="47" t="s">
        <v>1066</v>
      </c>
      <c r="BP437" s="47" t="s">
        <v>1067</v>
      </c>
      <c r="BQ437" s="47" t="s">
        <v>92</v>
      </c>
      <c r="BR437" s="47" t="s">
        <v>93</v>
      </c>
      <c r="BS437" s="47" t="s">
        <v>312</v>
      </c>
      <c r="BT437" s="47" t="s">
        <v>312</v>
      </c>
      <c r="BU437" s="67">
        <v>42005</v>
      </c>
      <c r="BV437" s="67">
        <v>43070</v>
      </c>
      <c r="BW437" s="47" t="s">
        <v>1068</v>
      </c>
      <c r="BX437" s="47" t="s">
        <v>95</v>
      </c>
      <c r="BY437" s="47" t="s">
        <v>748</v>
      </c>
      <c r="BZ437" s="47">
        <v>1</v>
      </c>
      <c r="CA437" s="47">
        <v>1</v>
      </c>
      <c r="CB437" s="47" t="s">
        <v>1089</v>
      </c>
      <c r="CC437" s="47" t="s">
        <v>1071</v>
      </c>
      <c r="CD437" s="47">
        <v>1</v>
      </c>
      <c r="CE437" s="47" t="s">
        <v>738</v>
      </c>
      <c r="CF437" s="47">
        <v>0</v>
      </c>
      <c r="CG437" s="47" t="s">
        <v>97</v>
      </c>
      <c r="CH437" s="47">
        <v>1</v>
      </c>
      <c r="CI437" s="47" t="s">
        <v>116</v>
      </c>
      <c r="CJ437" s="47" t="s">
        <v>98</v>
      </c>
      <c r="CK437" s="47">
        <v>76</v>
      </c>
      <c r="CL437" s="47">
        <v>0</v>
      </c>
      <c r="CM437" s="47">
        <v>0</v>
      </c>
      <c r="CN437" s="47" t="s">
        <v>99</v>
      </c>
      <c r="CO437" s="47" t="s">
        <v>1107</v>
      </c>
      <c r="CP437" s="47" t="s">
        <v>100</v>
      </c>
      <c r="CQ437" s="47" t="s">
        <v>126</v>
      </c>
      <c r="CR437" s="48">
        <v>46225</v>
      </c>
      <c r="CT437" s="47" t="s">
        <v>782</v>
      </c>
    </row>
    <row r="438" spans="1:98" s="47" customFormat="1" x14ac:dyDescent="0.35">
      <c r="A438" s="46" t="s">
        <v>1056</v>
      </c>
      <c r="B438" s="46" t="s">
        <v>1112</v>
      </c>
      <c r="C438" s="47" t="s">
        <v>1057</v>
      </c>
      <c r="D438" s="47">
        <v>2021</v>
      </c>
      <c r="E438" s="66" t="s">
        <v>1058</v>
      </c>
      <c r="F438" s="66" t="s">
        <v>1059</v>
      </c>
      <c r="G438" s="47" t="s">
        <v>78</v>
      </c>
      <c r="H438" s="47">
        <v>1</v>
      </c>
      <c r="I438" s="47" t="s">
        <v>1060</v>
      </c>
      <c r="J438" s="47" t="s">
        <v>79</v>
      </c>
      <c r="K438" s="47">
        <v>28</v>
      </c>
      <c r="L438" s="47" t="s">
        <v>104</v>
      </c>
      <c r="M438" s="47" t="s">
        <v>380</v>
      </c>
      <c r="N438" s="47">
        <v>0</v>
      </c>
      <c r="O438" s="47">
        <v>1E-4</v>
      </c>
      <c r="P438" s="92">
        <f t="shared" si="169"/>
        <v>0</v>
      </c>
      <c r="Q438" s="47" t="s">
        <v>312</v>
      </c>
      <c r="R438" s="92">
        <f t="shared" si="170"/>
        <v>-1.9599999999999999E-4</v>
      </c>
      <c r="S438" s="92">
        <f t="shared" si="171"/>
        <v>1.9599999999999999E-4</v>
      </c>
      <c r="T438" s="47">
        <v>1</v>
      </c>
      <c r="U438" s="47">
        <v>12037</v>
      </c>
      <c r="V438" s="47" t="s">
        <v>312</v>
      </c>
      <c r="W438" s="47" t="s">
        <v>312</v>
      </c>
      <c r="X438" s="47">
        <f t="shared" si="175"/>
        <v>12037</v>
      </c>
      <c r="Y438" s="92">
        <f t="shared" si="172"/>
        <v>0</v>
      </c>
      <c r="Z438" s="92">
        <f t="shared" si="173"/>
        <v>9.1146683263304412E-3</v>
      </c>
      <c r="AA438" s="92">
        <f t="shared" si="176"/>
        <v>0</v>
      </c>
      <c r="AB438" s="47" t="s">
        <v>81</v>
      </c>
      <c r="AC438" s="92">
        <f t="shared" si="177"/>
        <v>0</v>
      </c>
      <c r="AD438" s="92" cm="1">
        <f t="array" ref="AD438">_xlfn.IFS(
AND(L438="marginal_effect",M438="level"),N438*AN438/BF438,
AND(L438="marginal_effect",M438="sd (Y)"),N438*BH438*AN438/BF438,
AND(L438="marginal_effect",M438="sd (X)"),N438/AQ438*AN438/BF438,
AND(L438="semi_elasticity",M438="level"),N438*AN438,
AND(L438="semi_elasticity",M438="sd (Y)"),N438*AN438*BH438,
AND(L438="semi_elasticity",M438="sd (X)"),N438*AN438/AQ438,
AND(L438="level-log",M438="level"),N438/BF438,
AND(L438="level-log",M438="sd (X)"),N438/BF438/AQ438,
AND(L438="level-log",M438="sd (Y)"),N438/BF438*BH438,
AND(L438="elasticity",M438="level"),N438,
AND(L438="elasticity",M438="sd (X)"),N438/AQ438,
AND(L438="elasticity",M438="sd (Y)"),N438*BH438,
AND(L438="marginal_effect",M438="percent_of_mean"),N438*AN438/BF438/10)</f>
        <v>0</v>
      </c>
      <c r="AE438" s="51">
        <f t="shared" si="166"/>
        <v>1</v>
      </c>
      <c r="AF438" s="92">
        <f t="shared" si="178"/>
        <v>6.9999999999999994E-5</v>
      </c>
      <c r="AG438" s="92" cm="1">
        <f t="array" ref="AG438">_xlfn.IFS(
AND(L438="marginal_effect",M438="level"),O438*AN438/BF438,
AND(L438="marginal_effect",M438="sd (Y)"),O438*BH438*AN438/BF438,
AND(L438="marginal_effect",M438="sd (X)"),O438/AQ438*AN438/BF438,
AND(L438="semi_elasticity",M438="level"),O438*AN438,
AND(L438="semi_elasticity",M438="sd (Y)"),O438*AN438*BH438,
AND(L438="semi_elasticity",M438="sd (X)"),O438*AN438/AQ438,
AND(L438="level-log",M438="level"),O438/BF438,
AND(L438="level-log",M438="sd (X)"),O438/BF438/AQ438,
AND(L438="level-log",M438="sd (Y)"),O438/BF438*BH438,
AND(L438="elasticity",M438="level"),O438,
AND(L438="elasticity",M438="sd (X)"),O438/AQ438,
AND(L438="elasticity",M438="sd (Y)"),O438*BH438,
AND(L438="marginal_effect",M438="percent_of_mean"),O438*AN438/BF438/10)</f>
        <v>6.9999999999999994E-5</v>
      </c>
      <c r="AH438" s="51">
        <f t="shared" si="167"/>
        <v>1</v>
      </c>
      <c r="AI438" s="92">
        <f t="shared" si="179"/>
        <v>0</v>
      </c>
      <c r="AJ438" s="47">
        <v>0</v>
      </c>
      <c r="AK438" s="47">
        <f t="shared" si="174"/>
        <v>1</v>
      </c>
      <c r="AL438" s="47" t="s">
        <v>162</v>
      </c>
      <c r="AM438" s="47" t="s">
        <v>590</v>
      </c>
      <c r="AN438" s="47">
        <v>0.7</v>
      </c>
      <c r="AO438" s="47">
        <v>0</v>
      </c>
      <c r="AP438" s="47">
        <f t="shared" si="168"/>
        <v>0.7</v>
      </c>
      <c r="AQ438" s="47">
        <v>0.66</v>
      </c>
      <c r="AR438" s="47">
        <v>0</v>
      </c>
      <c r="AS438" s="47">
        <v>12.76</v>
      </c>
      <c r="AT438" s="47" t="s">
        <v>83</v>
      </c>
      <c r="AU438" s="47" t="s">
        <v>109</v>
      </c>
      <c r="AV438" s="47" t="s">
        <v>133</v>
      </c>
      <c r="AW438" s="47" t="s">
        <v>85</v>
      </c>
      <c r="AX438" s="47" t="s">
        <v>86</v>
      </c>
      <c r="AY438" s="47">
        <v>0</v>
      </c>
      <c r="AZ438" s="47">
        <v>0</v>
      </c>
      <c r="BA438" s="47" t="s">
        <v>111</v>
      </c>
      <c r="BB438" s="47" t="s">
        <v>88</v>
      </c>
      <c r="BC438" s="47" t="s">
        <v>113</v>
      </c>
      <c r="BD438" s="47" t="s">
        <v>114</v>
      </c>
      <c r="BE438" s="47" t="s">
        <v>1142</v>
      </c>
      <c r="BF438" s="47">
        <v>65</v>
      </c>
      <c r="BG438" s="47">
        <v>0</v>
      </c>
      <c r="BH438" s="47" t="s">
        <v>312</v>
      </c>
      <c r="BI438" s="47" t="s">
        <v>312</v>
      </c>
      <c r="BJ438" s="47" t="s">
        <v>312</v>
      </c>
      <c r="BK438" s="47" t="s">
        <v>91</v>
      </c>
      <c r="BL438" s="47" t="s">
        <v>1065</v>
      </c>
      <c r="BM438" s="47">
        <v>1</v>
      </c>
      <c r="BN438" s="47" t="s">
        <v>428</v>
      </c>
      <c r="BO438" s="47" t="s">
        <v>1066</v>
      </c>
      <c r="BP438" s="47" t="s">
        <v>1067</v>
      </c>
      <c r="BQ438" s="47" t="s">
        <v>92</v>
      </c>
      <c r="BR438" s="47" t="s">
        <v>93</v>
      </c>
      <c r="BS438" s="47" t="s">
        <v>312</v>
      </c>
      <c r="BT438" s="47" t="s">
        <v>312</v>
      </c>
      <c r="BU438" s="67">
        <v>42005</v>
      </c>
      <c r="BV438" s="67">
        <v>43070</v>
      </c>
      <c r="BW438" s="47" t="s">
        <v>1068</v>
      </c>
      <c r="BX438" s="47" t="s">
        <v>95</v>
      </c>
      <c r="BY438" s="47" t="s">
        <v>748</v>
      </c>
      <c r="BZ438" s="47">
        <v>1</v>
      </c>
      <c r="CA438" s="47">
        <v>1</v>
      </c>
      <c r="CB438" s="47" t="s">
        <v>1089</v>
      </c>
      <c r="CC438" s="47" t="s">
        <v>1071</v>
      </c>
      <c r="CD438" s="47">
        <v>1</v>
      </c>
      <c r="CE438" s="47" t="s">
        <v>738</v>
      </c>
      <c r="CF438" s="47">
        <v>0</v>
      </c>
      <c r="CG438" s="47" t="s">
        <v>97</v>
      </c>
      <c r="CH438" s="47">
        <v>1</v>
      </c>
      <c r="CI438" s="47" t="s">
        <v>116</v>
      </c>
      <c r="CJ438" s="47" t="s">
        <v>98</v>
      </c>
      <c r="CK438" s="47">
        <v>76</v>
      </c>
      <c r="CL438" s="47">
        <v>0</v>
      </c>
      <c r="CM438" s="47">
        <v>0</v>
      </c>
      <c r="CN438" s="47" t="s">
        <v>99</v>
      </c>
      <c r="CO438" s="47" t="s">
        <v>1107</v>
      </c>
      <c r="CP438" s="47" t="s">
        <v>100</v>
      </c>
      <c r="CQ438" s="47" t="s">
        <v>126</v>
      </c>
      <c r="CR438" s="48">
        <v>46225</v>
      </c>
      <c r="CT438" s="47" t="s">
        <v>783</v>
      </c>
    </row>
    <row r="439" spans="1:98" s="47" customFormat="1" x14ac:dyDescent="0.35">
      <c r="A439" s="46" t="s">
        <v>1056</v>
      </c>
      <c r="B439" s="46" t="s">
        <v>1113</v>
      </c>
      <c r="C439" s="47" t="s">
        <v>1057</v>
      </c>
      <c r="D439" s="47">
        <v>2021</v>
      </c>
      <c r="E439" s="66" t="s">
        <v>1058</v>
      </c>
      <c r="F439" s="66" t="s">
        <v>1059</v>
      </c>
      <c r="G439" s="47" t="s">
        <v>78</v>
      </c>
      <c r="H439" s="47">
        <v>1</v>
      </c>
      <c r="I439" s="47" t="s">
        <v>1060</v>
      </c>
      <c r="J439" s="47" t="s">
        <v>79</v>
      </c>
      <c r="K439" s="47">
        <v>28</v>
      </c>
      <c r="L439" s="47" t="s">
        <v>104</v>
      </c>
      <c r="M439" s="47" t="s">
        <v>380</v>
      </c>
      <c r="N439" s="47">
        <v>3.8E-3</v>
      </c>
      <c r="O439" s="47">
        <v>1.9E-3</v>
      </c>
      <c r="P439" s="92">
        <f t="shared" si="169"/>
        <v>2</v>
      </c>
      <c r="Q439" s="47" t="s">
        <v>312</v>
      </c>
      <c r="R439" s="92">
        <f t="shared" si="170"/>
        <v>7.6000000000000113E-5</v>
      </c>
      <c r="S439" s="92">
        <f t="shared" si="171"/>
        <v>7.5239999999999994E-3</v>
      </c>
      <c r="T439" s="47">
        <v>1</v>
      </c>
      <c r="U439" s="47">
        <v>12040</v>
      </c>
      <c r="V439" s="47" t="s">
        <v>312</v>
      </c>
      <c r="W439" s="47" t="s">
        <v>312</v>
      </c>
      <c r="X439" s="47">
        <f t="shared" si="175"/>
        <v>12040</v>
      </c>
      <c r="Y439" s="92">
        <f t="shared" si="172"/>
        <v>1.8224038416896644E-2</v>
      </c>
      <c r="Z439" s="92">
        <f t="shared" si="173"/>
        <v>9.1120192084483218E-3</v>
      </c>
      <c r="AA439" s="92">
        <f t="shared" si="176"/>
        <v>-1.8224038416896644E-2</v>
      </c>
      <c r="AB439" s="47" t="s">
        <v>81</v>
      </c>
      <c r="AC439" s="92">
        <f t="shared" si="177"/>
        <v>7.7025999999999997E-2</v>
      </c>
      <c r="AD439" s="92" cm="1">
        <f t="array" ref="AD439">_xlfn.IFS(
AND(L439="marginal_effect",M439="level"),N439*AN439/BF439,
AND(L439="marginal_effect",M439="sd (Y)"),N439*BH439*AN439/BF439,
AND(L439="marginal_effect",M439="sd (X)"),N439/AQ439*AN439/BF439,
AND(L439="semi_elasticity",M439="level"),N439*AN439,
AND(L439="semi_elasticity",M439="sd (Y)"),N439*AN439*BH439,
AND(L439="semi_elasticity",M439="sd (X)"),N439*AN439/AQ439,
AND(L439="level-log",M439="level"),N439/BF439,
AND(L439="level-log",M439="sd (X)"),N439/BF439/AQ439,
AND(L439="level-log",M439="sd (Y)"),N439/BF439*BH439,
AND(L439="elasticity",M439="level"),N439,
AND(L439="elasticity",M439="sd (X)"),N439/AQ439,
AND(L439="elasticity",M439="sd (Y)"),N439*BH439,
AND(L439="marginal_effect",M439="percent_of_mean"),N439*AN439/BF439/10)</f>
        <v>7.7025999999999997E-2</v>
      </c>
      <c r="AE439" s="51">
        <f t="shared" si="166"/>
        <v>1</v>
      </c>
      <c r="AF439" s="92">
        <f t="shared" si="178"/>
        <v>3.8512999999999999E-2</v>
      </c>
      <c r="AG439" s="92" cm="1">
        <f t="array" ref="AG439">_xlfn.IFS(
AND(L439="marginal_effect",M439="level"),O439*AN439/BF439,
AND(L439="marginal_effect",M439="sd (Y)"),O439*BH439*AN439/BF439,
AND(L439="marginal_effect",M439="sd (X)"),O439/AQ439*AN439/BF439,
AND(L439="semi_elasticity",M439="level"),O439*AN439,
AND(L439="semi_elasticity",M439="sd (Y)"),O439*AN439*BH439,
AND(L439="semi_elasticity",M439="sd (X)"),O439*AN439/AQ439,
AND(L439="level-log",M439="level"),O439/BF439,
AND(L439="level-log",M439="sd (X)"),O439/BF439/AQ439,
AND(L439="level-log",M439="sd (Y)"),O439/BF439*BH439,
AND(L439="elasticity",M439="level"),O439,
AND(L439="elasticity",M439="sd (X)"),O439/AQ439,
AND(L439="elasticity",M439="sd (Y)"),O439*BH439,
AND(L439="marginal_effect",M439="percent_of_mean"),O439*AN439/BF439/10)</f>
        <v>3.8512999999999999E-2</v>
      </c>
      <c r="AH439" s="51">
        <f t="shared" si="167"/>
        <v>1</v>
      </c>
      <c r="AI439" s="92">
        <f t="shared" si="179"/>
        <v>-7.7025999999999997E-2</v>
      </c>
      <c r="AJ439" s="47">
        <v>0</v>
      </c>
      <c r="AK439" s="47">
        <f t="shared" si="174"/>
        <v>1</v>
      </c>
      <c r="AL439" s="47" t="s">
        <v>131</v>
      </c>
      <c r="AM439" s="47" t="s">
        <v>410</v>
      </c>
      <c r="AN439" s="47">
        <v>20.27</v>
      </c>
      <c r="AO439" s="47">
        <v>0</v>
      </c>
      <c r="AP439" s="47">
        <f t="shared" si="168"/>
        <v>20.27</v>
      </c>
      <c r="AQ439" s="47">
        <v>14.08</v>
      </c>
      <c r="AR439" s="47">
        <v>0</v>
      </c>
      <c r="AS439" s="47">
        <v>150</v>
      </c>
      <c r="AT439" s="47" t="s">
        <v>83</v>
      </c>
      <c r="AU439" s="47" t="s">
        <v>109</v>
      </c>
      <c r="AV439" s="47" t="s">
        <v>133</v>
      </c>
      <c r="AW439" s="47" t="s">
        <v>85</v>
      </c>
      <c r="AX439" s="47" t="s">
        <v>86</v>
      </c>
      <c r="AY439" s="47">
        <v>0</v>
      </c>
      <c r="AZ439" s="47">
        <v>0</v>
      </c>
      <c r="BA439" s="47" t="s">
        <v>111</v>
      </c>
      <c r="BB439" s="47" t="s">
        <v>88</v>
      </c>
      <c r="BC439" s="47" t="s">
        <v>113</v>
      </c>
      <c r="BD439" s="47" t="s">
        <v>114</v>
      </c>
      <c r="BE439" s="47" t="s">
        <v>1142</v>
      </c>
      <c r="BF439" s="47">
        <v>65</v>
      </c>
      <c r="BG439" s="47">
        <v>0</v>
      </c>
      <c r="BH439" s="47" t="s">
        <v>312</v>
      </c>
      <c r="BI439" s="47" t="s">
        <v>312</v>
      </c>
      <c r="BJ439" s="47" t="s">
        <v>312</v>
      </c>
      <c r="BK439" s="47" t="s">
        <v>91</v>
      </c>
      <c r="BL439" s="47" t="s">
        <v>1065</v>
      </c>
      <c r="BM439" s="47">
        <v>1</v>
      </c>
      <c r="BN439" s="47" t="s">
        <v>428</v>
      </c>
      <c r="BO439" s="47" t="s">
        <v>1066</v>
      </c>
      <c r="BP439" s="47" t="s">
        <v>1067</v>
      </c>
      <c r="BQ439" s="47" t="s">
        <v>92</v>
      </c>
      <c r="BR439" s="47" t="s">
        <v>93</v>
      </c>
      <c r="BS439" s="47" t="s">
        <v>312</v>
      </c>
      <c r="BT439" s="47" t="s">
        <v>312</v>
      </c>
      <c r="BU439" s="67">
        <v>42005</v>
      </c>
      <c r="BV439" s="67">
        <v>43070</v>
      </c>
      <c r="BW439" s="47" t="s">
        <v>1068</v>
      </c>
      <c r="BX439" s="47" t="s">
        <v>95</v>
      </c>
      <c r="BY439" s="47" t="s">
        <v>748</v>
      </c>
      <c r="BZ439" s="47">
        <v>1</v>
      </c>
      <c r="CA439" s="47">
        <v>1</v>
      </c>
      <c r="CB439" s="47" t="s">
        <v>1089</v>
      </c>
      <c r="CC439" s="47" t="s">
        <v>1071</v>
      </c>
      <c r="CD439" s="47">
        <v>1</v>
      </c>
      <c r="CE439" s="47" t="s">
        <v>738</v>
      </c>
      <c r="CF439" s="47">
        <v>0</v>
      </c>
      <c r="CG439" s="47" t="s">
        <v>97</v>
      </c>
      <c r="CH439" s="47">
        <v>1</v>
      </c>
      <c r="CI439" s="47" t="s">
        <v>116</v>
      </c>
      <c r="CJ439" s="47" t="s">
        <v>98</v>
      </c>
      <c r="CK439" s="47">
        <v>76</v>
      </c>
      <c r="CL439" s="47">
        <v>0</v>
      </c>
      <c r="CM439" s="47">
        <v>0</v>
      </c>
      <c r="CN439" s="47" t="s">
        <v>99</v>
      </c>
      <c r="CO439" s="47" t="s">
        <v>1107</v>
      </c>
      <c r="CP439" s="47" t="s">
        <v>100</v>
      </c>
      <c r="CQ439" s="47" t="s">
        <v>126</v>
      </c>
      <c r="CR439" s="48">
        <v>46225</v>
      </c>
      <c r="CT439" s="47" t="s">
        <v>783</v>
      </c>
    </row>
    <row r="440" spans="1:98" s="47" customFormat="1" x14ac:dyDescent="0.35">
      <c r="A440" s="46" t="s">
        <v>1056</v>
      </c>
      <c r="B440" s="46" t="s">
        <v>1114</v>
      </c>
      <c r="C440" s="47" t="s">
        <v>1057</v>
      </c>
      <c r="D440" s="47">
        <v>2021</v>
      </c>
      <c r="E440" s="66" t="s">
        <v>1058</v>
      </c>
      <c r="F440" s="66" t="s">
        <v>1059</v>
      </c>
      <c r="G440" s="47" t="s">
        <v>78</v>
      </c>
      <c r="H440" s="47">
        <v>1</v>
      </c>
      <c r="I440" s="47" t="s">
        <v>1060</v>
      </c>
      <c r="J440" s="47" t="s">
        <v>79</v>
      </c>
      <c r="K440" s="47">
        <v>28</v>
      </c>
      <c r="L440" s="47" t="s">
        <v>104</v>
      </c>
      <c r="M440" s="47" t="s">
        <v>380</v>
      </c>
      <c r="N440" s="47">
        <v>3.0999999999999999E-3</v>
      </c>
      <c r="O440" s="47">
        <v>3.7000000000000002E-3</v>
      </c>
      <c r="P440" s="92">
        <f t="shared" si="169"/>
        <v>0.83783783783783772</v>
      </c>
      <c r="Q440" s="47" t="s">
        <v>312</v>
      </c>
      <c r="R440" s="92">
        <f t="shared" si="170"/>
        <v>-4.1519999999999994E-3</v>
      </c>
      <c r="S440" s="92">
        <f t="shared" si="171"/>
        <v>1.0352E-2</v>
      </c>
      <c r="T440" s="47">
        <v>1</v>
      </c>
      <c r="U440" s="47">
        <v>12047</v>
      </c>
      <c r="V440" s="47" t="s">
        <v>312</v>
      </c>
      <c r="W440" s="47" t="s">
        <v>312</v>
      </c>
      <c r="X440" s="47">
        <f t="shared" si="175"/>
        <v>12047</v>
      </c>
      <c r="Y440" s="92">
        <f t="shared" si="172"/>
        <v>7.6332214479131006E-3</v>
      </c>
      <c r="Z440" s="92">
        <f t="shared" si="173"/>
        <v>9.1106191475091858E-3</v>
      </c>
      <c r="AA440" s="92">
        <f t="shared" si="176"/>
        <v>-7.6332214479131006E-3</v>
      </c>
      <c r="AB440" s="47" t="s">
        <v>81</v>
      </c>
      <c r="AC440" s="92">
        <f t="shared" si="177"/>
        <v>8.4722999999999993E-2</v>
      </c>
      <c r="AD440" s="92" cm="1">
        <f t="array" ref="AD440">_xlfn.IFS(
AND(L440="marginal_effect",M440="level"),N440*AN440/BF440,
AND(L440="marginal_effect",M440="sd (Y)"),N440*BH440*AN440/BF440,
AND(L440="marginal_effect",M440="sd (X)"),N440/AQ440*AN440/BF440,
AND(L440="semi_elasticity",M440="level"),N440*AN440,
AND(L440="semi_elasticity",M440="sd (Y)"),N440*AN440*BH440,
AND(L440="semi_elasticity",M440="sd (X)"),N440*AN440/AQ440,
AND(L440="level-log",M440="level"),N440/BF440,
AND(L440="level-log",M440="sd (X)"),N440/BF440/AQ440,
AND(L440="level-log",M440="sd (Y)"),N440/BF440*BH440,
AND(L440="elasticity",M440="level"),N440,
AND(L440="elasticity",M440="sd (X)"),N440/AQ440,
AND(L440="elasticity",M440="sd (Y)"),N440*BH440,
AND(L440="marginal_effect",M440="percent_of_mean"),N440*AN440/BF440/10)</f>
        <v>8.4722999999999993E-2</v>
      </c>
      <c r="AE440" s="51">
        <f t="shared" si="166"/>
        <v>1</v>
      </c>
      <c r="AF440" s="92">
        <f t="shared" si="178"/>
        <v>0.101121</v>
      </c>
      <c r="AG440" s="92" cm="1">
        <f t="array" ref="AG440">_xlfn.IFS(
AND(L440="marginal_effect",M440="level"),O440*AN440/BF440,
AND(L440="marginal_effect",M440="sd (Y)"),O440*BH440*AN440/BF440,
AND(L440="marginal_effect",M440="sd (X)"),O440/AQ440*AN440/BF440,
AND(L440="semi_elasticity",M440="level"),O440*AN440,
AND(L440="semi_elasticity",M440="sd (Y)"),O440*AN440*BH440,
AND(L440="semi_elasticity",M440="sd (X)"),O440*AN440/AQ440,
AND(L440="level-log",M440="level"),O440/BF440,
AND(L440="level-log",M440="sd (X)"),O440/BF440/AQ440,
AND(L440="level-log",M440="sd (Y)"),O440/BF440*BH440,
AND(L440="elasticity",M440="level"),O440,
AND(L440="elasticity",M440="sd (X)"),O440/AQ440,
AND(L440="elasticity",M440="sd (Y)"),O440*BH440,
AND(L440="marginal_effect",M440="percent_of_mean"),O440*AN440/BF440/10)</f>
        <v>0.101121</v>
      </c>
      <c r="AH440" s="51">
        <f t="shared" si="167"/>
        <v>1</v>
      </c>
      <c r="AI440" s="92">
        <f t="shared" si="179"/>
        <v>-8.4722999999999993E-2</v>
      </c>
      <c r="AJ440" s="47">
        <v>0</v>
      </c>
      <c r="AK440" s="47">
        <f t="shared" si="174"/>
        <v>1</v>
      </c>
      <c r="AL440" s="47" t="s">
        <v>148</v>
      </c>
      <c r="AM440" s="47" t="s">
        <v>410</v>
      </c>
      <c r="AN440" s="47">
        <v>27.33</v>
      </c>
      <c r="AO440" s="47">
        <v>0</v>
      </c>
      <c r="AP440" s="47">
        <f t="shared" si="168"/>
        <v>27.33</v>
      </c>
      <c r="AQ440" s="47">
        <v>24.83</v>
      </c>
      <c r="AR440" s="47">
        <v>1</v>
      </c>
      <c r="AS440" s="47">
        <v>210</v>
      </c>
      <c r="AT440" s="47" t="s">
        <v>83</v>
      </c>
      <c r="AU440" s="47" t="s">
        <v>109</v>
      </c>
      <c r="AV440" s="47" t="s">
        <v>133</v>
      </c>
      <c r="AW440" s="47" t="s">
        <v>85</v>
      </c>
      <c r="AX440" s="47" t="s">
        <v>86</v>
      </c>
      <c r="AY440" s="47">
        <v>0</v>
      </c>
      <c r="AZ440" s="47">
        <v>0</v>
      </c>
      <c r="BA440" s="47" t="s">
        <v>111</v>
      </c>
      <c r="BB440" s="47" t="s">
        <v>88</v>
      </c>
      <c r="BC440" s="47" t="s">
        <v>113</v>
      </c>
      <c r="BD440" s="47" t="s">
        <v>114</v>
      </c>
      <c r="BE440" s="47" t="s">
        <v>1142</v>
      </c>
      <c r="BF440" s="47">
        <v>65</v>
      </c>
      <c r="BG440" s="47">
        <v>0</v>
      </c>
      <c r="BH440" s="47" t="s">
        <v>312</v>
      </c>
      <c r="BI440" s="47" t="s">
        <v>312</v>
      </c>
      <c r="BJ440" s="47" t="s">
        <v>312</v>
      </c>
      <c r="BK440" s="47" t="s">
        <v>91</v>
      </c>
      <c r="BL440" s="47" t="s">
        <v>1065</v>
      </c>
      <c r="BM440" s="47">
        <v>1</v>
      </c>
      <c r="BN440" s="47" t="s">
        <v>428</v>
      </c>
      <c r="BO440" s="47" t="s">
        <v>1066</v>
      </c>
      <c r="BP440" s="47" t="s">
        <v>1067</v>
      </c>
      <c r="BQ440" s="47" t="s">
        <v>92</v>
      </c>
      <c r="BR440" s="47" t="s">
        <v>93</v>
      </c>
      <c r="BS440" s="47" t="s">
        <v>312</v>
      </c>
      <c r="BT440" s="47" t="s">
        <v>312</v>
      </c>
      <c r="BU440" s="67">
        <v>42005</v>
      </c>
      <c r="BV440" s="67">
        <v>43070</v>
      </c>
      <c r="BW440" s="47" t="s">
        <v>1068</v>
      </c>
      <c r="BX440" s="47" t="s">
        <v>95</v>
      </c>
      <c r="BY440" s="47" t="s">
        <v>748</v>
      </c>
      <c r="BZ440" s="47">
        <v>1</v>
      </c>
      <c r="CA440" s="47">
        <v>1</v>
      </c>
      <c r="CB440" s="47" t="s">
        <v>1089</v>
      </c>
      <c r="CC440" s="47" t="s">
        <v>1071</v>
      </c>
      <c r="CD440" s="47">
        <v>1</v>
      </c>
      <c r="CE440" s="47" t="s">
        <v>738</v>
      </c>
      <c r="CF440" s="47">
        <v>0</v>
      </c>
      <c r="CG440" s="47" t="s">
        <v>97</v>
      </c>
      <c r="CH440" s="47">
        <v>1</v>
      </c>
      <c r="CI440" s="47" t="s">
        <v>116</v>
      </c>
      <c r="CJ440" s="47" t="s">
        <v>98</v>
      </c>
      <c r="CK440" s="47">
        <v>76</v>
      </c>
      <c r="CL440" s="47">
        <v>0</v>
      </c>
      <c r="CM440" s="47">
        <v>0</v>
      </c>
      <c r="CN440" s="47" t="s">
        <v>99</v>
      </c>
      <c r="CO440" s="47" t="s">
        <v>1107</v>
      </c>
      <c r="CP440" s="47" t="s">
        <v>100</v>
      </c>
      <c r="CQ440" s="47" t="s">
        <v>126</v>
      </c>
      <c r="CR440" s="48">
        <v>46225</v>
      </c>
      <c r="CT440" s="47" t="s">
        <v>783</v>
      </c>
    </row>
    <row r="441" spans="1:98" s="47" customFormat="1" x14ac:dyDescent="0.35">
      <c r="A441" s="46" t="s">
        <v>1056</v>
      </c>
      <c r="B441" s="46" t="s">
        <v>1115</v>
      </c>
      <c r="C441" s="47" t="s">
        <v>1057</v>
      </c>
      <c r="D441" s="47">
        <v>2021</v>
      </c>
      <c r="E441" s="66" t="s">
        <v>1058</v>
      </c>
      <c r="F441" s="66" t="s">
        <v>1059</v>
      </c>
      <c r="G441" s="47" t="s">
        <v>78</v>
      </c>
      <c r="H441" s="47">
        <v>1</v>
      </c>
      <c r="I441" s="47" t="s">
        <v>1060</v>
      </c>
      <c r="J441" s="47" t="s">
        <v>79</v>
      </c>
      <c r="K441" s="47">
        <v>28</v>
      </c>
      <c r="L441" s="47" t="s">
        <v>104</v>
      </c>
      <c r="M441" s="47" t="s">
        <v>380</v>
      </c>
      <c r="N441" s="47">
        <v>5.1000000000000004E-3</v>
      </c>
      <c r="O441" s="47">
        <v>2.8E-3</v>
      </c>
      <c r="P441" s="92">
        <f t="shared" si="169"/>
        <v>1.8214285714285716</v>
      </c>
      <c r="Q441" s="47" t="s">
        <v>312</v>
      </c>
      <c r="R441" s="92">
        <f t="shared" si="170"/>
        <v>-3.8799999999999946E-4</v>
      </c>
      <c r="S441" s="92">
        <f t="shared" si="171"/>
        <v>1.0588E-2</v>
      </c>
      <c r="T441" s="47">
        <v>1</v>
      </c>
      <c r="U441" s="47">
        <v>11258</v>
      </c>
      <c r="V441" s="47" t="s">
        <v>312</v>
      </c>
      <c r="W441" s="47" t="s">
        <v>312</v>
      </c>
      <c r="X441" s="47">
        <f t="shared" si="175"/>
        <v>11258</v>
      </c>
      <c r="Y441" s="92">
        <f t="shared" si="172"/>
        <v>1.7163961876988414E-2</v>
      </c>
      <c r="Z441" s="92">
        <f t="shared" si="173"/>
        <v>9.4233516187387373E-3</v>
      </c>
      <c r="AA441" s="92">
        <f t="shared" si="176"/>
        <v>-1.7163961876988414E-2</v>
      </c>
      <c r="AB441" s="47" t="s">
        <v>81</v>
      </c>
      <c r="AC441" s="92">
        <f t="shared" si="177"/>
        <v>0.11673900000000001</v>
      </c>
      <c r="AD441" s="92" cm="1">
        <f t="array" ref="AD441">_xlfn.IFS(
AND(L441="marginal_effect",M441="level"),N441*AN441/BF441,
AND(L441="marginal_effect",M441="sd (Y)"),N441*BH441*AN441/BF441,
AND(L441="marginal_effect",M441="sd (X)"),N441/AQ441*AN441/BF441,
AND(L441="semi_elasticity",M441="level"),N441*AN441,
AND(L441="semi_elasticity",M441="sd (Y)"),N441*AN441*BH441,
AND(L441="semi_elasticity",M441="sd (X)"),N441*AN441/AQ441,
AND(L441="level-log",M441="level"),N441/BF441,
AND(L441="level-log",M441="sd (X)"),N441/BF441/AQ441,
AND(L441="level-log",M441="sd (Y)"),N441/BF441*BH441,
AND(L441="elasticity",M441="level"),N441,
AND(L441="elasticity",M441="sd (X)"),N441/AQ441,
AND(L441="elasticity",M441="sd (Y)"),N441*BH441,
AND(L441="marginal_effect",M441="percent_of_mean"),N441*AN441/BF441/10)</f>
        <v>0.11673900000000001</v>
      </c>
      <c r="AE441" s="51">
        <f t="shared" si="166"/>
        <v>1</v>
      </c>
      <c r="AF441" s="92">
        <f t="shared" si="178"/>
        <v>6.4091999999999996E-2</v>
      </c>
      <c r="AG441" s="92" cm="1">
        <f t="array" ref="AG441">_xlfn.IFS(
AND(L441="marginal_effect",M441="level"),O441*AN441/BF441,
AND(L441="marginal_effect",M441="sd (Y)"),O441*BH441*AN441/BF441,
AND(L441="marginal_effect",M441="sd (X)"),O441/AQ441*AN441/BF441,
AND(L441="semi_elasticity",M441="level"),O441*AN441,
AND(L441="semi_elasticity",M441="sd (Y)"),O441*AN441*BH441,
AND(L441="semi_elasticity",M441="sd (X)"),O441*AN441/AQ441,
AND(L441="level-log",M441="level"),O441/BF441,
AND(L441="level-log",M441="sd (X)"),O441/BF441/AQ441,
AND(L441="level-log",M441="sd (Y)"),O441/BF441*BH441,
AND(L441="elasticity",M441="level"),O441,
AND(L441="elasticity",M441="sd (X)"),O441/AQ441,
AND(L441="elasticity",M441="sd (Y)"),O441*BH441,
AND(L441="marginal_effect",M441="percent_of_mean"),O441*AN441/BF441/10)</f>
        <v>6.4091999999999996E-2</v>
      </c>
      <c r="AH441" s="51">
        <f t="shared" si="167"/>
        <v>1</v>
      </c>
      <c r="AI441" s="92">
        <f t="shared" si="179"/>
        <v>-0.11673900000000001</v>
      </c>
      <c r="AJ441" s="47">
        <v>0</v>
      </c>
      <c r="AK441" s="47">
        <f t="shared" si="174"/>
        <v>1</v>
      </c>
      <c r="AL441" s="47" t="s">
        <v>82</v>
      </c>
      <c r="AM441" s="47" t="s">
        <v>1333</v>
      </c>
      <c r="AN441" s="47">
        <v>22.89</v>
      </c>
      <c r="AO441" s="47">
        <v>0</v>
      </c>
      <c r="AP441" s="47">
        <f t="shared" si="168"/>
        <v>22.89</v>
      </c>
      <c r="AQ441" s="47">
        <v>16.149999999999999</v>
      </c>
      <c r="AR441" s="47">
        <v>0</v>
      </c>
      <c r="AS441" s="47">
        <v>698</v>
      </c>
      <c r="AT441" s="47" t="s">
        <v>83</v>
      </c>
      <c r="AU441" s="47" t="s">
        <v>109</v>
      </c>
      <c r="AV441" s="47" t="s">
        <v>133</v>
      </c>
      <c r="AW441" s="47" t="s">
        <v>85</v>
      </c>
      <c r="AX441" s="47" t="s">
        <v>86</v>
      </c>
      <c r="AY441" s="47">
        <v>0</v>
      </c>
      <c r="AZ441" s="47">
        <v>0</v>
      </c>
      <c r="BA441" s="47" t="s">
        <v>111</v>
      </c>
      <c r="BB441" s="47" t="s">
        <v>88</v>
      </c>
      <c r="BC441" s="47" t="s">
        <v>113</v>
      </c>
      <c r="BD441" s="47" t="s">
        <v>114</v>
      </c>
      <c r="BE441" s="47" t="s">
        <v>1142</v>
      </c>
      <c r="BF441" s="47">
        <v>65</v>
      </c>
      <c r="BG441" s="47">
        <v>0</v>
      </c>
      <c r="BH441" s="47" t="s">
        <v>312</v>
      </c>
      <c r="BI441" s="47" t="s">
        <v>312</v>
      </c>
      <c r="BJ441" s="47" t="s">
        <v>312</v>
      </c>
      <c r="BK441" s="47" t="s">
        <v>91</v>
      </c>
      <c r="BL441" s="47" t="s">
        <v>1065</v>
      </c>
      <c r="BM441" s="47">
        <v>1</v>
      </c>
      <c r="BN441" s="47" t="s">
        <v>428</v>
      </c>
      <c r="BO441" s="47" t="s">
        <v>1066</v>
      </c>
      <c r="BP441" s="47" t="s">
        <v>1067</v>
      </c>
      <c r="BQ441" s="47" t="s">
        <v>92</v>
      </c>
      <c r="BR441" s="47" t="s">
        <v>93</v>
      </c>
      <c r="BS441" s="47" t="s">
        <v>312</v>
      </c>
      <c r="BT441" s="47" t="s">
        <v>312</v>
      </c>
      <c r="BU441" s="67">
        <v>42005</v>
      </c>
      <c r="BV441" s="67">
        <v>43070</v>
      </c>
      <c r="BW441" s="47" t="s">
        <v>1068</v>
      </c>
      <c r="BX441" s="47" t="s">
        <v>95</v>
      </c>
      <c r="BY441" s="47" t="s">
        <v>748</v>
      </c>
      <c r="BZ441" s="47">
        <v>1</v>
      </c>
      <c r="CA441" s="47">
        <v>1</v>
      </c>
      <c r="CB441" s="47" t="s">
        <v>1089</v>
      </c>
      <c r="CC441" s="47" t="s">
        <v>1071</v>
      </c>
      <c r="CD441" s="47">
        <v>1</v>
      </c>
      <c r="CE441" s="47" t="s">
        <v>738</v>
      </c>
      <c r="CF441" s="47">
        <v>0</v>
      </c>
      <c r="CG441" s="47" t="s">
        <v>97</v>
      </c>
      <c r="CH441" s="47">
        <v>1</v>
      </c>
      <c r="CI441" s="47" t="s">
        <v>116</v>
      </c>
      <c r="CJ441" s="47" t="s">
        <v>98</v>
      </c>
      <c r="CK441" s="47">
        <v>76</v>
      </c>
      <c r="CL441" s="47">
        <v>0</v>
      </c>
      <c r="CM441" s="47">
        <v>0</v>
      </c>
      <c r="CN441" s="47" t="s">
        <v>99</v>
      </c>
      <c r="CO441" s="47" t="s">
        <v>1107</v>
      </c>
      <c r="CP441" s="47" t="s">
        <v>100</v>
      </c>
      <c r="CQ441" s="47" t="s">
        <v>126</v>
      </c>
      <c r="CR441" s="48">
        <v>46225</v>
      </c>
      <c r="CT441" s="47" t="s">
        <v>783</v>
      </c>
    </row>
    <row r="442" spans="1:98" s="47" customFormat="1" x14ac:dyDescent="0.35">
      <c r="A442" s="46" t="s">
        <v>1056</v>
      </c>
      <c r="B442" s="46" t="s">
        <v>1116</v>
      </c>
      <c r="C442" s="47" t="s">
        <v>1057</v>
      </c>
      <c r="D442" s="47">
        <v>2021</v>
      </c>
      <c r="E442" s="66" t="s">
        <v>1058</v>
      </c>
      <c r="F442" s="66" t="s">
        <v>1059</v>
      </c>
      <c r="G442" s="47" t="s">
        <v>78</v>
      </c>
      <c r="H442" s="47">
        <v>1</v>
      </c>
      <c r="I442" s="47" t="s">
        <v>1060</v>
      </c>
      <c r="J442" s="47" t="s">
        <v>79</v>
      </c>
      <c r="K442" s="47">
        <v>28</v>
      </c>
      <c r="L442" s="47" t="s">
        <v>104</v>
      </c>
      <c r="M442" s="47" t="s">
        <v>380</v>
      </c>
      <c r="N442" s="47">
        <v>1E-4</v>
      </c>
      <c r="O442" s="47">
        <v>1E-4</v>
      </c>
      <c r="P442" s="92">
        <f t="shared" si="169"/>
        <v>1</v>
      </c>
      <c r="Q442" s="47" t="s">
        <v>312</v>
      </c>
      <c r="R442" s="92">
        <f t="shared" si="170"/>
        <v>-9.5999999999999989E-5</v>
      </c>
      <c r="S442" s="92">
        <f t="shared" si="171"/>
        <v>2.9599999999999998E-4</v>
      </c>
      <c r="T442" s="47">
        <v>1</v>
      </c>
      <c r="U442" s="47">
        <v>12037</v>
      </c>
      <c r="V442" s="47" t="s">
        <v>312</v>
      </c>
      <c r="W442" s="47" t="s">
        <v>312</v>
      </c>
      <c r="X442" s="47">
        <f t="shared" si="175"/>
        <v>12037</v>
      </c>
      <c r="Y442" s="92">
        <f t="shared" si="172"/>
        <v>9.1142897394545612E-3</v>
      </c>
      <c r="Z442" s="92">
        <f t="shared" si="173"/>
        <v>9.1142897394545612E-3</v>
      </c>
      <c r="AA442" s="92">
        <f t="shared" si="176"/>
        <v>-9.1142897394545612E-3</v>
      </c>
      <c r="AB442" s="47" t="s">
        <v>81</v>
      </c>
      <c r="AC442" s="92">
        <f t="shared" si="177"/>
        <v>6.9999999999999994E-5</v>
      </c>
      <c r="AD442" s="92" cm="1">
        <f t="array" ref="AD442">_xlfn.IFS(
AND(L442="marginal_effect",M442="level"),N442*AN442/BF442,
AND(L442="marginal_effect",M442="sd (Y)"),N442*BH442*AN442/BF442,
AND(L442="marginal_effect",M442="sd (X)"),N442/AQ442*AN442/BF442,
AND(L442="semi_elasticity",M442="level"),N442*AN442,
AND(L442="semi_elasticity",M442="sd (Y)"),N442*AN442*BH442,
AND(L442="semi_elasticity",M442="sd (X)"),N442*AN442/AQ442,
AND(L442="level-log",M442="level"),N442/BF442,
AND(L442="level-log",M442="sd (X)"),N442/BF442/AQ442,
AND(L442="level-log",M442="sd (Y)"),N442/BF442*BH442,
AND(L442="elasticity",M442="level"),N442,
AND(L442="elasticity",M442="sd (X)"),N442/AQ442,
AND(L442="elasticity",M442="sd (Y)"),N442*BH442,
AND(L442="marginal_effect",M442="percent_of_mean"),N442*AN442/BF442/10)</f>
        <v>6.9999999999999994E-5</v>
      </c>
      <c r="AE442" s="51">
        <f t="shared" si="166"/>
        <v>1</v>
      </c>
      <c r="AF442" s="92">
        <f t="shared" si="178"/>
        <v>6.9999999999999994E-5</v>
      </c>
      <c r="AG442" s="92" cm="1">
        <f t="array" ref="AG442">_xlfn.IFS(
AND(L442="marginal_effect",M442="level"),O442*AN442/BF442,
AND(L442="marginal_effect",M442="sd (Y)"),O442*BH442*AN442/BF442,
AND(L442="marginal_effect",M442="sd (X)"),O442/AQ442*AN442/BF442,
AND(L442="semi_elasticity",M442="level"),O442*AN442,
AND(L442="semi_elasticity",M442="sd (Y)"),O442*AN442*BH442,
AND(L442="semi_elasticity",M442="sd (X)"),O442*AN442/AQ442,
AND(L442="level-log",M442="level"),O442/BF442,
AND(L442="level-log",M442="sd (X)"),O442/BF442/AQ442,
AND(L442="level-log",M442="sd (Y)"),O442/BF442*BH442,
AND(L442="elasticity",M442="level"),O442,
AND(L442="elasticity",M442="sd (X)"),O442/AQ442,
AND(L442="elasticity",M442="sd (Y)"),O442*BH442,
AND(L442="marginal_effect",M442="percent_of_mean"),O442*AN442/BF442/10)</f>
        <v>6.9999999999999994E-5</v>
      </c>
      <c r="AH442" s="51">
        <f t="shared" si="167"/>
        <v>1</v>
      </c>
      <c r="AI442" s="92">
        <f t="shared" si="179"/>
        <v>-6.9999999999999994E-5</v>
      </c>
      <c r="AJ442" s="47">
        <v>0</v>
      </c>
      <c r="AK442" s="47">
        <f t="shared" si="174"/>
        <v>1</v>
      </c>
      <c r="AL442" s="47" t="s">
        <v>162</v>
      </c>
      <c r="AM442" s="47" t="s">
        <v>590</v>
      </c>
      <c r="AN442" s="47">
        <v>0.7</v>
      </c>
      <c r="AO442" s="47">
        <v>0</v>
      </c>
      <c r="AP442" s="47">
        <f t="shared" si="168"/>
        <v>0.7</v>
      </c>
      <c r="AQ442" s="47">
        <v>0.66</v>
      </c>
      <c r="AR442" s="47">
        <v>0</v>
      </c>
      <c r="AS442" s="47">
        <v>12.76</v>
      </c>
      <c r="AT442" s="47" t="s">
        <v>83</v>
      </c>
      <c r="AU442" s="47" t="s">
        <v>109</v>
      </c>
      <c r="AV442" s="47" t="s">
        <v>133</v>
      </c>
      <c r="AW442" s="47" t="s">
        <v>85</v>
      </c>
      <c r="AX442" s="47" t="s">
        <v>86</v>
      </c>
      <c r="AY442" s="47">
        <v>0</v>
      </c>
      <c r="AZ442" s="47">
        <v>0</v>
      </c>
      <c r="BA442" s="47" t="s">
        <v>111</v>
      </c>
      <c r="BB442" s="47" t="s">
        <v>88</v>
      </c>
      <c r="BC442" s="47" t="s">
        <v>113</v>
      </c>
      <c r="BD442" s="47" t="s">
        <v>114</v>
      </c>
      <c r="BE442" s="47" t="s">
        <v>1142</v>
      </c>
      <c r="BF442" s="47">
        <v>65</v>
      </c>
      <c r="BG442" s="47">
        <v>0</v>
      </c>
      <c r="BH442" s="47" t="s">
        <v>312</v>
      </c>
      <c r="BI442" s="47" t="s">
        <v>312</v>
      </c>
      <c r="BJ442" s="47" t="s">
        <v>312</v>
      </c>
      <c r="BK442" s="47" t="s">
        <v>91</v>
      </c>
      <c r="BL442" s="47" t="s">
        <v>1065</v>
      </c>
      <c r="BM442" s="47">
        <v>1</v>
      </c>
      <c r="BN442" s="47" t="s">
        <v>428</v>
      </c>
      <c r="BO442" s="47" t="s">
        <v>1066</v>
      </c>
      <c r="BP442" s="47" t="s">
        <v>1067</v>
      </c>
      <c r="BQ442" s="47" t="s">
        <v>92</v>
      </c>
      <c r="BR442" s="47" t="s">
        <v>93</v>
      </c>
      <c r="BS442" s="47" t="s">
        <v>312</v>
      </c>
      <c r="BT442" s="47" t="s">
        <v>312</v>
      </c>
      <c r="BU442" s="67">
        <v>42005</v>
      </c>
      <c r="BV442" s="67">
        <v>43070</v>
      </c>
      <c r="BW442" s="47" t="s">
        <v>1068</v>
      </c>
      <c r="BX442" s="47" t="s">
        <v>95</v>
      </c>
      <c r="BY442" s="47" t="s">
        <v>748</v>
      </c>
      <c r="BZ442" s="47">
        <v>1</v>
      </c>
      <c r="CA442" s="47">
        <v>1</v>
      </c>
      <c r="CB442" s="47" t="s">
        <v>1089</v>
      </c>
      <c r="CC442" s="47" t="s">
        <v>1072</v>
      </c>
      <c r="CD442" s="47">
        <v>1</v>
      </c>
      <c r="CE442" s="47" t="s">
        <v>738</v>
      </c>
      <c r="CF442" s="47">
        <v>0</v>
      </c>
      <c r="CG442" s="47" t="s">
        <v>97</v>
      </c>
      <c r="CH442" s="47">
        <v>1</v>
      </c>
      <c r="CI442" s="47" t="s">
        <v>116</v>
      </c>
      <c r="CJ442" s="47" t="s">
        <v>98</v>
      </c>
      <c r="CK442" s="47">
        <v>76</v>
      </c>
      <c r="CL442" s="47">
        <v>0</v>
      </c>
      <c r="CM442" s="47">
        <v>0</v>
      </c>
      <c r="CN442" s="47" t="s">
        <v>99</v>
      </c>
      <c r="CO442" s="47" t="s">
        <v>1107</v>
      </c>
      <c r="CP442" s="47" t="s">
        <v>100</v>
      </c>
      <c r="CQ442" s="47" t="s">
        <v>126</v>
      </c>
      <c r="CR442" s="48">
        <v>46225</v>
      </c>
      <c r="CT442" s="47" t="s">
        <v>784</v>
      </c>
    </row>
    <row r="443" spans="1:98" s="47" customFormat="1" x14ac:dyDescent="0.35">
      <c r="A443" s="46" t="s">
        <v>1056</v>
      </c>
      <c r="B443" s="46" t="s">
        <v>1117</v>
      </c>
      <c r="C443" s="47" t="s">
        <v>1057</v>
      </c>
      <c r="D443" s="47">
        <v>2021</v>
      </c>
      <c r="E443" s="66" t="s">
        <v>1058</v>
      </c>
      <c r="F443" s="66" t="s">
        <v>1059</v>
      </c>
      <c r="G443" s="47" t="s">
        <v>78</v>
      </c>
      <c r="H443" s="47">
        <v>1</v>
      </c>
      <c r="I443" s="47" t="s">
        <v>1060</v>
      </c>
      <c r="J443" s="47" t="s">
        <v>79</v>
      </c>
      <c r="K443" s="47">
        <v>28</v>
      </c>
      <c r="L443" s="47" t="s">
        <v>104</v>
      </c>
      <c r="M443" s="47" t="s">
        <v>380</v>
      </c>
      <c r="N443" s="47">
        <v>7.6E-3</v>
      </c>
      <c r="O443" s="47">
        <v>2.3E-3</v>
      </c>
      <c r="P443" s="92">
        <f t="shared" si="169"/>
        <v>3.3043478260869565</v>
      </c>
      <c r="Q443" s="47" t="s">
        <v>312</v>
      </c>
      <c r="R443" s="92">
        <f t="shared" si="170"/>
        <v>3.0920000000000001E-3</v>
      </c>
      <c r="S443" s="92">
        <f t="shared" si="171"/>
        <v>1.2108000000000001E-2</v>
      </c>
      <c r="T443" s="47">
        <v>1</v>
      </c>
      <c r="U443" s="47">
        <v>12040</v>
      </c>
      <c r="V443" s="47" t="s">
        <v>312</v>
      </c>
      <c r="W443" s="47" t="s">
        <v>312</v>
      </c>
      <c r="X443" s="47">
        <f t="shared" si="175"/>
        <v>12040</v>
      </c>
      <c r="Y443" s="92">
        <f t="shared" si="172"/>
        <v>3.0100636400260675E-2</v>
      </c>
      <c r="Z443" s="92">
        <f t="shared" si="173"/>
        <v>9.10940312113152E-3</v>
      </c>
      <c r="AA443" s="92">
        <f t="shared" si="176"/>
        <v>-3.0100636400260675E-2</v>
      </c>
      <c r="AB443" s="47" t="s">
        <v>81</v>
      </c>
      <c r="AC443" s="92">
        <f t="shared" si="177"/>
        <v>0.15405199999999999</v>
      </c>
      <c r="AD443" s="92" cm="1">
        <f t="array" ref="AD443">_xlfn.IFS(
AND(L443="marginal_effect",M443="level"),N443*AN443/BF443,
AND(L443="marginal_effect",M443="sd (Y)"),N443*BH443*AN443/BF443,
AND(L443="marginal_effect",M443="sd (X)"),N443/AQ443*AN443/BF443,
AND(L443="semi_elasticity",M443="level"),N443*AN443,
AND(L443="semi_elasticity",M443="sd (Y)"),N443*AN443*BH443,
AND(L443="semi_elasticity",M443="sd (X)"),N443*AN443/AQ443,
AND(L443="level-log",M443="level"),N443/BF443,
AND(L443="level-log",M443="sd (X)"),N443/BF443/AQ443,
AND(L443="level-log",M443="sd (Y)"),N443/BF443*BH443,
AND(L443="elasticity",M443="level"),N443,
AND(L443="elasticity",M443="sd (X)"),N443/AQ443,
AND(L443="elasticity",M443="sd (Y)"),N443*BH443,
AND(L443="marginal_effect",M443="percent_of_mean"),N443*AN443/BF443/10)</f>
        <v>0.15405199999999999</v>
      </c>
      <c r="AE443" s="51">
        <f t="shared" si="166"/>
        <v>1</v>
      </c>
      <c r="AF443" s="92">
        <f t="shared" si="178"/>
        <v>4.6620999999999996E-2</v>
      </c>
      <c r="AG443" s="92" cm="1">
        <f t="array" ref="AG443">_xlfn.IFS(
AND(L443="marginal_effect",M443="level"),O443*AN443/BF443,
AND(L443="marginal_effect",M443="sd (Y)"),O443*BH443*AN443/BF443,
AND(L443="marginal_effect",M443="sd (X)"),O443/AQ443*AN443/BF443,
AND(L443="semi_elasticity",M443="level"),O443*AN443,
AND(L443="semi_elasticity",M443="sd (Y)"),O443*AN443*BH443,
AND(L443="semi_elasticity",M443="sd (X)"),O443*AN443/AQ443,
AND(L443="level-log",M443="level"),O443/BF443,
AND(L443="level-log",M443="sd (X)"),O443/BF443/AQ443,
AND(L443="level-log",M443="sd (Y)"),O443/BF443*BH443,
AND(L443="elasticity",M443="level"),O443,
AND(L443="elasticity",M443="sd (X)"),O443/AQ443,
AND(L443="elasticity",M443="sd (Y)"),O443*BH443,
AND(L443="marginal_effect",M443="percent_of_mean"),O443*AN443/BF443/10)</f>
        <v>4.6620999999999996E-2</v>
      </c>
      <c r="AH443" s="51">
        <f t="shared" si="167"/>
        <v>1</v>
      </c>
      <c r="AI443" s="92">
        <f t="shared" si="179"/>
        <v>-0.15405199999999999</v>
      </c>
      <c r="AJ443" s="47">
        <v>0</v>
      </c>
      <c r="AK443" s="47">
        <f t="shared" si="174"/>
        <v>1</v>
      </c>
      <c r="AL443" s="47" t="s">
        <v>131</v>
      </c>
      <c r="AM443" s="47" t="s">
        <v>410</v>
      </c>
      <c r="AN443" s="47">
        <v>20.27</v>
      </c>
      <c r="AO443" s="47">
        <v>0</v>
      </c>
      <c r="AP443" s="47">
        <f t="shared" si="168"/>
        <v>20.27</v>
      </c>
      <c r="AQ443" s="47">
        <v>14.08</v>
      </c>
      <c r="AR443" s="47">
        <v>0</v>
      </c>
      <c r="AS443" s="47">
        <v>150</v>
      </c>
      <c r="AT443" s="47" t="s">
        <v>83</v>
      </c>
      <c r="AU443" s="47" t="s">
        <v>109</v>
      </c>
      <c r="AV443" s="47" t="s">
        <v>133</v>
      </c>
      <c r="AW443" s="47" t="s">
        <v>85</v>
      </c>
      <c r="AX443" s="47" t="s">
        <v>86</v>
      </c>
      <c r="AY443" s="47">
        <v>0</v>
      </c>
      <c r="AZ443" s="47">
        <v>0</v>
      </c>
      <c r="BA443" s="47" t="s">
        <v>111</v>
      </c>
      <c r="BB443" s="47" t="s">
        <v>88</v>
      </c>
      <c r="BC443" s="47" t="s">
        <v>113</v>
      </c>
      <c r="BD443" s="47" t="s">
        <v>114</v>
      </c>
      <c r="BE443" s="47" t="s">
        <v>1142</v>
      </c>
      <c r="BF443" s="47">
        <v>65</v>
      </c>
      <c r="BG443" s="47">
        <v>0</v>
      </c>
      <c r="BH443" s="47" t="s">
        <v>312</v>
      </c>
      <c r="BI443" s="47" t="s">
        <v>312</v>
      </c>
      <c r="BJ443" s="47" t="s">
        <v>312</v>
      </c>
      <c r="BK443" s="47" t="s">
        <v>91</v>
      </c>
      <c r="BL443" s="47" t="s">
        <v>1065</v>
      </c>
      <c r="BM443" s="47">
        <v>1</v>
      </c>
      <c r="BN443" s="47" t="s">
        <v>428</v>
      </c>
      <c r="BO443" s="47" t="s">
        <v>1066</v>
      </c>
      <c r="BP443" s="47" t="s">
        <v>1067</v>
      </c>
      <c r="BQ443" s="47" t="s">
        <v>92</v>
      </c>
      <c r="BR443" s="47" t="s">
        <v>93</v>
      </c>
      <c r="BS443" s="47" t="s">
        <v>312</v>
      </c>
      <c r="BT443" s="47" t="s">
        <v>312</v>
      </c>
      <c r="BU443" s="67">
        <v>42005</v>
      </c>
      <c r="BV443" s="67">
        <v>43070</v>
      </c>
      <c r="BW443" s="47" t="s">
        <v>1068</v>
      </c>
      <c r="BX443" s="47" t="s">
        <v>95</v>
      </c>
      <c r="BY443" s="47" t="s">
        <v>748</v>
      </c>
      <c r="BZ443" s="47">
        <v>1</v>
      </c>
      <c r="CA443" s="47">
        <v>1</v>
      </c>
      <c r="CB443" s="47" t="s">
        <v>1089</v>
      </c>
      <c r="CC443" s="47" t="s">
        <v>1072</v>
      </c>
      <c r="CD443" s="47">
        <v>1</v>
      </c>
      <c r="CE443" s="47" t="s">
        <v>738</v>
      </c>
      <c r="CF443" s="47">
        <v>0</v>
      </c>
      <c r="CG443" s="47" t="s">
        <v>97</v>
      </c>
      <c r="CH443" s="47">
        <v>1</v>
      </c>
      <c r="CI443" s="47" t="s">
        <v>116</v>
      </c>
      <c r="CJ443" s="47" t="s">
        <v>98</v>
      </c>
      <c r="CK443" s="47">
        <v>76</v>
      </c>
      <c r="CL443" s="47">
        <v>0</v>
      </c>
      <c r="CM443" s="47">
        <v>0</v>
      </c>
      <c r="CN443" s="47" t="s">
        <v>99</v>
      </c>
      <c r="CO443" s="47" t="s">
        <v>1107</v>
      </c>
      <c r="CP443" s="47" t="s">
        <v>100</v>
      </c>
      <c r="CQ443" s="47" t="s">
        <v>126</v>
      </c>
      <c r="CR443" s="48">
        <v>46225</v>
      </c>
      <c r="CT443" s="47" t="s">
        <v>784</v>
      </c>
    </row>
    <row r="444" spans="1:98" s="47" customFormat="1" x14ac:dyDescent="0.35">
      <c r="A444" s="46" t="s">
        <v>1056</v>
      </c>
      <c r="B444" s="46" t="s">
        <v>1118</v>
      </c>
      <c r="C444" s="47" t="s">
        <v>1057</v>
      </c>
      <c r="D444" s="47">
        <v>2021</v>
      </c>
      <c r="E444" s="66" t="s">
        <v>1058</v>
      </c>
      <c r="F444" s="66" t="s">
        <v>1059</v>
      </c>
      <c r="G444" s="47" t="s">
        <v>78</v>
      </c>
      <c r="H444" s="47">
        <v>1</v>
      </c>
      <c r="I444" s="47" t="s">
        <v>1060</v>
      </c>
      <c r="J444" s="47" t="s">
        <v>79</v>
      </c>
      <c r="K444" s="47">
        <v>28</v>
      </c>
      <c r="L444" s="47" t="s">
        <v>104</v>
      </c>
      <c r="M444" s="47" t="s">
        <v>380</v>
      </c>
      <c r="N444" s="47">
        <v>4.5999999999999999E-3</v>
      </c>
      <c r="O444" s="47">
        <v>3.8E-3</v>
      </c>
      <c r="P444" s="92">
        <f t="shared" si="169"/>
        <v>1.2105263157894737</v>
      </c>
      <c r="Q444" s="47" t="s">
        <v>312</v>
      </c>
      <c r="R444" s="92">
        <f t="shared" si="170"/>
        <v>-2.8479999999999998E-3</v>
      </c>
      <c r="S444" s="92">
        <f t="shared" si="171"/>
        <v>1.2048E-2</v>
      </c>
      <c r="T444" s="47">
        <v>1</v>
      </c>
      <c r="U444" s="47">
        <v>12047</v>
      </c>
      <c r="V444" s="47" t="s">
        <v>312</v>
      </c>
      <c r="W444" s="47" t="s">
        <v>312</v>
      </c>
      <c r="X444" s="47">
        <f t="shared" si="175"/>
        <v>12047</v>
      </c>
      <c r="Y444" s="92">
        <f t="shared" si="172"/>
        <v>1.1028294833198679E-2</v>
      </c>
      <c r="Z444" s="92">
        <f t="shared" si="173"/>
        <v>9.1103305143815181E-3</v>
      </c>
      <c r="AA444" s="92">
        <f t="shared" si="176"/>
        <v>-1.1028294833198679E-2</v>
      </c>
      <c r="AB444" s="47" t="s">
        <v>81</v>
      </c>
      <c r="AC444" s="92">
        <f t="shared" si="177"/>
        <v>0.125718</v>
      </c>
      <c r="AD444" s="92" cm="1">
        <f t="array" ref="AD444">_xlfn.IFS(
AND(L444="marginal_effect",M444="level"),N444*AN444/BF444,
AND(L444="marginal_effect",M444="sd (Y)"),N444*BH444*AN444/BF444,
AND(L444="marginal_effect",M444="sd (X)"),N444/AQ444*AN444/BF444,
AND(L444="semi_elasticity",M444="level"),N444*AN444,
AND(L444="semi_elasticity",M444="sd (Y)"),N444*AN444*BH444,
AND(L444="semi_elasticity",M444="sd (X)"),N444*AN444/AQ444,
AND(L444="level-log",M444="level"),N444/BF444,
AND(L444="level-log",M444="sd (X)"),N444/BF444/AQ444,
AND(L444="level-log",M444="sd (Y)"),N444/BF444*BH444,
AND(L444="elasticity",M444="level"),N444,
AND(L444="elasticity",M444="sd (X)"),N444/AQ444,
AND(L444="elasticity",M444="sd (Y)"),N444*BH444,
AND(L444="marginal_effect",M444="percent_of_mean"),N444*AN444/BF444/10)</f>
        <v>0.125718</v>
      </c>
      <c r="AE444" s="51">
        <f t="shared" si="166"/>
        <v>1</v>
      </c>
      <c r="AF444" s="92">
        <f t="shared" si="178"/>
        <v>0.10385399999999999</v>
      </c>
      <c r="AG444" s="92" cm="1">
        <f t="array" ref="AG444">_xlfn.IFS(
AND(L444="marginal_effect",M444="level"),O444*AN444/BF444,
AND(L444="marginal_effect",M444="sd (Y)"),O444*BH444*AN444/BF444,
AND(L444="marginal_effect",M444="sd (X)"),O444/AQ444*AN444/BF444,
AND(L444="semi_elasticity",M444="level"),O444*AN444,
AND(L444="semi_elasticity",M444="sd (Y)"),O444*AN444*BH444,
AND(L444="semi_elasticity",M444="sd (X)"),O444*AN444/AQ444,
AND(L444="level-log",M444="level"),O444/BF444,
AND(L444="level-log",M444="sd (X)"),O444/BF444/AQ444,
AND(L444="level-log",M444="sd (Y)"),O444/BF444*BH444,
AND(L444="elasticity",M444="level"),O444,
AND(L444="elasticity",M444="sd (X)"),O444/AQ444,
AND(L444="elasticity",M444="sd (Y)"),O444*BH444,
AND(L444="marginal_effect",M444="percent_of_mean"),O444*AN444/BF444/10)</f>
        <v>0.10385399999999999</v>
      </c>
      <c r="AH444" s="51">
        <f t="shared" si="167"/>
        <v>1</v>
      </c>
      <c r="AI444" s="92">
        <f t="shared" si="179"/>
        <v>-0.125718</v>
      </c>
      <c r="AJ444" s="47">
        <v>0</v>
      </c>
      <c r="AK444" s="47">
        <f t="shared" si="174"/>
        <v>1</v>
      </c>
      <c r="AL444" s="47" t="s">
        <v>148</v>
      </c>
      <c r="AM444" s="47" t="s">
        <v>410</v>
      </c>
      <c r="AN444" s="47">
        <v>27.33</v>
      </c>
      <c r="AO444" s="47">
        <v>0</v>
      </c>
      <c r="AP444" s="47">
        <f t="shared" si="168"/>
        <v>27.33</v>
      </c>
      <c r="AQ444" s="47">
        <v>24.83</v>
      </c>
      <c r="AR444" s="47">
        <v>1</v>
      </c>
      <c r="AS444" s="47">
        <v>210</v>
      </c>
      <c r="AT444" s="47" t="s">
        <v>83</v>
      </c>
      <c r="AU444" s="47" t="s">
        <v>109</v>
      </c>
      <c r="AV444" s="47" t="s">
        <v>133</v>
      </c>
      <c r="AW444" s="47" t="s">
        <v>85</v>
      </c>
      <c r="AX444" s="47" t="s">
        <v>86</v>
      </c>
      <c r="AY444" s="47">
        <v>0</v>
      </c>
      <c r="AZ444" s="47">
        <v>0</v>
      </c>
      <c r="BA444" s="47" t="s">
        <v>111</v>
      </c>
      <c r="BB444" s="47" t="s">
        <v>88</v>
      </c>
      <c r="BC444" s="47" t="s">
        <v>113</v>
      </c>
      <c r="BD444" s="47" t="s">
        <v>114</v>
      </c>
      <c r="BE444" s="47" t="s">
        <v>1142</v>
      </c>
      <c r="BF444" s="47">
        <v>65</v>
      </c>
      <c r="BG444" s="47">
        <v>0</v>
      </c>
      <c r="BH444" s="47" t="s">
        <v>312</v>
      </c>
      <c r="BI444" s="47" t="s">
        <v>312</v>
      </c>
      <c r="BJ444" s="47" t="s">
        <v>312</v>
      </c>
      <c r="BK444" s="47" t="s">
        <v>91</v>
      </c>
      <c r="BL444" s="47" t="s">
        <v>1065</v>
      </c>
      <c r="BM444" s="47">
        <v>1</v>
      </c>
      <c r="BN444" s="47" t="s">
        <v>428</v>
      </c>
      <c r="BO444" s="47" t="s">
        <v>1066</v>
      </c>
      <c r="BP444" s="47" t="s">
        <v>1067</v>
      </c>
      <c r="BQ444" s="47" t="s">
        <v>92</v>
      </c>
      <c r="BR444" s="47" t="s">
        <v>93</v>
      </c>
      <c r="BS444" s="47" t="s">
        <v>312</v>
      </c>
      <c r="BT444" s="47" t="s">
        <v>312</v>
      </c>
      <c r="BU444" s="67">
        <v>42005</v>
      </c>
      <c r="BV444" s="67">
        <v>43070</v>
      </c>
      <c r="BW444" s="47" t="s">
        <v>1068</v>
      </c>
      <c r="BX444" s="47" t="s">
        <v>95</v>
      </c>
      <c r="BY444" s="47" t="s">
        <v>748</v>
      </c>
      <c r="BZ444" s="47">
        <v>1</v>
      </c>
      <c r="CA444" s="47">
        <v>1</v>
      </c>
      <c r="CB444" s="47" t="s">
        <v>1089</v>
      </c>
      <c r="CC444" s="47" t="s">
        <v>1072</v>
      </c>
      <c r="CD444" s="47">
        <v>1</v>
      </c>
      <c r="CE444" s="47" t="s">
        <v>738</v>
      </c>
      <c r="CF444" s="47">
        <v>0</v>
      </c>
      <c r="CG444" s="47" t="s">
        <v>97</v>
      </c>
      <c r="CH444" s="47">
        <v>1</v>
      </c>
      <c r="CI444" s="47" t="s">
        <v>116</v>
      </c>
      <c r="CJ444" s="47" t="s">
        <v>98</v>
      </c>
      <c r="CK444" s="47">
        <v>76</v>
      </c>
      <c r="CL444" s="47">
        <v>0</v>
      </c>
      <c r="CM444" s="47">
        <v>0</v>
      </c>
      <c r="CN444" s="47" t="s">
        <v>99</v>
      </c>
      <c r="CO444" s="47" t="s">
        <v>1107</v>
      </c>
      <c r="CP444" s="47" t="s">
        <v>100</v>
      </c>
      <c r="CQ444" s="47" t="s">
        <v>126</v>
      </c>
      <c r="CR444" s="48">
        <v>46225</v>
      </c>
      <c r="CT444" s="47" t="s">
        <v>784</v>
      </c>
    </row>
    <row r="445" spans="1:98" s="47" customFormat="1" x14ac:dyDescent="0.35">
      <c r="A445" s="46" t="s">
        <v>1056</v>
      </c>
      <c r="B445" s="46" t="s">
        <v>1119</v>
      </c>
      <c r="C445" s="47" t="s">
        <v>1057</v>
      </c>
      <c r="D445" s="47">
        <v>2021</v>
      </c>
      <c r="E445" s="66" t="s">
        <v>1058</v>
      </c>
      <c r="F445" s="66" t="s">
        <v>1059</v>
      </c>
      <c r="G445" s="47" t="s">
        <v>78</v>
      </c>
      <c r="H445" s="47">
        <v>1</v>
      </c>
      <c r="I445" s="47" t="s">
        <v>1060</v>
      </c>
      <c r="J445" s="47" t="s">
        <v>79</v>
      </c>
      <c r="K445" s="47">
        <v>28</v>
      </c>
      <c r="L445" s="47" t="s">
        <v>104</v>
      </c>
      <c r="M445" s="47" t="s">
        <v>380</v>
      </c>
      <c r="N445" s="47">
        <v>8.8000000000000005E-3</v>
      </c>
      <c r="O445" s="47">
        <v>3.3E-3</v>
      </c>
      <c r="P445" s="92">
        <f t="shared" si="169"/>
        <v>2.666666666666667</v>
      </c>
      <c r="Q445" s="47" t="s">
        <v>312</v>
      </c>
      <c r="R445" s="92">
        <f t="shared" si="170"/>
        <v>2.3320000000000007E-3</v>
      </c>
      <c r="S445" s="92">
        <f t="shared" si="171"/>
        <v>1.5268E-2</v>
      </c>
      <c r="T445" s="47">
        <v>1</v>
      </c>
      <c r="U445" s="47">
        <v>11258</v>
      </c>
      <c r="V445" s="47" t="s">
        <v>312</v>
      </c>
      <c r="W445" s="47" t="s">
        <v>312</v>
      </c>
      <c r="X445" s="47">
        <f t="shared" si="175"/>
        <v>11258</v>
      </c>
      <c r="Y445" s="92">
        <f t="shared" si="172"/>
        <v>2.5124706227900247E-2</v>
      </c>
      <c r="Z445" s="92">
        <f t="shared" si="173"/>
        <v>9.4217648354625923E-3</v>
      </c>
      <c r="AA445" s="92">
        <f t="shared" si="176"/>
        <v>-2.5124706227900247E-2</v>
      </c>
      <c r="AB445" s="47" t="s">
        <v>81</v>
      </c>
      <c r="AC445" s="92">
        <f t="shared" si="177"/>
        <v>0.20143200000000003</v>
      </c>
      <c r="AD445" s="92" cm="1">
        <f t="array" ref="AD445">_xlfn.IFS(
AND(L445="marginal_effect",M445="level"),N445*AN445/BF445,
AND(L445="marginal_effect",M445="sd (Y)"),N445*BH445*AN445/BF445,
AND(L445="marginal_effect",M445="sd (X)"),N445/AQ445*AN445/BF445,
AND(L445="semi_elasticity",M445="level"),N445*AN445,
AND(L445="semi_elasticity",M445="sd (Y)"),N445*AN445*BH445,
AND(L445="semi_elasticity",M445="sd (X)"),N445*AN445/AQ445,
AND(L445="level-log",M445="level"),N445/BF445,
AND(L445="level-log",M445="sd (X)"),N445/BF445/AQ445,
AND(L445="level-log",M445="sd (Y)"),N445/BF445*BH445,
AND(L445="elasticity",M445="level"),N445,
AND(L445="elasticity",M445="sd (X)"),N445/AQ445,
AND(L445="elasticity",M445="sd (Y)"),N445*BH445,
AND(L445="marginal_effect",M445="percent_of_mean"),N445*AN445/BF445/10)</f>
        <v>0.20143200000000003</v>
      </c>
      <c r="AE445" s="51">
        <f t="shared" si="166"/>
        <v>1</v>
      </c>
      <c r="AF445" s="92">
        <f t="shared" si="178"/>
        <v>7.5537000000000007E-2</v>
      </c>
      <c r="AG445" s="92" cm="1">
        <f t="array" ref="AG445">_xlfn.IFS(
AND(L445="marginal_effect",M445="level"),O445*AN445/BF445,
AND(L445="marginal_effect",M445="sd (Y)"),O445*BH445*AN445/BF445,
AND(L445="marginal_effect",M445="sd (X)"),O445/AQ445*AN445/BF445,
AND(L445="semi_elasticity",M445="level"),O445*AN445,
AND(L445="semi_elasticity",M445="sd (Y)"),O445*AN445*BH445,
AND(L445="semi_elasticity",M445="sd (X)"),O445*AN445/AQ445,
AND(L445="level-log",M445="level"),O445/BF445,
AND(L445="level-log",M445="sd (X)"),O445/BF445/AQ445,
AND(L445="level-log",M445="sd (Y)"),O445/BF445*BH445,
AND(L445="elasticity",M445="level"),O445,
AND(L445="elasticity",M445="sd (X)"),O445/AQ445,
AND(L445="elasticity",M445="sd (Y)"),O445*BH445,
AND(L445="marginal_effect",M445="percent_of_mean"),O445*AN445/BF445/10)</f>
        <v>7.5537000000000007E-2</v>
      </c>
      <c r="AH445" s="51">
        <f t="shared" si="167"/>
        <v>1</v>
      </c>
      <c r="AI445" s="92">
        <f t="shared" si="179"/>
        <v>-0.20143200000000003</v>
      </c>
      <c r="AJ445" s="47">
        <v>0</v>
      </c>
      <c r="AK445" s="47">
        <f t="shared" si="174"/>
        <v>1</v>
      </c>
      <c r="AL445" s="47" t="s">
        <v>82</v>
      </c>
      <c r="AM445" s="47" t="s">
        <v>1333</v>
      </c>
      <c r="AN445" s="47">
        <v>22.89</v>
      </c>
      <c r="AO445" s="47">
        <v>0</v>
      </c>
      <c r="AP445" s="47">
        <f t="shared" si="168"/>
        <v>22.89</v>
      </c>
      <c r="AQ445" s="47">
        <v>16.149999999999999</v>
      </c>
      <c r="AR445" s="47">
        <v>0</v>
      </c>
      <c r="AS445" s="47">
        <v>698</v>
      </c>
      <c r="AT445" s="47" t="s">
        <v>83</v>
      </c>
      <c r="AU445" s="47" t="s">
        <v>109</v>
      </c>
      <c r="AV445" s="47" t="s">
        <v>133</v>
      </c>
      <c r="AW445" s="47" t="s">
        <v>85</v>
      </c>
      <c r="AX445" s="47" t="s">
        <v>86</v>
      </c>
      <c r="AY445" s="47">
        <v>0</v>
      </c>
      <c r="AZ445" s="47">
        <v>0</v>
      </c>
      <c r="BA445" s="47" t="s">
        <v>111</v>
      </c>
      <c r="BB445" s="47" t="s">
        <v>88</v>
      </c>
      <c r="BC445" s="47" t="s">
        <v>113</v>
      </c>
      <c r="BD445" s="47" t="s">
        <v>114</v>
      </c>
      <c r="BE445" s="47" t="s">
        <v>1142</v>
      </c>
      <c r="BF445" s="47">
        <v>65</v>
      </c>
      <c r="BG445" s="47">
        <v>0</v>
      </c>
      <c r="BH445" s="47" t="s">
        <v>312</v>
      </c>
      <c r="BI445" s="47" t="s">
        <v>312</v>
      </c>
      <c r="BJ445" s="47" t="s">
        <v>312</v>
      </c>
      <c r="BK445" s="47" t="s">
        <v>91</v>
      </c>
      <c r="BL445" s="47" t="s">
        <v>1065</v>
      </c>
      <c r="BM445" s="47">
        <v>1</v>
      </c>
      <c r="BN445" s="47" t="s">
        <v>428</v>
      </c>
      <c r="BO445" s="47" t="s">
        <v>1066</v>
      </c>
      <c r="BP445" s="47" t="s">
        <v>1067</v>
      </c>
      <c r="BQ445" s="47" t="s">
        <v>92</v>
      </c>
      <c r="BR445" s="47" t="s">
        <v>93</v>
      </c>
      <c r="BS445" s="47" t="s">
        <v>312</v>
      </c>
      <c r="BT445" s="47" t="s">
        <v>312</v>
      </c>
      <c r="BU445" s="67">
        <v>42005</v>
      </c>
      <c r="BV445" s="67">
        <v>43070</v>
      </c>
      <c r="BW445" s="47" t="s">
        <v>1068</v>
      </c>
      <c r="BX445" s="47" t="s">
        <v>95</v>
      </c>
      <c r="BY445" s="47" t="s">
        <v>748</v>
      </c>
      <c r="BZ445" s="47">
        <v>1</v>
      </c>
      <c r="CA445" s="47">
        <v>1</v>
      </c>
      <c r="CB445" s="47" t="s">
        <v>1089</v>
      </c>
      <c r="CC445" s="47" t="s">
        <v>1072</v>
      </c>
      <c r="CD445" s="47">
        <v>1</v>
      </c>
      <c r="CE445" s="47" t="s">
        <v>738</v>
      </c>
      <c r="CF445" s="47">
        <v>0</v>
      </c>
      <c r="CG445" s="47" t="s">
        <v>97</v>
      </c>
      <c r="CH445" s="47">
        <v>1</v>
      </c>
      <c r="CI445" s="47" t="s">
        <v>116</v>
      </c>
      <c r="CJ445" s="47" t="s">
        <v>98</v>
      </c>
      <c r="CK445" s="47">
        <v>76</v>
      </c>
      <c r="CL445" s="47">
        <v>0</v>
      </c>
      <c r="CM445" s="47">
        <v>0</v>
      </c>
      <c r="CN445" s="47" t="s">
        <v>99</v>
      </c>
      <c r="CO445" s="47" t="s">
        <v>1107</v>
      </c>
      <c r="CP445" s="47" t="s">
        <v>100</v>
      </c>
      <c r="CQ445" s="47" t="s">
        <v>126</v>
      </c>
      <c r="CR445" s="48">
        <v>46225</v>
      </c>
      <c r="CT445" s="47" t="s">
        <v>784</v>
      </c>
    </row>
    <row r="446" spans="1:98" s="47" customFormat="1" x14ac:dyDescent="0.35">
      <c r="A446" s="46" t="s">
        <v>1056</v>
      </c>
      <c r="B446" s="46" t="s">
        <v>1120</v>
      </c>
      <c r="C446" s="47" t="s">
        <v>1057</v>
      </c>
      <c r="D446" s="47">
        <v>2021</v>
      </c>
      <c r="E446" s="66" t="s">
        <v>1058</v>
      </c>
      <c r="F446" s="66" t="s">
        <v>1059</v>
      </c>
      <c r="G446" s="47" t="s">
        <v>78</v>
      </c>
      <c r="H446" s="47">
        <v>1</v>
      </c>
      <c r="I446" s="47" t="s">
        <v>1060</v>
      </c>
      <c r="J446" s="47" t="s">
        <v>79</v>
      </c>
      <c r="K446" s="47">
        <v>28</v>
      </c>
      <c r="L446" s="47" t="s">
        <v>104</v>
      </c>
      <c r="M446" s="47" t="s">
        <v>380</v>
      </c>
      <c r="N446" s="47">
        <v>-5.1000000000000004E-3</v>
      </c>
      <c r="O446" s="47">
        <v>7.3000000000000001E-3</v>
      </c>
      <c r="P446" s="92">
        <f t="shared" si="169"/>
        <v>-0.69863013698630139</v>
      </c>
      <c r="Q446" s="47" t="s">
        <v>312</v>
      </c>
      <c r="R446" s="92">
        <f t="shared" si="170"/>
        <v>-1.9408000000000002E-2</v>
      </c>
      <c r="S446" s="92">
        <f t="shared" si="171"/>
        <v>9.2079999999999992E-3</v>
      </c>
      <c r="T446" s="47">
        <v>1</v>
      </c>
      <c r="U446" s="47">
        <v>14613</v>
      </c>
      <c r="V446" s="47" t="s">
        <v>312</v>
      </c>
      <c r="W446" s="47" t="s">
        <v>312</v>
      </c>
      <c r="X446" s="47">
        <f t="shared" si="175"/>
        <v>14613</v>
      </c>
      <c r="Y446" s="92">
        <f t="shared" si="172"/>
        <v>-5.7792352212192918E-3</v>
      </c>
      <c r="Z446" s="92">
        <f t="shared" si="173"/>
        <v>8.272238649980555E-3</v>
      </c>
      <c r="AA446" s="92">
        <f t="shared" si="176"/>
        <v>5.7792352212192918E-3</v>
      </c>
      <c r="AB446" s="47" t="s">
        <v>81</v>
      </c>
      <c r="AC446" s="92">
        <f t="shared" si="177"/>
        <v>-3.5699999999999998E-3</v>
      </c>
      <c r="AD446" s="92" cm="1">
        <f t="array" ref="AD446">_xlfn.IFS(
AND(L446="marginal_effect",M446="level"),N446*AN446/BF446,
AND(L446="marginal_effect",M446="sd (Y)"),N446*BH446*AN446/BF446,
AND(L446="marginal_effect",M446="sd (X)"),N446/AQ446*AN446/BF446,
AND(L446="semi_elasticity",M446="level"),N446*AN446,
AND(L446="semi_elasticity",M446="sd (Y)"),N446*AN446*BH446,
AND(L446="semi_elasticity",M446="sd (X)"),N446*AN446/AQ446,
AND(L446="level-log",M446="level"),N446/BF446,
AND(L446="level-log",M446="sd (X)"),N446/BF446/AQ446,
AND(L446="level-log",M446="sd (Y)"),N446/BF446*BH446,
AND(L446="elasticity",M446="level"),N446,
AND(L446="elasticity",M446="sd (X)"),N446/AQ446,
AND(L446="elasticity",M446="sd (Y)"),N446*BH446,
AND(L446="marginal_effect",M446="percent_of_mean"),N446*AN446/BF446/10)</f>
        <v>-3.5699999999999998E-3</v>
      </c>
      <c r="AE446" s="51">
        <f t="shared" si="166"/>
        <v>1</v>
      </c>
      <c r="AF446" s="92">
        <f t="shared" si="178"/>
        <v>5.11E-3</v>
      </c>
      <c r="AG446" s="92" cm="1">
        <f t="array" ref="AG446">_xlfn.IFS(
AND(L446="marginal_effect",M446="level"),O446*AN446/BF446,
AND(L446="marginal_effect",M446="sd (Y)"),O446*BH446*AN446/BF446,
AND(L446="marginal_effect",M446="sd (X)"),O446/AQ446*AN446/BF446,
AND(L446="semi_elasticity",M446="level"),O446*AN446,
AND(L446="semi_elasticity",M446="sd (Y)"),O446*AN446*BH446,
AND(L446="semi_elasticity",M446="sd (X)"),O446*AN446/AQ446,
AND(L446="level-log",M446="level"),O446/BF446,
AND(L446="level-log",M446="sd (X)"),O446/BF446/AQ446,
AND(L446="level-log",M446="sd (Y)"),O446/BF446*BH446,
AND(L446="elasticity",M446="level"),O446,
AND(L446="elasticity",M446="sd (X)"),O446/AQ446,
AND(L446="elasticity",M446="sd (Y)"),O446*BH446,
AND(L446="marginal_effect",M446="percent_of_mean"),O446*AN446/BF446/10)</f>
        <v>5.11E-3</v>
      </c>
      <c r="AH446" s="51">
        <f t="shared" si="167"/>
        <v>1</v>
      </c>
      <c r="AI446" s="92">
        <f t="shared" si="179"/>
        <v>3.5699999999999998E-3</v>
      </c>
      <c r="AJ446" s="47">
        <v>0</v>
      </c>
      <c r="AK446" s="47">
        <f t="shared" si="174"/>
        <v>1</v>
      </c>
      <c r="AL446" s="47" t="s">
        <v>162</v>
      </c>
      <c r="AM446" s="47" t="s">
        <v>590</v>
      </c>
      <c r="AN446" s="47">
        <v>0.7</v>
      </c>
      <c r="AO446" s="47">
        <v>0</v>
      </c>
      <c r="AP446" s="47">
        <f t="shared" si="168"/>
        <v>0.7</v>
      </c>
      <c r="AQ446" s="47">
        <v>0.66</v>
      </c>
      <c r="AR446" s="47">
        <v>0</v>
      </c>
      <c r="AS446" s="47">
        <v>12.76</v>
      </c>
      <c r="AT446" s="47" t="s">
        <v>83</v>
      </c>
      <c r="AU446" s="47" t="s">
        <v>109</v>
      </c>
      <c r="AV446" s="47" t="s">
        <v>133</v>
      </c>
      <c r="AW446" s="47" t="s">
        <v>85</v>
      </c>
      <c r="AX446" s="47" t="s">
        <v>86</v>
      </c>
      <c r="AY446" s="47">
        <v>0</v>
      </c>
      <c r="AZ446" s="47">
        <v>0</v>
      </c>
      <c r="BA446" s="47" t="s">
        <v>111</v>
      </c>
      <c r="BB446" s="47" t="s">
        <v>88</v>
      </c>
      <c r="BC446" s="47" t="s">
        <v>113</v>
      </c>
      <c r="BD446" s="47" t="s">
        <v>114</v>
      </c>
      <c r="BE446" s="47" t="s">
        <v>1142</v>
      </c>
      <c r="BF446" s="47">
        <v>65</v>
      </c>
      <c r="BG446" s="47">
        <v>0</v>
      </c>
      <c r="BH446" s="47" t="s">
        <v>312</v>
      </c>
      <c r="BI446" s="47" t="s">
        <v>312</v>
      </c>
      <c r="BJ446" s="47" t="s">
        <v>312</v>
      </c>
      <c r="BK446" s="47" t="s">
        <v>91</v>
      </c>
      <c r="BL446" s="47" t="s">
        <v>1065</v>
      </c>
      <c r="BM446" s="47">
        <v>1</v>
      </c>
      <c r="BN446" s="47" t="s">
        <v>428</v>
      </c>
      <c r="BO446" s="47" t="s">
        <v>1066</v>
      </c>
      <c r="BP446" s="47" t="s">
        <v>1067</v>
      </c>
      <c r="BQ446" s="47" t="s">
        <v>92</v>
      </c>
      <c r="BR446" s="47" t="s">
        <v>93</v>
      </c>
      <c r="BS446" s="47" t="s">
        <v>312</v>
      </c>
      <c r="BT446" s="47" t="s">
        <v>312</v>
      </c>
      <c r="BU446" s="67">
        <v>42005</v>
      </c>
      <c r="BV446" s="67">
        <v>43070</v>
      </c>
      <c r="BW446" s="47" t="s">
        <v>1068</v>
      </c>
      <c r="BX446" s="47" t="s">
        <v>95</v>
      </c>
      <c r="BY446" s="47" t="s">
        <v>748</v>
      </c>
      <c r="BZ446" s="47">
        <v>1</v>
      </c>
      <c r="CA446" s="47">
        <v>1</v>
      </c>
      <c r="CB446" s="47" t="s">
        <v>1089</v>
      </c>
      <c r="CC446" s="47" t="s">
        <v>1071</v>
      </c>
      <c r="CD446" s="47">
        <v>1</v>
      </c>
      <c r="CE446" s="47" t="s">
        <v>738</v>
      </c>
      <c r="CF446" s="47">
        <v>1</v>
      </c>
      <c r="CG446" s="47" t="s">
        <v>1123</v>
      </c>
      <c r="CH446" s="47">
        <v>1</v>
      </c>
      <c r="CI446" s="47" t="s">
        <v>116</v>
      </c>
      <c r="CJ446" s="47" t="s">
        <v>98</v>
      </c>
      <c r="CK446" s="47">
        <v>76</v>
      </c>
      <c r="CL446" s="47">
        <v>0</v>
      </c>
      <c r="CM446" s="47">
        <v>0</v>
      </c>
      <c r="CN446" s="47" t="s">
        <v>99</v>
      </c>
      <c r="CO446" s="47" t="s">
        <v>97</v>
      </c>
      <c r="CP446" s="47" t="s">
        <v>100</v>
      </c>
      <c r="CQ446" s="47" t="s">
        <v>126</v>
      </c>
      <c r="CR446" s="48">
        <v>46225</v>
      </c>
      <c r="CT446" s="47" t="s">
        <v>933</v>
      </c>
    </row>
    <row r="447" spans="1:98" s="47" customFormat="1" x14ac:dyDescent="0.35">
      <c r="A447" s="46" t="s">
        <v>1056</v>
      </c>
      <c r="B447" s="46" t="s">
        <v>1121</v>
      </c>
      <c r="C447" s="47" t="s">
        <v>1057</v>
      </c>
      <c r="D447" s="47">
        <v>2021</v>
      </c>
      <c r="E447" s="66" t="s">
        <v>1058</v>
      </c>
      <c r="F447" s="66" t="s">
        <v>1059</v>
      </c>
      <c r="G447" s="47" t="s">
        <v>78</v>
      </c>
      <c r="H447" s="47">
        <v>1</v>
      </c>
      <c r="I447" s="47" t="s">
        <v>1060</v>
      </c>
      <c r="J447" s="47" t="s">
        <v>79</v>
      </c>
      <c r="K447" s="47">
        <v>28</v>
      </c>
      <c r="L447" s="47" t="s">
        <v>104</v>
      </c>
      <c r="M447" s="47" t="s">
        <v>380</v>
      </c>
      <c r="N447" s="47">
        <v>-2.2000000000000001E-3</v>
      </c>
      <c r="O447" s="47">
        <v>3.5999999999999999E-3</v>
      </c>
      <c r="P447" s="92">
        <f t="shared" si="169"/>
        <v>-0.61111111111111116</v>
      </c>
      <c r="Q447" s="47" t="s">
        <v>312</v>
      </c>
      <c r="R447" s="92">
        <f t="shared" si="170"/>
        <v>-9.2560000000000003E-3</v>
      </c>
      <c r="S447" s="92">
        <f t="shared" si="171"/>
        <v>4.8559999999999992E-3</v>
      </c>
      <c r="T447" s="47">
        <v>1</v>
      </c>
      <c r="U447" s="47">
        <v>14637</v>
      </c>
      <c r="V447" s="47" t="s">
        <v>312</v>
      </c>
      <c r="W447" s="47" t="s">
        <v>312</v>
      </c>
      <c r="X447" s="47">
        <f t="shared" si="175"/>
        <v>14637</v>
      </c>
      <c r="Y447" s="92">
        <f t="shared" si="172"/>
        <v>-5.051130666176829E-3</v>
      </c>
      <c r="Z447" s="92">
        <f t="shared" si="173"/>
        <v>8.2654865446529918E-3</v>
      </c>
      <c r="AA447" s="92">
        <f t="shared" si="176"/>
        <v>5.051130666176829E-3</v>
      </c>
      <c r="AB447" s="47" t="s">
        <v>81</v>
      </c>
      <c r="AC447" s="92">
        <f t="shared" si="177"/>
        <v>-4.4594000000000002E-2</v>
      </c>
      <c r="AD447" s="92" cm="1">
        <f t="array" ref="AD447">_xlfn.IFS(
AND(L447="marginal_effect",M447="level"),N447*AN447/BF447,
AND(L447="marginal_effect",M447="sd (Y)"),N447*BH447*AN447/BF447,
AND(L447="marginal_effect",M447="sd (X)"),N447/AQ447*AN447/BF447,
AND(L447="semi_elasticity",M447="level"),N447*AN447,
AND(L447="semi_elasticity",M447="sd (Y)"),N447*AN447*BH447,
AND(L447="semi_elasticity",M447="sd (X)"),N447*AN447/AQ447,
AND(L447="level-log",M447="level"),N447/BF447,
AND(L447="level-log",M447="sd (X)"),N447/BF447/AQ447,
AND(L447="level-log",M447="sd (Y)"),N447/BF447*BH447,
AND(L447="elasticity",M447="level"),N447,
AND(L447="elasticity",M447="sd (X)"),N447/AQ447,
AND(L447="elasticity",M447="sd (Y)"),N447*BH447,
AND(L447="marginal_effect",M447="percent_of_mean"),N447*AN447/BF447/10)</f>
        <v>-4.4594000000000002E-2</v>
      </c>
      <c r="AE447" s="51">
        <f t="shared" si="166"/>
        <v>1</v>
      </c>
      <c r="AF447" s="92">
        <f t="shared" si="178"/>
        <v>7.2971999999999995E-2</v>
      </c>
      <c r="AG447" s="92" cm="1">
        <f t="array" ref="AG447">_xlfn.IFS(
AND(L447="marginal_effect",M447="level"),O447*AN447/BF447,
AND(L447="marginal_effect",M447="sd (Y)"),O447*BH447*AN447/BF447,
AND(L447="marginal_effect",M447="sd (X)"),O447/AQ447*AN447/BF447,
AND(L447="semi_elasticity",M447="level"),O447*AN447,
AND(L447="semi_elasticity",M447="sd (Y)"),O447*AN447*BH447,
AND(L447="semi_elasticity",M447="sd (X)"),O447*AN447/AQ447,
AND(L447="level-log",M447="level"),O447/BF447,
AND(L447="level-log",M447="sd (X)"),O447/BF447/AQ447,
AND(L447="level-log",M447="sd (Y)"),O447/BF447*BH447,
AND(L447="elasticity",M447="level"),O447,
AND(L447="elasticity",M447="sd (X)"),O447/AQ447,
AND(L447="elasticity",M447="sd (Y)"),O447*BH447,
AND(L447="marginal_effect",M447="percent_of_mean"),O447*AN447/BF447/10)</f>
        <v>7.2971999999999995E-2</v>
      </c>
      <c r="AH447" s="51">
        <f t="shared" si="167"/>
        <v>1</v>
      </c>
      <c r="AI447" s="92">
        <f t="shared" si="179"/>
        <v>4.4594000000000002E-2</v>
      </c>
      <c r="AJ447" s="47">
        <v>0</v>
      </c>
      <c r="AK447" s="47">
        <f t="shared" si="174"/>
        <v>1</v>
      </c>
      <c r="AL447" s="47" t="s">
        <v>131</v>
      </c>
      <c r="AM447" s="47" t="s">
        <v>410</v>
      </c>
      <c r="AN447" s="47">
        <v>20.27</v>
      </c>
      <c r="AO447" s="47">
        <v>0</v>
      </c>
      <c r="AP447" s="47">
        <f t="shared" si="168"/>
        <v>20.27</v>
      </c>
      <c r="AQ447" s="47">
        <v>14.08</v>
      </c>
      <c r="AR447" s="47">
        <v>0</v>
      </c>
      <c r="AS447" s="47">
        <v>150</v>
      </c>
      <c r="AT447" s="47" t="s">
        <v>83</v>
      </c>
      <c r="AU447" s="47" t="s">
        <v>109</v>
      </c>
      <c r="AV447" s="47" t="s">
        <v>133</v>
      </c>
      <c r="AW447" s="47" t="s">
        <v>85</v>
      </c>
      <c r="AX447" s="47" t="s">
        <v>86</v>
      </c>
      <c r="AY447" s="47">
        <v>0</v>
      </c>
      <c r="AZ447" s="47">
        <v>0</v>
      </c>
      <c r="BA447" s="47" t="s">
        <v>111</v>
      </c>
      <c r="BB447" s="47" t="s">
        <v>88</v>
      </c>
      <c r="BC447" s="47" t="s">
        <v>113</v>
      </c>
      <c r="BD447" s="47" t="s">
        <v>114</v>
      </c>
      <c r="BE447" s="47" t="s">
        <v>1142</v>
      </c>
      <c r="BF447" s="47">
        <v>65</v>
      </c>
      <c r="BG447" s="47">
        <v>0</v>
      </c>
      <c r="BH447" s="47" t="s">
        <v>312</v>
      </c>
      <c r="BI447" s="47" t="s">
        <v>312</v>
      </c>
      <c r="BJ447" s="47" t="s">
        <v>312</v>
      </c>
      <c r="BK447" s="47" t="s">
        <v>91</v>
      </c>
      <c r="BL447" s="47" t="s">
        <v>1065</v>
      </c>
      <c r="BM447" s="47">
        <v>1</v>
      </c>
      <c r="BN447" s="47" t="s">
        <v>428</v>
      </c>
      <c r="BO447" s="47" t="s">
        <v>1066</v>
      </c>
      <c r="BP447" s="47" t="s">
        <v>1067</v>
      </c>
      <c r="BQ447" s="47" t="s">
        <v>92</v>
      </c>
      <c r="BR447" s="47" t="s">
        <v>93</v>
      </c>
      <c r="BS447" s="47" t="s">
        <v>312</v>
      </c>
      <c r="BT447" s="47" t="s">
        <v>312</v>
      </c>
      <c r="BU447" s="67">
        <v>42005</v>
      </c>
      <c r="BV447" s="67">
        <v>43070</v>
      </c>
      <c r="BW447" s="47" t="s">
        <v>1068</v>
      </c>
      <c r="BX447" s="47" t="s">
        <v>95</v>
      </c>
      <c r="BY447" s="47" t="s">
        <v>748</v>
      </c>
      <c r="BZ447" s="47">
        <v>1</v>
      </c>
      <c r="CA447" s="47">
        <v>1</v>
      </c>
      <c r="CB447" s="47" t="s">
        <v>1089</v>
      </c>
      <c r="CC447" s="47" t="s">
        <v>1071</v>
      </c>
      <c r="CD447" s="47">
        <v>1</v>
      </c>
      <c r="CE447" s="47" t="s">
        <v>738</v>
      </c>
      <c r="CF447" s="47">
        <v>1</v>
      </c>
      <c r="CG447" s="47" t="s">
        <v>1124</v>
      </c>
      <c r="CH447" s="47">
        <v>1</v>
      </c>
      <c r="CI447" s="47" t="s">
        <v>116</v>
      </c>
      <c r="CJ447" s="47" t="s">
        <v>98</v>
      </c>
      <c r="CK447" s="47">
        <v>76</v>
      </c>
      <c r="CL447" s="47">
        <v>0</v>
      </c>
      <c r="CM447" s="47">
        <v>0</v>
      </c>
      <c r="CN447" s="47" t="s">
        <v>99</v>
      </c>
      <c r="CO447" s="47" t="s">
        <v>97</v>
      </c>
      <c r="CP447" s="47" t="s">
        <v>100</v>
      </c>
      <c r="CQ447" s="47" t="s">
        <v>126</v>
      </c>
      <c r="CR447" s="48">
        <v>46225</v>
      </c>
      <c r="CT447" s="47" t="s">
        <v>934</v>
      </c>
    </row>
    <row r="448" spans="1:98" s="47" customFormat="1" x14ac:dyDescent="0.35">
      <c r="A448" s="46" t="s">
        <v>1056</v>
      </c>
      <c r="B448" s="46" t="s">
        <v>1122</v>
      </c>
      <c r="C448" s="47" t="s">
        <v>1057</v>
      </c>
      <c r="D448" s="47">
        <v>2021</v>
      </c>
      <c r="E448" s="66" t="s">
        <v>1058</v>
      </c>
      <c r="F448" s="66" t="s">
        <v>1059</v>
      </c>
      <c r="G448" s="47" t="s">
        <v>78</v>
      </c>
      <c r="H448" s="47">
        <v>1</v>
      </c>
      <c r="I448" s="47" t="s">
        <v>1060</v>
      </c>
      <c r="J448" s="47" t="s">
        <v>79</v>
      </c>
      <c r="K448" s="47">
        <v>28</v>
      </c>
      <c r="L448" s="47" t="s">
        <v>104</v>
      </c>
      <c r="M448" s="47" t="s">
        <v>380</v>
      </c>
      <c r="N448" s="47">
        <v>1.3899999999999999E-2</v>
      </c>
      <c r="O448" s="47">
        <v>7.0000000000000001E-3</v>
      </c>
      <c r="P448" s="92">
        <f t="shared" si="169"/>
        <v>1.9857142857142855</v>
      </c>
      <c r="Q448" s="47" t="s">
        <v>312</v>
      </c>
      <c r="R448" s="92">
        <f t="shared" si="170"/>
        <v>1.799999999999996E-4</v>
      </c>
      <c r="S448" s="92">
        <f t="shared" si="171"/>
        <v>2.7619999999999999E-2</v>
      </c>
      <c r="T448" s="47">
        <v>1</v>
      </c>
      <c r="U448" s="47">
        <v>13465</v>
      </c>
      <c r="V448" s="47" t="s">
        <v>312</v>
      </c>
      <c r="W448" s="47" t="s">
        <v>312</v>
      </c>
      <c r="X448" s="47">
        <f t="shared" si="175"/>
        <v>13465</v>
      </c>
      <c r="Y448" s="92">
        <f t="shared" si="172"/>
        <v>1.7109999693074668E-2</v>
      </c>
      <c r="Z448" s="92">
        <f t="shared" si="173"/>
        <v>8.6165466080232161E-3</v>
      </c>
      <c r="AA448" s="92">
        <f t="shared" si="176"/>
        <v>-1.7109999693074668E-2</v>
      </c>
      <c r="AB448" s="47" t="s">
        <v>81</v>
      </c>
      <c r="AC448" s="92">
        <f t="shared" si="177"/>
        <v>0.37988699999999997</v>
      </c>
      <c r="AD448" s="92" cm="1">
        <f t="array" ref="AD448">_xlfn.IFS(
AND(L448="marginal_effect",M448="level"),N448*AN448/BF448,
AND(L448="marginal_effect",M448="sd (Y)"),N448*BH448*AN448/BF448,
AND(L448="marginal_effect",M448="sd (X)"),N448/AQ448*AN448/BF448,
AND(L448="semi_elasticity",M448="level"),N448*AN448,
AND(L448="semi_elasticity",M448="sd (Y)"),N448*AN448*BH448,
AND(L448="semi_elasticity",M448="sd (X)"),N448*AN448/AQ448,
AND(L448="level-log",M448="level"),N448/BF448,
AND(L448="level-log",M448="sd (X)"),N448/BF448/AQ448,
AND(L448="level-log",M448="sd (Y)"),N448/BF448*BH448,
AND(L448="elasticity",M448="level"),N448,
AND(L448="elasticity",M448="sd (X)"),N448/AQ448,
AND(L448="elasticity",M448="sd (Y)"),N448*BH448,
AND(L448="marginal_effect",M448="percent_of_mean"),N448*AN448/BF448/10)</f>
        <v>0.37988699999999997</v>
      </c>
      <c r="AE448" s="51">
        <f t="shared" si="166"/>
        <v>1</v>
      </c>
      <c r="AF448" s="92">
        <f t="shared" si="178"/>
        <v>0.19130999999999998</v>
      </c>
      <c r="AG448" s="92" cm="1">
        <f t="array" ref="AG448">_xlfn.IFS(
AND(L448="marginal_effect",M448="level"),O448*AN448/BF448,
AND(L448="marginal_effect",M448="sd (Y)"),O448*BH448*AN448/BF448,
AND(L448="marginal_effect",M448="sd (X)"),O448/AQ448*AN448/BF448,
AND(L448="semi_elasticity",M448="level"),O448*AN448,
AND(L448="semi_elasticity",M448="sd (Y)"),O448*AN448*BH448,
AND(L448="semi_elasticity",M448="sd (X)"),O448*AN448/AQ448,
AND(L448="level-log",M448="level"),O448/BF448,
AND(L448="level-log",M448="sd (X)"),O448/BF448/AQ448,
AND(L448="level-log",M448="sd (Y)"),O448/BF448*BH448,
AND(L448="elasticity",M448="level"),O448,
AND(L448="elasticity",M448="sd (X)"),O448/AQ448,
AND(L448="elasticity",M448="sd (Y)"),O448*BH448,
AND(L448="marginal_effect",M448="percent_of_mean"),O448*AN448/BF448/10)</f>
        <v>0.19130999999999998</v>
      </c>
      <c r="AH448" s="51">
        <f t="shared" si="167"/>
        <v>1</v>
      </c>
      <c r="AI448" s="92">
        <f t="shared" si="179"/>
        <v>-0.37988699999999997</v>
      </c>
      <c r="AJ448" s="47">
        <v>0</v>
      </c>
      <c r="AK448" s="47">
        <f t="shared" si="174"/>
        <v>1</v>
      </c>
      <c r="AL448" s="47" t="s">
        <v>148</v>
      </c>
      <c r="AM448" s="47" t="s">
        <v>410</v>
      </c>
      <c r="AN448" s="47">
        <v>27.33</v>
      </c>
      <c r="AO448" s="47">
        <v>0</v>
      </c>
      <c r="AP448" s="47">
        <f t="shared" si="168"/>
        <v>27.33</v>
      </c>
      <c r="AQ448" s="47">
        <v>24.83</v>
      </c>
      <c r="AR448" s="47">
        <v>1</v>
      </c>
      <c r="AS448" s="47">
        <v>210</v>
      </c>
      <c r="AT448" s="47" t="s">
        <v>83</v>
      </c>
      <c r="AU448" s="47" t="s">
        <v>109</v>
      </c>
      <c r="AV448" s="47" t="s">
        <v>133</v>
      </c>
      <c r="AW448" s="47" t="s">
        <v>85</v>
      </c>
      <c r="AX448" s="47" t="s">
        <v>86</v>
      </c>
      <c r="AY448" s="47">
        <v>0</v>
      </c>
      <c r="AZ448" s="47">
        <v>0</v>
      </c>
      <c r="BA448" s="47" t="s">
        <v>111</v>
      </c>
      <c r="BB448" s="47" t="s">
        <v>88</v>
      </c>
      <c r="BC448" s="47" t="s">
        <v>113</v>
      </c>
      <c r="BD448" s="47" t="s">
        <v>114</v>
      </c>
      <c r="BE448" s="47" t="s">
        <v>1142</v>
      </c>
      <c r="BF448" s="47">
        <v>65</v>
      </c>
      <c r="BG448" s="47">
        <v>0</v>
      </c>
      <c r="BH448" s="47" t="s">
        <v>312</v>
      </c>
      <c r="BI448" s="47" t="s">
        <v>312</v>
      </c>
      <c r="BJ448" s="47" t="s">
        <v>312</v>
      </c>
      <c r="BK448" s="47" t="s">
        <v>91</v>
      </c>
      <c r="BL448" s="47" t="s">
        <v>1065</v>
      </c>
      <c r="BM448" s="47">
        <v>1</v>
      </c>
      <c r="BN448" s="47" t="s">
        <v>428</v>
      </c>
      <c r="BO448" s="47" t="s">
        <v>1066</v>
      </c>
      <c r="BP448" s="47" t="s">
        <v>1067</v>
      </c>
      <c r="BQ448" s="47" t="s">
        <v>92</v>
      </c>
      <c r="BR448" s="47" t="s">
        <v>93</v>
      </c>
      <c r="BS448" s="47" t="s">
        <v>312</v>
      </c>
      <c r="BT448" s="47" t="s">
        <v>312</v>
      </c>
      <c r="BU448" s="67">
        <v>42005</v>
      </c>
      <c r="BV448" s="67">
        <v>43070</v>
      </c>
      <c r="BW448" s="47" t="s">
        <v>1068</v>
      </c>
      <c r="BX448" s="47" t="s">
        <v>95</v>
      </c>
      <c r="BY448" s="47" t="s">
        <v>748</v>
      </c>
      <c r="BZ448" s="47">
        <v>1</v>
      </c>
      <c r="CA448" s="47">
        <v>1</v>
      </c>
      <c r="CB448" s="47" t="s">
        <v>1089</v>
      </c>
      <c r="CC448" s="47" t="s">
        <v>1071</v>
      </c>
      <c r="CD448" s="47">
        <v>1</v>
      </c>
      <c r="CE448" s="47" t="s">
        <v>738</v>
      </c>
      <c r="CF448" s="47">
        <v>1</v>
      </c>
      <c r="CG448" s="47" t="s">
        <v>1125</v>
      </c>
      <c r="CH448" s="47">
        <v>1</v>
      </c>
      <c r="CI448" s="47" t="s">
        <v>116</v>
      </c>
      <c r="CJ448" s="47" t="s">
        <v>98</v>
      </c>
      <c r="CK448" s="47">
        <v>76</v>
      </c>
      <c r="CL448" s="47">
        <v>0</v>
      </c>
      <c r="CM448" s="47">
        <v>0</v>
      </c>
      <c r="CN448" s="47" t="s">
        <v>99</v>
      </c>
      <c r="CO448" s="47" t="s">
        <v>97</v>
      </c>
      <c r="CP448" s="47" t="s">
        <v>100</v>
      </c>
      <c r="CQ448" s="47" t="s">
        <v>126</v>
      </c>
      <c r="CR448" s="48">
        <v>46225</v>
      </c>
      <c r="CT448" s="47" t="s">
        <v>935</v>
      </c>
    </row>
    <row r="449" spans="1:98" s="47" customFormat="1" x14ac:dyDescent="0.35">
      <c r="A449" s="46" t="s">
        <v>1056</v>
      </c>
      <c r="B449" s="46" t="s">
        <v>1126</v>
      </c>
      <c r="C449" s="47" t="s">
        <v>1057</v>
      </c>
      <c r="D449" s="47">
        <v>2021</v>
      </c>
      <c r="E449" s="66" t="s">
        <v>1058</v>
      </c>
      <c r="F449" s="66" t="s">
        <v>1059</v>
      </c>
      <c r="G449" s="47" t="s">
        <v>78</v>
      </c>
      <c r="H449" s="47">
        <v>1</v>
      </c>
      <c r="I449" s="47" t="s">
        <v>1060</v>
      </c>
      <c r="J449" s="47" t="s">
        <v>79</v>
      </c>
      <c r="K449" s="47">
        <v>28</v>
      </c>
      <c r="L449" s="47" t="s">
        <v>104</v>
      </c>
      <c r="M449" s="47" t="s">
        <v>380</v>
      </c>
      <c r="N449" s="47">
        <v>-5.1000000000000004E-3</v>
      </c>
      <c r="O449" s="47">
        <v>7.3000000000000001E-3</v>
      </c>
      <c r="P449" s="92">
        <f t="shared" si="169"/>
        <v>-0.69863013698630139</v>
      </c>
      <c r="Q449" s="47" t="s">
        <v>312</v>
      </c>
      <c r="R449" s="92">
        <f t="shared" si="170"/>
        <v>-1.9408000000000002E-2</v>
      </c>
      <c r="S449" s="92">
        <f t="shared" si="171"/>
        <v>9.2079999999999992E-3</v>
      </c>
      <c r="T449" s="47">
        <v>1</v>
      </c>
      <c r="U449" s="47">
        <v>14617</v>
      </c>
      <c r="V449" s="47" t="s">
        <v>312</v>
      </c>
      <c r="W449" s="47" t="s">
        <v>312</v>
      </c>
      <c r="X449" s="47">
        <f t="shared" si="175"/>
        <v>14617</v>
      </c>
      <c r="Y449" s="92">
        <f t="shared" si="172"/>
        <v>-5.7784444382056113E-3</v>
      </c>
      <c r="Z449" s="92">
        <f t="shared" si="173"/>
        <v>8.2711067448825414E-3</v>
      </c>
      <c r="AA449" s="92">
        <f t="shared" si="176"/>
        <v>5.7784444382056113E-3</v>
      </c>
      <c r="AB449" s="47" t="s">
        <v>81</v>
      </c>
      <c r="AC449" s="92">
        <f t="shared" si="177"/>
        <v>-3.5699999999999998E-3</v>
      </c>
      <c r="AD449" s="92" cm="1">
        <f t="array" ref="AD449">_xlfn.IFS(
AND(L449="marginal_effect",M449="level"),N449*AN449/BF449,
AND(L449="marginal_effect",M449="sd (Y)"),N449*BH449*AN449/BF449,
AND(L449="marginal_effect",M449="sd (X)"),N449/AQ449*AN449/BF449,
AND(L449="semi_elasticity",M449="level"),N449*AN449,
AND(L449="semi_elasticity",M449="sd (Y)"),N449*AN449*BH449,
AND(L449="semi_elasticity",M449="sd (X)"),N449*AN449/AQ449,
AND(L449="level-log",M449="level"),N449/BF449,
AND(L449="level-log",M449="sd (X)"),N449/BF449/AQ449,
AND(L449="level-log",M449="sd (Y)"),N449/BF449*BH449,
AND(L449="elasticity",M449="level"),N449,
AND(L449="elasticity",M449="sd (X)"),N449/AQ449,
AND(L449="elasticity",M449="sd (Y)"),N449*BH449,
AND(L449="marginal_effect",M449="percent_of_mean"),N449*AN449/BF449/10)</f>
        <v>-3.5699999999999998E-3</v>
      </c>
      <c r="AE449" s="51">
        <f t="shared" si="166"/>
        <v>1</v>
      </c>
      <c r="AF449" s="92">
        <f t="shared" si="178"/>
        <v>5.11E-3</v>
      </c>
      <c r="AG449" s="92" cm="1">
        <f t="array" ref="AG449">_xlfn.IFS(
AND(L449="marginal_effect",M449="level"),O449*AN449/BF449,
AND(L449="marginal_effect",M449="sd (Y)"),O449*BH449*AN449/BF449,
AND(L449="marginal_effect",M449="sd (X)"),O449/AQ449*AN449/BF449,
AND(L449="semi_elasticity",M449="level"),O449*AN449,
AND(L449="semi_elasticity",M449="sd (Y)"),O449*AN449*BH449,
AND(L449="semi_elasticity",M449="sd (X)"),O449*AN449/AQ449,
AND(L449="level-log",M449="level"),O449/BF449,
AND(L449="level-log",M449="sd (X)"),O449/BF449/AQ449,
AND(L449="level-log",M449="sd (Y)"),O449/BF449*BH449,
AND(L449="elasticity",M449="level"),O449,
AND(L449="elasticity",M449="sd (X)"),O449/AQ449,
AND(L449="elasticity",M449="sd (Y)"),O449*BH449,
AND(L449="marginal_effect",M449="percent_of_mean"),O449*AN449/BF449/10)</f>
        <v>5.11E-3</v>
      </c>
      <c r="AH449" s="51">
        <f t="shared" si="167"/>
        <v>1</v>
      </c>
      <c r="AI449" s="92">
        <f t="shared" si="179"/>
        <v>3.5699999999999998E-3</v>
      </c>
      <c r="AJ449" s="47">
        <v>0</v>
      </c>
      <c r="AK449" s="47">
        <f t="shared" si="174"/>
        <v>1</v>
      </c>
      <c r="AL449" s="47" t="s">
        <v>162</v>
      </c>
      <c r="AM449" s="47" t="s">
        <v>590</v>
      </c>
      <c r="AN449" s="47">
        <v>0.7</v>
      </c>
      <c r="AO449" s="47">
        <v>0</v>
      </c>
      <c r="AP449" s="47">
        <f t="shared" si="168"/>
        <v>0.7</v>
      </c>
      <c r="AQ449" s="47">
        <v>0.66</v>
      </c>
      <c r="AR449" s="47">
        <v>0</v>
      </c>
      <c r="AS449" s="47">
        <v>12.76</v>
      </c>
      <c r="AT449" s="47" t="s">
        <v>83</v>
      </c>
      <c r="AU449" s="47" t="s">
        <v>109</v>
      </c>
      <c r="AV449" s="47" t="s">
        <v>133</v>
      </c>
      <c r="AW449" s="47" t="s">
        <v>85</v>
      </c>
      <c r="AX449" s="47" t="s">
        <v>86</v>
      </c>
      <c r="AY449" s="47">
        <v>0</v>
      </c>
      <c r="AZ449" s="47">
        <v>0</v>
      </c>
      <c r="BA449" s="47" t="s">
        <v>111</v>
      </c>
      <c r="BB449" s="47" t="s">
        <v>88</v>
      </c>
      <c r="BC449" s="47" t="s">
        <v>113</v>
      </c>
      <c r="BD449" s="47" t="s">
        <v>114</v>
      </c>
      <c r="BE449" s="47" t="s">
        <v>1142</v>
      </c>
      <c r="BF449" s="47">
        <v>65</v>
      </c>
      <c r="BG449" s="47">
        <v>0</v>
      </c>
      <c r="BH449" s="47" t="s">
        <v>312</v>
      </c>
      <c r="BI449" s="47" t="s">
        <v>312</v>
      </c>
      <c r="BJ449" s="47" t="s">
        <v>312</v>
      </c>
      <c r="BK449" s="47" t="s">
        <v>91</v>
      </c>
      <c r="BL449" s="47" t="s">
        <v>1065</v>
      </c>
      <c r="BM449" s="47">
        <v>1</v>
      </c>
      <c r="BN449" s="47" t="s">
        <v>428</v>
      </c>
      <c r="BO449" s="47" t="s">
        <v>1066</v>
      </c>
      <c r="BP449" s="47" t="s">
        <v>1067</v>
      </c>
      <c r="BQ449" s="47" t="s">
        <v>92</v>
      </c>
      <c r="BR449" s="47" t="s">
        <v>93</v>
      </c>
      <c r="BS449" s="47" t="s">
        <v>312</v>
      </c>
      <c r="BT449" s="47" t="s">
        <v>312</v>
      </c>
      <c r="BU449" s="67">
        <v>42005</v>
      </c>
      <c r="BV449" s="67">
        <v>43070</v>
      </c>
      <c r="BW449" s="47" t="s">
        <v>1068</v>
      </c>
      <c r="BX449" s="47" t="s">
        <v>95</v>
      </c>
      <c r="BY449" s="47" t="s">
        <v>748</v>
      </c>
      <c r="BZ449" s="47">
        <v>1</v>
      </c>
      <c r="CA449" s="47">
        <v>1</v>
      </c>
      <c r="CB449" s="47" t="s">
        <v>1089</v>
      </c>
      <c r="CC449" s="47" t="s">
        <v>1071</v>
      </c>
      <c r="CD449" s="47">
        <v>1</v>
      </c>
      <c r="CE449" s="47" t="s">
        <v>738</v>
      </c>
      <c r="CF449" s="47">
        <v>1</v>
      </c>
      <c r="CG449" s="47" t="s">
        <v>1125</v>
      </c>
      <c r="CH449" s="47">
        <v>1</v>
      </c>
      <c r="CI449" s="47" t="s">
        <v>116</v>
      </c>
      <c r="CJ449" s="47" t="s">
        <v>98</v>
      </c>
      <c r="CK449" s="47">
        <v>76</v>
      </c>
      <c r="CL449" s="47">
        <v>0</v>
      </c>
      <c r="CM449" s="47">
        <v>0</v>
      </c>
      <c r="CN449" s="47" t="s">
        <v>99</v>
      </c>
      <c r="CO449" s="47" t="s">
        <v>97</v>
      </c>
      <c r="CP449" s="47" t="s">
        <v>100</v>
      </c>
      <c r="CQ449" s="47" t="s">
        <v>126</v>
      </c>
      <c r="CR449" s="48">
        <v>46225</v>
      </c>
      <c r="CT449" s="47" t="s">
        <v>932</v>
      </c>
    </row>
    <row r="450" spans="1:98" s="47" customFormat="1" x14ac:dyDescent="0.35">
      <c r="A450" s="46" t="s">
        <v>1056</v>
      </c>
      <c r="B450" s="46" t="s">
        <v>1127</v>
      </c>
      <c r="C450" s="47" t="s">
        <v>1057</v>
      </c>
      <c r="D450" s="47">
        <v>2021</v>
      </c>
      <c r="E450" s="66" t="s">
        <v>1058</v>
      </c>
      <c r="F450" s="66" t="s">
        <v>1059</v>
      </c>
      <c r="G450" s="47" t="s">
        <v>78</v>
      </c>
      <c r="H450" s="47">
        <v>1</v>
      </c>
      <c r="I450" s="47" t="s">
        <v>1060</v>
      </c>
      <c r="J450" s="47" t="s">
        <v>79</v>
      </c>
      <c r="K450" s="47">
        <v>28</v>
      </c>
      <c r="L450" s="47" t="s">
        <v>104</v>
      </c>
      <c r="M450" s="47" t="s">
        <v>380</v>
      </c>
      <c r="N450" s="47">
        <v>-2.2000000000000001E-3</v>
      </c>
      <c r="O450" s="47">
        <v>3.5999999999999999E-3</v>
      </c>
      <c r="P450" s="92">
        <f t="shared" si="169"/>
        <v>-0.61111111111111116</v>
      </c>
      <c r="Q450" s="47" t="s">
        <v>312</v>
      </c>
      <c r="R450" s="92">
        <f t="shared" si="170"/>
        <v>-9.2560000000000003E-3</v>
      </c>
      <c r="S450" s="92">
        <f t="shared" si="171"/>
        <v>4.8559999999999992E-3</v>
      </c>
      <c r="T450" s="47">
        <v>1</v>
      </c>
      <c r="U450" s="47">
        <v>14613</v>
      </c>
      <c r="V450" s="47" t="s">
        <v>312</v>
      </c>
      <c r="W450" s="47" t="s">
        <v>312</v>
      </c>
      <c r="X450" s="47">
        <f t="shared" si="175"/>
        <v>14613</v>
      </c>
      <c r="Y450" s="92">
        <f t="shared" si="172"/>
        <v>-5.0552767794407689E-3</v>
      </c>
      <c r="Z450" s="92">
        <f t="shared" si="173"/>
        <v>8.2722710936303477E-3</v>
      </c>
      <c r="AA450" s="92">
        <f t="shared" si="176"/>
        <v>5.0552767794407689E-3</v>
      </c>
      <c r="AB450" s="47" t="s">
        <v>81</v>
      </c>
      <c r="AC450" s="92">
        <f t="shared" si="177"/>
        <v>-4.4594000000000002E-2</v>
      </c>
      <c r="AD450" s="92" cm="1">
        <f t="array" ref="AD450">_xlfn.IFS(
AND(L450="marginal_effect",M450="level"),N450*AN450/BF450,
AND(L450="marginal_effect",M450="sd (Y)"),N450*BH450*AN450/BF450,
AND(L450="marginal_effect",M450="sd (X)"),N450/AQ450*AN450/BF450,
AND(L450="semi_elasticity",M450="level"),N450*AN450,
AND(L450="semi_elasticity",M450="sd (Y)"),N450*AN450*BH450,
AND(L450="semi_elasticity",M450="sd (X)"),N450*AN450/AQ450,
AND(L450="level-log",M450="level"),N450/BF450,
AND(L450="level-log",M450="sd (X)"),N450/BF450/AQ450,
AND(L450="level-log",M450="sd (Y)"),N450/BF450*BH450,
AND(L450="elasticity",M450="level"),N450,
AND(L450="elasticity",M450="sd (X)"),N450/AQ450,
AND(L450="elasticity",M450="sd (Y)"),N450*BH450,
AND(L450="marginal_effect",M450="percent_of_mean"),N450*AN450/BF450/10)</f>
        <v>-4.4594000000000002E-2</v>
      </c>
      <c r="AE450" s="51">
        <f t="shared" si="166"/>
        <v>1</v>
      </c>
      <c r="AF450" s="92">
        <f t="shared" si="178"/>
        <v>7.2971999999999995E-2</v>
      </c>
      <c r="AG450" s="92" cm="1">
        <f t="array" ref="AG450">_xlfn.IFS(
AND(L450="marginal_effect",M450="level"),O450*AN450/BF450,
AND(L450="marginal_effect",M450="sd (Y)"),O450*BH450*AN450/BF450,
AND(L450="marginal_effect",M450="sd (X)"),O450/AQ450*AN450/BF450,
AND(L450="semi_elasticity",M450="level"),O450*AN450,
AND(L450="semi_elasticity",M450="sd (Y)"),O450*AN450*BH450,
AND(L450="semi_elasticity",M450="sd (X)"),O450*AN450/AQ450,
AND(L450="level-log",M450="level"),O450/BF450,
AND(L450="level-log",M450="sd (X)"),O450/BF450/AQ450,
AND(L450="level-log",M450="sd (Y)"),O450/BF450*BH450,
AND(L450="elasticity",M450="level"),O450,
AND(L450="elasticity",M450="sd (X)"),O450/AQ450,
AND(L450="elasticity",M450="sd (Y)"),O450*BH450,
AND(L450="marginal_effect",M450="percent_of_mean"),O450*AN450/BF450/10)</f>
        <v>7.2971999999999995E-2</v>
      </c>
      <c r="AH450" s="51">
        <f t="shared" si="167"/>
        <v>1</v>
      </c>
      <c r="AI450" s="92">
        <f t="shared" si="179"/>
        <v>4.4594000000000002E-2</v>
      </c>
      <c r="AJ450" s="47">
        <v>0</v>
      </c>
      <c r="AK450" s="47">
        <f t="shared" si="174"/>
        <v>1</v>
      </c>
      <c r="AL450" s="47" t="s">
        <v>131</v>
      </c>
      <c r="AM450" s="47" t="s">
        <v>410</v>
      </c>
      <c r="AN450" s="47">
        <v>20.27</v>
      </c>
      <c r="AO450" s="47">
        <v>0</v>
      </c>
      <c r="AP450" s="47">
        <f t="shared" si="168"/>
        <v>20.27</v>
      </c>
      <c r="AQ450" s="47">
        <v>14.08</v>
      </c>
      <c r="AR450" s="47">
        <v>0</v>
      </c>
      <c r="AS450" s="47">
        <v>150</v>
      </c>
      <c r="AT450" s="47" t="s">
        <v>83</v>
      </c>
      <c r="AU450" s="47" t="s">
        <v>109</v>
      </c>
      <c r="AV450" s="47" t="s">
        <v>133</v>
      </c>
      <c r="AW450" s="47" t="s">
        <v>85</v>
      </c>
      <c r="AX450" s="47" t="s">
        <v>86</v>
      </c>
      <c r="AY450" s="47">
        <v>0</v>
      </c>
      <c r="AZ450" s="47">
        <v>0</v>
      </c>
      <c r="BA450" s="47" t="s">
        <v>111</v>
      </c>
      <c r="BB450" s="47" t="s">
        <v>88</v>
      </c>
      <c r="BC450" s="47" t="s">
        <v>113</v>
      </c>
      <c r="BD450" s="47" t="s">
        <v>114</v>
      </c>
      <c r="BE450" s="47" t="s">
        <v>1142</v>
      </c>
      <c r="BF450" s="47">
        <v>65</v>
      </c>
      <c r="BG450" s="47">
        <v>0</v>
      </c>
      <c r="BH450" s="47" t="s">
        <v>312</v>
      </c>
      <c r="BI450" s="47" t="s">
        <v>312</v>
      </c>
      <c r="BJ450" s="47" t="s">
        <v>312</v>
      </c>
      <c r="BK450" s="47" t="s">
        <v>91</v>
      </c>
      <c r="BL450" s="47" t="s">
        <v>1065</v>
      </c>
      <c r="BM450" s="47">
        <v>1</v>
      </c>
      <c r="BN450" s="47" t="s">
        <v>428</v>
      </c>
      <c r="BO450" s="47" t="s">
        <v>1066</v>
      </c>
      <c r="BP450" s="47" t="s">
        <v>1067</v>
      </c>
      <c r="BQ450" s="47" t="s">
        <v>92</v>
      </c>
      <c r="BR450" s="47" t="s">
        <v>93</v>
      </c>
      <c r="BS450" s="47" t="s">
        <v>312</v>
      </c>
      <c r="BT450" s="47" t="s">
        <v>312</v>
      </c>
      <c r="BU450" s="67">
        <v>42005</v>
      </c>
      <c r="BV450" s="67">
        <v>43070</v>
      </c>
      <c r="BW450" s="47" t="s">
        <v>1068</v>
      </c>
      <c r="BX450" s="47" t="s">
        <v>95</v>
      </c>
      <c r="BY450" s="47" t="s">
        <v>748</v>
      </c>
      <c r="BZ450" s="47">
        <v>1</v>
      </c>
      <c r="CA450" s="47">
        <v>1</v>
      </c>
      <c r="CB450" s="47" t="s">
        <v>1089</v>
      </c>
      <c r="CC450" s="47" t="s">
        <v>1071</v>
      </c>
      <c r="CD450" s="47">
        <v>1</v>
      </c>
      <c r="CE450" s="47" t="s">
        <v>738</v>
      </c>
      <c r="CF450" s="47">
        <v>1</v>
      </c>
      <c r="CG450" s="47" t="s">
        <v>1137</v>
      </c>
      <c r="CH450" s="47">
        <v>1</v>
      </c>
      <c r="CI450" s="47" t="s">
        <v>116</v>
      </c>
      <c r="CJ450" s="47" t="s">
        <v>98</v>
      </c>
      <c r="CK450" s="47">
        <v>76</v>
      </c>
      <c r="CL450" s="47">
        <v>0</v>
      </c>
      <c r="CM450" s="47">
        <v>0</v>
      </c>
      <c r="CN450" s="47" t="s">
        <v>99</v>
      </c>
      <c r="CO450" s="47" t="s">
        <v>97</v>
      </c>
      <c r="CP450" s="47" t="s">
        <v>100</v>
      </c>
      <c r="CQ450" s="47" t="s">
        <v>126</v>
      </c>
      <c r="CR450" s="48">
        <v>46225</v>
      </c>
      <c r="CT450" s="47" t="s">
        <v>933</v>
      </c>
    </row>
    <row r="451" spans="1:98" s="47" customFormat="1" x14ac:dyDescent="0.35">
      <c r="A451" s="46" t="s">
        <v>1056</v>
      </c>
      <c r="B451" s="46" t="s">
        <v>1128</v>
      </c>
      <c r="C451" s="47" t="s">
        <v>1057</v>
      </c>
      <c r="D451" s="47">
        <v>2021</v>
      </c>
      <c r="E451" s="66" t="s">
        <v>1058</v>
      </c>
      <c r="F451" s="66" t="s">
        <v>1059</v>
      </c>
      <c r="G451" s="47" t="s">
        <v>78</v>
      </c>
      <c r="H451" s="47">
        <v>1</v>
      </c>
      <c r="I451" s="47" t="s">
        <v>1060</v>
      </c>
      <c r="J451" s="47" t="s">
        <v>79</v>
      </c>
      <c r="K451" s="47">
        <v>28</v>
      </c>
      <c r="L451" s="47" t="s">
        <v>104</v>
      </c>
      <c r="M451" s="47" t="s">
        <v>380</v>
      </c>
      <c r="N451" s="47">
        <v>1.3899999999999999E-2</v>
      </c>
      <c r="O451" s="47">
        <v>7.0000000000000001E-3</v>
      </c>
      <c r="P451" s="92">
        <f t="shared" si="169"/>
        <v>1.9857142857142855</v>
      </c>
      <c r="Q451" s="47" t="s">
        <v>312</v>
      </c>
      <c r="R451" s="92">
        <f t="shared" si="170"/>
        <v>1.799999999999996E-4</v>
      </c>
      <c r="S451" s="92">
        <f t="shared" si="171"/>
        <v>2.7619999999999999E-2</v>
      </c>
      <c r="T451" s="47">
        <v>1</v>
      </c>
      <c r="U451" s="47">
        <v>14637</v>
      </c>
      <c r="V451" s="47" t="s">
        <v>312</v>
      </c>
      <c r="W451" s="47" t="s">
        <v>312</v>
      </c>
      <c r="X451" s="47">
        <f t="shared" si="175"/>
        <v>14637</v>
      </c>
      <c r="Y451" s="92">
        <f t="shared" si="172"/>
        <v>1.6410893776380105E-2</v>
      </c>
      <c r="Z451" s="92">
        <f t="shared" si="173"/>
        <v>8.2644788801914202E-3</v>
      </c>
      <c r="AA451" s="92">
        <f t="shared" si="176"/>
        <v>-1.6410893776380105E-2</v>
      </c>
      <c r="AB451" s="47" t="s">
        <v>81</v>
      </c>
      <c r="AC451" s="92">
        <f t="shared" si="177"/>
        <v>0.37988699999999997</v>
      </c>
      <c r="AD451" s="92" cm="1">
        <f t="array" ref="AD451">_xlfn.IFS(
AND(L451="marginal_effect",M451="level"),N451*AN451/BF451,
AND(L451="marginal_effect",M451="sd (Y)"),N451*BH451*AN451/BF451,
AND(L451="marginal_effect",M451="sd (X)"),N451/AQ451*AN451/BF451,
AND(L451="semi_elasticity",M451="level"),N451*AN451,
AND(L451="semi_elasticity",M451="sd (Y)"),N451*AN451*BH451,
AND(L451="semi_elasticity",M451="sd (X)"),N451*AN451/AQ451,
AND(L451="level-log",M451="level"),N451/BF451,
AND(L451="level-log",M451="sd (X)"),N451/BF451/AQ451,
AND(L451="level-log",M451="sd (Y)"),N451/BF451*BH451,
AND(L451="elasticity",M451="level"),N451,
AND(L451="elasticity",M451="sd (X)"),N451/AQ451,
AND(L451="elasticity",M451="sd (Y)"),N451*BH451,
AND(L451="marginal_effect",M451="percent_of_mean"),N451*AN451/BF451/10)</f>
        <v>0.37988699999999997</v>
      </c>
      <c r="AE451" s="51">
        <f t="shared" si="166"/>
        <v>1</v>
      </c>
      <c r="AF451" s="92">
        <f t="shared" si="178"/>
        <v>0.19130999999999998</v>
      </c>
      <c r="AG451" s="92" cm="1">
        <f t="array" ref="AG451">_xlfn.IFS(
AND(L451="marginal_effect",M451="level"),O451*AN451/BF451,
AND(L451="marginal_effect",M451="sd (Y)"),O451*BH451*AN451/BF451,
AND(L451="marginal_effect",M451="sd (X)"),O451/AQ451*AN451/BF451,
AND(L451="semi_elasticity",M451="level"),O451*AN451,
AND(L451="semi_elasticity",M451="sd (Y)"),O451*AN451*BH451,
AND(L451="semi_elasticity",M451="sd (X)"),O451*AN451/AQ451,
AND(L451="level-log",M451="level"),O451/BF451,
AND(L451="level-log",M451="sd (X)"),O451/BF451/AQ451,
AND(L451="level-log",M451="sd (Y)"),O451/BF451*BH451,
AND(L451="elasticity",M451="level"),O451,
AND(L451="elasticity",M451="sd (X)"),O451/AQ451,
AND(L451="elasticity",M451="sd (Y)"),O451*BH451,
AND(L451="marginal_effect",M451="percent_of_mean"),O451*AN451/BF451/10)</f>
        <v>0.19130999999999998</v>
      </c>
      <c r="AH451" s="51">
        <f t="shared" si="167"/>
        <v>1</v>
      </c>
      <c r="AI451" s="92">
        <f t="shared" si="179"/>
        <v>-0.37988699999999997</v>
      </c>
      <c r="AJ451" s="47">
        <v>0</v>
      </c>
      <c r="AK451" s="47">
        <f t="shared" si="174"/>
        <v>1</v>
      </c>
      <c r="AL451" s="47" t="s">
        <v>148</v>
      </c>
      <c r="AM451" s="47" t="s">
        <v>410</v>
      </c>
      <c r="AN451" s="47">
        <v>27.33</v>
      </c>
      <c r="AO451" s="47">
        <v>0</v>
      </c>
      <c r="AP451" s="47">
        <f t="shared" si="168"/>
        <v>27.33</v>
      </c>
      <c r="AQ451" s="47">
        <v>24.83</v>
      </c>
      <c r="AR451" s="47">
        <v>1</v>
      </c>
      <c r="AS451" s="47">
        <v>210</v>
      </c>
      <c r="AT451" s="47" t="s">
        <v>83</v>
      </c>
      <c r="AU451" s="47" t="s">
        <v>109</v>
      </c>
      <c r="AV451" s="47" t="s">
        <v>133</v>
      </c>
      <c r="AW451" s="47" t="s">
        <v>85</v>
      </c>
      <c r="AX451" s="47" t="s">
        <v>86</v>
      </c>
      <c r="AY451" s="47">
        <v>0</v>
      </c>
      <c r="AZ451" s="47">
        <v>0</v>
      </c>
      <c r="BA451" s="47" t="s">
        <v>111</v>
      </c>
      <c r="BB451" s="47" t="s">
        <v>88</v>
      </c>
      <c r="BC451" s="47" t="s">
        <v>113</v>
      </c>
      <c r="BD451" s="47" t="s">
        <v>114</v>
      </c>
      <c r="BE451" s="47" t="s">
        <v>1142</v>
      </c>
      <c r="BF451" s="47">
        <v>65</v>
      </c>
      <c r="BG451" s="47">
        <v>0</v>
      </c>
      <c r="BH451" s="47" t="s">
        <v>312</v>
      </c>
      <c r="BI451" s="47" t="s">
        <v>312</v>
      </c>
      <c r="BJ451" s="47" t="s">
        <v>312</v>
      </c>
      <c r="BK451" s="47" t="s">
        <v>91</v>
      </c>
      <c r="BL451" s="47" t="s">
        <v>1065</v>
      </c>
      <c r="BM451" s="47">
        <v>1</v>
      </c>
      <c r="BN451" s="47" t="s">
        <v>428</v>
      </c>
      <c r="BO451" s="47" t="s">
        <v>1066</v>
      </c>
      <c r="BP451" s="47" t="s">
        <v>1067</v>
      </c>
      <c r="BQ451" s="47" t="s">
        <v>92</v>
      </c>
      <c r="BR451" s="47" t="s">
        <v>93</v>
      </c>
      <c r="BS451" s="47" t="s">
        <v>312</v>
      </c>
      <c r="BT451" s="47" t="s">
        <v>312</v>
      </c>
      <c r="BU451" s="67">
        <v>42005</v>
      </c>
      <c r="BV451" s="67">
        <v>43070</v>
      </c>
      <c r="BW451" s="47" t="s">
        <v>1068</v>
      </c>
      <c r="BX451" s="47" t="s">
        <v>95</v>
      </c>
      <c r="BY451" s="47" t="s">
        <v>748</v>
      </c>
      <c r="BZ451" s="47">
        <v>1</v>
      </c>
      <c r="CA451" s="47">
        <v>1</v>
      </c>
      <c r="CB451" s="47" t="s">
        <v>1089</v>
      </c>
      <c r="CC451" s="47" t="s">
        <v>1071</v>
      </c>
      <c r="CD451" s="47">
        <v>1</v>
      </c>
      <c r="CE451" s="47" t="s">
        <v>738</v>
      </c>
      <c r="CF451" s="47">
        <v>1</v>
      </c>
      <c r="CG451" s="47" t="s">
        <v>1135</v>
      </c>
      <c r="CH451" s="47">
        <v>1</v>
      </c>
      <c r="CI451" s="47" t="s">
        <v>116</v>
      </c>
      <c r="CJ451" s="47" t="s">
        <v>98</v>
      </c>
      <c r="CK451" s="47">
        <v>76</v>
      </c>
      <c r="CL451" s="47">
        <v>0</v>
      </c>
      <c r="CM451" s="47">
        <v>0</v>
      </c>
      <c r="CN451" s="47" t="s">
        <v>99</v>
      </c>
      <c r="CO451" s="47" t="s">
        <v>97</v>
      </c>
      <c r="CP451" s="47" t="s">
        <v>100</v>
      </c>
      <c r="CQ451" s="47" t="s">
        <v>126</v>
      </c>
      <c r="CR451" s="48">
        <v>46225</v>
      </c>
      <c r="CT451" s="47" t="s">
        <v>934</v>
      </c>
    </row>
    <row r="452" spans="1:98" s="47" customFormat="1" x14ac:dyDescent="0.35">
      <c r="A452" s="46" t="s">
        <v>1056</v>
      </c>
      <c r="B452" s="46" t="s">
        <v>1129</v>
      </c>
      <c r="C452" s="47" t="s">
        <v>1057</v>
      </c>
      <c r="D452" s="47">
        <v>2021</v>
      </c>
      <c r="E452" s="66" t="s">
        <v>1058</v>
      </c>
      <c r="F452" s="66" t="s">
        <v>1059</v>
      </c>
      <c r="G452" s="47" t="s">
        <v>78</v>
      </c>
      <c r="H452" s="47">
        <v>1</v>
      </c>
      <c r="I452" s="47" t="s">
        <v>1060</v>
      </c>
      <c r="J452" s="47" t="s">
        <v>79</v>
      </c>
      <c r="K452" s="47">
        <v>28</v>
      </c>
      <c r="L452" s="47" t="s">
        <v>104</v>
      </c>
      <c r="M452" s="47" t="s">
        <v>380</v>
      </c>
      <c r="N452" s="47">
        <v>-5.1000000000000004E-3</v>
      </c>
      <c r="O452" s="47">
        <v>7.3000000000000001E-3</v>
      </c>
      <c r="P452" s="92">
        <f t="shared" si="169"/>
        <v>-0.69863013698630139</v>
      </c>
      <c r="Q452" s="47" t="s">
        <v>312</v>
      </c>
      <c r="R452" s="92">
        <f t="shared" si="170"/>
        <v>-1.9408000000000002E-2</v>
      </c>
      <c r="S452" s="92">
        <f t="shared" si="171"/>
        <v>9.2079999999999992E-3</v>
      </c>
      <c r="T452" s="47">
        <v>1</v>
      </c>
      <c r="U452" s="47">
        <v>14617</v>
      </c>
      <c r="V452" s="47" t="s">
        <v>312</v>
      </c>
      <c r="W452" s="47" t="s">
        <v>312</v>
      </c>
      <c r="X452" s="47">
        <f t="shared" si="175"/>
        <v>14617</v>
      </c>
      <c r="Y452" s="92">
        <f t="shared" si="172"/>
        <v>-5.7784444382056113E-3</v>
      </c>
      <c r="Z452" s="92">
        <f t="shared" si="173"/>
        <v>8.2711067448825414E-3</v>
      </c>
      <c r="AA452" s="92">
        <f t="shared" si="176"/>
        <v>5.7784444382056113E-3</v>
      </c>
      <c r="AB452" s="47" t="s">
        <v>81</v>
      </c>
      <c r="AC452" s="92">
        <f t="shared" si="177"/>
        <v>-3.5699999999999998E-3</v>
      </c>
      <c r="AD452" s="92" cm="1">
        <f t="array" ref="AD452">_xlfn.IFS(
AND(L452="marginal_effect",M452="level"),N452*AN452/BF452,
AND(L452="marginal_effect",M452="sd (Y)"),N452*BH452*AN452/BF452,
AND(L452="marginal_effect",M452="sd (X)"),N452/AQ452*AN452/BF452,
AND(L452="semi_elasticity",M452="level"),N452*AN452,
AND(L452="semi_elasticity",M452="sd (Y)"),N452*AN452*BH452,
AND(L452="semi_elasticity",M452="sd (X)"),N452*AN452/AQ452,
AND(L452="level-log",M452="level"),N452/BF452,
AND(L452="level-log",M452="sd (X)"),N452/BF452/AQ452,
AND(L452="level-log",M452="sd (Y)"),N452/BF452*BH452,
AND(L452="elasticity",M452="level"),N452,
AND(L452="elasticity",M452="sd (X)"),N452/AQ452,
AND(L452="elasticity",M452="sd (Y)"),N452*BH452,
AND(L452="marginal_effect",M452="percent_of_mean"),N452*AN452/BF452/10)</f>
        <v>-3.5699999999999998E-3</v>
      </c>
      <c r="AE452" s="51">
        <f t="shared" si="166"/>
        <v>1</v>
      </c>
      <c r="AF452" s="92">
        <f t="shared" si="178"/>
        <v>5.11E-3</v>
      </c>
      <c r="AG452" s="92" cm="1">
        <f t="array" ref="AG452">_xlfn.IFS(
AND(L452="marginal_effect",M452="level"),O452*AN452/BF452,
AND(L452="marginal_effect",M452="sd (Y)"),O452*BH452*AN452/BF452,
AND(L452="marginal_effect",M452="sd (X)"),O452/AQ452*AN452/BF452,
AND(L452="semi_elasticity",M452="level"),O452*AN452,
AND(L452="semi_elasticity",M452="sd (Y)"),O452*AN452*BH452,
AND(L452="semi_elasticity",M452="sd (X)"),O452*AN452/AQ452,
AND(L452="level-log",M452="level"),O452/BF452,
AND(L452="level-log",M452="sd (X)"),O452/BF452/AQ452,
AND(L452="level-log",M452="sd (Y)"),O452/BF452*BH452,
AND(L452="elasticity",M452="level"),O452,
AND(L452="elasticity",M452="sd (X)"),O452/AQ452,
AND(L452="elasticity",M452="sd (Y)"),O452*BH452,
AND(L452="marginal_effect",M452="percent_of_mean"),O452*AN452/BF452/10)</f>
        <v>5.11E-3</v>
      </c>
      <c r="AH452" s="51">
        <f t="shared" si="167"/>
        <v>1</v>
      </c>
      <c r="AI452" s="92">
        <f t="shared" si="179"/>
        <v>3.5699999999999998E-3</v>
      </c>
      <c r="AJ452" s="47">
        <v>0</v>
      </c>
      <c r="AK452" s="47">
        <f t="shared" si="174"/>
        <v>1</v>
      </c>
      <c r="AL452" s="47" t="s">
        <v>162</v>
      </c>
      <c r="AM452" s="47" t="s">
        <v>590</v>
      </c>
      <c r="AN452" s="47">
        <v>0.7</v>
      </c>
      <c r="AO452" s="47">
        <v>0</v>
      </c>
      <c r="AP452" s="47">
        <f t="shared" si="168"/>
        <v>0.7</v>
      </c>
      <c r="AQ452" s="47">
        <v>0.66</v>
      </c>
      <c r="AR452" s="47">
        <v>0</v>
      </c>
      <c r="AS452" s="47">
        <v>12.76</v>
      </c>
      <c r="AT452" s="47" t="s">
        <v>83</v>
      </c>
      <c r="AU452" s="47" t="s">
        <v>109</v>
      </c>
      <c r="AV452" s="47" t="s">
        <v>133</v>
      </c>
      <c r="AW452" s="47" t="s">
        <v>85</v>
      </c>
      <c r="AX452" s="47" t="s">
        <v>86</v>
      </c>
      <c r="AY452" s="47">
        <v>0</v>
      </c>
      <c r="AZ452" s="47">
        <v>0</v>
      </c>
      <c r="BA452" s="47" t="s">
        <v>111</v>
      </c>
      <c r="BB452" s="47" t="s">
        <v>88</v>
      </c>
      <c r="BC452" s="47" t="s">
        <v>113</v>
      </c>
      <c r="BD452" s="47" t="s">
        <v>114</v>
      </c>
      <c r="BE452" s="47" t="s">
        <v>1142</v>
      </c>
      <c r="BF452" s="47">
        <v>65</v>
      </c>
      <c r="BG452" s="47">
        <v>0</v>
      </c>
      <c r="BH452" s="47" t="s">
        <v>312</v>
      </c>
      <c r="BI452" s="47" t="s">
        <v>312</v>
      </c>
      <c r="BJ452" s="47" t="s">
        <v>312</v>
      </c>
      <c r="BK452" s="47" t="s">
        <v>91</v>
      </c>
      <c r="BL452" s="47" t="s">
        <v>1065</v>
      </c>
      <c r="BM452" s="47">
        <v>1</v>
      </c>
      <c r="BN452" s="47" t="s">
        <v>428</v>
      </c>
      <c r="BO452" s="47" t="s">
        <v>1066</v>
      </c>
      <c r="BP452" s="47" t="s">
        <v>1067</v>
      </c>
      <c r="BQ452" s="47" t="s">
        <v>92</v>
      </c>
      <c r="BR452" s="47" t="s">
        <v>93</v>
      </c>
      <c r="BS452" s="47" t="s">
        <v>312</v>
      </c>
      <c r="BT452" s="47" t="s">
        <v>312</v>
      </c>
      <c r="BU452" s="67">
        <v>42005</v>
      </c>
      <c r="BV452" s="67">
        <v>43070</v>
      </c>
      <c r="BW452" s="47" t="s">
        <v>1068</v>
      </c>
      <c r="BX452" s="47" t="s">
        <v>95</v>
      </c>
      <c r="BY452" s="47" t="s">
        <v>748</v>
      </c>
      <c r="BZ452" s="47">
        <v>1</v>
      </c>
      <c r="CA452" s="47">
        <v>1</v>
      </c>
      <c r="CB452" s="47" t="s">
        <v>1089</v>
      </c>
      <c r="CC452" s="47" t="s">
        <v>1071</v>
      </c>
      <c r="CD452" s="47">
        <v>1</v>
      </c>
      <c r="CE452" s="47" t="s">
        <v>738</v>
      </c>
      <c r="CF452" s="47">
        <v>1</v>
      </c>
      <c r="CG452" s="47" t="s">
        <v>1123</v>
      </c>
      <c r="CH452" s="47">
        <v>1</v>
      </c>
      <c r="CI452" s="47" t="s">
        <v>116</v>
      </c>
      <c r="CJ452" s="47" t="s">
        <v>98</v>
      </c>
      <c r="CK452" s="47">
        <v>76</v>
      </c>
      <c r="CL452" s="47">
        <v>0</v>
      </c>
      <c r="CM452" s="47">
        <v>0</v>
      </c>
      <c r="CN452" s="47" t="s">
        <v>99</v>
      </c>
      <c r="CO452" s="47" t="s">
        <v>97</v>
      </c>
      <c r="CP452" s="47" t="s">
        <v>100</v>
      </c>
      <c r="CQ452" s="47" t="s">
        <v>126</v>
      </c>
      <c r="CR452" s="48">
        <v>46225</v>
      </c>
      <c r="CT452" s="47" t="s">
        <v>932</v>
      </c>
    </row>
    <row r="453" spans="1:98" s="47" customFormat="1" x14ac:dyDescent="0.35">
      <c r="A453" s="46" t="s">
        <v>1056</v>
      </c>
      <c r="B453" s="46" t="s">
        <v>1130</v>
      </c>
      <c r="C453" s="47" t="s">
        <v>1057</v>
      </c>
      <c r="D453" s="47">
        <v>2021</v>
      </c>
      <c r="E453" s="66" t="s">
        <v>1058</v>
      </c>
      <c r="F453" s="66" t="s">
        <v>1059</v>
      </c>
      <c r="G453" s="47" t="s">
        <v>78</v>
      </c>
      <c r="H453" s="47">
        <v>1</v>
      </c>
      <c r="I453" s="47" t="s">
        <v>1060</v>
      </c>
      <c r="J453" s="47" t="s">
        <v>79</v>
      </c>
      <c r="K453" s="47">
        <v>28</v>
      </c>
      <c r="L453" s="47" t="s">
        <v>104</v>
      </c>
      <c r="M453" s="47" t="s">
        <v>380</v>
      </c>
      <c r="N453" s="47">
        <v>-2.2000000000000001E-3</v>
      </c>
      <c r="O453" s="47">
        <v>3.5999999999999999E-3</v>
      </c>
      <c r="P453" s="92">
        <f t="shared" si="169"/>
        <v>-0.61111111111111116</v>
      </c>
      <c r="Q453" s="47" t="s">
        <v>312</v>
      </c>
      <c r="R453" s="92">
        <f t="shared" si="170"/>
        <v>-9.2560000000000003E-3</v>
      </c>
      <c r="S453" s="92">
        <f t="shared" si="171"/>
        <v>4.8559999999999992E-3</v>
      </c>
      <c r="T453" s="47">
        <v>1</v>
      </c>
      <c r="U453" s="47">
        <v>14637</v>
      </c>
      <c r="V453" s="47" t="s">
        <v>312</v>
      </c>
      <c r="W453" s="47" t="s">
        <v>312</v>
      </c>
      <c r="X453" s="47">
        <f t="shared" si="175"/>
        <v>14637</v>
      </c>
      <c r="Y453" s="92">
        <f t="shared" si="172"/>
        <v>-5.051130666176829E-3</v>
      </c>
      <c r="Z453" s="92">
        <f t="shared" si="173"/>
        <v>8.2654865446529918E-3</v>
      </c>
      <c r="AA453" s="92">
        <f t="shared" si="176"/>
        <v>5.051130666176829E-3</v>
      </c>
      <c r="AB453" s="47" t="s">
        <v>81</v>
      </c>
      <c r="AC453" s="92">
        <f t="shared" si="177"/>
        <v>-4.4594000000000002E-2</v>
      </c>
      <c r="AD453" s="92" cm="1">
        <f t="array" ref="AD453">_xlfn.IFS(
AND(L453="marginal_effect",M453="level"),N453*AN453/BF453,
AND(L453="marginal_effect",M453="sd (Y)"),N453*BH453*AN453/BF453,
AND(L453="marginal_effect",M453="sd (X)"),N453/AQ453*AN453/BF453,
AND(L453="semi_elasticity",M453="level"),N453*AN453,
AND(L453="semi_elasticity",M453="sd (Y)"),N453*AN453*BH453,
AND(L453="semi_elasticity",M453="sd (X)"),N453*AN453/AQ453,
AND(L453="level-log",M453="level"),N453/BF453,
AND(L453="level-log",M453="sd (X)"),N453/BF453/AQ453,
AND(L453="level-log",M453="sd (Y)"),N453/BF453*BH453,
AND(L453="elasticity",M453="level"),N453,
AND(L453="elasticity",M453="sd (X)"),N453/AQ453,
AND(L453="elasticity",M453="sd (Y)"),N453*BH453,
AND(L453="marginal_effect",M453="percent_of_mean"),N453*AN453/BF453/10)</f>
        <v>-4.4594000000000002E-2</v>
      </c>
      <c r="AE453" s="51">
        <f t="shared" si="166"/>
        <v>1</v>
      </c>
      <c r="AF453" s="92">
        <f t="shared" si="178"/>
        <v>7.2971999999999995E-2</v>
      </c>
      <c r="AG453" s="92" cm="1">
        <f t="array" ref="AG453">_xlfn.IFS(
AND(L453="marginal_effect",M453="level"),O453*AN453/BF453,
AND(L453="marginal_effect",M453="sd (Y)"),O453*BH453*AN453/BF453,
AND(L453="marginal_effect",M453="sd (X)"),O453/AQ453*AN453/BF453,
AND(L453="semi_elasticity",M453="level"),O453*AN453,
AND(L453="semi_elasticity",M453="sd (Y)"),O453*AN453*BH453,
AND(L453="semi_elasticity",M453="sd (X)"),O453*AN453/AQ453,
AND(L453="level-log",M453="level"),O453/BF453,
AND(L453="level-log",M453="sd (X)"),O453/BF453/AQ453,
AND(L453="level-log",M453="sd (Y)"),O453/BF453*BH453,
AND(L453="elasticity",M453="level"),O453,
AND(L453="elasticity",M453="sd (X)"),O453/AQ453,
AND(L453="elasticity",M453="sd (Y)"),O453*BH453,
AND(L453="marginal_effect",M453="percent_of_mean"),O453*AN453/BF453/10)</f>
        <v>7.2971999999999995E-2</v>
      </c>
      <c r="AH453" s="51">
        <f t="shared" si="167"/>
        <v>1</v>
      </c>
      <c r="AI453" s="92">
        <f t="shared" si="179"/>
        <v>4.4594000000000002E-2</v>
      </c>
      <c r="AJ453" s="47">
        <v>0</v>
      </c>
      <c r="AK453" s="47">
        <f t="shared" si="174"/>
        <v>1</v>
      </c>
      <c r="AL453" s="47" t="s">
        <v>131</v>
      </c>
      <c r="AM453" s="47" t="s">
        <v>410</v>
      </c>
      <c r="AN453" s="47">
        <v>20.27</v>
      </c>
      <c r="AO453" s="47">
        <v>0</v>
      </c>
      <c r="AP453" s="47">
        <f t="shared" si="168"/>
        <v>20.27</v>
      </c>
      <c r="AQ453" s="47">
        <v>14.08</v>
      </c>
      <c r="AR453" s="47">
        <v>0</v>
      </c>
      <c r="AS453" s="47">
        <v>150</v>
      </c>
      <c r="AT453" s="47" t="s">
        <v>83</v>
      </c>
      <c r="AU453" s="47" t="s">
        <v>109</v>
      </c>
      <c r="AV453" s="47" t="s">
        <v>133</v>
      </c>
      <c r="AW453" s="47" t="s">
        <v>85</v>
      </c>
      <c r="AX453" s="47" t="s">
        <v>86</v>
      </c>
      <c r="AY453" s="47">
        <v>0</v>
      </c>
      <c r="AZ453" s="47">
        <v>0</v>
      </c>
      <c r="BA453" s="47" t="s">
        <v>111</v>
      </c>
      <c r="BB453" s="47" t="s">
        <v>88</v>
      </c>
      <c r="BC453" s="47" t="s">
        <v>113</v>
      </c>
      <c r="BD453" s="47" t="s">
        <v>114</v>
      </c>
      <c r="BE453" s="47" t="s">
        <v>1142</v>
      </c>
      <c r="BF453" s="47">
        <v>65</v>
      </c>
      <c r="BG453" s="47">
        <v>0</v>
      </c>
      <c r="BH453" s="47" t="s">
        <v>312</v>
      </c>
      <c r="BI453" s="47" t="s">
        <v>312</v>
      </c>
      <c r="BJ453" s="47" t="s">
        <v>312</v>
      </c>
      <c r="BK453" s="47" t="s">
        <v>91</v>
      </c>
      <c r="BL453" s="47" t="s">
        <v>1065</v>
      </c>
      <c r="BM453" s="47">
        <v>1</v>
      </c>
      <c r="BN453" s="47" t="s">
        <v>428</v>
      </c>
      <c r="BO453" s="47" t="s">
        <v>1066</v>
      </c>
      <c r="BP453" s="47" t="s">
        <v>1067</v>
      </c>
      <c r="BQ453" s="47" t="s">
        <v>92</v>
      </c>
      <c r="BR453" s="47" t="s">
        <v>93</v>
      </c>
      <c r="BS453" s="47" t="s">
        <v>312</v>
      </c>
      <c r="BT453" s="47" t="s">
        <v>312</v>
      </c>
      <c r="BU453" s="67">
        <v>42005</v>
      </c>
      <c r="BV453" s="67">
        <v>43070</v>
      </c>
      <c r="BW453" s="47" t="s">
        <v>1068</v>
      </c>
      <c r="BX453" s="47" t="s">
        <v>95</v>
      </c>
      <c r="BY453" s="47" t="s">
        <v>748</v>
      </c>
      <c r="BZ453" s="47">
        <v>1</v>
      </c>
      <c r="CA453" s="47">
        <v>1</v>
      </c>
      <c r="CB453" s="47" t="s">
        <v>1089</v>
      </c>
      <c r="CC453" s="47" t="s">
        <v>1071</v>
      </c>
      <c r="CD453" s="47">
        <v>1</v>
      </c>
      <c r="CE453" s="47" t="s">
        <v>738</v>
      </c>
      <c r="CF453" s="47">
        <v>1</v>
      </c>
      <c r="CG453" s="47" t="s">
        <v>1136</v>
      </c>
      <c r="CH453" s="47">
        <v>1</v>
      </c>
      <c r="CI453" s="47" t="s">
        <v>116</v>
      </c>
      <c r="CJ453" s="47" t="s">
        <v>98</v>
      </c>
      <c r="CK453" s="47">
        <v>76</v>
      </c>
      <c r="CL453" s="47">
        <v>0</v>
      </c>
      <c r="CM453" s="47">
        <v>0</v>
      </c>
      <c r="CN453" s="47" t="s">
        <v>99</v>
      </c>
      <c r="CO453" s="47" t="s">
        <v>97</v>
      </c>
      <c r="CP453" s="47" t="s">
        <v>100</v>
      </c>
      <c r="CQ453" s="47" t="s">
        <v>126</v>
      </c>
      <c r="CR453" s="48">
        <v>46225</v>
      </c>
      <c r="CT453" s="47" t="s">
        <v>934</v>
      </c>
    </row>
    <row r="454" spans="1:98" s="47" customFormat="1" x14ac:dyDescent="0.35">
      <c r="A454" s="46" t="s">
        <v>1056</v>
      </c>
      <c r="B454" s="46" t="s">
        <v>1131</v>
      </c>
      <c r="C454" s="47" t="s">
        <v>1057</v>
      </c>
      <c r="D454" s="47">
        <v>2021</v>
      </c>
      <c r="E454" s="66" t="s">
        <v>1058</v>
      </c>
      <c r="F454" s="66" t="s">
        <v>1059</v>
      </c>
      <c r="G454" s="47" t="s">
        <v>78</v>
      </c>
      <c r="H454" s="47">
        <v>1</v>
      </c>
      <c r="I454" s="47" t="s">
        <v>1060</v>
      </c>
      <c r="J454" s="47" t="s">
        <v>79</v>
      </c>
      <c r="K454" s="47">
        <v>28</v>
      </c>
      <c r="L454" s="47" t="s">
        <v>104</v>
      </c>
      <c r="M454" s="47" t="s">
        <v>380</v>
      </c>
      <c r="N454" s="47">
        <v>1.3899999999999999E-2</v>
      </c>
      <c r="O454" s="47">
        <v>7.0000000000000001E-3</v>
      </c>
      <c r="P454" s="92">
        <f t="shared" si="169"/>
        <v>1.9857142857142855</v>
      </c>
      <c r="Q454" s="47" t="s">
        <v>312</v>
      </c>
      <c r="R454" s="92">
        <f t="shared" si="170"/>
        <v>1.799999999999996E-4</v>
      </c>
      <c r="S454" s="92">
        <f t="shared" si="171"/>
        <v>2.7619999999999999E-2</v>
      </c>
      <c r="T454" s="47">
        <v>1</v>
      </c>
      <c r="U454" s="47">
        <v>13465</v>
      </c>
      <c r="V454" s="47" t="s">
        <v>312</v>
      </c>
      <c r="W454" s="47" t="s">
        <v>312</v>
      </c>
      <c r="X454" s="47">
        <f t="shared" si="175"/>
        <v>13465</v>
      </c>
      <c r="Y454" s="92">
        <f t="shared" si="172"/>
        <v>1.7109999693074668E-2</v>
      </c>
      <c r="Z454" s="92">
        <f t="shared" si="173"/>
        <v>8.6165466080232161E-3</v>
      </c>
      <c r="AA454" s="92">
        <f t="shared" si="176"/>
        <v>-1.7109999693074668E-2</v>
      </c>
      <c r="AB454" s="47" t="s">
        <v>81</v>
      </c>
      <c r="AC454" s="92">
        <f t="shared" si="177"/>
        <v>0.37988699999999997</v>
      </c>
      <c r="AD454" s="92" cm="1">
        <f t="array" ref="AD454">_xlfn.IFS(
AND(L454="marginal_effect",M454="level"),N454*AN454/BF454,
AND(L454="marginal_effect",M454="sd (Y)"),N454*BH454*AN454/BF454,
AND(L454="marginal_effect",M454="sd (X)"),N454/AQ454*AN454/BF454,
AND(L454="semi_elasticity",M454="level"),N454*AN454,
AND(L454="semi_elasticity",M454="sd (Y)"),N454*AN454*BH454,
AND(L454="semi_elasticity",M454="sd (X)"),N454*AN454/AQ454,
AND(L454="level-log",M454="level"),N454/BF454,
AND(L454="level-log",M454="sd (X)"),N454/BF454/AQ454,
AND(L454="level-log",M454="sd (Y)"),N454/BF454*BH454,
AND(L454="elasticity",M454="level"),N454,
AND(L454="elasticity",M454="sd (X)"),N454/AQ454,
AND(L454="elasticity",M454="sd (Y)"),N454*BH454,
AND(L454="marginal_effect",M454="percent_of_mean"),N454*AN454/BF454/10)</f>
        <v>0.37988699999999997</v>
      </c>
      <c r="AE454" s="51">
        <f t="shared" si="166"/>
        <v>1</v>
      </c>
      <c r="AF454" s="92">
        <f t="shared" si="178"/>
        <v>0.19130999999999998</v>
      </c>
      <c r="AG454" s="92" cm="1">
        <f t="array" ref="AG454">_xlfn.IFS(
AND(L454="marginal_effect",M454="level"),O454*AN454/BF454,
AND(L454="marginal_effect",M454="sd (Y)"),O454*BH454*AN454/BF454,
AND(L454="marginal_effect",M454="sd (X)"),O454/AQ454*AN454/BF454,
AND(L454="semi_elasticity",M454="level"),O454*AN454,
AND(L454="semi_elasticity",M454="sd (Y)"),O454*AN454*BH454,
AND(L454="semi_elasticity",M454="sd (X)"),O454*AN454/AQ454,
AND(L454="level-log",M454="level"),O454/BF454,
AND(L454="level-log",M454="sd (X)"),O454/BF454/AQ454,
AND(L454="level-log",M454="sd (Y)"),O454/BF454*BH454,
AND(L454="elasticity",M454="level"),O454,
AND(L454="elasticity",M454="sd (X)"),O454/AQ454,
AND(L454="elasticity",M454="sd (Y)"),O454*BH454,
AND(L454="marginal_effect",M454="percent_of_mean"),O454*AN454/BF454/10)</f>
        <v>0.19130999999999998</v>
      </c>
      <c r="AH454" s="51">
        <f t="shared" si="167"/>
        <v>1</v>
      </c>
      <c r="AI454" s="92">
        <f t="shared" si="179"/>
        <v>-0.37988699999999997</v>
      </c>
      <c r="AJ454" s="47">
        <v>0</v>
      </c>
      <c r="AK454" s="47">
        <f t="shared" si="174"/>
        <v>1</v>
      </c>
      <c r="AL454" s="47" t="s">
        <v>148</v>
      </c>
      <c r="AM454" s="47" t="s">
        <v>410</v>
      </c>
      <c r="AN454" s="47">
        <v>27.33</v>
      </c>
      <c r="AO454" s="47">
        <v>0</v>
      </c>
      <c r="AP454" s="47">
        <f t="shared" si="168"/>
        <v>27.33</v>
      </c>
      <c r="AQ454" s="47">
        <v>24.83</v>
      </c>
      <c r="AR454" s="47">
        <v>1</v>
      </c>
      <c r="AS454" s="47">
        <v>210</v>
      </c>
      <c r="AT454" s="47" t="s">
        <v>83</v>
      </c>
      <c r="AU454" s="47" t="s">
        <v>109</v>
      </c>
      <c r="AV454" s="47" t="s">
        <v>133</v>
      </c>
      <c r="AW454" s="47" t="s">
        <v>85</v>
      </c>
      <c r="AX454" s="47" t="s">
        <v>86</v>
      </c>
      <c r="AY454" s="47">
        <v>0</v>
      </c>
      <c r="AZ454" s="47">
        <v>0</v>
      </c>
      <c r="BA454" s="47" t="s">
        <v>111</v>
      </c>
      <c r="BB454" s="47" t="s">
        <v>88</v>
      </c>
      <c r="BC454" s="47" t="s">
        <v>113</v>
      </c>
      <c r="BD454" s="47" t="s">
        <v>114</v>
      </c>
      <c r="BE454" s="47" t="s">
        <v>1142</v>
      </c>
      <c r="BF454" s="47">
        <v>65</v>
      </c>
      <c r="BG454" s="47">
        <v>0</v>
      </c>
      <c r="BH454" s="47" t="s">
        <v>312</v>
      </c>
      <c r="BI454" s="47" t="s">
        <v>312</v>
      </c>
      <c r="BJ454" s="47" t="s">
        <v>312</v>
      </c>
      <c r="BK454" s="47" t="s">
        <v>91</v>
      </c>
      <c r="BL454" s="47" t="s">
        <v>1065</v>
      </c>
      <c r="BM454" s="47">
        <v>1</v>
      </c>
      <c r="BN454" s="47" t="s">
        <v>428</v>
      </c>
      <c r="BO454" s="47" t="s">
        <v>1066</v>
      </c>
      <c r="BP454" s="47" t="s">
        <v>1067</v>
      </c>
      <c r="BQ454" s="47" t="s">
        <v>92</v>
      </c>
      <c r="BR454" s="47" t="s">
        <v>93</v>
      </c>
      <c r="BS454" s="47" t="s">
        <v>312</v>
      </c>
      <c r="BT454" s="47" t="s">
        <v>312</v>
      </c>
      <c r="BU454" s="67">
        <v>42005</v>
      </c>
      <c r="BV454" s="67">
        <v>43070</v>
      </c>
      <c r="BW454" s="47" t="s">
        <v>1068</v>
      </c>
      <c r="BX454" s="47" t="s">
        <v>95</v>
      </c>
      <c r="BY454" s="47" t="s">
        <v>748</v>
      </c>
      <c r="BZ454" s="47">
        <v>1</v>
      </c>
      <c r="CA454" s="47">
        <v>1</v>
      </c>
      <c r="CB454" s="47" t="s">
        <v>1089</v>
      </c>
      <c r="CC454" s="47" t="s">
        <v>1071</v>
      </c>
      <c r="CD454" s="47">
        <v>1</v>
      </c>
      <c r="CE454" s="47" t="s">
        <v>738</v>
      </c>
      <c r="CF454" s="47">
        <v>1</v>
      </c>
      <c r="CG454" s="47" t="s">
        <v>1137</v>
      </c>
      <c r="CH454" s="47">
        <v>1</v>
      </c>
      <c r="CI454" s="47" t="s">
        <v>116</v>
      </c>
      <c r="CJ454" s="47" t="s">
        <v>98</v>
      </c>
      <c r="CK454" s="47">
        <v>76</v>
      </c>
      <c r="CL454" s="47">
        <v>0</v>
      </c>
      <c r="CM454" s="47">
        <v>0</v>
      </c>
      <c r="CN454" s="47" t="s">
        <v>99</v>
      </c>
      <c r="CO454" s="47" t="s">
        <v>97</v>
      </c>
      <c r="CP454" s="47" t="s">
        <v>100</v>
      </c>
      <c r="CQ454" s="47" t="s">
        <v>126</v>
      </c>
      <c r="CR454" s="48">
        <v>46225</v>
      </c>
      <c r="CT454" s="47" t="s">
        <v>935</v>
      </c>
    </row>
    <row r="455" spans="1:98" s="47" customFormat="1" x14ac:dyDescent="0.35">
      <c r="A455" s="46" t="s">
        <v>1056</v>
      </c>
      <c r="B455" s="46" t="s">
        <v>1132</v>
      </c>
      <c r="C455" s="47" t="s">
        <v>1057</v>
      </c>
      <c r="D455" s="47">
        <v>2021</v>
      </c>
      <c r="E455" s="66" t="s">
        <v>1058</v>
      </c>
      <c r="F455" s="66" t="s">
        <v>1059</v>
      </c>
      <c r="G455" s="47" t="s">
        <v>78</v>
      </c>
      <c r="H455" s="47">
        <v>1</v>
      </c>
      <c r="I455" s="47" t="s">
        <v>1060</v>
      </c>
      <c r="J455" s="47" t="s">
        <v>79</v>
      </c>
      <c r="K455" s="47">
        <v>28</v>
      </c>
      <c r="L455" s="47" t="s">
        <v>104</v>
      </c>
      <c r="M455" s="47" t="s">
        <v>380</v>
      </c>
      <c r="N455" s="47">
        <v>-5.1000000000000004E-3</v>
      </c>
      <c r="O455" s="47">
        <v>7.3000000000000001E-3</v>
      </c>
      <c r="P455" s="92">
        <f t="shared" si="169"/>
        <v>-0.69863013698630139</v>
      </c>
      <c r="Q455" s="47" t="s">
        <v>312</v>
      </c>
      <c r="R455" s="92">
        <f t="shared" si="170"/>
        <v>-1.9408000000000002E-2</v>
      </c>
      <c r="S455" s="92">
        <f t="shared" si="171"/>
        <v>9.2079999999999992E-3</v>
      </c>
      <c r="T455" s="47">
        <v>1</v>
      </c>
      <c r="U455" s="47">
        <v>14617</v>
      </c>
      <c r="V455" s="47" t="s">
        <v>312</v>
      </c>
      <c r="W455" s="47" t="s">
        <v>312</v>
      </c>
      <c r="X455" s="47">
        <f t="shared" si="175"/>
        <v>14617</v>
      </c>
      <c r="Y455" s="92">
        <f t="shared" si="172"/>
        <v>-5.7784444382056113E-3</v>
      </c>
      <c r="Z455" s="92">
        <f t="shared" si="173"/>
        <v>8.2711067448825414E-3</v>
      </c>
      <c r="AA455" s="92">
        <f t="shared" si="176"/>
        <v>5.7784444382056113E-3</v>
      </c>
      <c r="AB455" s="47" t="s">
        <v>81</v>
      </c>
      <c r="AC455" s="92">
        <f t="shared" si="177"/>
        <v>-3.5699999999999998E-3</v>
      </c>
      <c r="AD455" s="92" cm="1">
        <f t="array" ref="AD455">_xlfn.IFS(
AND(L455="marginal_effect",M455="level"),N455*AN455/BF455,
AND(L455="marginal_effect",M455="sd (Y)"),N455*BH455*AN455/BF455,
AND(L455="marginal_effect",M455="sd (X)"),N455/AQ455*AN455/BF455,
AND(L455="semi_elasticity",M455="level"),N455*AN455,
AND(L455="semi_elasticity",M455="sd (Y)"),N455*AN455*BH455,
AND(L455="semi_elasticity",M455="sd (X)"),N455*AN455/AQ455,
AND(L455="level-log",M455="level"),N455/BF455,
AND(L455="level-log",M455="sd (X)"),N455/BF455/AQ455,
AND(L455="level-log",M455="sd (Y)"),N455/BF455*BH455,
AND(L455="elasticity",M455="level"),N455,
AND(L455="elasticity",M455="sd (X)"),N455/AQ455,
AND(L455="elasticity",M455="sd (Y)"),N455*BH455,
AND(L455="marginal_effect",M455="percent_of_mean"),N455*AN455/BF455/10)</f>
        <v>-3.5699999999999998E-3</v>
      </c>
      <c r="AE455" s="51">
        <f t="shared" si="166"/>
        <v>1</v>
      </c>
      <c r="AF455" s="92">
        <f t="shared" si="178"/>
        <v>5.11E-3</v>
      </c>
      <c r="AG455" s="92" cm="1">
        <f t="array" ref="AG455">_xlfn.IFS(
AND(L455="marginal_effect",M455="level"),O455*AN455/BF455,
AND(L455="marginal_effect",M455="sd (Y)"),O455*BH455*AN455/BF455,
AND(L455="marginal_effect",M455="sd (X)"),O455/AQ455*AN455/BF455,
AND(L455="semi_elasticity",M455="level"),O455*AN455,
AND(L455="semi_elasticity",M455="sd (Y)"),O455*AN455*BH455,
AND(L455="semi_elasticity",M455="sd (X)"),O455*AN455/AQ455,
AND(L455="level-log",M455="level"),O455/BF455,
AND(L455="level-log",M455="sd (X)"),O455/BF455/AQ455,
AND(L455="level-log",M455="sd (Y)"),O455/BF455*BH455,
AND(L455="elasticity",M455="level"),O455,
AND(L455="elasticity",M455="sd (X)"),O455/AQ455,
AND(L455="elasticity",M455="sd (Y)"),O455*BH455,
AND(L455="marginal_effect",M455="percent_of_mean"),O455*AN455/BF455/10)</f>
        <v>5.11E-3</v>
      </c>
      <c r="AH455" s="51">
        <f t="shared" si="167"/>
        <v>1</v>
      </c>
      <c r="AI455" s="92">
        <f t="shared" si="179"/>
        <v>3.5699999999999998E-3</v>
      </c>
      <c r="AJ455" s="47">
        <v>0</v>
      </c>
      <c r="AK455" s="47">
        <f t="shared" si="174"/>
        <v>1</v>
      </c>
      <c r="AL455" s="47" t="s">
        <v>162</v>
      </c>
      <c r="AM455" s="47" t="s">
        <v>590</v>
      </c>
      <c r="AN455" s="47">
        <v>0.7</v>
      </c>
      <c r="AO455" s="47">
        <v>0</v>
      </c>
      <c r="AP455" s="47">
        <f t="shared" si="168"/>
        <v>0.7</v>
      </c>
      <c r="AQ455" s="47">
        <v>0.66</v>
      </c>
      <c r="AR455" s="47">
        <v>0</v>
      </c>
      <c r="AS455" s="47">
        <v>12.76</v>
      </c>
      <c r="AT455" s="47" t="s">
        <v>83</v>
      </c>
      <c r="AU455" s="47" t="s">
        <v>109</v>
      </c>
      <c r="AV455" s="47" t="s">
        <v>133</v>
      </c>
      <c r="AW455" s="47" t="s">
        <v>85</v>
      </c>
      <c r="AX455" s="47" t="s">
        <v>86</v>
      </c>
      <c r="AY455" s="47">
        <v>0</v>
      </c>
      <c r="AZ455" s="47">
        <v>0</v>
      </c>
      <c r="BA455" s="47" t="s">
        <v>111</v>
      </c>
      <c r="BB455" s="47" t="s">
        <v>88</v>
      </c>
      <c r="BC455" s="47" t="s">
        <v>113</v>
      </c>
      <c r="BD455" s="47" t="s">
        <v>114</v>
      </c>
      <c r="BE455" s="47" t="s">
        <v>1142</v>
      </c>
      <c r="BF455" s="47">
        <v>65</v>
      </c>
      <c r="BG455" s="47">
        <v>0</v>
      </c>
      <c r="BH455" s="47" t="s">
        <v>312</v>
      </c>
      <c r="BI455" s="47" t="s">
        <v>312</v>
      </c>
      <c r="BJ455" s="47" t="s">
        <v>312</v>
      </c>
      <c r="BK455" s="47" t="s">
        <v>91</v>
      </c>
      <c r="BL455" s="47" t="s">
        <v>1065</v>
      </c>
      <c r="BM455" s="47">
        <v>1</v>
      </c>
      <c r="BN455" s="47" t="s">
        <v>428</v>
      </c>
      <c r="BO455" s="47" t="s">
        <v>1066</v>
      </c>
      <c r="BP455" s="47" t="s">
        <v>1067</v>
      </c>
      <c r="BQ455" s="47" t="s">
        <v>92</v>
      </c>
      <c r="BR455" s="47" t="s">
        <v>93</v>
      </c>
      <c r="BS455" s="47" t="s">
        <v>312</v>
      </c>
      <c r="BT455" s="47" t="s">
        <v>312</v>
      </c>
      <c r="BU455" s="67">
        <v>42005</v>
      </c>
      <c r="BV455" s="67">
        <v>43070</v>
      </c>
      <c r="BW455" s="47" t="s">
        <v>1068</v>
      </c>
      <c r="BX455" s="47" t="s">
        <v>95</v>
      </c>
      <c r="BY455" s="47" t="s">
        <v>748</v>
      </c>
      <c r="BZ455" s="47">
        <v>1</v>
      </c>
      <c r="CA455" s="47">
        <v>1</v>
      </c>
      <c r="CB455" s="47" t="s">
        <v>1089</v>
      </c>
      <c r="CC455" s="47" t="s">
        <v>1071</v>
      </c>
      <c r="CD455" s="47">
        <v>1</v>
      </c>
      <c r="CE455" s="47" t="s">
        <v>738</v>
      </c>
      <c r="CF455" s="47">
        <v>1</v>
      </c>
      <c r="CG455" s="47" t="s">
        <v>1124</v>
      </c>
      <c r="CH455" s="47">
        <v>1</v>
      </c>
      <c r="CI455" s="47" t="s">
        <v>116</v>
      </c>
      <c r="CJ455" s="47" t="s">
        <v>98</v>
      </c>
      <c r="CK455" s="47">
        <v>76</v>
      </c>
      <c r="CL455" s="47">
        <v>0</v>
      </c>
      <c r="CM455" s="47">
        <v>0</v>
      </c>
      <c r="CN455" s="47" t="s">
        <v>99</v>
      </c>
      <c r="CO455" s="47" t="s">
        <v>97</v>
      </c>
      <c r="CP455" s="47" t="s">
        <v>100</v>
      </c>
      <c r="CQ455" s="47" t="s">
        <v>126</v>
      </c>
      <c r="CR455" s="48">
        <v>46225</v>
      </c>
      <c r="CT455" s="47" t="s">
        <v>932</v>
      </c>
    </row>
    <row r="456" spans="1:98" s="47" customFormat="1" x14ac:dyDescent="0.35">
      <c r="A456" s="46" t="s">
        <v>1056</v>
      </c>
      <c r="B456" s="46" t="s">
        <v>1133</v>
      </c>
      <c r="C456" s="47" t="s">
        <v>1057</v>
      </c>
      <c r="D456" s="47">
        <v>2021</v>
      </c>
      <c r="E456" s="66" t="s">
        <v>1058</v>
      </c>
      <c r="F456" s="66" t="s">
        <v>1059</v>
      </c>
      <c r="G456" s="47" t="s">
        <v>78</v>
      </c>
      <c r="H456" s="47">
        <v>1</v>
      </c>
      <c r="I456" s="47" t="s">
        <v>1060</v>
      </c>
      <c r="J456" s="47" t="s">
        <v>79</v>
      </c>
      <c r="K456" s="47">
        <v>28</v>
      </c>
      <c r="L456" s="47" t="s">
        <v>104</v>
      </c>
      <c r="M456" s="47" t="s">
        <v>380</v>
      </c>
      <c r="N456" s="47">
        <v>-2.2000000000000001E-3</v>
      </c>
      <c r="O456" s="47">
        <v>3.5999999999999999E-3</v>
      </c>
      <c r="P456" s="92">
        <f t="shared" si="169"/>
        <v>-0.61111111111111116</v>
      </c>
      <c r="Q456" s="47" t="s">
        <v>312</v>
      </c>
      <c r="R456" s="92">
        <f t="shared" si="170"/>
        <v>-9.2560000000000003E-3</v>
      </c>
      <c r="S456" s="92">
        <f t="shared" si="171"/>
        <v>4.8559999999999992E-3</v>
      </c>
      <c r="T456" s="47">
        <v>1</v>
      </c>
      <c r="U456" s="47">
        <v>14613</v>
      </c>
      <c r="V456" s="47" t="s">
        <v>312</v>
      </c>
      <c r="W456" s="47" t="s">
        <v>312</v>
      </c>
      <c r="X456" s="47">
        <f t="shared" si="175"/>
        <v>14613</v>
      </c>
      <c r="Y456" s="92">
        <f t="shared" si="172"/>
        <v>-5.0552767794407689E-3</v>
      </c>
      <c r="Z456" s="92">
        <f t="shared" si="173"/>
        <v>8.2722710936303477E-3</v>
      </c>
      <c r="AA456" s="92">
        <f t="shared" si="176"/>
        <v>5.0552767794407689E-3</v>
      </c>
      <c r="AB456" s="47" t="s">
        <v>81</v>
      </c>
      <c r="AC456" s="92">
        <f t="shared" si="177"/>
        <v>-4.4594000000000002E-2</v>
      </c>
      <c r="AD456" s="92" cm="1">
        <f t="array" ref="AD456">_xlfn.IFS(
AND(L456="marginal_effect",M456="level"),N456*AN456/BF456,
AND(L456="marginal_effect",M456="sd (Y)"),N456*BH456*AN456/BF456,
AND(L456="marginal_effect",M456="sd (X)"),N456/AQ456*AN456/BF456,
AND(L456="semi_elasticity",M456="level"),N456*AN456,
AND(L456="semi_elasticity",M456="sd (Y)"),N456*AN456*BH456,
AND(L456="semi_elasticity",M456="sd (X)"),N456*AN456/AQ456,
AND(L456="level-log",M456="level"),N456/BF456,
AND(L456="level-log",M456="sd (X)"),N456/BF456/AQ456,
AND(L456="level-log",M456="sd (Y)"),N456/BF456*BH456,
AND(L456="elasticity",M456="level"),N456,
AND(L456="elasticity",M456="sd (X)"),N456/AQ456,
AND(L456="elasticity",M456="sd (Y)"),N456*BH456,
AND(L456="marginal_effect",M456="percent_of_mean"),N456*AN456/BF456/10)</f>
        <v>-4.4594000000000002E-2</v>
      </c>
      <c r="AE456" s="51">
        <f t="shared" si="166"/>
        <v>1</v>
      </c>
      <c r="AF456" s="92">
        <f t="shared" si="178"/>
        <v>7.2971999999999995E-2</v>
      </c>
      <c r="AG456" s="92" cm="1">
        <f t="array" ref="AG456">_xlfn.IFS(
AND(L456="marginal_effect",M456="level"),O456*AN456/BF456,
AND(L456="marginal_effect",M456="sd (Y)"),O456*BH456*AN456/BF456,
AND(L456="marginal_effect",M456="sd (X)"),O456/AQ456*AN456/BF456,
AND(L456="semi_elasticity",M456="level"),O456*AN456,
AND(L456="semi_elasticity",M456="sd (Y)"),O456*AN456*BH456,
AND(L456="semi_elasticity",M456="sd (X)"),O456*AN456/AQ456,
AND(L456="level-log",M456="level"),O456/BF456,
AND(L456="level-log",M456="sd (X)"),O456/BF456/AQ456,
AND(L456="level-log",M456="sd (Y)"),O456/BF456*BH456,
AND(L456="elasticity",M456="level"),O456,
AND(L456="elasticity",M456="sd (X)"),O456/AQ456,
AND(L456="elasticity",M456="sd (Y)"),O456*BH456,
AND(L456="marginal_effect",M456="percent_of_mean"),O456*AN456/BF456/10)</f>
        <v>7.2971999999999995E-2</v>
      </c>
      <c r="AH456" s="51">
        <f t="shared" si="167"/>
        <v>1</v>
      </c>
      <c r="AI456" s="92">
        <f t="shared" si="179"/>
        <v>4.4594000000000002E-2</v>
      </c>
      <c r="AJ456" s="47">
        <v>0</v>
      </c>
      <c r="AK456" s="47">
        <f t="shared" si="174"/>
        <v>1</v>
      </c>
      <c r="AL456" s="47" t="s">
        <v>131</v>
      </c>
      <c r="AM456" s="47" t="s">
        <v>410</v>
      </c>
      <c r="AN456" s="47">
        <v>20.27</v>
      </c>
      <c r="AO456" s="47">
        <v>0</v>
      </c>
      <c r="AP456" s="47">
        <f t="shared" si="168"/>
        <v>20.27</v>
      </c>
      <c r="AQ456" s="47">
        <v>14.08</v>
      </c>
      <c r="AR456" s="47">
        <v>0</v>
      </c>
      <c r="AS456" s="47">
        <v>150</v>
      </c>
      <c r="AT456" s="47" t="s">
        <v>83</v>
      </c>
      <c r="AU456" s="47" t="s">
        <v>109</v>
      </c>
      <c r="AV456" s="47" t="s">
        <v>133</v>
      </c>
      <c r="AW456" s="47" t="s">
        <v>85</v>
      </c>
      <c r="AX456" s="47" t="s">
        <v>86</v>
      </c>
      <c r="AY456" s="47">
        <v>0</v>
      </c>
      <c r="AZ456" s="47">
        <v>0</v>
      </c>
      <c r="BA456" s="47" t="s">
        <v>111</v>
      </c>
      <c r="BB456" s="47" t="s">
        <v>88</v>
      </c>
      <c r="BC456" s="47" t="s">
        <v>113</v>
      </c>
      <c r="BD456" s="47" t="s">
        <v>114</v>
      </c>
      <c r="BE456" s="47" t="s">
        <v>1142</v>
      </c>
      <c r="BF456" s="47">
        <v>65</v>
      </c>
      <c r="BG456" s="47">
        <v>0</v>
      </c>
      <c r="BH456" s="47" t="s">
        <v>312</v>
      </c>
      <c r="BI456" s="47" t="s">
        <v>312</v>
      </c>
      <c r="BJ456" s="47" t="s">
        <v>312</v>
      </c>
      <c r="BK456" s="47" t="s">
        <v>91</v>
      </c>
      <c r="BL456" s="47" t="s">
        <v>1065</v>
      </c>
      <c r="BM456" s="47">
        <v>1</v>
      </c>
      <c r="BN456" s="47" t="s">
        <v>428</v>
      </c>
      <c r="BO456" s="47" t="s">
        <v>1066</v>
      </c>
      <c r="BP456" s="47" t="s">
        <v>1067</v>
      </c>
      <c r="BQ456" s="47" t="s">
        <v>92</v>
      </c>
      <c r="BR456" s="47" t="s">
        <v>93</v>
      </c>
      <c r="BS456" s="47" t="s">
        <v>312</v>
      </c>
      <c r="BT456" s="47" t="s">
        <v>312</v>
      </c>
      <c r="BU456" s="67">
        <v>42005</v>
      </c>
      <c r="BV456" s="67">
        <v>43070</v>
      </c>
      <c r="BW456" s="47" t="s">
        <v>1068</v>
      </c>
      <c r="BX456" s="47" t="s">
        <v>95</v>
      </c>
      <c r="BY456" s="47" t="s">
        <v>748</v>
      </c>
      <c r="BZ456" s="47">
        <v>1</v>
      </c>
      <c r="CA456" s="47">
        <v>1</v>
      </c>
      <c r="CB456" s="47" t="s">
        <v>1089</v>
      </c>
      <c r="CC456" s="47" t="s">
        <v>1071</v>
      </c>
      <c r="CD456" s="47">
        <v>1</v>
      </c>
      <c r="CE456" s="47" t="s">
        <v>738</v>
      </c>
      <c r="CF456" s="47">
        <v>1</v>
      </c>
      <c r="CG456" s="47" t="s">
        <v>1136</v>
      </c>
      <c r="CH456" s="47">
        <v>1</v>
      </c>
      <c r="CI456" s="47" t="s">
        <v>116</v>
      </c>
      <c r="CJ456" s="47" t="s">
        <v>98</v>
      </c>
      <c r="CK456" s="47">
        <v>76</v>
      </c>
      <c r="CL456" s="47">
        <v>0</v>
      </c>
      <c r="CM456" s="47">
        <v>0</v>
      </c>
      <c r="CN456" s="47" t="s">
        <v>99</v>
      </c>
      <c r="CO456" s="47" t="s">
        <v>97</v>
      </c>
      <c r="CP456" s="47" t="s">
        <v>100</v>
      </c>
      <c r="CQ456" s="47" t="s">
        <v>126</v>
      </c>
      <c r="CR456" s="48">
        <v>46225</v>
      </c>
      <c r="CT456" s="47" t="s">
        <v>933</v>
      </c>
    </row>
    <row r="457" spans="1:98" s="47" customFormat="1" x14ac:dyDescent="0.35">
      <c r="A457" s="46" t="s">
        <v>1056</v>
      </c>
      <c r="B457" s="46" t="s">
        <v>1134</v>
      </c>
      <c r="C457" s="47" t="s">
        <v>1057</v>
      </c>
      <c r="D457" s="47">
        <v>2021</v>
      </c>
      <c r="E457" s="66" t="s">
        <v>1058</v>
      </c>
      <c r="F457" s="66" t="s">
        <v>1059</v>
      </c>
      <c r="G457" s="47" t="s">
        <v>78</v>
      </c>
      <c r="H457" s="47">
        <v>1</v>
      </c>
      <c r="I457" s="47" t="s">
        <v>1060</v>
      </c>
      <c r="J457" s="47" t="s">
        <v>79</v>
      </c>
      <c r="K457" s="47">
        <v>28</v>
      </c>
      <c r="L457" s="47" t="s">
        <v>104</v>
      </c>
      <c r="M457" s="47" t="s">
        <v>380</v>
      </c>
      <c r="N457" s="47">
        <v>1.3899999999999999E-2</v>
      </c>
      <c r="O457" s="47">
        <v>7.0000000000000001E-3</v>
      </c>
      <c r="P457" s="92">
        <f t="shared" si="169"/>
        <v>1.9857142857142855</v>
      </c>
      <c r="Q457" s="47" t="s">
        <v>312</v>
      </c>
      <c r="R457" s="92">
        <f t="shared" si="170"/>
        <v>1.799999999999996E-4</v>
      </c>
      <c r="S457" s="92">
        <f t="shared" si="171"/>
        <v>2.7619999999999999E-2</v>
      </c>
      <c r="T457" s="47">
        <v>1</v>
      </c>
      <c r="U457" s="47">
        <v>13465</v>
      </c>
      <c r="V457" s="47" t="s">
        <v>312</v>
      </c>
      <c r="W457" s="47" t="s">
        <v>312</v>
      </c>
      <c r="X457" s="47">
        <f t="shared" si="175"/>
        <v>13465</v>
      </c>
      <c r="Y457" s="92">
        <f t="shared" si="172"/>
        <v>1.7109999693074668E-2</v>
      </c>
      <c r="Z457" s="92">
        <f t="shared" si="173"/>
        <v>8.6165466080232161E-3</v>
      </c>
      <c r="AA457" s="92">
        <f t="shared" si="176"/>
        <v>-1.7109999693074668E-2</v>
      </c>
      <c r="AB457" s="47" t="s">
        <v>81</v>
      </c>
      <c r="AC457" s="92">
        <f t="shared" si="177"/>
        <v>0.37988699999999997</v>
      </c>
      <c r="AD457" s="92" cm="1">
        <f t="array" ref="AD457">_xlfn.IFS(
AND(L457="marginal_effect",M457="level"),N457*AN457/BF457,
AND(L457="marginal_effect",M457="sd (Y)"),N457*BH457*AN457/BF457,
AND(L457="marginal_effect",M457="sd (X)"),N457/AQ457*AN457/BF457,
AND(L457="semi_elasticity",M457="level"),N457*AN457,
AND(L457="semi_elasticity",M457="sd (Y)"),N457*AN457*BH457,
AND(L457="semi_elasticity",M457="sd (X)"),N457*AN457/AQ457,
AND(L457="level-log",M457="level"),N457/BF457,
AND(L457="level-log",M457="sd (X)"),N457/BF457/AQ457,
AND(L457="level-log",M457="sd (Y)"),N457/BF457*BH457,
AND(L457="elasticity",M457="level"),N457,
AND(L457="elasticity",M457="sd (X)"),N457/AQ457,
AND(L457="elasticity",M457="sd (Y)"),N457*BH457,
AND(L457="marginal_effect",M457="percent_of_mean"),N457*AN457/BF457/10)</f>
        <v>0.37988699999999997</v>
      </c>
      <c r="AE457" s="51">
        <f t="shared" si="166"/>
        <v>1</v>
      </c>
      <c r="AF457" s="92">
        <f t="shared" si="178"/>
        <v>0.19130999999999998</v>
      </c>
      <c r="AG457" s="92" cm="1">
        <f t="array" ref="AG457">_xlfn.IFS(
AND(L457="marginal_effect",M457="level"),O457*AN457/BF457,
AND(L457="marginal_effect",M457="sd (Y)"),O457*BH457*AN457/BF457,
AND(L457="marginal_effect",M457="sd (X)"),O457/AQ457*AN457/BF457,
AND(L457="semi_elasticity",M457="level"),O457*AN457,
AND(L457="semi_elasticity",M457="sd (Y)"),O457*AN457*BH457,
AND(L457="semi_elasticity",M457="sd (X)"),O457*AN457/AQ457,
AND(L457="level-log",M457="level"),O457/BF457,
AND(L457="level-log",M457="sd (X)"),O457/BF457/AQ457,
AND(L457="level-log",M457="sd (Y)"),O457/BF457*BH457,
AND(L457="elasticity",M457="level"),O457,
AND(L457="elasticity",M457="sd (X)"),O457/AQ457,
AND(L457="elasticity",M457="sd (Y)"),O457*BH457,
AND(L457="marginal_effect",M457="percent_of_mean"),O457*AN457/BF457/10)</f>
        <v>0.19130999999999998</v>
      </c>
      <c r="AH457" s="51">
        <f t="shared" si="167"/>
        <v>1</v>
      </c>
      <c r="AI457" s="92">
        <f t="shared" si="179"/>
        <v>-0.37988699999999997</v>
      </c>
      <c r="AJ457" s="47">
        <v>0</v>
      </c>
      <c r="AK457" s="47">
        <f t="shared" si="174"/>
        <v>1</v>
      </c>
      <c r="AL457" s="47" t="s">
        <v>148</v>
      </c>
      <c r="AM457" s="47" t="s">
        <v>410</v>
      </c>
      <c r="AN457" s="47">
        <v>27.33</v>
      </c>
      <c r="AO457" s="47">
        <v>0</v>
      </c>
      <c r="AP457" s="47">
        <f t="shared" si="168"/>
        <v>27.33</v>
      </c>
      <c r="AQ457" s="47">
        <v>24.83</v>
      </c>
      <c r="AR457" s="47">
        <v>1</v>
      </c>
      <c r="AS457" s="47">
        <v>210</v>
      </c>
      <c r="AT457" s="47" t="s">
        <v>83</v>
      </c>
      <c r="AU457" s="47" t="s">
        <v>109</v>
      </c>
      <c r="AV457" s="47" t="s">
        <v>133</v>
      </c>
      <c r="AW457" s="47" t="s">
        <v>85</v>
      </c>
      <c r="AX457" s="47" t="s">
        <v>86</v>
      </c>
      <c r="AY457" s="47">
        <v>0</v>
      </c>
      <c r="AZ457" s="47">
        <v>0</v>
      </c>
      <c r="BA457" s="47" t="s">
        <v>111</v>
      </c>
      <c r="BB457" s="47" t="s">
        <v>88</v>
      </c>
      <c r="BC457" s="47" t="s">
        <v>113</v>
      </c>
      <c r="BD457" s="47" t="s">
        <v>114</v>
      </c>
      <c r="BE457" s="47" t="s">
        <v>1142</v>
      </c>
      <c r="BF457" s="47">
        <v>65</v>
      </c>
      <c r="BG457" s="47">
        <v>0</v>
      </c>
      <c r="BH457" s="47" t="s">
        <v>312</v>
      </c>
      <c r="BI457" s="47" t="s">
        <v>312</v>
      </c>
      <c r="BJ457" s="47" t="s">
        <v>312</v>
      </c>
      <c r="BK457" s="47" t="s">
        <v>91</v>
      </c>
      <c r="BL457" s="47" t="s">
        <v>1065</v>
      </c>
      <c r="BM457" s="47">
        <v>1</v>
      </c>
      <c r="BN457" s="47" t="s">
        <v>428</v>
      </c>
      <c r="BO457" s="47" t="s">
        <v>1066</v>
      </c>
      <c r="BP457" s="47" t="s">
        <v>1067</v>
      </c>
      <c r="BQ457" s="47" t="s">
        <v>92</v>
      </c>
      <c r="BR457" s="47" t="s">
        <v>93</v>
      </c>
      <c r="BS457" s="47" t="s">
        <v>312</v>
      </c>
      <c r="BT457" s="47" t="s">
        <v>312</v>
      </c>
      <c r="BU457" s="67">
        <v>42005</v>
      </c>
      <c r="BV457" s="67">
        <v>43070</v>
      </c>
      <c r="BW457" s="47" t="s">
        <v>1068</v>
      </c>
      <c r="BX457" s="47" t="s">
        <v>95</v>
      </c>
      <c r="BY457" s="47" t="s">
        <v>748</v>
      </c>
      <c r="BZ457" s="47">
        <v>1</v>
      </c>
      <c r="CA457" s="47">
        <v>1</v>
      </c>
      <c r="CB457" s="47" t="s">
        <v>1089</v>
      </c>
      <c r="CC457" s="47" t="s">
        <v>1071</v>
      </c>
      <c r="CD457" s="47">
        <v>1</v>
      </c>
      <c r="CE457" s="47" t="s">
        <v>738</v>
      </c>
      <c r="CF457" s="47">
        <v>1</v>
      </c>
      <c r="CG457" s="47" t="s">
        <v>1135</v>
      </c>
      <c r="CH457" s="47">
        <v>1</v>
      </c>
      <c r="CI457" s="47" t="s">
        <v>116</v>
      </c>
      <c r="CJ457" s="47" t="s">
        <v>98</v>
      </c>
      <c r="CK457" s="47">
        <v>76</v>
      </c>
      <c r="CL457" s="47">
        <v>0</v>
      </c>
      <c r="CM457" s="47">
        <v>0</v>
      </c>
      <c r="CN457" s="47" t="s">
        <v>99</v>
      </c>
      <c r="CO457" s="47" t="s">
        <v>97</v>
      </c>
      <c r="CP457" s="47" t="s">
        <v>100</v>
      </c>
      <c r="CQ457" s="47" t="s">
        <v>126</v>
      </c>
      <c r="CR457" s="48">
        <v>46225</v>
      </c>
      <c r="CT457" s="47" t="s">
        <v>935</v>
      </c>
    </row>
    <row r="458" spans="1:98" s="47" customFormat="1" x14ac:dyDescent="0.35">
      <c r="A458" s="46" t="s">
        <v>1056</v>
      </c>
      <c r="B458" s="46" t="s">
        <v>1138</v>
      </c>
      <c r="C458" s="47" t="s">
        <v>1057</v>
      </c>
      <c r="D458" s="47">
        <v>2021</v>
      </c>
      <c r="E458" s="66" t="s">
        <v>1058</v>
      </c>
      <c r="F458" s="66" t="s">
        <v>1059</v>
      </c>
      <c r="G458" s="47" t="s">
        <v>78</v>
      </c>
      <c r="H458" s="47">
        <v>1</v>
      </c>
      <c r="I458" s="47" t="s">
        <v>1060</v>
      </c>
      <c r="J458" s="47" t="s">
        <v>79</v>
      </c>
      <c r="K458" s="47">
        <v>28</v>
      </c>
      <c r="L458" s="47" t="s">
        <v>104</v>
      </c>
      <c r="M458" s="47" t="s">
        <v>380</v>
      </c>
      <c r="N458" s="47">
        <v>1E-4</v>
      </c>
      <c r="O458" s="47">
        <v>2.1000000000000001E-4</v>
      </c>
      <c r="P458" s="92">
        <f t="shared" si="169"/>
        <v>0.47619047619047622</v>
      </c>
      <c r="Q458" s="47" t="s">
        <v>312</v>
      </c>
      <c r="R458" s="92">
        <f t="shared" si="170"/>
        <v>-3.1160000000000004E-4</v>
      </c>
      <c r="S458" s="92">
        <f t="shared" si="171"/>
        <v>5.1160000000000008E-4</v>
      </c>
      <c r="T458" s="47">
        <v>1</v>
      </c>
      <c r="U458" s="47">
        <v>14617</v>
      </c>
      <c r="V458" s="47" t="s">
        <v>312</v>
      </c>
      <c r="W458" s="47" t="s">
        <v>312</v>
      </c>
      <c r="X458" s="47">
        <f t="shared" si="175"/>
        <v>14617</v>
      </c>
      <c r="Y458" s="92">
        <f t="shared" si="172"/>
        <v>3.9386574666439465E-3</v>
      </c>
      <c r="Z458" s="92">
        <f t="shared" si="173"/>
        <v>8.2711806799522867E-3</v>
      </c>
      <c r="AA458" s="92">
        <f t="shared" si="176"/>
        <v>-3.9386574666439465E-3</v>
      </c>
      <c r="AB458" s="47" t="s">
        <v>81</v>
      </c>
      <c r="AC458" s="92">
        <f t="shared" si="177"/>
        <v>6.9999999999999994E-5</v>
      </c>
      <c r="AD458" s="92" cm="1">
        <f t="array" ref="AD458">_xlfn.IFS(
AND(L458="marginal_effect",M458="level"),N458*AN458/BF458,
AND(L458="marginal_effect",M458="sd (Y)"),N458*BH458*AN458/BF458,
AND(L458="marginal_effect",M458="sd (X)"),N458/AQ458*AN458/BF458,
AND(L458="semi_elasticity",M458="level"),N458*AN458,
AND(L458="semi_elasticity",M458="sd (Y)"),N458*AN458*BH458,
AND(L458="semi_elasticity",M458="sd (X)"),N458*AN458/AQ458,
AND(L458="level-log",M458="level"),N458/BF458,
AND(L458="level-log",M458="sd (X)"),N458/BF458/AQ458,
AND(L458="level-log",M458="sd (Y)"),N458/BF458*BH458,
AND(L458="elasticity",M458="level"),N458,
AND(L458="elasticity",M458="sd (X)"),N458/AQ458,
AND(L458="elasticity",M458="sd (Y)"),N458*BH458,
AND(L458="marginal_effect",M458="percent_of_mean"),N458*AN458/BF458/10)</f>
        <v>6.9999999999999994E-5</v>
      </c>
      <c r="AE458" s="51">
        <f t="shared" si="166"/>
        <v>1</v>
      </c>
      <c r="AF458" s="92">
        <f t="shared" si="178"/>
        <v>1.47E-4</v>
      </c>
      <c r="AG458" s="92" cm="1">
        <f t="array" ref="AG458">_xlfn.IFS(
AND(L458="marginal_effect",M458="level"),O458*AN458/BF458,
AND(L458="marginal_effect",M458="sd (Y)"),O458*BH458*AN458/BF458,
AND(L458="marginal_effect",M458="sd (X)"),O458/AQ458*AN458/BF458,
AND(L458="semi_elasticity",M458="level"),O458*AN458,
AND(L458="semi_elasticity",M458="sd (Y)"),O458*AN458*BH458,
AND(L458="semi_elasticity",M458="sd (X)"),O458*AN458/AQ458,
AND(L458="level-log",M458="level"),O458/BF458,
AND(L458="level-log",M458="sd (X)"),O458/BF458/AQ458,
AND(L458="level-log",M458="sd (Y)"),O458/BF458*BH458,
AND(L458="elasticity",M458="level"),O458,
AND(L458="elasticity",M458="sd (X)"),O458/AQ458,
AND(L458="elasticity",M458="sd (Y)"),O458*BH458,
AND(L458="marginal_effect",M458="percent_of_mean"),O458*AN458/BF458/10)</f>
        <v>1.47E-4</v>
      </c>
      <c r="AH458" s="51">
        <f t="shared" si="167"/>
        <v>1</v>
      </c>
      <c r="AI458" s="92">
        <f t="shared" si="179"/>
        <v>-6.9999999999999994E-5</v>
      </c>
      <c r="AJ458" s="47">
        <v>0</v>
      </c>
      <c r="AK458" s="47">
        <f t="shared" si="174"/>
        <v>1</v>
      </c>
      <c r="AL458" s="47" t="s">
        <v>162</v>
      </c>
      <c r="AM458" s="47" t="s">
        <v>590</v>
      </c>
      <c r="AN458" s="47">
        <v>0.7</v>
      </c>
      <c r="AO458" s="47">
        <v>0</v>
      </c>
      <c r="AP458" s="47">
        <f t="shared" si="168"/>
        <v>0.7</v>
      </c>
      <c r="AQ458" s="47">
        <v>0.66</v>
      </c>
      <c r="AR458" s="47">
        <v>0</v>
      </c>
      <c r="AS458" s="47">
        <v>12.76</v>
      </c>
      <c r="AT458" s="47" t="s">
        <v>83</v>
      </c>
      <c r="AU458" s="47" t="s">
        <v>109</v>
      </c>
      <c r="AV458" s="47" t="s">
        <v>133</v>
      </c>
      <c r="AW458" s="47" t="s">
        <v>85</v>
      </c>
      <c r="AX458" s="47" t="s">
        <v>86</v>
      </c>
      <c r="AY458" s="47">
        <v>0</v>
      </c>
      <c r="AZ458" s="47">
        <v>0</v>
      </c>
      <c r="BA458" s="47" t="s">
        <v>111</v>
      </c>
      <c r="BB458" s="47" t="s">
        <v>88</v>
      </c>
      <c r="BC458" s="47" t="s">
        <v>113</v>
      </c>
      <c r="BD458" s="47" t="s">
        <v>114</v>
      </c>
      <c r="BE458" s="47" t="s">
        <v>1143</v>
      </c>
      <c r="BF458" s="47">
        <v>224.3</v>
      </c>
      <c r="BG458" s="47">
        <v>0</v>
      </c>
      <c r="BH458" s="47" t="s">
        <v>312</v>
      </c>
      <c r="BI458" s="47" t="s">
        <v>312</v>
      </c>
      <c r="BJ458" s="47" t="s">
        <v>312</v>
      </c>
      <c r="BK458" s="47" t="s">
        <v>91</v>
      </c>
      <c r="BL458" s="47" t="s">
        <v>1065</v>
      </c>
      <c r="BM458" s="47">
        <v>1</v>
      </c>
      <c r="BN458" s="47" t="s">
        <v>428</v>
      </c>
      <c r="BO458" s="47" t="s">
        <v>1066</v>
      </c>
      <c r="BP458" s="47" t="s">
        <v>1067</v>
      </c>
      <c r="BQ458" s="47" t="s">
        <v>92</v>
      </c>
      <c r="BR458" s="47" t="s">
        <v>93</v>
      </c>
      <c r="BS458" s="47" t="s">
        <v>312</v>
      </c>
      <c r="BT458" s="47" t="s">
        <v>312</v>
      </c>
      <c r="BU458" s="67">
        <v>42005</v>
      </c>
      <c r="BV458" s="67">
        <v>43070</v>
      </c>
      <c r="BW458" s="47" t="s">
        <v>94</v>
      </c>
      <c r="BX458" s="47" t="s">
        <v>95</v>
      </c>
      <c r="BY458" s="47" t="s">
        <v>748</v>
      </c>
      <c r="BZ458" s="47">
        <v>1</v>
      </c>
      <c r="CA458" s="47">
        <v>1</v>
      </c>
      <c r="CB458" s="47" t="s">
        <v>1089</v>
      </c>
      <c r="CC458" s="47" t="s">
        <v>1071</v>
      </c>
      <c r="CD458" s="47">
        <v>1</v>
      </c>
      <c r="CE458" s="47" t="s">
        <v>738</v>
      </c>
      <c r="CF458" s="47">
        <v>0</v>
      </c>
      <c r="CG458" s="47" t="s">
        <v>97</v>
      </c>
      <c r="CH458" s="47">
        <v>1</v>
      </c>
      <c r="CI458" s="47" t="s">
        <v>116</v>
      </c>
      <c r="CJ458" s="47" t="s">
        <v>98</v>
      </c>
      <c r="CK458" s="47">
        <v>76</v>
      </c>
      <c r="CL458" s="47">
        <v>0</v>
      </c>
      <c r="CM458" s="47">
        <v>0</v>
      </c>
      <c r="CN458" s="47" t="s">
        <v>99</v>
      </c>
      <c r="CO458" s="47" t="s">
        <v>97</v>
      </c>
      <c r="CP458" s="47" t="s">
        <v>100</v>
      </c>
      <c r="CQ458" s="47" t="s">
        <v>126</v>
      </c>
      <c r="CR458" s="48">
        <v>46225</v>
      </c>
      <c r="CT458" s="47" t="s">
        <v>1144</v>
      </c>
    </row>
    <row r="459" spans="1:98" s="47" customFormat="1" x14ac:dyDescent="0.35">
      <c r="A459" s="46" t="s">
        <v>1056</v>
      </c>
      <c r="B459" s="46" t="s">
        <v>1139</v>
      </c>
      <c r="C459" s="47" t="s">
        <v>1057</v>
      </c>
      <c r="D459" s="47">
        <v>2021</v>
      </c>
      <c r="E459" s="66" t="s">
        <v>1058</v>
      </c>
      <c r="F459" s="66" t="s">
        <v>1059</v>
      </c>
      <c r="G459" s="47" t="s">
        <v>78</v>
      </c>
      <c r="H459" s="47">
        <v>1</v>
      </c>
      <c r="I459" s="47" t="s">
        <v>1060</v>
      </c>
      <c r="J459" s="47" t="s">
        <v>79</v>
      </c>
      <c r="K459" s="47">
        <v>28</v>
      </c>
      <c r="L459" s="47" t="s">
        <v>104</v>
      </c>
      <c r="M459" s="47" t="s">
        <v>380</v>
      </c>
      <c r="N459" s="47">
        <v>5.2399999999999999E-3</v>
      </c>
      <c r="O459" s="47">
        <v>4.3699999999999998E-3</v>
      </c>
      <c r="P459" s="92">
        <f t="shared" si="169"/>
        <v>1.1990846681922198</v>
      </c>
      <c r="Q459" s="47" t="s">
        <v>312</v>
      </c>
      <c r="R459" s="92">
        <f t="shared" si="170"/>
        <v>-3.3251999999999986E-3</v>
      </c>
      <c r="S459" s="92">
        <f t="shared" si="171"/>
        <v>1.3805199999999998E-2</v>
      </c>
      <c r="T459" s="47">
        <v>1</v>
      </c>
      <c r="U459" s="47">
        <v>14613</v>
      </c>
      <c r="V459" s="47" t="s">
        <v>312</v>
      </c>
      <c r="W459" s="47" t="s">
        <v>312</v>
      </c>
      <c r="X459" s="47">
        <f t="shared" si="175"/>
        <v>14613</v>
      </c>
      <c r="Y459" s="92">
        <f t="shared" si="172"/>
        <v>9.9187922345048297E-3</v>
      </c>
      <c r="Z459" s="92">
        <f t="shared" si="173"/>
        <v>8.2719698596920039E-3</v>
      </c>
      <c r="AA459" s="92">
        <f t="shared" si="176"/>
        <v>-9.9187922345048297E-3</v>
      </c>
      <c r="AB459" s="47" t="s">
        <v>81</v>
      </c>
      <c r="AC459" s="92">
        <f t="shared" si="177"/>
        <v>0.1062148</v>
      </c>
      <c r="AD459" s="92" cm="1">
        <f t="array" ref="AD459">_xlfn.IFS(
AND(L459="marginal_effect",M459="level"),N459*AN459/BF459,
AND(L459="marginal_effect",M459="sd (Y)"),N459*BH459*AN459/BF459,
AND(L459="marginal_effect",M459="sd (X)"),N459/AQ459*AN459/BF459,
AND(L459="semi_elasticity",M459="level"),N459*AN459,
AND(L459="semi_elasticity",M459="sd (Y)"),N459*AN459*BH459,
AND(L459="semi_elasticity",M459="sd (X)"),N459*AN459/AQ459,
AND(L459="level-log",M459="level"),N459/BF459,
AND(L459="level-log",M459="sd (X)"),N459/BF459/AQ459,
AND(L459="level-log",M459="sd (Y)"),N459/BF459*BH459,
AND(L459="elasticity",M459="level"),N459,
AND(L459="elasticity",M459="sd (X)"),N459/AQ459,
AND(L459="elasticity",M459="sd (Y)"),N459*BH459,
AND(L459="marginal_effect",M459="percent_of_mean"),N459*AN459/BF459/10)</f>
        <v>0.1062148</v>
      </c>
      <c r="AE459" s="51">
        <f t="shared" si="166"/>
        <v>1</v>
      </c>
      <c r="AF459" s="92">
        <f t="shared" si="178"/>
        <v>8.8579899999999989E-2</v>
      </c>
      <c r="AG459" s="92" cm="1">
        <f t="array" ref="AG459">_xlfn.IFS(
AND(L459="marginal_effect",M459="level"),O459*AN459/BF459,
AND(L459="marginal_effect",M459="sd (Y)"),O459*BH459*AN459/BF459,
AND(L459="marginal_effect",M459="sd (X)"),O459/AQ459*AN459/BF459,
AND(L459="semi_elasticity",M459="level"),O459*AN459,
AND(L459="semi_elasticity",M459="sd (Y)"),O459*AN459*BH459,
AND(L459="semi_elasticity",M459="sd (X)"),O459*AN459/AQ459,
AND(L459="level-log",M459="level"),O459/BF459,
AND(L459="level-log",M459="sd (X)"),O459/BF459/AQ459,
AND(L459="level-log",M459="sd (Y)"),O459/BF459*BH459,
AND(L459="elasticity",M459="level"),O459,
AND(L459="elasticity",M459="sd (X)"),O459/AQ459,
AND(L459="elasticity",M459="sd (Y)"),O459*BH459,
AND(L459="marginal_effect",M459="percent_of_mean"),O459*AN459/BF459/10)</f>
        <v>8.8579899999999989E-2</v>
      </c>
      <c r="AH459" s="51">
        <f t="shared" si="167"/>
        <v>1</v>
      </c>
      <c r="AI459" s="92">
        <f t="shared" si="179"/>
        <v>-0.1062148</v>
      </c>
      <c r="AJ459" s="47">
        <v>0</v>
      </c>
      <c r="AK459" s="47">
        <f t="shared" si="174"/>
        <v>1</v>
      </c>
      <c r="AL459" s="47" t="s">
        <v>131</v>
      </c>
      <c r="AM459" s="47" t="s">
        <v>410</v>
      </c>
      <c r="AN459" s="47">
        <v>20.27</v>
      </c>
      <c r="AO459" s="47">
        <v>0</v>
      </c>
      <c r="AP459" s="47">
        <f t="shared" si="168"/>
        <v>20.27</v>
      </c>
      <c r="AQ459" s="47">
        <v>14.08</v>
      </c>
      <c r="AR459" s="47">
        <v>0</v>
      </c>
      <c r="AS459" s="47">
        <v>150</v>
      </c>
      <c r="AT459" s="47" t="s">
        <v>83</v>
      </c>
      <c r="AU459" s="47" t="s">
        <v>109</v>
      </c>
      <c r="AV459" s="47" t="s">
        <v>133</v>
      </c>
      <c r="AW459" s="47" t="s">
        <v>85</v>
      </c>
      <c r="AX459" s="47" t="s">
        <v>86</v>
      </c>
      <c r="AY459" s="47">
        <v>0</v>
      </c>
      <c r="AZ459" s="47">
        <v>0</v>
      </c>
      <c r="BA459" s="47" t="s">
        <v>111</v>
      </c>
      <c r="BB459" s="47" t="s">
        <v>88</v>
      </c>
      <c r="BC459" s="47" t="s">
        <v>113</v>
      </c>
      <c r="BD459" s="47" t="s">
        <v>114</v>
      </c>
      <c r="BE459" s="47" t="s">
        <v>1143</v>
      </c>
      <c r="BF459" s="47">
        <v>224.3</v>
      </c>
      <c r="BG459" s="47">
        <v>0</v>
      </c>
      <c r="BH459" s="47" t="s">
        <v>312</v>
      </c>
      <c r="BI459" s="47" t="s">
        <v>312</v>
      </c>
      <c r="BJ459" s="47" t="s">
        <v>312</v>
      </c>
      <c r="BK459" s="47" t="s">
        <v>91</v>
      </c>
      <c r="BL459" s="47" t="s">
        <v>1065</v>
      </c>
      <c r="BM459" s="47">
        <v>1</v>
      </c>
      <c r="BN459" s="47" t="s">
        <v>428</v>
      </c>
      <c r="BO459" s="47" t="s">
        <v>1066</v>
      </c>
      <c r="BP459" s="47" t="s">
        <v>1067</v>
      </c>
      <c r="BQ459" s="47" t="s">
        <v>92</v>
      </c>
      <c r="BR459" s="47" t="s">
        <v>93</v>
      </c>
      <c r="BS459" s="47" t="s">
        <v>312</v>
      </c>
      <c r="BT459" s="47" t="s">
        <v>312</v>
      </c>
      <c r="BU459" s="67">
        <v>42005</v>
      </c>
      <c r="BV459" s="67">
        <v>43070</v>
      </c>
      <c r="BW459" s="47" t="s">
        <v>94</v>
      </c>
      <c r="BX459" s="47" t="s">
        <v>95</v>
      </c>
      <c r="BY459" s="47" t="s">
        <v>748</v>
      </c>
      <c r="BZ459" s="47">
        <v>1</v>
      </c>
      <c r="CA459" s="47">
        <v>1</v>
      </c>
      <c r="CB459" s="47" t="s">
        <v>1089</v>
      </c>
      <c r="CC459" s="47" t="s">
        <v>1071</v>
      </c>
      <c r="CD459" s="47">
        <v>1</v>
      </c>
      <c r="CE459" s="47" t="s">
        <v>738</v>
      </c>
      <c r="CF459" s="47">
        <v>0</v>
      </c>
      <c r="CG459" s="47" t="s">
        <v>97</v>
      </c>
      <c r="CH459" s="47">
        <v>1</v>
      </c>
      <c r="CI459" s="47" t="s">
        <v>116</v>
      </c>
      <c r="CJ459" s="47" t="s">
        <v>98</v>
      </c>
      <c r="CK459" s="47">
        <v>76</v>
      </c>
      <c r="CL459" s="47">
        <v>0</v>
      </c>
      <c r="CM459" s="47">
        <v>0</v>
      </c>
      <c r="CN459" s="47" t="s">
        <v>99</v>
      </c>
      <c r="CO459" s="47" t="s">
        <v>97</v>
      </c>
      <c r="CP459" s="47" t="s">
        <v>100</v>
      </c>
      <c r="CQ459" s="47" t="s">
        <v>126</v>
      </c>
      <c r="CR459" s="48">
        <v>46225</v>
      </c>
      <c r="CT459" s="47" t="s">
        <v>1145</v>
      </c>
    </row>
    <row r="460" spans="1:98" s="47" customFormat="1" x14ac:dyDescent="0.35">
      <c r="A460" s="46" t="s">
        <v>1056</v>
      </c>
      <c r="B460" s="46" t="s">
        <v>1140</v>
      </c>
      <c r="C460" s="47" t="s">
        <v>1057</v>
      </c>
      <c r="D460" s="47">
        <v>2021</v>
      </c>
      <c r="E460" s="66" t="s">
        <v>1058</v>
      </c>
      <c r="F460" s="66" t="s">
        <v>1059</v>
      </c>
      <c r="G460" s="47" t="s">
        <v>78</v>
      </c>
      <c r="H460" s="47">
        <v>1</v>
      </c>
      <c r="I460" s="47" t="s">
        <v>1060</v>
      </c>
      <c r="J460" s="47" t="s">
        <v>79</v>
      </c>
      <c r="K460" s="47">
        <v>28</v>
      </c>
      <c r="L460" s="47" t="s">
        <v>104</v>
      </c>
      <c r="M460" s="47" t="s">
        <v>380</v>
      </c>
      <c r="N460" s="47">
        <v>2.5999999999999999E-3</v>
      </c>
      <c r="O460" s="47">
        <v>8.2000000000000007E-3</v>
      </c>
      <c r="P460" s="92">
        <f t="shared" si="169"/>
        <v>0.31707317073170727</v>
      </c>
      <c r="Q460" s="47" t="s">
        <v>312</v>
      </c>
      <c r="R460" s="92">
        <f t="shared" si="170"/>
        <v>-1.3472E-2</v>
      </c>
      <c r="S460" s="92">
        <f t="shared" si="171"/>
        <v>1.8672000000000001E-2</v>
      </c>
      <c r="T460" s="47">
        <v>1</v>
      </c>
      <c r="U460" s="47">
        <v>14637</v>
      </c>
      <c r="V460" s="47" t="s">
        <v>312</v>
      </c>
      <c r="W460" s="47" t="s">
        <v>312</v>
      </c>
      <c r="X460" s="47">
        <f t="shared" si="175"/>
        <v>14637</v>
      </c>
      <c r="Y460" s="92">
        <f t="shared" si="172"/>
        <v>2.6207884594450686E-3</v>
      </c>
      <c r="Z460" s="92">
        <f t="shared" si="173"/>
        <v>8.2655636028652179E-3</v>
      </c>
      <c r="AA460" s="92">
        <f t="shared" si="176"/>
        <v>-2.6207884594450686E-3</v>
      </c>
      <c r="AB460" s="47" t="s">
        <v>81</v>
      </c>
      <c r="AC460" s="92">
        <f t="shared" si="177"/>
        <v>7.1057999999999996E-2</v>
      </c>
      <c r="AD460" s="92" cm="1">
        <f t="array" ref="AD460">_xlfn.IFS(
AND(L460="marginal_effect",M460="level"),N460*AN460/BF460,
AND(L460="marginal_effect",M460="sd (Y)"),N460*BH460*AN460/BF460,
AND(L460="marginal_effect",M460="sd (X)"),N460/AQ460*AN460/BF460,
AND(L460="semi_elasticity",M460="level"),N460*AN460,
AND(L460="semi_elasticity",M460="sd (Y)"),N460*AN460*BH460,
AND(L460="semi_elasticity",M460="sd (X)"),N460*AN460/AQ460,
AND(L460="level-log",M460="level"),N460/BF460,
AND(L460="level-log",M460="sd (X)"),N460/BF460/AQ460,
AND(L460="level-log",M460="sd (Y)"),N460/BF460*BH460,
AND(L460="elasticity",M460="level"),N460,
AND(L460="elasticity",M460="sd (X)"),N460/AQ460,
AND(L460="elasticity",M460="sd (Y)"),N460*BH460,
AND(L460="marginal_effect",M460="percent_of_mean"),N460*AN460/BF460/10)</f>
        <v>7.1057999999999996E-2</v>
      </c>
      <c r="AE460" s="51">
        <f t="shared" si="166"/>
        <v>1</v>
      </c>
      <c r="AF460" s="92">
        <f t="shared" si="178"/>
        <v>0.224106</v>
      </c>
      <c r="AG460" s="92" cm="1">
        <f t="array" ref="AG460">_xlfn.IFS(
AND(L460="marginal_effect",M460="level"),O460*AN460/BF460,
AND(L460="marginal_effect",M460="sd (Y)"),O460*BH460*AN460/BF460,
AND(L460="marginal_effect",M460="sd (X)"),O460/AQ460*AN460/BF460,
AND(L460="semi_elasticity",M460="level"),O460*AN460,
AND(L460="semi_elasticity",M460="sd (Y)"),O460*AN460*BH460,
AND(L460="semi_elasticity",M460="sd (X)"),O460*AN460/AQ460,
AND(L460="level-log",M460="level"),O460/BF460,
AND(L460="level-log",M460="sd (X)"),O460/BF460/AQ460,
AND(L460="level-log",M460="sd (Y)"),O460/BF460*BH460,
AND(L460="elasticity",M460="level"),O460,
AND(L460="elasticity",M460="sd (X)"),O460/AQ460,
AND(L460="elasticity",M460="sd (Y)"),O460*BH460,
AND(L460="marginal_effect",M460="percent_of_mean"),O460*AN460/BF460/10)</f>
        <v>0.224106</v>
      </c>
      <c r="AH460" s="51">
        <f t="shared" si="167"/>
        <v>1</v>
      </c>
      <c r="AI460" s="92">
        <f t="shared" si="179"/>
        <v>-7.1057999999999996E-2</v>
      </c>
      <c r="AJ460" s="47">
        <v>0</v>
      </c>
      <c r="AK460" s="47">
        <f t="shared" si="174"/>
        <v>1</v>
      </c>
      <c r="AL460" s="47" t="s">
        <v>148</v>
      </c>
      <c r="AM460" s="47" t="s">
        <v>410</v>
      </c>
      <c r="AN460" s="47">
        <v>27.33</v>
      </c>
      <c r="AO460" s="47">
        <v>0</v>
      </c>
      <c r="AP460" s="47">
        <f t="shared" si="168"/>
        <v>27.33</v>
      </c>
      <c r="AQ460" s="47">
        <v>24.83</v>
      </c>
      <c r="AR460" s="47">
        <v>1</v>
      </c>
      <c r="AS460" s="47">
        <v>210</v>
      </c>
      <c r="AT460" s="47" t="s">
        <v>83</v>
      </c>
      <c r="AU460" s="47" t="s">
        <v>109</v>
      </c>
      <c r="AV460" s="47" t="s">
        <v>133</v>
      </c>
      <c r="AW460" s="47" t="s">
        <v>85</v>
      </c>
      <c r="AX460" s="47" t="s">
        <v>86</v>
      </c>
      <c r="AY460" s="47">
        <v>0</v>
      </c>
      <c r="AZ460" s="47">
        <v>0</v>
      </c>
      <c r="BA460" s="47" t="s">
        <v>111</v>
      </c>
      <c r="BB460" s="47" t="s">
        <v>88</v>
      </c>
      <c r="BC460" s="47" t="s">
        <v>113</v>
      </c>
      <c r="BD460" s="47" t="s">
        <v>114</v>
      </c>
      <c r="BE460" s="47" t="s">
        <v>1143</v>
      </c>
      <c r="BF460" s="47">
        <v>224.3</v>
      </c>
      <c r="BG460" s="47">
        <v>0</v>
      </c>
      <c r="BH460" s="47" t="s">
        <v>312</v>
      </c>
      <c r="BI460" s="47" t="s">
        <v>312</v>
      </c>
      <c r="BJ460" s="47" t="s">
        <v>312</v>
      </c>
      <c r="BK460" s="47" t="s">
        <v>91</v>
      </c>
      <c r="BL460" s="47" t="s">
        <v>1065</v>
      </c>
      <c r="BM460" s="47">
        <v>1</v>
      </c>
      <c r="BN460" s="47" t="s">
        <v>428</v>
      </c>
      <c r="BO460" s="47" t="s">
        <v>1066</v>
      </c>
      <c r="BP460" s="47" t="s">
        <v>1067</v>
      </c>
      <c r="BQ460" s="47" t="s">
        <v>92</v>
      </c>
      <c r="BR460" s="47" t="s">
        <v>93</v>
      </c>
      <c r="BS460" s="47" t="s">
        <v>312</v>
      </c>
      <c r="BT460" s="47" t="s">
        <v>312</v>
      </c>
      <c r="BU460" s="67">
        <v>42005</v>
      </c>
      <c r="BV460" s="67">
        <v>43070</v>
      </c>
      <c r="BW460" s="47" t="s">
        <v>94</v>
      </c>
      <c r="BX460" s="47" t="s">
        <v>95</v>
      </c>
      <c r="BY460" s="47" t="s">
        <v>748</v>
      </c>
      <c r="BZ460" s="47">
        <v>1</v>
      </c>
      <c r="CA460" s="47">
        <v>1</v>
      </c>
      <c r="CB460" s="47" t="s">
        <v>1089</v>
      </c>
      <c r="CC460" s="47" t="s">
        <v>1071</v>
      </c>
      <c r="CD460" s="47">
        <v>1</v>
      </c>
      <c r="CE460" s="47" t="s">
        <v>738</v>
      </c>
      <c r="CF460" s="47">
        <v>0</v>
      </c>
      <c r="CG460" s="47" t="s">
        <v>97</v>
      </c>
      <c r="CH460" s="47">
        <v>1</v>
      </c>
      <c r="CI460" s="47" t="s">
        <v>116</v>
      </c>
      <c r="CJ460" s="47" t="s">
        <v>98</v>
      </c>
      <c r="CK460" s="47">
        <v>76</v>
      </c>
      <c r="CL460" s="47">
        <v>0</v>
      </c>
      <c r="CM460" s="47">
        <v>0</v>
      </c>
      <c r="CN460" s="47" t="s">
        <v>99</v>
      </c>
      <c r="CO460" s="47" t="s">
        <v>97</v>
      </c>
      <c r="CP460" s="47" t="s">
        <v>100</v>
      </c>
      <c r="CQ460" s="47" t="s">
        <v>126</v>
      </c>
      <c r="CR460" s="48">
        <v>46225</v>
      </c>
      <c r="CT460" s="47" t="s">
        <v>1146</v>
      </c>
    </row>
    <row r="461" spans="1:98" s="47" customFormat="1" x14ac:dyDescent="0.35">
      <c r="A461" s="46" t="s">
        <v>1056</v>
      </c>
      <c r="B461" s="46" t="s">
        <v>1141</v>
      </c>
      <c r="C461" s="47" t="s">
        <v>1057</v>
      </c>
      <c r="D461" s="47">
        <v>2021</v>
      </c>
      <c r="E461" s="66" t="s">
        <v>1058</v>
      </c>
      <c r="F461" s="66" t="s">
        <v>1059</v>
      </c>
      <c r="G461" s="47" t="s">
        <v>78</v>
      </c>
      <c r="H461" s="47">
        <v>1</v>
      </c>
      <c r="I461" s="47" t="s">
        <v>1060</v>
      </c>
      <c r="J461" s="47" t="s">
        <v>79</v>
      </c>
      <c r="K461" s="47">
        <v>28</v>
      </c>
      <c r="L461" s="47" t="s">
        <v>104</v>
      </c>
      <c r="M461" s="47" t="s">
        <v>380</v>
      </c>
      <c r="N461" s="47">
        <v>9.3799999999999994E-3</v>
      </c>
      <c r="O461" s="47">
        <v>2.7799999999999999E-3</v>
      </c>
      <c r="P461" s="92">
        <f t="shared" ref="P461:P492" si="180">N461/O461</f>
        <v>3.3741007194244603</v>
      </c>
      <c r="Q461" s="47" t="s">
        <v>312</v>
      </c>
      <c r="R461" s="92">
        <f t="shared" ref="R461:R497" si="181">N461-1.96*O461</f>
        <v>3.9311999999999993E-3</v>
      </c>
      <c r="S461" s="92">
        <f t="shared" ref="S461:S497" si="182">N461+1.96*O461</f>
        <v>1.48288E-2</v>
      </c>
      <c r="T461" s="47">
        <v>1</v>
      </c>
      <c r="U461" s="47">
        <v>13465</v>
      </c>
      <c r="V461" s="47" t="s">
        <v>312</v>
      </c>
      <c r="W461" s="47" t="s">
        <v>312</v>
      </c>
      <c r="X461" s="47">
        <f t="shared" si="175"/>
        <v>13465</v>
      </c>
      <c r="Y461" s="92">
        <f t="shared" ref="Y461:Y492" si="183">P461/(P461^2 + X461)^(1/2)</f>
        <v>2.9065068096954614E-2</v>
      </c>
      <c r="Z461" s="92">
        <f t="shared" ref="Z461:Z492" si="184">((1-Y461^2)/X461)^(1/2)</f>
        <v>8.6141673037882539E-3</v>
      </c>
      <c r="AA461" s="92">
        <f t="shared" si="176"/>
        <v>-2.9065068096954614E-2</v>
      </c>
      <c r="AB461" s="47" t="s">
        <v>81</v>
      </c>
      <c r="AC461" s="92">
        <f t="shared" si="177"/>
        <v>0.21470819999999999</v>
      </c>
      <c r="AD461" s="92" cm="1">
        <f t="array" ref="AD461">_xlfn.IFS(
AND(L461="marginal_effect",M461="level"),N461*AN461/BF461,
AND(L461="marginal_effect",M461="sd (Y)"),N461*BH461*AN461/BF461,
AND(L461="marginal_effect",M461="sd (X)"),N461/AQ461*AN461/BF461,
AND(L461="semi_elasticity",M461="level"),N461*AN461,
AND(L461="semi_elasticity",M461="sd (Y)"),N461*AN461*BH461,
AND(L461="semi_elasticity",M461="sd (X)"),N461*AN461/AQ461,
AND(L461="level-log",M461="level"),N461/BF461,
AND(L461="level-log",M461="sd (X)"),N461/BF461/AQ461,
AND(L461="level-log",M461="sd (Y)"),N461/BF461*BH461,
AND(L461="elasticity",M461="level"),N461,
AND(L461="elasticity",M461="sd (X)"),N461/AQ461,
AND(L461="elasticity",M461="sd (Y)"),N461*BH461,
AND(L461="marginal_effect",M461="percent_of_mean"),N461*AN461/BF461/10)</f>
        <v>0.21470819999999999</v>
      </c>
      <c r="AE461" s="51">
        <f t="shared" si="166"/>
        <v>1</v>
      </c>
      <c r="AF461" s="92">
        <f t="shared" si="178"/>
        <v>6.3634200000000002E-2</v>
      </c>
      <c r="AG461" s="92" cm="1">
        <f t="array" ref="AG461">_xlfn.IFS(
AND(L461="marginal_effect",M461="level"),O461*AN461/BF461,
AND(L461="marginal_effect",M461="sd (Y)"),O461*BH461*AN461/BF461,
AND(L461="marginal_effect",M461="sd (X)"),O461/AQ461*AN461/BF461,
AND(L461="semi_elasticity",M461="level"),O461*AN461,
AND(L461="semi_elasticity",M461="sd (Y)"),O461*AN461*BH461,
AND(L461="semi_elasticity",M461="sd (X)"),O461*AN461/AQ461,
AND(L461="level-log",M461="level"),O461/BF461,
AND(L461="level-log",M461="sd (X)"),O461/BF461/AQ461,
AND(L461="level-log",M461="sd (Y)"),O461/BF461*BH461,
AND(L461="elasticity",M461="level"),O461,
AND(L461="elasticity",M461="sd (X)"),O461/AQ461,
AND(L461="elasticity",M461="sd (Y)"),O461*BH461,
AND(L461="marginal_effect",M461="percent_of_mean"),O461*AN461/BF461/10)</f>
        <v>6.3634200000000002E-2</v>
      </c>
      <c r="AH461" s="51">
        <f t="shared" si="167"/>
        <v>1</v>
      </c>
      <c r="AI461" s="92">
        <f t="shared" si="179"/>
        <v>-0.21470819999999999</v>
      </c>
      <c r="AJ461" s="47">
        <v>0</v>
      </c>
      <c r="AK461" s="47">
        <f t="shared" ref="AK461:AK497" si="185">IF(P461=(AC461/AF461),1,0)</f>
        <v>1</v>
      </c>
      <c r="AL461" s="47" t="s">
        <v>82</v>
      </c>
      <c r="AM461" s="47" t="s">
        <v>1333</v>
      </c>
      <c r="AN461" s="47">
        <v>22.89</v>
      </c>
      <c r="AO461" s="47">
        <v>0</v>
      </c>
      <c r="AP461" s="47">
        <f t="shared" si="168"/>
        <v>22.89</v>
      </c>
      <c r="AQ461" s="47">
        <v>16.149999999999999</v>
      </c>
      <c r="AR461" s="47">
        <v>0</v>
      </c>
      <c r="AS461" s="47">
        <v>698</v>
      </c>
      <c r="AT461" s="47" t="s">
        <v>83</v>
      </c>
      <c r="AU461" s="47" t="s">
        <v>109</v>
      </c>
      <c r="AV461" s="47" t="s">
        <v>133</v>
      </c>
      <c r="AW461" s="47" t="s">
        <v>85</v>
      </c>
      <c r="AX461" s="47" t="s">
        <v>86</v>
      </c>
      <c r="AY461" s="47">
        <v>0</v>
      </c>
      <c r="AZ461" s="47">
        <v>0</v>
      </c>
      <c r="BA461" s="47" t="s">
        <v>111</v>
      </c>
      <c r="BB461" s="47" t="s">
        <v>88</v>
      </c>
      <c r="BC461" s="47" t="s">
        <v>113</v>
      </c>
      <c r="BD461" s="47" t="s">
        <v>114</v>
      </c>
      <c r="BE461" s="47" t="s">
        <v>1143</v>
      </c>
      <c r="BF461" s="47">
        <v>224.3</v>
      </c>
      <c r="BG461" s="47">
        <v>0</v>
      </c>
      <c r="BH461" s="47" t="s">
        <v>312</v>
      </c>
      <c r="BI461" s="47" t="s">
        <v>312</v>
      </c>
      <c r="BJ461" s="47" t="s">
        <v>312</v>
      </c>
      <c r="BK461" s="47" t="s">
        <v>91</v>
      </c>
      <c r="BL461" s="47" t="s">
        <v>1065</v>
      </c>
      <c r="BM461" s="47">
        <v>1</v>
      </c>
      <c r="BN461" s="47" t="s">
        <v>428</v>
      </c>
      <c r="BO461" s="47" t="s">
        <v>1066</v>
      </c>
      <c r="BP461" s="47" t="s">
        <v>1067</v>
      </c>
      <c r="BQ461" s="47" t="s">
        <v>92</v>
      </c>
      <c r="BR461" s="47" t="s">
        <v>93</v>
      </c>
      <c r="BS461" s="47" t="s">
        <v>312</v>
      </c>
      <c r="BT461" s="47" t="s">
        <v>312</v>
      </c>
      <c r="BU461" s="67">
        <v>42005</v>
      </c>
      <c r="BV461" s="67">
        <v>43070</v>
      </c>
      <c r="BW461" s="47" t="s">
        <v>94</v>
      </c>
      <c r="BX461" s="47" t="s">
        <v>95</v>
      </c>
      <c r="BY461" s="47" t="s">
        <v>748</v>
      </c>
      <c r="BZ461" s="47">
        <v>1</v>
      </c>
      <c r="CA461" s="47">
        <v>1</v>
      </c>
      <c r="CB461" s="47" t="s">
        <v>1089</v>
      </c>
      <c r="CC461" s="47" t="s">
        <v>1071</v>
      </c>
      <c r="CD461" s="47">
        <v>1</v>
      </c>
      <c r="CE461" s="47" t="s">
        <v>738</v>
      </c>
      <c r="CF461" s="47">
        <v>0</v>
      </c>
      <c r="CG461" s="47" t="s">
        <v>97</v>
      </c>
      <c r="CH461" s="47">
        <v>1</v>
      </c>
      <c r="CI461" s="47" t="s">
        <v>116</v>
      </c>
      <c r="CJ461" s="47" t="s">
        <v>98</v>
      </c>
      <c r="CK461" s="47">
        <v>76</v>
      </c>
      <c r="CL461" s="47">
        <v>0</v>
      </c>
      <c r="CM461" s="47">
        <v>0</v>
      </c>
      <c r="CN461" s="47" t="s">
        <v>99</v>
      </c>
      <c r="CO461" s="47" t="s">
        <v>97</v>
      </c>
      <c r="CP461" s="47" t="s">
        <v>100</v>
      </c>
      <c r="CQ461" s="47" t="s">
        <v>126</v>
      </c>
      <c r="CR461" s="48">
        <v>46225</v>
      </c>
      <c r="CT461" s="47" t="s">
        <v>1147</v>
      </c>
    </row>
    <row r="462" spans="1:98" s="47" customFormat="1" x14ac:dyDescent="0.35">
      <c r="A462" s="46" t="s">
        <v>1056</v>
      </c>
      <c r="B462" s="46" t="s">
        <v>1150</v>
      </c>
      <c r="C462" s="47" t="s">
        <v>1057</v>
      </c>
      <c r="D462" s="47">
        <v>2021</v>
      </c>
      <c r="E462" s="66" t="s">
        <v>1058</v>
      </c>
      <c r="F462" s="66" t="s">
        <v>1059</v>
      </c>
      <c r="G462" s="47" t="s">
        <v>78</v>
      </c>
      <c r="H462" s="47">
        <v>1</v>
      </c>
      <c r="I462" s="47" t="s">
        <v>1060</v>
      </c>
      <c r="J462" s="47" t="s">
        <v>79</v>
      </c>
      <c r="K462" s="47">
        <v>28</v>
      </c>
      <c r="L462" s="47" t="s">
        <v>104</v>
      </c>
      <c r="M462" s="47" t="s">
        <v>380</v>
      </c>
      <c r="N462" s="47">
        <v>1.8000000000000001E-4</v>
      </c>
      <c r="O462" s="47">
        <v>1.2999999999999999E-3</v>
      </c>
      <c r="P462" s="92">
        <f t="shared" si="180"/>
        <v>0.13846153846153847</v>
      </c>
      <c r="Q462" s="47" t="s">
        <v>312</v>
      </c>
      <c r="R462" s="92">
        <f t="shared" si="181"/>
        <v>-2.3679999999999999E-3</v>
      </c>
      <c r="S462" s="92">
        <f t="shared" si="182"/>
        <v>2.728E-3</v>
      </c>
      <c r="T462" s="47">
        <v>1</v>
      </c>
      <c r="U462" s="47">
        <v>7354</v>
      </c>
      <c r="V462" s="47" t="s">
        <v>312</v>
      </c>
      <c r="W462" s="47" t="s">
        <v>312</v>
      </c>
      <c r="X462" s="47">
        <f t="shared" ref="X462:X473" si="186">U462</f>
        <v>7354</v>
      </c>
      <c r="Y462" s="92">
        <f t="shared" si="183"/>
        <v>1.6146067878477161E-3</v>
      </c>
      <c r="Z462" s="92">
        <f t="shared" si="184"/>
        <v>1.1661049023344616E-2</v>
      </c>
      <c r="AA462" s="92">
        <f t="shared" ref="AA462:AA497" si="187">-Y462</f>
        <v>-1.6146067878477161E-3</v>
      </c>
      <c r="AB462" s="47" t="s">
        <v>81</v>
      </c>
      <c r="AC462" s="92">
        <f t="shared" ref="AC462:AC473" si="188">N462*AN462</f>
        <v>1.26E-4</v>
      </c>
      <c r="AD462" s="92" cm="1">
        <f t="array" ref="AD462">_xlfn.IFS(
AND(L462="marginal_effect",M462="level"),N462*AN462/BF462,
AND(L462="marginal_effect",M462="sd (Y)"),N462*BH462*AN462/BF462,
AND(L462="marginal_effect",M462="sd (X)"),N462/AQ462*AN462/BF462,
AND(L462="semi_elasticity",M462="level"),N462*AN462,
AND(L462="semi_elasticity",M462="sd (Y)"),N462*AN462*BH462,
AND(L462="semi_elasticity",M462="sd (X)"),N462*AN462/AQ462,
AND(L462="level-log",M462="level"),N462/BF462,
AND(L462="level-log",M462="sd (X)"),N462/BF462/AQ462,
AND(L462="level-log",M462="sd (Y)"),N462/BF462*BH462,
AND(L462="elasticity",M462="level"),N462,
AND(L462="elasticity",M462="sd (X)"),N462/AQ462,
AND(L462="elasticity",M462="sd (Y)"),N462*BH462,
AND(L462="marginal_effect",M462="percent_of_mean"),N462*AN462/BF462/10)</f>
        <v>1.26E-4</v>
      </c>
      <c r="AE462" s="51">
        <f t="shared" si="166"/>
        <v>1</v>
      </c>
      <c r="AF462" s="92">
        <f t="shared" ref="AF462:AF473" si="189">O462*AN462</f>
        <v>9.0999999999999989E-4</v>
      </c>
      <c r="AG462" s="92" cm="1">
        <f t="array" ref="AG462">_xlfn.IFS(
AND(L462="marginal_effect",M462="level"),O462*AN462/BF462,
AND(L462="marginal_effect",M462="sd (Y)"),O462*BH462*AN462/BF462,
AND(L462="marginal_effect",M462="sd (X)"),O462/AQ462*AN462/BF462,
AND(L462="semi_elasticity",M462="level"),O462*AN462,
AND(L462="semi_elasticity",M462="sd (Y)"),O462*AN462*BH462,
AND(L462="semi_elasticity",M462="sd (X)"),O462*AN462/AQ462,
AND(L462="level-log",M462="level"),O462/BF462,
AND(L462="level-log",M462="sd (X)"),O462/BF462/AQ462,
AND(L462="level-log",M462="sd (Y)"),O462/BF462*BH462,
AND(L462="elasticity",M462="level"),O462,
AND(L462="elasticity",M462="sd (X)"),O462/AQ462,
AND(L462="elasticity",M462="sd (Y)"),O462*BH462,
AND(L462="marginal_effect",M462="percent_of_mean"),O462*AN462/BF462/10)</f>
        <v>9.0999999999999989E-4</v>
      </c>
      <c r="AH462" s="51">
        <f t="shared" si="167"/>
        <v>1</v>
      </c>
      <c r="AI462" s="92">
        <f t="shared" ref="AI462:AI473" si="190">-AC462</f>
        <v>-1.26E-4</v>
      </c>
      <c r="AJ462" s="47">
        <v>0</v>
      </c>
      <c r="AK462" s="47">
        <f t="shared" si="185"/>
        <v>1</v>
      </c>
      <c r="AL462" s="47" t="s">
        <v>162</v>
      </c>
      <c r="AM462" s="47" t="s">
        <v>590</v>
      </c>
      <c r="AN462" s="47">
        <v>0.7</v>
      </c>
      <c r="AO462" s="47">
        <v>0</v>
      </c>
      <c r="AP462" s="47">
        <f t="shared" si="168"/>
        <v>0.7</v>
      </c>
      <c r="AQ462" s="47">
        <v>0.66</v>
      </c>
      <c r="AR462" s="47">
        <v>0</v>
      </c>
      <c r="AS462" s="47">
        <v>12.76</v>
      </c>
      <c r="AT462" s="47" t="s">
        <v>83</v>
      </c>
      <c r="AU462" s="47" t="s">
        <v>109</v>
      </c>
      <c r="AV462" s="47" t="s">
        <v>133</v>
      </c>
      <c r="AW462" s="47" t="s">
        <v>85</v>
      </c>
      <c r="AX462" s="47" t="s">
        <v>86</v>
      </c>
      <c r="AY462" s="47">
        <v>0</v>
      </c>
      <c r="AZ462" s="47">
        <v>0</v>
      </c>
      <c r="BA462" s="47" t="s">
        <v>111</v>
      </c>
      <c r="BB462" s="47" t="s">
        <v>88</v>
      </c>
      <c r="BC462" s="47" t="s">
        <v>113</v>
      </c>
      <c r="BD462" s="47" t="s">
        <v>114</v>
      </c>
      <c r="BE462" s="47" t="s">
        <v>1148</v>
      </c>
      <c r="BF462" s="47">
        <v>65</v>
      </c>
      <c r="BG462" s="47">
        <v>1</v>
      </c>
      <c r="BH462" s="47" t="s">
        <v>312</v>
      </c>
      <c r="BI462" s="47" t="s">
        <v>312</v>
      </c>
      <c r="BJ462" s="47" t="s">
        <v>312</v>
      </c>
      <c r="BK462" s="47" t="s">
        <v>91</v>
      </c>
      <c r="BL462" s="47" t="s">
        <v>1065</v>
      </c>
      <c r="BM462" s="47">
        <v>1</v>
      </c>
      <c r="BN462" s="47" t="s">
        <v>428</v>
      </c>
      <c r="BO462" s="47" t="s">
        <v>1066</v>
      </c>
      <c r="BP462" s="47" t="s">
        <v>1067</v>
      </c>
      <c r="BQ462" s="47" t="s">
        <v>92</v>
      </c>
      <c r="BR462" s="47" t="s">
        <v>93</v>
      </c>
      <c r="BS462" s="47" t="s">
        <v>312</v>
      </c>
      <c r="BT462" s="47" t="s">
        <v>312</v>
      </c>
      <c r="BU462" s="67">
        <v>42005</v>
      </c>
      <c r="BV462" s="67">
        <v>43070</v>
      </c>
      <c r="BW462" s="47" t="s">
        <v>1068</v>
      </c>
      <c r="BX462" s="47" t="s">
        <v>95</v>
      </c>
      <c r="BY462" s="47" t="s">
        <v>748</v>
      </c>
      <c r="BZ462" s="47">
        <v>1</v>
      </c>
      <c r="CA462" s="47">
        <v>1</v>
      </c>
      <c r="CB462" s="47" t="s">
        <v>1089</v>
      </c>
      <c r="CC462" s="47" t="s">
        <v>1071</v>
      </c>
      <c r="CD462" s="47">
        <v>1</v>
      </c>
      <c r="CE462" s="47" t="s">
        <v>738</v>
      </c>
      <c r="CF462" s="47">
        <v>0</v>
      </c>
      <c r="CG462" s="47" t="s">
        <v>97</v>
      </c>
      <c r="CH462" s="47">
        <v>1</v>
      </c>
      <c r="CI462" s="47" t="s">
        <v>116</v>
      </c>
      <c r="CJ462" s="47" t="s">
        <v>98</v>
      </c>
      <c r="CK462" s="47">
        <v>76</v>
      </c>
      <c r="CL462" s="47">
        <v>0</v>
      </c>
      <c r="CM462" s="47">
        <v>0</v>
      </c>
      <c r="CN462" s="47" t="s">
        <v>99</v>
      </c>
      <c r="CO462" s="47" t="s">
        <v>97</v>
      </c>
      <c r="CP462" s="47" t="s">
        <v>100</v>
      </c>
      <c r="CQ462" s="47" t="s">
        <v>126</v>
      </c>
      <c r="CR462" s="48">
        <v>46225</v>
      </c>
      <c r="CT462" s="47" t="s">
        <v>1161</v>
      </c>
    </row>
    <row r="463" spans="1:98" s="47" customFormat="1" x14ac:dyDescent="0.35">
      <c r="A463" s="46" t="s">
        <v>1056</v>
      </c>
      <c r="B463" s="46" t="s">
        <v>1149</v>
      </c>
      <c r="C463" s="47" t="s">
        <v>1057</v>
      </c>
      <c r="D463" s="47">
        <v>2021</v>
      </c>
      <c r="E463" s="66" t="s">
        <v>1058</v>
      </c>
      <c r="F463" s="66" t="s">
        <v>1059</v>
      </c>
      <c r="G463" s="47" t="s">
        <v>78</v>
      </c>
      <c r="H463" s="47">
        <v>1</v>
      </c>
      <c r="I463" s="47" t="s">
        <v>1060</v>
      </c>
      <c r="J463" s="47" t="s">
        <v>79</v>
      </c>
      <c r="K463" s="47">
        <v>28</v>
      </c>
      <c r="L463" s="47" t="s">
        <v>104</v>
      </c>
      <c r="M463" s="47" t="s">
        <v>380</v>
      </c>
      <c r="N463" s="47">
        <v>7.4400000000000004E-3</v>
      </c>
      <c r="O463" s="47">
        <v>4.13E-3</v>
      </c>
      <c r="P463" s="92">
        <f t="shared" si="180"/>
        <v>1.8014527845036321</v>
      </c>
      <c r="Q463" s="47" t="s">
        <v>312</v>
      </c>
      <c r="R463" s="92">
        <f t="shared" si="181"/>
        <v>-6.5479999999999879E-4</v>
      </c>
      <c r="S463" s="92">
        <f t="shared" si="182"/>
        <v>1.55348E-2</v>
      </c>
      <c r="T463" s="47">
        <v>1</v>
      </c>
      <c r="U463" s="47">
        <v>7354</v>
      </c>
      <c r="V463" s="47" t="s">
        <v>312</v>
      </c>
      <c r="W463" s="47" t="s">
        <v>312</v>
      </c>
      <c r="X463" s="47">
        <f t="shared" si="186"/>
        <v>7354</v>
      </c>
      <c r="Y463" s="92">
        <f t="shared" si="183"/>
        <v>2.100222311166491E-2</v>
      </c>
      <c r="Z463" s="92">
        <f t="shared" si="184"/>
        <v>1.1658492130534416E-2</v>
      </c>
      <c r="AA463" s="92">
        <f t="shared" si="187"/>
        <v>-2.100222311166491E-2</v>
      </c>
      <c r="AB463" s="47" t="s">
        <v>81</v>
      </c>
      <c r="AC463" s="92">
        <f t="shared" si="188"/>
        <v>0.15080879999999999</v>
      </c>
      <c r="AD463" s="92" cm="1">
        <f t="array" ref="AD463">_xlfn.IFS(
AND(L463="marginal_effect",M463="level"),N463*AN463/BF463,
AND(L463="marginal_effect",M463="sd (Y)"),N463*BH463*AN463/BF463,
AND(L463="marginal_effect",M463="sd (X)"),N463/AQ463*AN463/BF463,
AND(L463="semi_elasticity",M463="level"),N463*AN463,
AND(L463="semi_elasticity",M463="sd (Y)"),N463*AN463*BH463,
AND(L463="semi_elasticity",M463="sd (X)"),N463*AN463/AQ463,
AND(L463="level-log",M463="level"),N463/BF463,
AND(L463="level-log",M463="sd (X)"),N463/BF463/AQ463,
AND(L463="level-log",M463="sd (Y)"),N463/BF463*BH463,
AND(L463="elasticity",M463="level"),N463,
AND(L463="elasticity",M463="sd (X)"),N463/AQ463,
AND(L463="elasticity",M463="sd (Y)"),N463*BH463,
AND(L463="marginal_effect",M463="percent_of_mean"),N463*AN463/BF463/10)</f>
        <v>0.15080879999999999</v>
      </c>
      <c r="AE463" s="51">
        <f t="shared" ref="AE463:AE526" si="191">IF(AC463=AD463,1,0)</f>
        <v>1</v>
      </c>
      <c r="AF463" s="92">
        <f t="shared" si="189"/>
        <v>8.3715100000000001E-2</v>
      </c>
      <c r="AG463" s="92" cm="1">
        <f t="array" ref="AG463">_xlfn.IFS(
AND(L463="marginal_effect",M463="level"),O463*AN463/BF463,
AND(L463="marginal_effect",M463="sd (Y)"),O463*BH463*AN463/BF463,
AND(L463="marginal_effect",M463="sd (X)"),O463/AQ463*AN463/BF463,
AND(L463="semi_elasticity",M463="level"),O463*AN463,
AND(L463="semi_elasticity",M463="sd (Y)"),O463*AN463*BH463,
AND(L463="semi_elasticity",M463="sd (X)"),O463*AN463/AQ463,
AND(L463="level-log",M463="level"),O463/BF463,
AND(L463="level-log",M463="sd (X)"),O463/BF463/AQ463,
AND(L463="level-log",M463="sd (Y)"),O463/BF463*BH463,
AND(L463="elasticity",M463="level"),O463,
AND(L463="elasticity",M463="sd (X)"),O463/AQ463,
AND(L463="elasticity",M463="sd (Y)"),O463*BH463,
AND(L463="marginal_effect",M463="percent_of_mean"),O463*AN463/BF463/10)</f>
        <v>8.3715100000000001E-2</v>
      </c>
      <c r="AH463" s="51">
        <f t="shared" ref="AH463:AH526" si="192">IF(AF463=AG463,1,0)</f>
        <v>1</v>
      </c>
      <c r="AI463" s="92">
        <f t="shared" si="190"/>
        <v>-0.15080879999999999</v>
      </c>
      <c r="AJ463" s="47">
        <v>0</v>
      </c>
      <c r="AK463" s="47">
        <f t="shared" si="185"/>
        <v>1</v>
      </c>
      <c r="AL463" s="47" t="s">
        <v>131</v>
      </c>
      <c r="AM463" s="47" t="s">
        <v>410</v>
      </c>
      <c r="AN463" s="47">
        <v>20.27</v>
      </c>
      <c r="AO463" s="47">
        <v>0</v>
      </c>
      <c r="AP463" s="47">
        <f t="shared" si="168"/>
        <v>20.27</v>
      </c>
      <c r="AQ463" s="47">
        <v>14.08</v>
      </c>
      <c r="AR463" s="47">
        <v>0</v>
      </c>
      <c r="AS463" s="47">
        <v>150</v>
      </c>
      <c r="AT463" s="47" t="s">
        <v>83</v>
      </c>
      <c r="AU463" s="47" t="s">
        <v>109</v>
      </c>
      <c r="AV463" s="47" t="s">
        <v>133</v>
      </c>
      <c r="AW463" s="47" t="s">
        <v>85</v>
      </c>
      <c r="AX463" s="47" t="s">
        <v>86</v>
      </c>
      <c r="AY463" s="47">
        <v>0</v>
      </c>
      <c r="AZ463" s="47">
        <v>0</v>
      </c>
      <c r="BA463" s="47" t="s">
        <v>111</v>
      </c>
      <c r="BB463" s="47" t="s">
        <v>88</v>
      </c>
      <c r="BC463" s="47" t="s">
        <v>113</v>
      </c>
      <c r="BD463" s="47" t="s">
        <v>114</v>
      </c>
      <c r="BE463" s="47" t="s">
        <v>1148</v>
      </c>
      <c r="BF463" s="47">
        <v>65</v>
      </c>
      <c r="BG463" s="47">
        <v>1</v>
      </c>
      <c r="BH463" s="47" t="s">
        <v>312</v>
      </c>
      <c r="BI463" s="47" t="s">
        <v>312</v>
      </c>
      <c r="BJ463" s="47" t="s">
        <v>312</v>
      </c>
      <c r="BK463" s="47" t="s">
        <v>91</v>
      </c>
      <c r="BL463" s="47" t="s">
        <v>1065</v>
      </c>
      <c r="BM463" s="47">
        <v>1</v>
      </c>
      <c r="BN463" s="47" t="s">
        <v>428</v>
      </c>
      <c r="BO463" s="47" t="s">
        <v>1066</v>
      </c>
      <c r="BP463" s="47" t="s">
        <v>1067</v>
      </c>
      <c r="BQ463" s="47" t="s">
        <v>92</v>
      </c>
      <c r="BR463" s="47" t="s">
        <v>93</v>
      </c>
      <c r="BS463" s="47" t="s">
        <v>312</v>
      </c>
      <c r="BT463" s="47" t="s">
        <v>312</v>
      </c>
      <c r="BU463" s="67">
        <v>42005</v>
      </c>
      <c r="BV463" s="67">
        <v>43070</v>
      </c>
      <c r="BW463" s="47" t="s">
        <v>1068</v>
      </c>
      <c r="BX463" s="47" t="s">
        <v>95</v>
      </c>
      <c r="BY463" s="47" t="s">
        <v>748</v>
      </c>
      <c r="BZ463" s="47">
        <v>1</v>
      </c>
      <c r="CA463" s="47">
        <v>1</v>
      </c>
      <c r="CB463" s="47" t="s">
        <v>1089</v>
      </c>
      <c r="CC463" s="47" t="s">
        <v>1071</v>
      </c>
      <c r="CD463" s="47">
        <v>1</v>
      </c>
      <c r="CE463" s="47" t="s">
        <v>738</v>
      </c>
      <c r="CF463" s="47">
        <v>0</v>
      </c>
      <c r="CG463" s="47" t="s">
        <v>97</v>
      </c>
      <c r="CH463" s="47">
        <v>1</v>
      </c>
      <c r="CI463" s="47" t="s">
        <v>116</v>
      </c>
      <c r="CJ463" s="47" t="s">
        <v>98</v>
      </c>
      <c r="CK463" s="47">
        <v>76</v>
      </c>
      <c r="CL463" s="47">
        <v>0</v>
      </c>
      <c r="CM463" s="47">
        <v>0</v>
      </c>
      <c r="CN463" s="47" t="s">
        <v>99</v>
      </c>
      <c r="CO463" s="47" t="s">
        <v>97</v>
      </c>
      <c r="CP463" s="47" t="s">
        <v>100</v>
      </c>
      <c r="CQ463" s="47" t="s">
        <v>126</v>
      </c>
      <c r="CR463" s="48">
        <v>46225</v>
      </c>
      <c r="CT463" s="47" t="s">
        <v>1162</v>
      </c>
    </row>
    <row r="464" spans="1:98" s="47" customFormat="1" x14ac:dyDescent="0.35">
      <c r="A464" s="46" t="s">
        <v>1056</v>
      </c>
      <c r="B464" s="46" t="s">
        <v>1151</v>
      </c>
      <c r="C464" s="47" t="s">
        <v>1057</v>
      </c>
      <c r="D464" s="47">
        <v>2021</v>
      </c>
      <c r="E464" s="66" t="s">
        <v>1058</v>
      </c>
      <c r="F464" s="66" t="s">
        <v>1059</v>
      </c>
      <c r="G464" s="47" t="s">
        <v>78</v>
      </c>
      <c r="H464" s="47">
        <v>1</v>
      </c>
      <c r="I464" s="47" t="s">
        <v>1060</v>
      </c>
      <c r="J464" s="47" t="s">
        <v>79</v>
      </c>
      <c r="K464" s="47">
        <v>28</v>
      </c>
      <c r="L464" s="47" t="s">
        <v>104</v>
      </c>
      <c r="M464" s="47" t="s">
        <v>380</v>
      </c>
      <c r="N464" s="47">
        <v>3.8000000000000002E-4</v>
      </c>
      <c r="O464" s="47">
        <v>3.5999999999999999E-3</v>
      </c>
      <c r="P464" s="92">
        <f t="shared" si="180"/>
        <v>0.10555555555555557</v>
      </c>
      <c r="Q464" s="47" t="s">
        <v>312</v>
      </c>
      <c r="R464" s="92">
        <f t="shared" si="181"/>
        <v>-6.6759999999999996E-3</v>
      </c>
      <c r="S464" s="92">
        <f t="shared" si="182"/>
        <v>7.4359999999999999E-3</v>
      </c>
      <c r="T464" s="47">
        <v>1</v>
      </c>
      <c r="U464" s="47">
        <v>7354</v>
      </c>
      <c r="V464" s="47" t="s">
        <v>312</v>
      </c>
      <c r="W464" s="47" t="s">
        <v>312</v>
      </c>
      <c r="X464" s="47">
        <f t="shared" si="186"/>
        <v>7354</v>
      </c>
      <c r="Y464" s="92">
        <f t="shared" si="183"/>
        <v>1.2308891800044913E-3</v>
      </c>
      <c r="Z464" s="92">
        <f t="shared" si="184"/>
        <v>1.1661055389516234E-2</v>
      </c>
      <c r="AA464" s="92">
        <f t="shared" si="187"/>
        <v>-1.2308891800044913E-3</v>
      </c>
      <c r="AB464" s="47" t="s">
        <v>81</v>
      </c>
      <c r="AC464" s="92">
        <f t="shared" si="188"/>
        <v>1.0385399999999999E-2</v>
      </c>
      <c r="AD464" s="92" cm="1">
        <f t="array" ref="AD464">_xlfn.IFS(
AND(L464="marginal_effect",M464="level"),N464*AN464/BF464,
AND(L464="marginal_effect",M464="sd (Y)"),N464*BH464*AN464/BF464,
AND(L464="marginal_effect",M464="sd (X)"),N464/AQ464*AN464/BF464,
AND(L464="semi_elasticity",M464="level"),N464*AN464,
AND(L464="semi_elasticity",M464="sd (Y)"),N464*AN464*BH464,
AND(L464="semi_elasticity",M464="sd (X)"),N464*AN464/AQ464,
AND(L464="level-log",M464="level"),N464/BF464,
AND(L464="level-log",M464="sd (X)"),N464/BF464/AQ464,
AND(L464="level-log",M464="sd (Y)"),N464/BF464*BH464,
AND(L464="elasticity",M464="level"),N464,
AND(L464="elasticity",M464="sd (X)"),N464/AQ464,
AND(L464="elasticity",M464="sd (Y)"),N464*BH464,
AND(L464="marginal_effect",M464="percent_of_mean"),N464*AN464/BF464/10)</f>
        <v>1.0385399999999999E-2</v>
      </c>
      <c r="AE464" s="51">
        <f t="shared" si="191"/>
        <v>1</v>
      </c>
      <c r="AF464" s="92">
        <f t="shared" si="189"/>
        <v>9.8387999999999989E-2</v>
      </c>
      <c r="AG464" s="92" cm="1">
        <f t="array" ref="AG464">_xlfn.IFS(
AND(L464="marginal_effect",M464="level"),O464*AN464/BF464,
AND(L464="marginal_effect",M464="sd (Y)"),O464*BH464*AN464/BF464,
AND(L464="marginal_effect",M464="sd (X)"),O464/AQ464*AN464/BF464,
AND(L464="semi_elasticity",M464="level"),O464*AN464,
AND(L464="semi_elasticity",M464="sd (Y)"),O464*AN464*BH464,
AND(L464="semi_elasticity",M464="sd (X)"),O464*AN464/AQ464,
AND(L464="level-log",M464="level"),O464/BF464,
AND(L464="level-log",M464="sd (X)"),O464/BF464/AQ464,
AND(L464="level-log",M464="sd (Y)"),O464/BF464*BH464,
AND(L464="elasticity",M464="level"),O464,
AND(L464="elasticity",M464="sd (X)"),O464/AQ464,
AND(L464="elasticity",M464="sd (Y)"),O464*BH464,
AND(L464="marginal_effect",M464="percent_of_mean"),O464*AN464/BF464/10)</f>
        <v>9.8387999999999989E-2</v>
      </c>
      <c r="AH464" s="51">
        <f t="shared" si="192"/>
        <v>1</v>
      </c>
      <c r="AI464" s="92">
        <f t="shared" si="190"/>
        <v>-1.0385399999999999E-2</v>
      </c>
      <c r="AJ464" s="47">
        <v>0</v>
      </c>
      <c r="AK464" s="47">
        <f t="shared" si="185"/>
        <v>1</v>
      </c>
      <c r="AL464" s="47" t="s">
        <v>148</v>
      </c>
      <c r="AM464" s="47" t="s">
        <v>410</v>
      </c>
      <c r="AN464" s="47">
        <v>27.33</v>
      </c>
      <c r="AO464" s="47">
        <v>0</v>
      </c>
      <c r="AP464" s="47">
        <f t="shared" si="168"/>
        <v>27.33</v>
      </c>
      <c r="AQ464" s="47">
        <v>24.83</v>
      </c>
      <c r="AR464" s="47">
        <v>1</v>
      </c>
      <c r="AS464" s="47">
        <v>210</v>
      </c>
      <c r="AT464" s="47" t="s">
        <v>83</v>
      </c>
      <c r="AU464" s="47" t="s">
        <v>109</v>
      </c>
      <c r="AV464" s="47" t="s">
        <v>133</v>
      </c>
      <c r="AW464" s="47" t="s">
        <v>85</v>
      </c>
      <c r="AX464" s="47" t="s">
        <v>86</v>
      </c>
      <c r="AY464" s="47">
        <v>0</v>
      </c>
      <c r="AZ464" s="47">
        <v>0</v>
      </c>
      <c r="BA464" s="47" t="s">
        <v>111</v>
      </c>
      <c r="BB464" s="47" t="s">
        <v>88</v>
      </c>
      <c r="BC464" s="47" t="s">
        <v>113</v>
      </c>
      <c r="BD464" s="47" t="s">
        <v>114</v>
      </c>
      <c r="BE464" s="47" t="s">
        <v>1148</v>
      </c>
      <c r="BF464" s="47">
        <v>65</v>
      </c>
      <c r="BG464" s="47">
        <v>1</v>
      </c>
      <c r="BH464" s="47" t="s">
        <v>312</v>
      </c>
      <c r="BI464" s="47" t="s">
        <v>312</v>
      </c>
      <c r="BJ464" s="47" t="s">
        <v>312</v>
      </c>
      <c r="BK464" s="47" t="s">
        <v>91</v>
      </c>
      <c r="BL464" s="47" t="s">
        <v>1065</v>
      </c>
      <c r="BM464" s="47">
        <v>1</v>
      </c>
      <c r="BN464" s="47" t="s">
        <v>428</v>
      </c>
      <c r="BO464" s="47" t="s">
        <v>1066</v>
      </c>
      <c r="BP464" s="47" t="s">
        <v>1067</v>
      </c>
      <c r="BQ464" s="47" t="s">
        <v>92</v>
      </c>
      <c r="BR464" s="47" t="s">
        <v>93</v>
      </c>
      <c r="BS464" s="47" t="s">
        <v>312</v>
      </c>
      <c r="BT464" s="47" t="s">
        <v>312</v>
      </c>
      <c r="BU464" s="67">
        <v>42005</v>
      </c>
      <c r="BV464" s="67">
        <v>43070</v>
      </c>
      <c r="BW464" s="47" t="s">
        <v>1068</v>
      </c>
      <c r="BX464" s="47" t="s">
        <v>95</v>
      </c>
      <c r="BY464" s="47" t="s">
        <v>748</v>
      </c>
      <c r="BZ464" s="47">
        <v>1</v>
      </c>
      <c r="CA464" s="47">
        <v>1</v>
      </c>
      <c r="CB464" s="47" t="s">
        <v>1089</v>
      </c>
      <c r="CC464" s="47" t="s">
        <v>1071</v>
      </c>
      <c r="CD464" s="47">
        <v>1</v>
      </c>
      <c r="CE464" s="47" t="s">
        <v>738</v>
      </c>
      <c r="CF464" s="47">
        <v>0</v>
      </c>
      <c r="CG464" s="47" t="s">
        <v>97</v>
      </c>
      <c r="CH464" s="47">
        <v>1</v>
      </c>
      <c r="CI464" s="47" t="s">
        <v>116</v>
      </c>
      <c r="CJ464" s="47" t="s">
        <v>98</v>
      </c>
      <c r="CK464" s="47">
        <v>76</v>
      </c>
      <c r="CL464" s="47">
        <v>0</v>
      </c>
      <c r="CM464" s="47">
        <v>0</v>
      </c>
      <c r="CN464" s="47" t="s">
        <v>99</v>
      </c>
      <c r="CO464" s="47" t="s">
        <v>97</v>
      </c>
      <c r="CP464" s="47" t="s">
        <v>100</v>
      </c>
      <c r="CQ464" s="47" t="s">
        <v>126</v>
      </c>
      <c r="CR464" s="48">
        <v>46225</v>
      </c>
      <c r="CT464" s="47" t="s">
        <v>1163</v>
      </c>
    </row>
    <row r="465" spans="1:98" s="47" customFormat="1" x14ac:dyDescent="0.35">
      <c r="A465" s="46" t="s">
        <v>1056</v>
      </c>
      <c r="B465" s="46" t="s">
        <v>1152</v>
      </c>
      <c r="C465" s="47" t="s">
        <v>1057</v>
      </c>
      <c r="D465" s="47">
        <v>2021</v>
      </c>
      <c r="E465" s="66" t="s">
        <v>1058</v>
      </c>
      <c r="F465" s="66" t="s">
        <v>1059</v>
      </c>
      <c r="G465" s="47" t="s">
        <v>78</v>
      </c>
      <c r="H465" s="47">
        <v>1</v>
      </c>
      <c r="I465" s="47" t="s">
        <v>1060</v>
      </c>
      <c r="J465" s="47" t="s">
        <v>79</v>
      </c>
      <c r="K465" s="47">
        <v>28</v>
      </c>
      <c r="L465" s="47" t="s">
        <v>104</v>
      </c>
      <c r="M465" s="47" t="s">
        <v>380</v>
      </c>
      <c r="N465" s="47">
        <v>4.4999999999999997E-3</v>
      </c>
      <c r="O465" s="47">
        <v>1.8600000000000001E-3</v>
      </c>
      <c r="P465" s="92">
        <f t="shared" si="180"/>
        <v>2.419354838709677</v>
      </c>
      <c r="Q465" s="47" t="s">
        <v>312</v>
      </c>
      <c r="R465" s="92">
        <f t="shared" si="181"/>
        <v>8.5439999999999952E-4</v>
      </c>
      <c r="S465" s="92">
        <f t="shared" si="182"/>
        <v>8.1455999999999994E-3</v>
      </c>
      <c r="T465" s="47">
        <v>1</v>
      </c>
      <c r="U465" s="47">
        <v>6645</v>
      </c>
      <c r="V465" s="47" t="s">
        <v>312</v>
      </c>
      <c r="W465" s="47" t="s">
        <v>312</v>
      </c>
      <c r="X465" s="47">
        <f t="shared" si="186"/>
        <v>6645</v>
      </c>
      <c r="Y465" s="92">
        <f t="shared" si="183"/>
        <v>2.9666129349807894E-2</v>
      </c>
      <c r="Z465" s="92">
        <f t="shared" si="184"/>
        <v>1.226200013125393E-2</v>
      </c>
      <c r="AA465" s="92">
        <f t="shared" si="187"/>
        <v>-2.9666129349807894E-2</v>
      </c>
      <c r="AB465" s="47" t="s">
        <v>81</v>
      </c>
      <c r="AC465" s="92">
        <f t="shared" si="188"/>
        <v>0.103005</v>
      </c>
      <c r="AD465" s="92" cm="1">
        <f t="array" ref="AD465">_xlfn.IFS(
AND(L465="marginal_effect",M465="level"),N465*AN465/BF465,
AND(L465="marginal_effect",M465="sd (Y)"),N465*BH465*AN465/BF465,
AND(L465="marginal_effect",M465="sd (X)"),N465/AQ465*AN465/BF465,
AND(L465="semi_elasticity",M465="level"),N465*AN465,
AND(L465="semi_elasticity",M465="sd (Y)"),N465*AN465*BH465,
AND(L465="semi_elasticity",M465="sd (X)"),N465*AN465/AQ465,
AND(L465="level-log",M465="level"),N465/BF465,
AND(L465="level-log",M465="sd (X)"),N465/BF465/AQ465,
AND(L465="level-log",M465="sd (Y)"),N465/BF465*BH465,
AND(L465="elasticity",M465="level"),N465,
AND(L465="elasticity",M465="sd (X)"),N465/AQ465,
AND(L465="elasticity",M465="sd (Y)"),N465*BH465,
AND(L465="marginal_effect",M465="percent_of_mean"),N465*AN465/BF465/10)</f>
        <v>0.103005</v>
      </c>
      <c r="AE465" s="51">
        <f t="shared" si="191"/>
        <v>1</v>
      </c>
      <c r="AF465" s="92">
        <f t="shared" si="189"/>
        <v>4.2575400000000006E-2</v>
      </c>
      <c r="AG465" s="92" cm="1">
        <f t="array" ref="AG465">_xlfn.IFS(
AND(L465="marginal_effect",M465="level"),O465*AN465/BF465,
AND(L465="marginal_effect",M465="sd (Y)"),O465*BH465*AN465/BF465,
AND(L465="marginal_effect",M465="sd (X)"),O465/AQ465*AN465/BF465,
AND(L465="semi_elasticity",M465="level"),O465*AN465,
AND(L465="semi_elasticity",M465="sd (Y)"),O465*AN465*BH465,
AND(L465="semi_elasticity",M465="sd (X)"),O465*AN465/AQ465,
AND(L465="level-log",M465="level"),O465/BF465,
AND(L465="level-log",M465="sd (X)"),O465/BF465/AQ465,
AND(L465="level-log",M465="sd (Y)"),O465/BF465*BH465,
AND(L465="elasticity",M465="level"),O465,
AND(L465="elasticity",M465="sd (X)"),O465/AQ465,
AND(L465="elasticity",M465="sd (Y)"),O465*BH465,
AND(L465="marginal_effect",M465="percent_of_mean"),O465*AN465/BF465/10)</f>
        <v>4.2575400000000006E-2</v>
      </c>
      <c r="AH465" s="51">
        <f t="shared" si="192"/>
        <v>1</v>
      </c>
      <c r="AI465" s="92">
        <f t="shared" si="190"/>
        <v>-0.103005</v>
      </c>
      <c r="AJ465" s="47">
        <v>0</v>
      </c>
      <c r="AK465" s="47">
        <f t="shared" si="185"/>
        <v>1</v>
      </c>
      <c r="AL465" s="47" t="s">
        <v>82</v>
      </c>
      <c r="AM465" s="47" t="s">
        <v>1333</v>
      </c>
      <c r="AN465" s="47">
        <v>22.89</v>
      </c>
      <c r="AO465" s="47">
        <v>0</v>
      </c>
      <c r="AP465" s="47">
        <f t="shared" si="168"/>
        <v>22.89</v>
      </c>
      <c r="AQ465" s="47">
        <v>16.149999999999999</v>
      </c>
      <c r="AR465" s="47">
        <v>0</v>
      </c>
      <c r="AS465" s="47">
        <v>698</v>
      </c>
      <c r="AT465" s="47" t="s">
        <v>83</v>
      </c>
      <c r="AU465" s="47" t="s">
        <v>109</v>
      </c>
      <c r="AV465" s="47" t="s">
        <v>133</v>
      </c>
      <c r="AW465" s="47" t="s">
        <v>85</v>
      </c>
      <c r="AX465" s="47" t="s">
        <v>86</v>
      </c>
      <c r="AY465" s="47">
        <v>0</v>
      </c>
      <c r="AZ465" s="47">
        <v>0</v>
      </c>
      <c r="BA465" s="47" t="s">
        <v>111</v>
      </c>
      <c r="BB465" s="47" t="s">
        <v>88</v>
      </c>
      <c r="BC465" s="47" t="s">
        <v>113</v>
      </c>
      <c r="BD465" s="47" t="s">
        <v>114</v>
      </c>
      <c r="BE465" s="47" t="s">
        <v>1148</v>
      </c>
      <c r="BF465" s="47">
        <v>65</v>
      </c>
      <c r="BG465" s="47">
        <v>1</v>
      </c>
      <c r="BH465" s="47" t="s">
        <v>312</v>
      </c>
      <c r="BI465" s="47" t="s">
        <v>312</v>
      </c>
      <c r="BJ465" s="47" t="s">
        <v>312</v>
      </c>
      <c r="BK465" s="47" t="s">
        <v>91</v>
      </c>
      <c r="BL465" s="47" t="s">
        <v>1065</v>
      </c>
      <c r="BM465" s="47">
        <v>1</v>
      </c>
      <c r="BN465" s="47" t="s">
        <v>428</v>
      </c>
      <c r="BO465" s="47" t="s">
        <v>1066</v>
      </c>
      <c r="BP465" s="47" t="s">
        <v>1067</v>
      </c>
      <c r="BQ465" s="47" t="s">
        <v>92</v>
      </c>
      <c r="BR465" s="47" t="s">
        <v>93</v>
      </c>
      <c r="BS465" s="47" t="s">
        <v>312</v>
      </c>
      <c r="BT465" s="47" t="s">
        <v>312</v>
      </c>
      <c r="BU465" s="67">
        <v>42005</v>
      </c>
      <c r="BV465" s="67">
        <v>43070</v>
      </c>
      <c r="BW465" s="47" t="s">
        <v>1068</v>
      </c>
      <c r="BX465" s="47" t="s">
        <v>95</v>
      </c>
      <c r="BY465" s="47" t="s">
        <v>748</v>
      </c>
      <c r="BZ465" s="47">
        <v>1</v>
      </c>
      <c r="CA465" s="47">
        <v>1</v>
      </c>
      <c r="CB465" s="47" t="s">
        <v>1089</v>
      </c>
      <c r="CC465" s="47" t="s">
        <v>1071</v>
      </c>
      <c r="CD465" s="47">
        <v>1</v>
      </c>
      <c r="CE465" s="47" t="s">
        <v>738</v>
      </c>
      <c r="CF465" s="47">
        <v>0</v>
      </c>
      <c r="CG465" s="47" t="s">
        <v>97</v>
      </c>
      <c r="CH465" s="47">
        <v>1</v>
      </c>
      <c r="CI465" s="47" t="s">
        <v>116</v>
      </c>
      <c r="CJ465" s="47" t="s">
        <v>98</v>
      </c>
      <c r="CK465" s="47">
        <v>76</v>
      </c>
      <c r="CL465" s="47">
        <v>0</v>
      </c>
      <c r="CM465" s="47">
        <v>0</v>
      </c>
      <c r="CN465" s="47" t="s">
        <v>99</v>
      </c>
      <c r="CO465" s="47" t="s">
        <v>97</v>
      </c>
      <c r="CP465" s="47" t="s">
        <v>100</v>
      </c>
      <c r="CQ465" s="47" t="s">
        <v>126</v>
      </c>
      <c r="CR465" s="48">
        <v>46225</v>
      </c>
      <c r="CT465" s="47" t="s">
        <v>1164</v>
      </c>
    </row>
    <row r="466" spans="1:98" s="47" customFormat="1" x14ac:dyDescent="0.35">
      <c r="A466" s="46" t="s">
        <v>1056</v>
      </c>
      <c r="B466" s="46" t="s">
        <v>1153</v>
      </c>
      <c r="C466" s="47" t="s">
        <v>1057</v>
      </c>
      <c r="D466" s="47">
        <v>2021</v>
      </c>
      <c r="E466" s="66" t="s">
        <v>1058</v>
      </c>
      <c r="F466" s="66" t="s">
        <v>1059</v>
      </c>
      <c r="G466" s="47" t="s">
        <v>78</v>
      </c>
      <c r="H466" s="47">
        <v>1</v>
      </c>
      <c r="I466" s="47" t="s">
        <v>1060</v>
      </c>
      <c r="J466" s="47" t="s">
        <v>79</v>
      </c>
      <c r="K466" s="47">
        <v>28</v>
      </c>
      <c r="L466" s="47" t="s">
        <v>104</v>
      </c>
      <c r="M466" s="47" t="s">
        <v>380</v>
      </c>
      <c r="N466" s="47">
        <v>1E-4</v>
      </c>
      <c r="O466" s="47">
        <v>1E-4</v>
      </c>
      <c r="P466" s="92">
        <f t="shared" si="180"/>
        <v>1</v>
      </c>
      <c r="Q466" s="47" t="s">
        <v>312</v>
      </c>
      <c r="R466" s="92">
        <f t="shared" si="181"/>
        <v>-9.5999999999999989E-5</v>
      </c>
      <c r="S466" s="92">
        <f t="shared" si="182"/>
        <v>2.9599999999999998E-4</v>
      </c>
      <c r="T466" s="47">
        <v>1</v>
      </c>
      <c r="U466" s="47">
        <v>9065</v>
      </c>
      <c r="V466" s="47" t="s">
        <v>312</v>
      </c>
      <c r="W466" s="47" t="s">
        <v>312</v>
      </c>
      <c r="X466" s="47">
        <f t="shared" si="186"/>
        <v>9065</v>
      </c>
      <c r="Y466" s="92">
        <f t="shared" si="183"/>
        <v>1.050248675814484E-2</v>
      </c>
      <c r="Z466" s="92">
        <f t="shared" si="184"/>
        <v>1.050248675814484E-2</v>
      </c>
      <c r="AA466" s="92">
        <f t="shared" si="187"/>
        <v>-1.050248675814484E-2</v>
      </c>
      <c r="AB466" s="47" t="s">
        <v>81</v>
      </c>
      <c r="AC466" s="92">
        <f t="shared" si="188"/>
        <v>6.9999999999999994E-5</v>
      </c>
      <c r="AD466" s="92" cm="1">
        <f t="array" ref="AD466">_xlfn.IFS(
AND(L466="marginal_effect",M466="level"),N466*AN466/BF466,
AND(L466="marginal_effect",M466="sd (Y)"),N466*BH466*AN466/BF466,
AND(L466="marginal_effect",M466="sd (X)"),N466/AQ466*AN466/BF466,
AND(L466="semi_elasticity",M466="level"),N466*AN466,
AND(L466="semi_elasticity",M466="sd (Y)"),N466*AN466*BH466,
AND(L466="semi_elasticity",M466="sd (X)"),N466*AN466/AQ466,
AND(L466="level-log",M466="level"),N466/BF466,
AND(L466="level-log",M466="sd (X)"),N466/BF466/AQ466,
AND(L466="level-log",M466="sd (Y)"),N466/BF466*BH466,
AND(L466="elasticity",M466="level"),N466,
AND(L466="elasticity",M466="sd (X)"),N466/AQ466,
AND(L466="elasticity",M466="sd (Y)"),N466*BH466,
AND(L466="marginal_effect",M466="percent_of_mean"),N466*AN466/BF466/10)</f>
        <v>6.9999999999999994E-5</v>
      </c>
      <c r="AE466" s="51">
        <f t="shared" si="191"/>
        <v>1</v>
      </c>
      <c r="AF466" s="92">
        <f t="shared" si="189"/>
        <v>6.9999999999999994E-5</v>
      </c>
      <c r="AG466" s="92" cm="1">
        <f t="array" ref="AG466">_xlfn.IFS(
AND(L466="marginal_effect",M466="level"),O466*AN466/BF466,
AND(L466="marginal_effect",M466="sd (Y)"),O466*BH466*AN466/BF466,
AND(L466="marginal_effect",M466="sd (X)"),O466/AQ466*AN466/BF466,
AND(L466="semi_elasticity",M466="level"),O466*AN466,
AND(L466="semi_elasticity",M466="sd (Y)"),O466*AN466*BH466,
AND(L466="semi_elasticity",M466="sd (X)"),O466*AN466/AQ466,
AND(L466="level-log",M466="level"),O466/BF466,
AND(L466="level-log",M466="sd (X)"),O466/BF466/AQ466,
AND(L466="level-log",M466="sd (Y)"),O466/BF466*BH466,
AND(L466="elasticity",M466="level"),O466,
AND(L466="elasticity",M466="sd (X)"),O466/AQ466,
AND(L466="elasticity",M466="sd (Y)"),O466*BH466,
AND(L466="marginal_effect",M466="percent_of_mean"),O466*AN466/BF466/10)</f>
        <v>6.9999999999999994E-5</v>
      </c>
      <c r="AH466" s="51">
        <f t="shared" si="192"/>
        <v>1</v>
      </c>
      <c r="AI466" s="92">
        <f t="shared" si="190"/>
        <v>-6.9999999999999994E-5</v>
      </c>
      <c r="AJ466" s="47">
        <v>0</v>
      </c>
      <c r="AK466" s="47">
        <f t="shared" si="185"/>
        <v>1</v>
      </c>
      <c r="AL466" s="47" t="s">
        <v>162</v>
      </c>
      <c r="AM466" s="47" t="s">
        <v>590</v>
      </c>
      <c r="AN466" s="47">
        <v>0.7</v>
      </c>
      <c r="AO466" s="47">
        <v>0</v>
      </c>
      <c r="AP466" s="47">
        <f t="shared" si="168"/>
        <v>0.7</v>
      </c>
      <c r="AQ466" s="47">
        <v>0.66</v>
      </c>
      <c r="AR466" s="47">
        <v>0</v>
      </c>
      <c r="AS466" s="47">
        <v>12.76</v>
      </c>
      <c r="AT466" s="47" t="s">
        <v>83</v>
      </c>
      <c r="AU466" s="47" t="s">
        <v>109</v>
      </c>
      <c r="AV466" s="47" t="s">
        <v>133</v>
      </c>
      <c r="AW466" s="47" t="s">
        <v>85</v>
      </c>
      <c r="AX466" s="47" t="s">
        <v>86</v>
      </c>
      <c r="AY466" s="47">
        <v>0</v>
      </c>
      <c r="AZ466" s="47">
        <v>0</v>
      </c>
      <c r="BA466" s="47" t="s">
        <v>111</v>
      </c>
      <c r="BB466" s="47" t="s">
        <v>88</v>
      </c>
      <c r="BC466" s="47" t="s">
        <v>113</v>
      </c>
      <c r="BD466" s="47" t="s">
        <v>114</v>
      </c>
      <c r="BE466" s="47" t="s">
        <v>1142</v>
      </c>
      <c r="BF466" s="47">
        <v>65</v>
      </c>
      <c r="BG466" s="47">
        <v>0</v>
      </c>
      <c r="BH466" s="47" t="s">
        <v>312</v>
      </c>
      <c r="BI466" s="47" t="s">
        <v>312</v>
      </c>
      <c r="BJ466" s="47" t="s">
        <v>312</v>
      </c>
      <c r="BK466" s="47" t="s">
        <v>91</v>
      </c>
      <c r="BL466" s="47" t="s">
        <v>1065</v>
      </c>
      <c r="BM466" s="47">
        <v>1</v>
      </c>
      <c r="BN466" s="47" t="s">
        <v>428</v>
      </c>
      <c r="BO466" s="47" t="s">
        <v>1066</v>
      </c>
      <c r="BP466" s="47" t="s">
        <v>1067</v>
      </c>
      <c r="BQ466" s="47" t="s">
        <v>92</v>
      </c>
      <c r="BR466" s="47" t="s">
        <v>93</v>
      </c>
      <c r="BS466" s="47" t="s">
        <v>312</v>
      </c>
      <c r="BT466" s="47" t="s">
        <v>312</v>
      </c>
      <c r="BU466" s="67">
        <v>42005</v>
      </c>
      <c r="BV466" s="67">
        <v>43070</v>
      </c>
      <c r="BW466" s="47" t="s">
        <v>1068</v>
      </c>
      <c r="BX466" s="47" t="s">
        <v>95</v>
      </c>
      <c r="BY466" s="47" t="s">
        <v>748</v>
      </c>
      <c r="BZ466" s="47">
        <v>1</v>
      </c>
      <c r="CA466" s="47">
        <v>1</v>
      </c>
      <c r="CB466" s="47" t="s">
        <v>1089</v>
      </c>
      <c r="CC466" s="47" t="s">
        <v>1071</v>
      </c>
      <c r="CD466" s="47">
        <v>1</v>
      </c>
      <c r="CE466" s="47" t="s">
        <v>738</v>
      </c>
      <c r="CF466" s="47">
        <v>0</v>
      </c>
      <c r="CG466" s="47" t="s">
        <v>97</v>
      </c>
      <c r="CH466" s="47">
        <v>1</v>
      </c>
      <c r="CI466" s="47" t="s">
        <v>116</v>
      </c>
      <c r="CJ466" s="47" t="s">
        <v>98</v>
      </c>
      <c r="CK466" s="47">
        <v>76</v>
      </c>
      <c r="CL466" s="47">
        <v>0</v>
      </c>
      <c r="CM466" s="47">
        <v>0</v>
      </c>
      <c r="CN466" s="47" t="s">
        <v>99</v>
      </c>
      <c r="CO466" s="47" t="s">
        <v>944</v>
      </c>
      <c r="CP466" s="47" t="s">
        <v>100</v>
      </c>
      <c r="CQ466" s="47" t="s">
        <v>126</v>
      </c>
      <c r="CR466" s="48">
        <v>46225</v>
      </c>
      <c r="CT466" s="47" t="s">
        <v>1165</v>
      </c>
    </row>
    <row r="467" spans="1:98" s="47" customFormat="1" x14ac:dyDescent="0.35">
      <c r="A467" s="46" t="s">
        <v>1056</v>
      </c>
      <c r="B467" s="46" t="s">
        <v>1154</v>
      </c>
      <c r="C467" s="47" t="s">
        <v>1057</v>
      </c>
      <c r="D467" s="47">
        <v>2021</v>
      </c>
      <c r="E467" s="66" t="s">
        <v>1058</v>
      </c>
      <c r="F467" s="66" t="s">
        <v>1059</v>
      </c>
      <c r="G467" s="47" t="s">
        <v>78</v>
      </c>
      <c r="H467" s="47">
        <v>1</v>
      </c>
      <c r="I467" s="47" t="s">
        <v>1060</v>
      </c>
      <c r="J467" s="47" t="s">
        <v>79</v>
      </c>
      <c r="K467" s="47">
        <v>28</v>
      </c>
      <c r="L467" s="47" t="s">
        <v>104</v>
      </c>
      <c r="M467" s="47" t="s">
        <v>380</v>
      </c>
      <c r="N467" s="47">
        <v>5.7000000000000002E-3</v>
      </c>
      <c r="O467" s="47">
        <v>3.0999999999999999E-3</v>
      </c>
      <c r="P467" s="92">
        <f t="shared" si="180"/>
        <v>1.838709677419355</v>
      </c>
      <c r="Q467" s="47" t="s">
        <v>312</v>
      </c>
      <c r="R467" s="92">
        <f t="shared" si="181"/>
        <v>-3.759999999999996E-4</v>
      </c>
      <c r="S467" s="92">
        <f t="shared" si="182"/>
        <v>1.1776E-2</v>
      </c>
      <c r="T467" s="47">
        <v>1</v>
      </c>
      <c r="U467" s="47">
        <v>9071</v>
      </c>
      <c r="V467" s="47" t="s">
        <v>312</v>
      </c>
      <c r="W467" s="47" t="s">
        <v>312</v>
      </c>
      <c r="X467" s="47">
        <f t="shared" si="186"/>
        <v>9071</v>
      </c>
      <c r="Y467" s="92">
        <f t="shared" si="183"/>
        <v>1.9302104408870525E-2</v>
      </c>
      <c r="Z467" s="92">
        <f t="shared" si="184"/>
        <v>1.0497635731140108E-2</v>
      </c>
      <c r="AA467" s="92">
        <f t="shared" si="187"/>
        <v>-1.9302104408870525E-2</v>
      </c>
      <c r="AB467" s="47" t="s">
        <v>81</v>
      </c>
      <c r="AC467" s="92">
        <f t="shared" si="188"/>
        <v>0.115539</v>
      </c>
      <c r="AD467" s="92" cm="1">
        <f t="array" ref="AD467">_xlfn.IFS(
AND(L467="marginal_effect",M467="level"),N467*AN467/BF467,
AND(L467="marginal_effect",M467="sd (Y)"),N467*BH467*AN467/BF467,
AND(L467="marginal_effect",M467="sd (X)"),N467/AQ467*AN467/BF467,
AND(L467="semi_elasticity",M467="level"),N467*AN467,
AND(L467="semi_elasticity",M467="sd (Y)"),N467*AN467*BH467,
AND(L467="semi_elasticity",M467="sd (X)"),N467*AN467/AQ467,
AND(L467="level-log",M467="level"),N467/BF467,
AND(L467="level-log",M467="sd (X)"),N467/BF467/AQ467,
AND(L467="level-log",M467="sd (Y)"),N467/BF467*BH467,
AND(L467="elasticity",M467="level"),N467,
AND(L467="elasticity",M467="sd (X)"),N467/AQ467,
AND(L467="elasticity",M467="sd (Y)"),N467*BH467,
AND(L467="marginal_effect",M467="percent_of_mean"),N467*AN467/BF467/10)</f>
        <v>0.115539</v>
      </c>
      <c r="AE467" s="51">
        <f t="shared" si="191"/>
        <v>1</v>
      </c>
      <c r="AF467" s="92">
        <f t="shared" si="189"/>
        <v>6.283699999999999E-2</v>
      </c>
      <c r="AG467" s="92" cm="1">
        <f t="array" ref="AG467">_xlfn.IFS(
AND(L467="marginal_effect",M467="level"),O467*AN467/BF467,
AND(L467="marginal_effect",M467="sd (Y)"),O467*BH467*AN467/BF467,
AND(L467="marginal_effect",M467="sd (X)"),O467/AQ467*AN467/BF467,
AND(L467="semi_elasticity",M467="level"),O467*AN467,
AND(L467="semi_elasticity",M467="sd (Y)"),O467*AN467*BH467,
AND(L467="semi_elasticity",M467="sd (X)"),O467*AN467/AQ467,
AND(L467="level-log",M467="level"),O467/BF467,
AND(L467="level-log",M467="sd (X)"),O467/BF467/AQ467,
AND(L467="level-log",M467="sd (Y)"),O467/BF467*BH467,
AND(L467="elasticity",M467="level"),O467,
AND(L467="elasticity",M467="sd (X)"),O467/AQ467,
AND(L467="elasticity",M467="sd (Y)"),O467*BH467,
AND(L467="marginal_effect",M467="percent_of_mean"),O467*AN467/BF467/10)</f>
        <v>6.283699999999999E-2</v>
      </c>
      <c r="AH467" s="51">
        <f t="shared" si="192"/>
        <v>1</v>
      </c>
      <c r="AI467" s="92">
        <f t="shared" si="190"/>
        <v>-0.115539</v>
      </c>
      <c r="AJ467" s="47">
        <v>0</v>
      </c>
      <c r="AK467" s="47">
        <f t="shared" si="185"/>
        <v>0</v>
      </c>
      <c r="AL467" s="47" t="s">
        <v>131</v>
      </c>
      <c r="AM467" s="47" t="s">
        <v>410</v>
      </c>
      <c r="AN467" s="47">
        <v>20.27</v>
      </c>
      <c r="AO467" s="47">
        <v>0</v>
      </c>
      <c r="AP467" s="47">
        <f t="shared" si="168"/>
        <v>20.27</v>
      </c>
      <c r="AQ467" s="47">
        <v>14.08</v>
      </c>
      <c r="AR467" s="47">
        <v>0</v>
      </c>
      <c r="AS467" s="47">
        <v>150</v>
      </c>
      <c r="AT467" s="47" t="s">
        <v>83</v>
      </c>
      <c r="AU467" s="47" t="s">
        <v>109</v>
      </c>
      <c r="AV467" s="47" t="s">
        <v>133</v>
      </c>
      <c r="AW467" s="47" t="s">
        <v>85</v>
      </c>
      <c r="AX467" s="47" t="s">
        <v>86</v>
      </c>
      <c r="AY467" s="47">
        <v>0</v>
      </c>
      <c r="AZ467" s="47">
        <v>0</v>
      </c>
      <c r="BA467" s="47" t="s">
        <v>111</v>
      </c>
      <c r="BB467" s="47" t="s">
        <v>88</v>
      </c>
      <c r="BC467" s="47" t="s">
        <v>113</v>
      </c>
      <c r="BD467" s="47" t="s">
        <v>114</v>
      </c>
      <c r="BE467" s="47" t="s">
        <v>1142</v>
      </c>
      <c r="BF467" s="47">
        <v>65</v>
      </c>
      <c r="BG467" s="47">
        <v>0</v>
      </c>
      <c r="BH467" s="47" t="s">
        <v>312</v>
      </c>
      <c r="BI467" s="47" t="s">
        <v>312</v>
      </c>
      <c r="BJ467" s="47" t="s">
        <v>312</v>
      </c>
      <c r="BK467" s="47" t="s">
        <v>91</v>
      </c>
      <c r="BL467" s="47" t="s">
        <v>1065</v>
      </c>
      <c r="BM467" s="47">
        <v>1</v>
      </c>
      <c r="BN467" s="47" t="s">
        <v>428</v>
      </c>
      <c r="BO467" s="47" t="s">
        <v>1066</v>
      </c>
      <c r="BP467" s="47" t="s">
        <v>1067</v>
      </c>
      <c r="BQ467" s="47" t="s">
        <v>92</v>
      </c>
      <c r="BR467" s="47" t="s">
        <v>93</v>
      </c>
      <c r="BS467" s="47" t="s">
        <v>312</v>
      </c>
      <c r="BT467" s="47" t="s">
        <v>312</v>
      </c>
      <c r="BU467" s="67">
        <v>42005</v>
      </c>
      <c r="BV467" s="67">
        <v>43070</v>
      </c>
      <c r="BW467" s="47" t="s">
        <v>1068</v>
      </c>
      <c r="BX467" s="47" t="s">
        <v>95</v>
      </c>
      <c r="BY467" s="47" t="s">
        <v>748</v>
      </c>
      <c r="BZ467" s="47">
        <v>1</v>
      </c>
      <c r="CA467" s="47">
        <v>1</v>
      </c>
      <c r="CB467" s="47" t="s">
        <v>1089</v>
      </c>
      <c r="CC467" s="47" t="s">
        <v>1071</v>
      </c>
      <c r="CD467" s="47">
        <v>1</v>
      </c>
      <c r="CE467" s="47" t="s">
        <v>738</v>
      </c>
      <c r="CF467" s="47">
        <v>0</v>
      </c>
      <c r="CG467" s="47" t="s">
        <v>97</v>
      </c>
      <c r="CH467" s="47">
        <v>1</v>
      </c>
      <c r="CI467" s="47" t="s">
        <v>116</v>
      </c>
      <c r="CJ467" s="47" t="s">
        <v>98</v>
      </c>
      <c r="CK467" s="47">
        <v>76</v>
      </c>
      <c r="CL467" s="47">
        <v>0</v>
      </c>
      <c r="CM467" s="47">
        <v>0</v>
      </c>
      <c r="CN467" s="47" t="s">
        <v>99</v>
      </c>
      <c r="CO467" s="47" t="s">
        <v>944</v>
      </c>
      <c r="CP467" s="47" t="s">
        <v>100</v>
      </c>
      <c r="CQ467" s="47" t="s">
        <v>126</v>
      </c>
      <c r="CR467" s="48">
        <v>46225</v>
      </c>
      <c r="CT467" s="47" t="s">
        <v>1166</v>
      </c>
    </row>
    <row r="468" spans="1:98" s="47" customFormat="1" x14ac:dyDescent="0.35">
      <c r="A468" s="46" t="s">
        <v>1056</v>
      </c>
      <c r="B468" s="46" t="s">
        <v>1155</v>
      </c>
      <c r="C468" s="47" t="s">
        <v>1057</v>
      </c>
      <c r="D468" s="47">
        <v>2021</v>
      </c>
      <c r="E468" s="66" t="s">
        <v>1058</v>
      </c>
      <c r="F468" s="66" t="s">
        <v>1059</v>
      </c>
      <c r="G468" s="47" t="s">
        <v>78</v>
      </c>
      <c r="H468" s="47">
        <v>1</v>
      </c>
      <c r="I468" s="47" t="s">
        <v>1060</v>
      </c>
      <c r="J468" s="47" t="s">
        <v>79</v>
      </c>
      <c r="K468" s="47">
        <v>28</v>
      </c>
      <c r="L468" s="47" t="s">
        <v>104</v>
      </c>
      <c r="M468" s="47" t="s">
        <v>380</v>
      </c>
      <c r="N468" s="47">
        <v>-4.0000000000000002E-4</v>
      </c>
      <c r="O468" s="47">
        <v>5.8999999999999999E-3</v>
      </c>
      <c r="P468" s="92">
        <f t="shared" si="180"/>
        <v>-6.7796610169491525E-2</v>
      </c>
      <c r="Q468" s="47" t="s">
        <v>312</v>
      </c>
      <c r="R468" s="92">
        <f t="shared" si="181"/>
        <v>-1.1963999999999999E-2</v>
      </c>
      <c r="S468" s="92">
        <f t="shared" si="182"/>
        <v>1.1164E-2</v>
      </c>
      <c r="T468" s="47">
        <v>1</v>
      </c>
      <c r="U468" s="47">
        <v>9074</v>
      </c>
      <c r="V468" s="47" t="s">
        <v>312</v>
      </c>
      <c r="W468" s="47" t="s">
        <v>312</v>
      </c>
      <c r="X468" s="47">
        <f t="shared" si="186"/>
        <v>9074</v>
      </c>
      <c r="Y468" s="92">
        <f t="shared" si="183"/>
        <v>-7.1171887274737986E-4</v>
      </c>
      <c r="Z468" s="92">
        <f t="shared" si="184"/>
        <v>1.0497853373023853E-2</v>
      </c>
      <c r="AA468" s="92">
        <f t="shared" si="187"/>
        <v>7.1171887274737986E-4</v>
      </c>
      <c r="AB468" s="47" t="s">
        <v>81</v>
      </c>
      <c r="AC468" s="92">
        <f t="shared" si="188"/>
        <v>-1.0931999999999999E-2</v>
      </c>
      <c r="AD468" s="92" cm="1">
        <f t="array" ref="AD468">_xlfn.IFS(
AND(L468="marginal_effect",M468="level"),N468*AN468/BF468,
AND(L468="marginal_effect",M468="sd (Y)"),N468*BH468*AN468/BF468,
AND(L468="marginal_effect",M468="sd (X)"),N468/AQ468*AN468/BF468,
AND(L468="semi_elasticity",M468="level"),N468*AN468,
AND(L468="semi_elasticity",M468="sd (Y)"),N468*AN468*BH468,
AND(L468="semi_elasticity",M468="sd (X)"),N468*AN468/AQ468,
AND(L468="level-log",M468="level"),N468/BF468,
AND(L468="level-log",M468="sd (X)"),N468/BF468/AQ468,
AND(L468="level-log",M468="sd (Y)"),N468/BF468*BH468,
AND(L468="elasticity",M468="level"),N468,
AND(L468="elasticity",M468="sd (X)"),N468/AQ468,
AND(L468="elasticity",M468="sd (Y)"),N468*BH468,
AND(L468="marginal_effect",M468="percent_of_mean"),N468*AN468/BF468/10)</f>
        <v>-1.0931999999999999E-2</v>
      </c>
      <c r="AE468" s="51">
        <f t="shared" si="191"/>
        <v>1</v>
      </c>
      <c r="AF468" s="92">
        <f t="shared" si="189"/>
        <v>0.16124699999999997</v>
      </c>
      <c r="AG468" s="92" cm="1">
        <f t="array" ref="AG468">_xlfn.IFS(
AND(L468="marginal_effect",M468="level"),O468*AN468/BF468,
AND(L468="marginal_effect",M468="sd (Y)"),O468*BH468*AN468/BF468,
AND(L468="marginal_effect",M468="sd (X)"),O468/AQ468*AN468/BF468,
AND(L468="semi_elasticity",M468="level"),O468*AN468,
AND(L468="semi_elasticity",M468="sd (Y)"),O468*AN468*BH468,
AND(L468="semi_elasticity",M468="sd (X)"),O468*AN468/AQ468,
AND(L468="level-log",M468="level"),O468/BF468,
AND(L468="level-log",M468="sd (X)"),O468/BF468/AQ468,
AND(L468="level-log",M468="sd (Y)"),O468/BF468*BH468,
AND(L468="elasticity",M468="level"),O468,
AND(L468="elasticity",M468="sd (X)"),O468/AQ468,
AND(L468="elasticity",M468="sd (Y)"),O468*BH468,
AND(L468="marginal_effect",M468="percent_of_mean"),O468*AN468/BF468/10)</f>
        <v>0.16124699999999997</v>
      </c>
      <c r="AH468" s="51">
        <f t="shared" si="192"/>
        <v>1</v>
      </c>
      <c r="AI468" s="92">
        <f t="shared" si="190"/>
        <v>1.0931999999999999E-2</v>
      </c>
      <c r="AJ468" s="47">
        <v>0</v>
      </c>
      <c r="AK468" s="47">
        <f t="shared" si="185"/>
        <v>1</v>
      </c>
      <c r="AL468" s="47" t="s">
        <v>148</v>
      </c>
      <c r="AM468" s="47" t="s">
        <v>410</v>
      </c>
      <c r="AN468" s="47">
        <v>27.33</v>
      </c>
      <c r="AO468" s="47">
        <v>0</v>
      </c>
      <c r="AP468" s="47">
        <f t="shared" si="168"/>
        <v>27.33</v>
      </c>
      <c r="AQ468" s="47">
        <v>24.83</v>
      </c>
      <c r="AR468" s="47">
        <v>1</v>
      </c>
      <c r="AS468" s="47">
        <v>210</v>
      </c>
      <c r="AT468" s="47" t="s">
        <v>83</v>
      </c>
      <c r="AU468" s="47" t="s">
        <v>109</v>
      </c>
      <c r="AV468" s="47" t="s">
        <v>133</v>
      </c>
      <c r="AW468" s="47" t="s">
        <v>85</v>
      </c>
      <c r="AX468" s="47" t="s">
        <v>86</v>
      </c>
      <c r="AY468" s="47">
        <v>0</v>
      </c>
      <c r="AZ468" s="47">
        <v>0</v>
      </c>
      <c r="BA468" s="47" t="s">
        <v>111</v>
      </c>
      <c r="BB468" s="47" t="s">
        <v>88</v>
      </c>
      <c r="BC468" s="47" t="s">
        <v>113</v>
      </c>
      <c r="BD468" s="47" t="s">
        <v>114</v>
      </c>
      <c r="BE468" s="47" t="s">
        <v>1142</v>
      </c>
      <c r="BF468" s="47">
        <v>65</v>
      </c>
      <c r="BG468" s="47">
        <v>0</v>
      </c>
      <c r="BH468" s="47" t="s">
        <v>312</v>
      </c>
      <c r="BI468" s="47" t="s">
        <v>312</v>
      </c>
      <c r="BJ468" s="47" t="s">
        <v>312</v>
      </c>
      <c r="BK468" s="47" t="s">
        <v>91</v>
      </c>
      <c r="BL468" s="47" t="s">
        <v>1065</v>
      </c>
      <c r="BM468" s="47">
        <v>1</v>
      </c>
      <c r="BN468" s="47" t="s">
        <v>428</v>
      </c>
      <c r="BO468" s="47" t="s">
        <v>1066</v>
      </c>
      <c r="BP468" s="47" t="s">
        <v>1067</v>
      </c>
      <c r="BQ468" s="47" t="s">
        <v>92</v>
      </c>
      <c r="BR468" s="47" t="s">
        <v>93</v>
      </c>
      <c r="BS468" s="47" t="s">
        <v>312</v>
      </c>
      <c r="BT468" s="47" t="s">
        <v>312</v>
      </c>
      <c r="BU468" s="67">
        <v>42005</v>
      </c>
      <c r="BV468" s="67">
        <v>43070</v>
      </c>
      <c r="BW468" s="47" t="s">
        <v>1068</v>
      </c>
      <c r="BX468" s="47" t="s">
        <v>95</v>
      </c>
      <c r="BY468" s="47" t="s">
        <v>748</v>
      </c>
      <c r="BZ468" s="47">
        <v>1</v>
      </c>
      <c r="CA468" s="47">
        <v>1</v>
      </c>
      <c r="CB468" s="47" t="s">
        <v>1089</v>
      </c>
      <c r="CC468" s="47" t="s">
        <v>1071</v>
      </c>
      <c r="CD468" s="47">
        <v>1</v>
      </c>
      <c r="CE468" s="47" t="s">
        <v>738</v>
      </c>
      <c r="CF468" s="47">
        <v>0</v>
      </c>
      <c r="CG468" s="47" t="s">
        <v>97</v>
      </c>
      <c r="CH468" s="47">
        <v>1</v>
      </c>
      <c r="CI468" s="47" t="s">
        <v>116</v>
      </c>
      <c r="CJ468" s="47" t="s">
        <v>98</v>
      </c>
      <c r="CK468" s="47">
        <v>76</v>
      </c>
      <c r="CL468" s="47">
        <v>0</v>
      </c>
      <c r="CM468" s="47">
        <v>0</v>
      </c>
      <c r="CN468" s="47" t="s">
        <v>99</v>
      </c>
      <c r="CO468" s="47" t="s">
        <v>944</v>
      </c>
      <c r="CP468" s="47" t="s">
        <v>100</v>
      </c>
      <c r="CQ468" s="47" t="s">
        <v>126</v>
      </c>
      <c r="CR468" s="48">
        <v>46225</v>
      </c>
      <c r="CT468" s="47" t="s">
        <v>1167</v>
      </c>
    </row>
    <row r="469" spans="1:98" s="47" customFormat="1" x14ac:dyDescent="0.35">
      <c r="A469" s="46" t="s">
        <v>1056</v>
      </c>
      <c r="B469" s="46" t="s">
        <v>1156</v>
      </c>
      <c r="C469" s="47" t="s">
        <v>1057</v>
      </c>
      <c r="D469" s="47">
        <v>2021</v>
      </c>
      <c r="E469" s="66" t="s">
        <v>1058</v>
      </c>
      <c r="F469" s="66" t="s">
        <v>1059</v>
      </c>
      <c r="G469" s="47" t="s">
        <v>78</v>
      </c>
      <c r="H469" s="47">
        <v>1</v>
      </c>
      <c r="I469" s="47" t="s">
        <v>1060</v>
      </c>
      <c r="J469" s="47" t="s">
        <v>79</v>
      </c>
      <c r="K469" s="47">
        <v>28</v>
      </c>
      <c r="L469" s="47" t="s">
        <v>104</v>
      </c>
      <c r="M469" s="47" t="s">
        <v>380</v>
      </c>
      <c r="N469" s="47">
        <v>3.8E-3</v>
      </c>
      <c r="O469" s="47">
        <v>3.0999999999999999E-3</v>
      </c>
      <c r="P469" s="92">
        <f t="shared" si="180"/>
        <v>1.2258064516129032</v>
      </c>
      <c r="Q469" s="47" t="s">
        <v>312</v>
      </c>
      <c r="R469" s="92">
        <f t="shared" si="181"/>
        <v>-2.2759999999999998E-3</v>
      </c>
      <c r="S469" s="92">
        <f t="shared" si="182"/>
        <v>9.8759999999999994E-3</v>
      </c>
      <c r="T469" s="47">
        <v>1</v>
      </c>
      <c r="U469" s="47">
        <v>8302</v>
      </c>
      <c r="V469" s="47" t="s">
        <v>312</v>
      </c>
      <c r="W469" s="47" t="s">
        <v>312</v>
      </c>
      <c r="X469" s="47">
        <f t="shared" si="186"/>
        <v>8302</v>
      </c>
      <c r="Y469" s="92">
        <f t="shared" si="183"/>
        <v>1.3452135702762356E-2</v>
      </c>
      <c r="Z469" s="92">
        <f t="shared" si="184"/>
        <v>1.097411070488508E-2</v>
      </c>
      <c r="AA469" s="92">
        <f t="shared" si="187"/>
        <v>-1.3452135702762356E-2</v>
      </c>
      <c r="AB469" s="47" t="s">
        <v>81</v>
      </c>
      <c r="AC469" s="92">
        <f t="shared" si="188"/>
        <v>8.6982000000000004E-2</v>
      </c>
      <c r="AD469" s="92" cm="1">
        <f t="array" ref="AD469">_xlfn.IFS(
AND(L469="marginal_effect",M469="level"),N469*AN469/BF469,
AND(L469="marginal_effect",M469="sd (Y)"),N469*BH469*AN469/BF469,
AND(L469="marginal_effect",M469="sd (X)"),N469/AQ469*AN469/BF469,
AND(L469="semi_elasticity",M469="level"),N469*AN469,
AND(L469="semi_elasticity",M469="sd (Y)"),N469*AN469*BH469,
AND(L469="semi_elasticity",M469="sd (X)"),N469*AN469/AQ469,
AND(L469="level-log",M469="level"),N469/BF469,
AND(L469="level-log",M469="sd (X)"),N469/BF469/AQ469,
AND(L469="level-log",M469="sd (Y)"),N469/BF469*BH469,
AND(L469="elasticity",M469="level"),N469,
AND(L469="elasticity",M469="sd (X)"),N469/AQ469,
AND(L469="elasticity",M469="sd (Y)"),N469*BH469,
AND(L469="marginal_effect",M469="percent_of_mean"),N469*AN469/BF469/10)</f>
        <v>8.6982000000000004E-2</v>
      </c>
      <c r="AE469" s="51">
        <f t="shared" si="191"/>
        <v>1</v>
      </c>
      <c r="AF469" s="92">
        <f t="shared" si="189"/>
        <v>7.0958999999999994E-2</v>
      </c>
      <c r="AG469" s="92" cm="1">
        <f t="array" ref="AG469">_xlfn.IFS(
AND(L469="marginal_effect",M469="level"),O469*AN469/BF469,
AND(L469="marginal_effect",M469="sd (Y)"),O469*BH469*AN469/BF469,
AND(L469="marginal_effect",M469="sd (X)"),O469/AQ469*AN469/BF469,
AND(L469="semi_elasticity",M469="level"),O469*AN469,
AND(L469="semi_elasticity",M469="sd (Y)"),O469*AN469*BH469,
AND(L469="semi_elasticity",M469="sd (X)"),O469*AN469/AQ469,
AND(L469="level-log",M469="level"),O469/BF469,
AND(L469="level-log",M469="sd (X)"),O469/BF469/AQ469,
AND(L469="level-log",M469="sd (Y)"),O469/BF469*BH469,
AND(L469="elasticity",M469="level"),O469,
AND(L469="elasticity",M469="sd (X)"),O469/AQ469,
AND(L469="elasticity",M469="sd (Y)"),O469*BH469,
AND(L469="marginal_effect",M469="percent_of_mean"),O469*AN469/BF469/10)</f>
        <v>7.0958999999999994E-2</v>
      </c>
      <c r="AH469" s="51">
        <f t="shared" si="192"/>
        <v>1</v>
      </c>
      <c r="AI469" s="92">
        <f t="shared" si="190"/>
        <v>-8.6982000000000004E-2</v>
      </c>
      <c r="AJ469" s="47">
        <v>0</v>
      </c>
      <c r="AK469" s="47">
        <f t="shared" si="185"/>
        <v>1</v>
      </c>
      <c r="AL469" s="47" t="s">
        <v>82</v>
      </c>
      <c r="AM469" s="47" t="s">
        <v>1333</v>
      </c>
      <c r="AN469" s="47">
        <v>22.89</v>
      </c>
      <c r="AO469" s="47">
        <v>0</v>
      </c>
      <c r="AP469" s="47">
        <f t="shared" si="168"/>
        <v>22.89</v>
      </c>
      <c r="AQ469" s="47">
        <v>16.149999999999999</v>
      </c>
      <c r="AR469" s="47">
        <v>0</v>
      </c>
      <c r="AS469" s="47">
        <v>698</v>
      </c>
      <c r="AT469" s="47" t="s">
        <v>83</v>
      </c>
      <c r="AU469" s="47" t="s">
        <v>109</v>
      </c>
      <c r="AV469" s="47" t="s">
        <v>133</v>
      </c>
      <c r="AW469" s="47" t="s">
        <v>85</v>
      </c>
      <c r="AX469" s="47" t="s">
        <v>86</v>
      </c>
      <c r="AY469" s="47">
        <v>0</v>
      </c>
      <c r="AZ469" s="47">
        <v>0</v>
      </c>
      <c r="BA469" s="47" t="s">
        <v>111</v>
      </c>
      <c r="BB469" s="47" t="s">
        <v>88</v>
      </c>
      <c r="BC469" s="47" t="s">
        <v>113</v>
      </c>
      <c r="BD469" s="47" t="s">
        <v>114</v>
      </c>
      <c r="BE469" s="47" t="s">
        <v>1142</v>
      </c>
      <c r="BF469" s="47">
        <v>65</v>
      </c>
      <c r="BG469" s="47">
        <v>0</v>
      </c>
      <c r="BH469" s="47" t="s">
        <v>312</v>
      </c>
      <c r="BI469" s="47" t="s">
        <v>312</v>
      </c>
      <c r="BJ469" s="47" t="s">
        <v>312</v>
      </c>
      <c r="BK469" s="47" t="s">
        <v>91</v>
      </c>
      <c r="BL469" s="47" t="s">
        <v>1065</v>
      </c>
      <c r="BM469" s="47">
        <v>1</v>
      </c>
      <c r="BN469" s="47" t="s">
        <v>428</v>
      </c>
      <c r="BO469" s="47" t="s">
        <v>1066</v>
      </c>
      <c r="BP469" s="47" t="s">
        <v>1067</v>
      </c>
      <c r="BQ469" s="47" t="s">
        <v>92</v>
      </c>
      <c r="BR469" s="47" t="s">
        <v>93</v>
      </c>
      <c r="BS469" s="47" t="s">
        <v>312</v>
      </c>
      <c r="BT469" s="47" t="s">
        <v>312</v>
      </c>
      <c r="BU469" s="67">
        <v>42005</v>
      </c>
      <c r="BV469" s="67">
        <v>43070</v>
      </c>
      <c r="BW469" s="47" t="s">
        <v>1068</v>
      </c>
      <c r="BX469" s="47" t="s">
        <v>95</v>
      </c>
      <c r="BY469" s="47" t="s">
        <v>748</v>
      </c>
      <c r="BZ469" s="47">
        <v>1</v>
      </c>
      <c r="CA469" s="47">
        <v>1</v>
      </c>
      <c r="CB469" s="47" t="s">
        <v>1089</v>
      </c>
      <c r="CC469" s="47" t="s">
        <v>1071</v>
      </c>
      <c r="CD469" s="47">
        <v>1</v>
      </c>
      <c r="CE469" s="47" t="s">
        <v>738</v>
      </c>
      <c r="CF469" s="47">
        <v>0</v>
      </c>
      <c r="CG469" s="47" t="s">
        <v>97</v>
      </c>
      <c r="CH469" s="47">
        <v>1</v>
      </c>
      <c r="CI469" s="47" t="s">
        <v>116</v>
      </c>
      <c r="CJ469" s="47" t="s">
        <v>98</v>
      </c>
      <c r="CK469" s="47">
        <v>76</v>
      </c>
      <c r="CL469" s="47">
        <v>0</v>
      </c>
      <c r="CM469" s="47">
        <v>0</v>
      </c>
      <c r="CN469" s="47" t="s">
        <v>99</v>
      </c>
      <c r="CO469" s="47" t="s">
        <v>944</v>
      </c>
      <c r="CP469" s="47" t="s">
        <v>100</v>
      </c>
      <c r="CQ469" s="47" t="s">
        <v>126</v>
      </c>
      <c r="CR469" s="48">
        <v>46225</v>
      </c>
      <c r="CT469" s="47" t="s">
        <v>1168</v>
      </c>
    </row>
    <row r="470" spans="1:98" s="47" customFormat="1" x14ac:dyDescent="0.35">
      <c r="A470" s="46" t="s">
        <v>1056</v>
      </c>
      <c r="B470" s="46" t="s">
        <v>1157</v>
      </c>
      <c r="C470" s="47" t="s">
        <v>1057</v>
      </c>
      <c r="D470" s="47">
        <v>2021</v>
      </c>
      <c r="E470" s="66" t="s">
        <v>1058</v>
      </c>
      <c r="F470" s="66" t="s">
        <v>1059</v>
      </c>
      <c r="G470" s="47" t="s">
        <v>78</v>
      </c>
      <c r="H470" s="47">
        <v>1</v>
      </c>
      <c r="I470" s="47" t="s">
        <v>1060</v>
      </c>
      <c r="J470" s="47" t="s">
        <v>79</v>
      </c>
      <c r="K470" s="47">
        <v>28</v>
      </c>
      <c r="L470" s="47" t="s">
        <v>104</v>
      </c>
      <c r="M470" s="47" t="s">
        <v>380</v>
      </c>
      <c r="N470" s="47">
        <v>-1E-4</v>
      </c>
      <c r="O470" s="47">
        <v>2.9999999999999997E-4</v>
      </c>
      <c r="P470" s="92">
        <f t="shared" si="180"/>
        <v>-0.33333333333333337</v>
      </c>
      <c r="Q470" s="47" t="s">
        <v>312</v>
      </c>
      <c r="R470" s="92">
        <f t="shared" si="181"/>
        <v>-6.8800000000000003E-4</v>
      </c>
      <c r="S470" s="92">
        <f t="shared" si="182"/>
        <v>4.8799999999999999E-4</v>
      </c>
      <c r="T470" s="47">
        <v>1</v>
      </c>
      <c r="U470" s="47">
        <v>5442</v>
      </c>
      <c r="V470" s="47" t="s">
        <v>312</v>
      </c>
      <c r="W470" s="47" t="s">
        <v>312</v>
      </c>
      <c r="X470" s="47">
        <f t="shared" si="186"/>
        <v>5442</v>
      </c>
      <c r="Y470" s="92">
        <f t="shared" si="183"/>
        <v>-4.5185078699761681E-3</v>
      </c>
      <c r="Z470" s="92">
        <f t="shared" si="184"/>
        <v>1.3555523609928503E-2</v>
      </c>
      <c r="AA470" s="92">
        <f t="shared" si="187"/>
        <v>4.5185078699761681E-3</v>
      </c>
      <c r="AB470" s="47" t="s">
        <v>81</v>
      </c>
      <c r="AC470" s="92">
        <f t="shared" si="188"/>
        <v>-6.9999999999999994E-5</v>
      </c>
      <c r="AD470" s="92" cm="1">
        <f t="array" ref="AD470">_xlfn.IFS(
AND(L470="marginal_effect",M470="level"),N470*AN470/BF470,
AND(L470="marginal_effect",M470="sd (Y)"),N470*BH470*AN470/BF470,
AND(L470="marginal_effect",M470="sd (X)"),N470/AQ470*AN470/BF470,
AND(L470="semi_elasticity",M470="level"),N470*AN470,
AND(L470="semi_elasticity",M470="sd (Y)"),N470*AN470*BH470,
AND(L470="semi_elasticity",M470="sd (X)"),N470*AN470/AQ470,
AND(L470="level-log",M470="level"),N470/BF470,
AND(L470="level-log",M470="sd (X)"),N470/BF470/AQ470,
AND(L470="level-log",M470="sd (Y)"),N470/BF470*BH470,
AND(L470="elasticity",M470="level"),N470,
AND(L470="elasticity",M470="sd (X)"),N470/AQ470,
AND(L470="elasticity",M470="sd (Y)"),N470*BH470,
AND(L470="marginal_effect",M470="percent_of_mean"),N470*AN470/BF470/10)</f>
        <v>-6.9999999999999994E-5</v>
      </c>
      <c r="AE470" s="51">
        <f t="shared" si="191"/>
        <v>1</v>
      </c>
      <c r="AF470" s="92">
        <f t="shared" si="189"/>
        <v>2.0999999999999998E-4</v>
      </c>
      <c r="AG470" s="92" cm="1">
        <f t="array" ref="AG470">_xlfn.IFS(
AND(L470="marginal_effect",M470="level"),O470*AN470/BF470,
AND(L470="marginal_effect",M470="sd (Y)"),O470*BH470*AN470/BF470,
AND(L470="marginal_effect",M470="sd (X)"),O470/AQ470*AN470/BF470,
AND(L470="semi_elasticity",M470="level"),O470*AN470,
AND(L470="semi_elasticity",M470="sd (Y)"),O470*AN470*BH470,
AND(L470="semi_elasticity",M470="sd (X)"),O470*AN470/AQ470,
AND(L470="level-log",M470="level"),O470/BF470,
AND(L470="level-log",M470="sd (X)"),O470/BF470/AQ470,
AND(L470="level-log",M470="sd (Y)"),O470/BF470*BH470,
AND(L470="elasticity",M470="level"),O470,
AND(L470="elasticity",M470="sd (X)"),O470/AQ470,
AND(L470="elasticity",M470="sd (Y)"),O470*BH470,
AND(L470="marginal_effect",M470="percent_of_mean"),O470*AN470/BF470/10)</f>
        <v>2.0999999999999998E-4</v>
      </c>
      <c r="AH470" s="51">
        <f t="shared" si="192"/>
        <v>1</v>
      </c>
      <c r="AI470" s="92">
        <f t="shared" si="190"/>
        <v>6.9999999999999994E-5</v>
      </c>
      <c r="AJ470" s="47">
        <v>0</v>
      </c>
      <c r="AK470" s="47">
        <f t="shared" si="185"/>
        <v>1</v>
      </c>
      <c r="AL470" s="47" t="s">
        <v>162</v>
      </c>
      <c r="AM470" s="47" t="s">
        <v>590</v>
      </c>
      <c r="AN470" s="47">
        <v>0.7</v>
      </c>
      <c r="AO470" s="47">
        <v>0</v>
      </c>
      <c r="AP470" s="47">
        <f t="shared" si="168"/>
        <v>0.7</v>
      </c>
      <c r="AQ470" s="47">
        <v>0.66</v>
      </c>
      <c r="AR470" s="47">
        <v>0</v>
      </c>
      <c r="AS470" s="47">
        <v>12.76</v>
      </c>
      <c r="AT470" s="47" t="s">
        <v>83</v>
      </c>
      <c r="AU470" s="47" t="s">
        <v>109</v>
      </c>
      <c r="AV470" s="47" t="s">
        <v>133</v>
      </c>
      <c r="AW470" s="47" t="s">
        <v>85</v>
      </c>
      <c r="AX470" s="47" t="s">
        <v>86</v>
      </c>
      <c r="AY470" s="47">
        <v>0</v>
      </c>
      <c r="AZ470" s="47">
        <v>0</v>
      </c>
      <c r="BA470" s="47" t="s">
        <v>111</v>
      </c>
      <c r="BB470" s="47" t="s">
        <v>88</v>
      </c>
      <c r="BC470" s="47" t="s">
        <v>113</v>
      </c>
      <c r="BD470" s="47" t="s">
        <v>114</v>
      </c>
      <c r="BE470" s="47" t="s">
        <v>1142</v>
      </c>
      <c r="BF470" s="47">
        <v>65</v>
      </c>
      <c r="BG470" s="47">
        <v>0</v>
      </c>
      <c r="BH470" s="47" t="s">
        <v>312</v>
      </c>
      <c r="BI470" s="47" t="s">
        <v>312</v>
      </c>
      <c r="BJ470" s="47" t="s">
        <v>312</v>
      </c>
      <c r="BK470" s="47" t="s">
        <v>91</v>
      </c>
      <c r="BL470" s="47" t="s">
        <v>1065</v>
      </c>
      <c r="BM470" s="47">
        <v>1</v>
      </c>
      <c r="BN470" s="47" t="s">
        <v>428</v>
      </c>
      <c r="BO470" s="47" t="s">
        <v>1066</v>
      </c>
      <c r="BP470" s="47" t="s">
        <v>1067</v>
      </c>
      <c r="BQ470" s="47" t="s">
        <v>92</v>
      </c>
      <c r="BR470" s="47" t="s">
        <v>93</v>
      </c>
      <c r="BS470" s="47" t="s">
        <v>312</v>
      </c>
      <c r="BT470" s="47" t="s">
        <v>312</v>
      </c>
      <c r="BU470" s="67">
        <v>42005</v>
      </c>
      <c r="BV470" s="67">
        <v>43070</v>
      </c>
      <c r="BW470" s="47" t="s">
        <v>1068</v>
      </c>
      <c r="BX470" s="47" t="s">
        <v>95</v>
      </c>
      <c r="BY470" s="47" t="s">
        <v>748</v>
      </c>
      <c r="BZ470" s="47">
        <v>1</v>
      </c>
      <c r="CA470" s="47">
        <v>1</v>
      </c>
      <c r="CB470" s="47" t="s">
        <v>1089</v>
      </c>
      <c r="CC470" s="47" t="s">
        <v>1071</v>
      </c>
      <c r="CD470" s="47">
        <v>1</v>
      </c>
      <c r="CE470" s="47" t="s">
        <v>738</v>
      </c>
      <c r="CF470" s="47">
        <v>0</v>
      </c>
      <c r="CG470" s="47" t="s">
        <v>97</v>
      </c>
      <c r="CH470" s="47">
        <v>1</v>
      </c>
      <c r="CI470" s="47" t="s">
        <v>116</v>
      </c>
      <c r="CJ470" s="47" t="s">
        <v>98</v>
      </c>
      <c r="CK470" s="47">
        <v>76</v>
      </c>
      <c r="CL470" s="47">
        <v>0</v>
      </c>
      <c r="CM470" s="47">
        <v>0</v>
      </c>
      <c r="CN470" s="47" t="s">
        <v>99</v>
      </c>
      <c r="CO470" s="47" t="s">
        <v>944</v>
      </c>
      <c r="CP470" s="47" t="s">
        <v>100</v>
      </c>
      <c r="CQ470" s="47" t="s">
        <v>126</v>
      </c>
      <c r="CR470" s="48">
        <v>46225</v>
      </c>
      <c r="CT470" s="47" t="s">
        <v>1165</v>
      </c>
    </row>
    <row r="471" spans="1:98" s="47" customFormat="1" x14ac:dyDescent="0.35">
      <c r="A471" s="46" t="s">
        <v>1056</v>
      </c>
      <c r="B471" s="46" t="s">
        <v>1158</v>
      </c>
      <c r="C471" s="47" t="s">
        <v>1057</v>
      </c>
      <c r="D471" s="47">
        <v>2021</v>
      </c>
      <c r="E471" s="66" t="s">
        <v>1058</v>
      </c>
      <c r="F471" s="66" t="s">
        <v>1059</v>
      </c>
      <c r="G471" s="47" t="s">
        <v>78</v>
      </c>
      <c r="H471" s="47">
        <v>1</v>
      </c>
      <c r="I471" s="47" t="s">
        <v>1060</v>
      </c>
      <c r="J471" s="47" t="s">
        <v>79</v>
      </c>
      <c r="K471" s="47">
        <v>28</v>
      </c>
      <c r="L471" s="47" t="s">
        <v>104</v>
      </c>
      <c r="M471" s="47" t="s">
        <v>380</v>
      </c>
      <c r="N471" s="47">
        <v>5.5999999999999999E-3</v>
      </c>
      <c r="O471" s="47">
        <v>4.7999999999999996E-3</v>
      </c>
      <c r="P471" s="92">
        <f t="shared" si="180"/>
        <v>1.1666666666666667</v>
      </c>
      <c r="Q471" s="47" t="s">
        <v>312</v>
      </c>
      <c r="R471" s="92">
        <f t="shared" si="181"/>
        <v>-3.8079999999999998E-3</v>
      </c>
      <c r="S471" s="92">
        <f t="shared" si="182"/>
        <v>1.5008000000000001E-2</v>
      </c>
      <c r="T471" s="47">
        <v>1</v>
      </c>
      <c r="U471" s="47">
        <v>5450</v>
      </c>
      <c r="V471" s="47" t="s">
        <v>312</v>
      </c>
      <c r="W471" s="47" t="s">
        <v>312</v>
      </c>
      <c r="X471" s="47">
        <f t="shared" si="186"/>
        <v>5450</v>
      </c>
      <c r="Y471" s="92">
        <f t="shared" si="183"/>
        <v>1.580135440180587E-2</v>
      </c>
      <c r="Z471" s="92">
        <f t="shared" si="184"/>
        <v>1.3544018058690745E-2</v>
      </c>
      <c r="AA471" s="92">
        <f t="shared" si="187"/>
        <v>-1.580135440180587E-2</v>
      </c>
      <c r="AB471" s="47" t="s">
        <v>81</v>
      </c>
      <c r="AC471" s="92">
        <f t="shared" si="188"/>
        <v>0.113512</v>
      </c>
      <c r="AD471" s="92" cm="1">
        <f t="array" ref="AD471">_xlfn.IFS(
AND(L471="marginal_effect",M471="level"),N471*AN471/BF471,
AND(L471="marginal_effect",M471="sd (Y)"),N471*BH471*AN471/BF471,
AND(L471="marginal_effect",M471="sd (X)"),N471/AQ471*AN471/BF471,
AND(L471="semi_elasticity",M471="level"),N471*AN471,
AND(L471="semi_elasticity",M471="sd (Y)"),N471*AN471*BH471,
AND(L471="semi_elasticity",M471="sd (X)"),N471*AN471/AQ471,
AND(L471="level-log",M471="level"),N471/BF471,
AND(L471="level-log",M471="sd (X)"),N471/BF471/AQ471,
AND(L471="level-log",M471="sd (Y)"),N471/BF471*BH471,
AND(L471="elasticity",M471="level"),N471,
AND(L471="elasticity",M471="sd (X)"),N471/AQ471,
AND(L471="elasticity",M471="sd (Y)"),N471*BH471,
AND(L471="marginal_effect",M471="percent_of_mean"),N471*AN471/BF471/10)</f>
        <v>0.113512</v>
      </c>
      <c r="AE471" s="51">
        <f t="shared" si="191"/>
        <v>1</v>
      </c>
      <c r="AF471" s="92">
        <f t="shared" si="189"/>
        <v>9.7295999999999994E-2</v>
      </c>
      <c r="AG471" s="92" cm="1">
        <f t="array" ref="AG471">_xlfn.IFS(
AND(L471="marginal_effect",M471="level"),O471*AN471/BF471,
AND(L471="marginal_effect",M471="sd (Y)"),O471*BH471*AN471/BF471,
AND(L471="marginal_effect",M471="sd (X)"),O471/AQ471*AN471/BF471,
AND(L471="semi_elasticity",M471="level"),O471*AN471,
AND(L471="semi_elasticity",M471="sd (Y)"),O471*AN471*BH471,
AND(L471="semi_elasticity",M471="sd (X)"),O471*AN471/AQ471,
AND(L471="level-log",M471="level"),O471/BF471,
AND(L471="level-log",M471="sd (X)"),O471/BF471/AQ471,
AND(L471="level-log",M471="sd (Y)"),O471/BF471*BH471,
AND(L471="elasticity",M471="level"),O471,
AND(L471="elasticity",M471="sd (X)"),O471/AQ471,
AND(L471="elasticity",M471="sd (Y)"),O471*BH471,
AND(L471="marginal_effect",M471="percent_of_mean"),O471*AN471/BF471/10)</f>
        <v>9.7295999999999994E-2</v>
      </c>
      <c r="AH471" s="51">
        <f t="shared" si="192"/>
        <v>1</v>
      </c>
      <c r="AI471" s="92">
        <f t="shared" si="190"/>
        <v>-0.113512</v>
      </c>
      <c r="AJ471" s="47">
        <v>0</v>
      </c>
      <c r="AK471" s="47">
        <f t="shared" si="185"/>
        <v>1</v>
      </c>
      <c r="AL471" s="47" t="s">
        <v>131</v>
      </c>
      <c r="AM471" s="47" t="s">
        <v>410</v>
      </c>
      <c r="AN471" s="47">
        <v>20.27</v>
      </c>
      <c r="AO471" s="47">
        <v>0</v>
      </c>
      <c r="AP471" s="47">
        <f t="shared" si="168"/>
        <v>20.27</v>
      </c>
      <c r="AQ471" s="47">
        <v>14.08</v>
      </c>
      <c r="AR471" s="47">
        <v>0</v>
      </c>
      <c r="AS471" s="47">
        <v>150</v>
      </c>
      <c r="AT471" s="47" t="s">
        <v>83</v>
      </c>
      <c r="AU471" s="47" t="s">
        <v>109</v>
      </c>
      <c r="AV471" s="47" t="s">
        <v>133</v>
      </c>
      <c r="AW471" s="47" t="s">
        <v>85</v>
      </c>
      <c r="AX471" s="47" t="s">
        <v>86</v>
      </c>
      <c r="AY471" s="47">
        <v>0</v>
      </c>
      <c r="AZ471" s="47">
        <v>0</v>
      </c>
      <c r="BA471" s="47" t="s">
        <v>111</v>
      </c>
      <c r="BB471" s="47" t="s">
        <v>88</v>
      </c>
      <c r="BC471" s="47" t="s">
        <v>113</v>
      </c>
      <c r="BD471" s="47" t="s">
        <v>114</v>
      </c>
      <c r="BE471" s="47" t="s">
        <v>1142</v>
      </c>
      <c r="BF471" s="47">
        <v>65</v>
      </c>
      <c r="BG471" s="47">
        <v>0</v>
      </c>
      <c r="BH471" s="47" t="s">
        <v>312</v>
      </c>
      <c r="BI471" s="47" t="s">
        <v>312</v>
      </c>
      <c r="BJ471" s="47" t="s">
        <v>312</v>
      </c>
      <c r="BK471" s="47" t="s">
        <v>91</v>
      </c>
      <c r="BL471" s="47" t="s">
        <v>1065</v>
      </c>
      <c r="BM471" s="47">
        <v>1</v>
      </c>
      <c r="BN471" s="47" t="s">
        <v>428</v>
      </c>
      <c r="BO471" s="47" t="s">
        <v>1066</v>
      </c>
      <c r="BP471" s="47" t="s">
        <v>1067</v>
      </c>
      <c r="BQ471" s="47" t="s">
        <v>92</v>
      </c>
      <c r="BR471" s="47" t="s">
        <v>93</v>
      </c>
      <c r="BS471" s="47" t="s">
        <v>312</v>
      </c>
      <c r="BT471" s="47" t="s">
        <v>312</v>
      </c>
      <c r="BU471" s="67">
        <v>42005</v>
      </c>
      <c r="BV471" s="67">
        <v>43070</v>
      </c>
      <c r="BW471" s="47" t="s">
        <v>1068</v>
      </c>
      <c r="BX471" s="47" t="s">
        <v>95</v>
      </c>
      <c r="BY471" s="47" t="s">
        <v>748</v>
      </c>
      <c r="BZ471" s="47">
        <v>1</v>
      </c>
      <c r="CA471" s="47">
        <v>1</v>
      </c>
      <c r="CB471" s="47" t="s">
        <v>1089</v>
      </c>
      <c r="CC471" s="47" t="s">
        <v>1071</v>
      </c>
      <c r="CD471" s="47">
        <v>1</v>
      </c>
      <c r="CE471" s="47" t="s">
        <v>738</v>
      </c>
      <c r="CF471" s="47">
        <v>0</v>
      </c>
      <c r="CG471" s="47" t="s">
        <v>97</v>
      </c>
      <c r="CH471" s="47">
        <v>1</v>
      </c>
      <c r="CI471" s="47" t="s">
        <v>116</v>
      </c>
      <c r="CJ471" s="47" t="s">
        <v>98</v>
      </c>
      <c r="CK471" s="47">
        <v>76</v>
      </c>
      <c r="CL471" s="47">
        <v>0</v>
      </c>
      <c r="CM471" s="47">
        <v>0</v>
      </c>
      <c r="CN471" s="47" t="s">
        <v>99</v>
      </c>
      <c r="CO471" s="47" t="s">
        <v>944</v>
      </c>
      <c r="CP471" s="47" t="s">
        <v>100</v>
      </c>
      <c r="CQ471" s="47" t="s">
        <v>126</v>
      </c>
      <c r="CR471" s="48">
        <v>46225</v>
      </c>
      <c r="CT471" s="47" t="s">
        <v>1166</v>
      </c>
    </row>
    <row r="472" spans="1:98" s="47" customFormat="1" x14ac:dyDescent="0.35">
      <c r="A472" s="46" t="s">
        <v>1056</v>
      </c>
      <c r="B472" s="46" t="s">
        <v>1159</v>
      </c>
      <c r="C472" s="47" t="s">
        <v>1057</v>
      </c>
      <c r="D472" s="47">
        <v>2021</v>
      </c>
      <c r="E472" s="66" t="s">
        <v>1058</v>
      </c>
      <c r="F472" s="66" t="s">
        <v>1059</v>
      </c>
      <c r="G472" s="47" t="s">
        <v>78</v>
      </c>
      <c r="H472" s="47">
        <v>1</v>
      </c>
      <c r="I472" s="47" t="s">
        <v>1060</v>
      </c>
      <c r="J472" s="47" t="s">
        <v>79</v>
      </c>
      <c r="K472" s="47">
        <v>28</v>
      </c>
      <c r="L472" s="47" t="s">
        <v>104</v>
      </c>
      <c r="M472" s="47" t="s">
        <v>380</v>
      </c>
      <c r="N472" s="47">
        <v>2.7000000000000001E-3</v>
      </c>
      <c r="O472" s="47">
        <v>4.4000000000000003E-3</v>
      </c>
      <c r="P472" s="92">
        <f t="shared" si="180"/>
        <v>0.61363636363636365</v>
      </c>
      <c r="Q472" s="47" t="s">
        <v>312</v>
      </c>
      <c r="R472" s="92">
        <f t="shared" si="181"/>
        <v>-5.9239999999999996E-3</v>
      </c>
      <c r="S472" s="92">
        <f t="shared" si="182"/>
        <v>1.1324000000000001E-2</v>
      </c>
      <c r="T472" s="47">
        <v>1</v>
      </c>
      <c r="U472" s="47">
        <v>5453</v>
      </c>
      <c r="V472" s="47" t="s">
        <v>312</v>
      </c>
      <c r="W472" s="47" t="s">
        <v>312</v>
      </c>
      <c r="X472" s="47">
        <f t="shared" si="186"/>
        <v>5453</v>
      </c>
      <c r="Y472" s="92">
        <f t="shared" si="183"/>
        <v>8.3095660556666093E-3</v>
      </c>
      <c r="Z472" s="92">
        <f t="shared" si="184"/>
        <v>1.3541515053678918E-2</v>
      </c>
      <c r="AA472" s="92">
        <f t="shared" si="187"/>
        <v>-8.3095660556666093E-3</v>
      </c>
      <c r="AB472" s="47" t="s">
        <v>81</v>
      </c>
      <c r="AC472" s="92">
        <f t="shared" si="188"/>
        <v>7.3790999999999995E-2</v>
      </c>
      <c r="AD472" s="92" cm="1">
        <f t="array" ref="AD472">_xlfn.IFS(
AND(L472="marginal_effect",M472="level"),N472*AN472/BF472,
AND(L472="marginal_effect",M472="sd (Y)"),N472*BH472*AN472/BF472,
AND(L472="marginal_effect",M472="sd (X)"),N472/AQ472*AN472/BF472,
AND(L472="semi_elasticity",M472="level"),N472*AN472,
AND(L472="semi_elasticity",M472="sd (Y)"),N472*AN472*BH472,
AND(L472="semi_elasticity",M472="sd (X)"),N472*AN472/AQ472,
AND(L472="level-log",M472="level"),N472/BF472,
AND(L472="level-log",M472="sd (X)"),N472/BF472/AQ472,
AND(L472="level-log",M472="sd (Y)"),N472/BF472*BH472,
AND(L472="elasticity",M472="level"),N472,
AND(L472="elasticity",M472="sd (X)"),N472/AQ472,
AND(L472="elasticity",M472="sd (Y)"),N472*BH472,
AND(L472="marginal_effect",M472="percent_of_mean"),N472*AN472/BF472/10)</f>
        <v>7.3790999999999995E-2</v>
      </c>
      <c r="AE472" s="51">
        <f t="shared" si="191"/>
        <v>1</v>
      </c>
      <c r="AF472" s="92">
        <f t="shared" si="189"/>
        <v>0.120252</v>
      </c>
      <c r="AG472" s="92" cm="1">
        <f t="array" ref="AG472">_xlfn.IFS(
AND(L472="marginal_effect",M472="level"),O472*AN472/BF472,
AND(L472="marginal_effect",M472="sd (Y)"),O472*BH472*AN472/BF472,
AND(L472="marginal_effect",M472="sd (X)"),O472/AQ472*AN472/BF472,
AND(L472="semi_elasticity",M472="level"),O472*AN472,
AND(L472="semi_elasticity",M472="sd (Y)"),O472*AN472*BH472,
AND(L472="semi_elasticity",M472="sd (X)"),O472*AN472/AQ472,
AND(L472="level-log",M472="level"),O472/BF472,
AND(L472="level-log",M472="sd (X)"),O472/BF472/AQ472,
AND(L472="level-log",M472="sd (Y)"),O472/BF472*BH472,
AND(L472="elasticity",M472="level"),O472,
AND(L472="elasticity",M472="sd (X)"),O472/AQ472,
AND(L472="elasticity",M472="sd (Y)"),O472*BH472,
AND(L472="marginal_effect",M472="percent_of_mean"),O472*AN472/BF472/10)</f>
        <v>0.120252</v>
      </c>
      <c r="AH472" s="51">
        <f t="shared" si="192"/>
        <v>1</v>
      </c>
      <c r="AI472" s="92">
        <f t="shared" si="190"/>
        <v>-7.3790999999999995E-2</v>
      </c>
      <c r="AJ472" s="47">
        <v>0</v>
      </c>
      <c r="AK472" s="47">
        <f t="shared" si="185"/>
        <v>1</v>
      </c>
      <c r="AL472" s="47" t="s">
        <v>148</v>
      </c>
      <c r="AM472" s="47" t="s">
        <v>410</v>
      </c>
      <c r="AN472" s="47">
        <v>27.33</v>
      </c>
      <c r="AO472" s="47">
        <v>0</v>
      </c>
      <c r="AP472" s="47">
        <f t="shared" si="168"/>
        <v>27.33</v>
      </c>
      <c r="AQ472" s="47">
        <v>24.83</v>
      </c>
      <c r="AR472" s="47">
        <v>1</v>
      </c>
      <c r="AS472" s="47">
        <v>210</v>
      </c>
      <c r="AT472" s="47" t="s">
        <v>83</v>
      </c>
      <c r="AU472" s="47" t="s">
        <v>109</v>
      </c>
      <c r="AV472" s="47" t="s">
        <v>133</v>
      </c>
      <c r="AW472" s="47" t="s">
        <v>85</v>
      </c>
      <c r="AX472" s="47" t="s">
        <v>86</v>
      </c>
      <c r="AY472" s="47">
        <v>0</v>
      </c>
      <c r="AZ472" s="47">
        <v>0</v>
      </c>
      <c r="BA472" s="47" t="s">
        <v>111</v>
      </c>
      <c r="BB472" s="47" t="s">
        <v>88</v>
      </c>
      <c r="BC472" s="47" t="s">
        <v>113</v>
      </c>
      <c r="BD472" s="47" t="s">
        <v>114</v>
      </c>
      <c r="BE472" s="47" t="s">
        <v>1142</v>
      </c>
      <c r="BF472" s="47">
        <v>65</v>
      </c>
      <c r="BG472" s="47">
        <v>0</v>
      </c>
      <c r="BH472" s="47" t="s">
        <v>312</v>
      </c>
      <c r="BI472" s="47" t="s">
        <v>312</v>
      </c>
      <c r="BJ472" s="47" t="s">
        <v>312</v>
      </c>
      <c r="BK472" s="47" t="s">
        <v>91</v>
      </c>
      <c r="BL472" s="47" t="s">
        <v>1065</v>
      </c>
      <c r="BM472" s="47">
        <v>1</v>
      </c>
      <c r="BN472" s="47" t="s">
        <v>428</v>
      </c>
      <c r="BO472" s="47" t="s">
        <v>1066</v>
      </c>
      <c r="BP472" s="47" t="s">
        <v>1067</v>
      </c>
      <c r="BQ472" s="47" t="s">
        <v>92</v>
      </c>
      <c r="BR472" s="47" t="s">
        <v>93</v>
      </c>
      <c r="BS472" s="47" t="s">
        <v>312</v>
      </c>
      <c r="BT472" s="47" t="s">
        <v>312</v>
      </c>
      <c r="BU472" s="67">
        <v>42005</v>
      </c>
      <c r="BV472" s="67">
        <v>43070</v>
      </c>
      <c r="BW472" s="47" t="s">
        <v>1068</v>
      </c>
      <c r="BX472" s="47" t="s">
        <v>95</v>
      </c>
      <c r="BY472" s="47" t="s">
        <v>748</v>
      </c>
      <c r="BZ472" s="47">
        <v>1</v>
      </c>
      <c r="CA472" s="47">
        <v>1</v>
      </c>
      <c r="CB472" s="47" t="s">
        <v>1089</v>
      </c>
      <c r="CC472" s="47" t="s">
        <v>1071</v>
      </c>
      <c r="CD472" s="47">
        <v>1</v>
      </c>
      <c r="CE472" s="47" t="s">
        <v>738</v>
      </c>
      <c r="CF472" s="47">
        <v>0</v>
      </c>
      <c r="CG472" s="47" t="s">
        <v>97</v>
      </c>
      <c r="CH472" s="47">
        <v>1</v>
      </c>
      <c r="CI472" s="47" t="s">
        <v>116</v>
      </c>
      <c r="CJ472" s="47" t="s">
        <v>98</v>
      </c>
      <c r="CK472" s="47">
        <v>76</v>
      </c>
      <c r="CL472" s="47">
        <v>0</v>
      </c>
      <c r="CM472" s="47">
        <v>0</v>
      </c>
      <c r="CN472" s="47" t="s">
        <v>99</v>
      </c>
      <c r="CO472" s="47" t="s">
        <v>944</v>
      </c>
      <c r="CP472" s="47" t="s">
        <v>100</v>
      </c>
      <c r="CQ472" s="47" t="s">
        <v>126</v>
      </c>
      <c r="CR472" s="48">
        <v>46225</v>
      </c>
      <c r="CT472" s="47" t="s">
        <v>1167</v>
      </c>
    </row>
    <row r="473" spans="1:98" s="47" customFormat="1" x14ac:dyDescent="0.35">
      <c r="A473" s="46" t="s">
        <v>1056</v>
      </c>
      <c r="B473" s="46" t="s">
        <v>1160</v>
      </c>
      <c r="C473" s="47" t="s">
        <v>1057</v>
      </c>
      <c r="D473" s="47">
        <v>2021</v>
      </c>
      <c r="E473" s="66" t="s">
        <v>1058</v>
      </c>
      <c r="F473" s="66" t="s">
        <v>1059</v>
      </c>
      <c r="G473" s="47" t="s">
        <v>78</v>
      </c>
      <c r="H473" s="47">
        <v>1</v>
      </c>
      <c r="I473" s="47" t="s">
        <v>1060</v>
      </c>
      <c r="J473" s="47" t="s">
        <v>79</v>
      </c>
      <c r="K473" s="47">
        <v>28</v>
      </c>
      <c r="L473" s="47" t="s">
        <v>104</v>
      </c>
      <c r="M473" s="47" t="s">
        <v>380</v>
      </c>
      <c r="N473" s="47">
        <v>2E-3</v>
      </c>
      <c r="O473" s="47">
        <v>3.7000000000000002E-3</v>
      </c>
      <c r="P473" s="92">
        <f t="shared" si="180"/>
        <v>0.54054054054054057</v>
      </c>
      <c r="Q473" s="47" t="s">
        <v>312</v>
      </c>
      <c r="R473" s="92">
        <f t="shared" si="181"/>
        <v>-5.2519999999999997E-3</v>
      </c>
      <c r="S473" s="92">
        <f t="shared" si="182"/>
        <v>9.2519999999999998E-3</v>
      </c>
      <c r="T473" s="47">
        <v>1</v>
      </c>
      <c r="U473" s="47">
        <v>5060</v>
      </c>
      <c r="V473" s="47" t="s">
        <v>312</v>
      </c>
      <c r="W473" s="47" t="s">
        <v>312</v>
      </c>
      <c r="X473" s="47">
        <f t="shared" si="186"/>
        <v>5060</v>
      </c>
      <c r="Y473" s="92">
        <f t="shared" si="183"/>
        <v>7.5987205743508219E-3</v>
      </c>
      <c r="Z473" s="92">
        <f t="shared" si="184"/>
        <v>1.405763306254902E-2</v>
      </c>
      <c r="AA473" s="92">
        <f t="shared" si="187"/>
        <v>-7.5987205743508219E-3</v>
      </c>
      <c r="AB473" s="47" t="s">
        <v>81</v>
      </c>
      <c r="AC473" s="92">
        <f t="shared" si="188"/>
        <v>4.5780000000000001E-2</v>
      </c>
      <c r="AD473" s="92" cm="1">
        <f t="array" ref="AD473">_xlfn.IFS(
AND(L473="marginal_effect",M473="level"),N473*AN473/BF473,
AND(L473="marginal_effect",M473="sd (Y)"),N473*BH473*AN473/BF473,
AND(L473="marginal_effect",M473="sd (X)"),N473/AQ473*AN473/BF473,
AND(L473="semi_elasticity",M473="level"),N473*AN473,
AND(L473="semi_elasticity",M473="sd (Y)"),N473*AN473*BH473,
AND(L473="semi_elasticity",M473="sd (X)"),N473*AN473/AQ473,
AND(L473="level-log",M473="level"),N473/BF473,
AND(L473="level-log",M473="sd (X)"),N473/BF473/AQ473,
AND(L473="level-log",M473="sd (Y)"),N473/BF473*BH473,
AND(L473="elasticity",M473="level"),N473,
AND(L473="elasticity",M473="sd (X)"),N473/AQ473,
AND(L473="elasticity",M473="sd (Y)"),N473*BH473,
AND(L473="marginal_effect",M473="percent_of_mean"),N473*AN473/BF473/10)</f>
        <v>4.5780000000000001E-2</v>
      </c>
      <c r="AE473" s="51">
        <f t="shared" si="191"/>
        <v>1</v>
      </c>
      <c r="AF473" s="92">
        <f t="shared" si="189"/>
        <v>8.4693000000000004E-2</v>
      </c>
      <c r="AG473" s="92" cm="1">
        <f t="array" ref="AG473">_xlfn.IFS(
AND(L473="marginal_effect",M473="level"),O473*AN473/BF473,
AND(L473="marginal_effect",M473="sd (Y)"),O473*BH473*AN473/BF473,
AND(L473="marginal_effect",M473="sd (X)"),O473/AQ473*AN473/BF473,
AND(L473="semi_elasticity",M473="level"),O473*AN473,
AND(L473="semi_elasticity",M473="sd (Y)"),O473*AN473*BH473,
AND(L473="semi_elasticity",M473="sd (X)"),O473*AN473/AQ473,
AND(L473="level-log",M473="level"),O473/BF473,
AND(L473="level-log",M473="sd (X)"),O473/BF473/AQ473,
AND(L473="level-log",M473="sd (Y)"),O473/BF473*BH473,
AND(L473="elasticity",M473="level"),O473,
AND(L473="elasticity",M473="sd (X)"),O473/AQ473,
AND(L473="elasticity",M473="sd (Y)"),O473*BH473,
AND(L473="marginal_effect",M473="percent_of_mean"),O473*AN473/BF473/10)</f>
        <v>8.4693000000000004E-2</v>
      </c>
      <c r="AH473" s="51">
        <f t="shared" si="192"/>
        <v>1</v>
      </c>
      <c r="AI473" s="92">
        <f t="shared" si="190"/>
        <v>-4.5780000000000001E-2</v>
      </c>
      <c r="AJ473" s="47">
        <v>0</v>
      </c>
      <c r="AK473" s="47">
        <f t="shared" si="185"/>
        <v>1</v>
      </c>
      <c r="AL473" s="47" t="s">
        <v>82</v>
      </c>
      <c r="AM473" s="47" t="s">
        <v>1333</v>
      </c>
      <c r="AN473" s="47">
        <v>22.89</v>
      </c>
      <c r="AO473" s="47">
        <v>0</v>
      </c>
      <c r="AP473" s="47">
        <f t="shared" si="168"/>
        <v>22.89</v>
      </c>
      <c r="AQ473" s="47">
        <v>16.149999999999999</v>
      </c>
      <c r="AR473" s="47">
        <v>0</v>
      </c>
      <c r="AS473" s="47">
        <v>698</v>
      </c>
      <c r="AT473" s="47" t="s">
        <v>83</v>
      </c>
      <c r="AU473" s="47" t="s">
        <v>109</v>
      </c>
      <c r="AV473" s="47" t="s">
        <v>133</v>
      </c>
      <c r="AW473" s="47" t="s">
        <v>85</v>
      </c>
      <c r="AX473" s="47" t="s">
        <v>86</v>
      </c>
      <c r="AY473" s="47">
        <v>0</v>
      </c>
      <c r="AZ473" s="47">
        <v>0</v>
      </c>
      <c r="BA473" s="47" t="s">
        <v>111</v>
      </c>
      <c r="BB473" s="47" t="s">
        <v>88</v>
      </c>
      <c r="BC473" s="47" t="s">
        <v>113</v>
      </c>
      <c r="BD473" s="47" t="s">
        <v>114</v>
      </c>
      <c r="BE473" s="47" t="s">
        <v>1142</v>
      </c>
      <c r="BF473" s="47">
        <v>65</v>
      </c>
      <c r="BG473" s="47">
        <v>0</v>
      </c>
      <c r="BH473" s="47" t="s">
        <v>312</v>
      </c>
      <c r="BI473" s="47" t="s">
        <v>312</v>
      </c>
      <c r="BJ473" s="47" t="s">
        <v>312</v>
      </c>
      <c r="BK473" s="47" t="s">
        <v>91</v>
      </c>
      <c r="BL473" s="47" t="s">
        <v>1065</v>
      </c>
      <c r="BM473" s="47">
        <v>1</v>
      </c>
      <c r="BN473" s="47" t="s">
        <v>428</v>
      </c>
      <c r="BO473" s="47" t="s">
        <v>1066</v>
      </c>
      <c r="BP473" s="47" t="s">
        <v>1067</v>
      </c>
      <c r="BQ473" s="47" t="s">
        <v>92</v>
      </c>
      <c r="BR473" s="47" t="s">
        <v>93</v>
      </c>
      <c r="BS473" s="47" t="s">
        <v>312</v>
      </c>
      <c r="BT473" s="47" t="s">
        <v>312</v>
      </c>
      <c r="BU473" s="67">
        <v>42005</v>
      </c>
      <c r="BV473" s="67">
        <v>43070</v>
      </c>
      <c r="BW473" s="47" t="s">
        <v>1068</v>
      </c>
      <c r="BX473" s="47" t="s">
        <v>95</v>
      </c>
      <c r="BY473" s="47" t="s">
        <v>748</v>
      </c>
      <c r="BZ473" s="47">
        <v>1</v>
      </c>
      <c r="CA473" s="47">
        <v>1</v>
      </c>
      <c r="CB473" s="47" t="s">
        <v>1089</v>
      </c>
      <c r="CC473" s="47" t="s">
        <v>1071</v>
      </c>
      <c r="CD473" s="47">
        <v>1</v>
      </c>
      <c r="CE473" s="47" t="s">
        <v>738</v>
      </c>
      <c r="CF473" s="47">
        <v>0</v>
      </c>
      <c r="CG473" s="47" t="s">
        <v>97</v>
      </c>
      <c r="CH473" s="47">
        <v>1</v>
      </c>
      <c r="CI473" s="47" t="s">
        <v>116</v>
      </c>
      <c r="CJ473" s="47" t="s">
        <v>98</v>
      </c>
      <c r="CK473" s="47">
        <v>76</v>
      </c>
      <c r="CL473" s="47">
        <v>0</v>
      </c>
      <c r="CM473" s="47">
        <v>0</v>
      </c>
      <c r="CN473" s="47" t="s">
        <v>99</v>
      </c>
      <c r="CO473" s="47" t="s">
        <v>944</v>
      </c>
      <c r="CP473" s="47" t="s">
        <v>100</v>
      </c>
      <c r="CQ473" s="47" t="s">
        <v>126</v>
      </c>
      <c r="CR473" s="48">
        <v>46225</v>
      </c>
      <c r="CT473" s="47" t="s">
        <v>1168</v>
      </c>
    </row>
    <row r="474" spans="1:98" s="55" customFormat="1" x14ac:dyDescent="0.35">
      <c r="A474" s="54" t="s">
        <v>1170</v>
      </c>
      <c r="B474" s="54" t="s">
        <v>1178</v>
      </c>
      <c r="C474" s="55" t="s">
        <v>1171</v>
      </c>
      <c r="D474" s="55">
        <v>2023</v>
      </c>
      <c r="E474" s="54" t="s">
        <v>1172</v>
      </c>
      <c r="F474" s="54" t="s">
        <v>1173</v>
      </c>
      <c r="G474" s="55" t="s">
        <v>78</v>
      </c>
      <c r="H474" s="55">
        <v>1</v>
      </c>
      <c r="I474" s="55" t="s">
        <v>290</v>
      </c>
      <c r="J474" s="55" t="s">
        <v>1174</v>
      </c>
      <c r="K474" s="55">
        <v>12</v>
      </c>
      <c r="L474" s="55" t="s">
        <v>1179</v>
      </c>
      <c r="M474" s="55" t="s">
        <v>380</v>
      </c>
      <c r="N474" s="55">
        <v>-7.3</v>
      </c>
      <c r="O474" s="55">
        <v>0.33300000000000002</v>
      </c>
      <c r="P474" s="88">
        <f t="shared" si="180"/>
        <v>-21.921921921921921</v>
      </c>
      <c r="Q474" s="55" t="s">
        <v>312</v>
      </c>
      <c r="R474" s="88">
        <f t="shared" si="181"/>
        <v>-7.95268</v>
      </c>
      <c r="S474" s="88">
        <f t="shared" si="182"/>
        <v>-6.6473199999999997</v>
      </c>
      <c r="T474" s="55">
        <v>1</v>
      </c>
      <c r="U474" s="55">
        <v>21519</v>
      </c>
      <c r="V474" s="55">
        <v>1</v>
      </c>
      <c r="W474" s="55">
        <v>1</v>
      </c>
      <c r="X474" s="55">
        <f t="shared" ref="X474:X505" si="193">U474-V474</f>
        <v>21518</v>
      </c>
      <c r="Y474" s="88">
        <f t="shared" si="183"/>
        <v>-0.1478023688823164</v>
      </c>
      <c r="Z474" s="88">
        <f t="shared" si="184"/>
        <v>6.7422176490152556E-3</v>
      </c>
      <c r="AA474" s="88">
        <f t="shared" si="187"/>
        <v>0.1478023688823164</v>
      </c>
      <c r="AB474" s="55" t="s">
        <v>81</v>
      </c>
      <c r="AC474" s="88">
        <f t="shared" ref="AC474:AC505" si="194">N474/BF474</f>
        <v>-0.38788522848034007</v>
      </c>
      <c r="AD474" s="88" cm="1">
        <f t="array" ref="AD474">_xlfn.IFS(
AND(L474="marginal_effect",M474="level"),N474*AN474/BF474,
AND(L474="marginal_effect",M474="sd (Y)"),N474*BH474*AN474/BF474,
AND(L474="marginal_effect",M474="sd (X)"),N474/AQ474*AN474/BF474,
AND(L474="semi_elasticity",M474="level"),N474*AN474,
AND(L474="semi_elasticity",M474="sd (Y)"),N474*AN474*BH474,
AND(L474="semi_elasticity",M474="sd (X)"),N474*AN474/AQ474,
AND(L474="level-log",M474="level"),N474/BF474,
AND(L474="level-log",M474="sd (X)"),N474/BF474/AQ474,
AND(L474="level-log",M474="sd (Y)"),N474/BF474*BH474,
AND(L474="elasticity",M474="level"),N474,
AND(L474="elasticity",M474="sd (X)"),N474/AQ474,
AND(L474="elasticity",M474="sd (Y)"),N474*BH474,
AND(L474="marginal_effect",M474="percent_of_mean"),N474*AN474/BF474/10)</f>
        <v>-0.38788522848034007</v>
      </c>
      <c r="AE474" s="56">
        <f t="shared" si="191"/>
        <v>1</v>
      </c>
      <c r="AF474" s="88">
        <f t="shared" ref="AF474:AF497" si="195">O474/BF474</f>
        <v>1.769394261424017E-2</v>
      </c>
      <c r="AG474" s="88" cm="1">
        <f t="array" ref="AG474">_xlfn.IFS(
AND(L474="marginal_effect",M474="level"),O474*AN474/BF474,
AND(L474="marginal_effect",M474="sd (Y)"),O474*BH474*AN474/BF474,
AND(L474="marginal_effect",M474="sd (X)"),O474/AQ474*AN474/BF474,
AND(L474="semi_elasticity",M474="level"),O474*AN474,
AND(L474="semi_elasticity",M474="sd (Y)"),O474*AN474*BH474,
AND(L474="semi_elasticity",M474="sd (X)"),O474*AN474/AQ474,
AND(L474="level-log",M474="level"),O474/BF474,
AND(L474="level-log",M474="sd (X)"),O474/BF474/AQ474,
AND(L474="level-log",M474="sd (Y)"),O474/BF474*BH474,
AND(L474="elasticity",M474="level"),O474,
AND(L474="elasticity",M474="sd (X)"),O474/AQ474,
AND(L474="elasticity",M474="sd (Y)"),O474*BH474,
AND(L474="marginal_effect",M474="percent_of_mean"),O474*AN474/BF474/10)</f>
        <v>1.769394261424017E-2</v>
      </c>
      <c r="AH474" s="56">
        <f t="shared" si="192"/>
        <v>1</v>
      </c>
      <c r="AI474" s="88">
        <f t="shared" ref="AI474:AI505" si="196">AC474</f>
        <v>-0.38788522848034007</v>
      </c>
      <c r="AJ474" s="55">
        <v>0</v>
      </c>
      <c r="AK474" s="55">
        <f t="shared" si="185"/>
        <v>1</v>
      </c>
      <c r="AL474" s="55" t="s">
        <v>735</v>
      </c>
      <c r="AM474" s="76" t="s">
        <v>1411</v>
      </c>
      <c r="AN474" s="76">
        <v>4.5960000000000001</v>
      </c>
      <c r="AO474" s="76">
        <v>0</v>
      </c>
      <c r="AP474" s="76">
        <f t="shared" si="168"/>
        <v>4.5960000000000001</v>
      </c>
      <c r="AQ474" s="76">
        <v>0.48299999999999998</v>
      </c>
      <c r="AR474" s="76">
        <v>2.89</v>
      </c>
      <c r="AS474" s="76">
        <v>6.1840000000000002</v>
      </c>
      <c r="AT474" s="55" t="s">
        <v>83</v>
      </c>
      <c r="AU474" s="55" t="s">
        <v>109</v>
      </c>
      <c r="AV474" s="55" t="s">
        <v>133</v>
      </c>
      <c r="AW474" s="55" t="s">
        <v>85</v>
      </c>
      <c r="AX474" s="55" t="s">
        <v>86</v>
      </c>
      <c r="AY474" s="55">
        <v>0</v>
      </c>
      <c r="AZ474" s="55">
        <v>0</v>
      </c>
      <c r="BA474" s="55" t="s">
        <v>734</v>
      </c>
      <c r="BB474" s="55" t="s">
        <v>88</v>
      </c>
      <c r="BC474" s="55" t="s">
        <v>89</v>
      </c>
      <c r="BD474" s="55" t="s">
        <v>114</v>
      </c>
      <c r="BE474" s="55" t="s">
        <v>1169</v>
      </c>
      <c r="BF474" s="55">
        <v>18.82</v>
      </c>
      <c r="BG474" s="55">
        <v>0</v>
      </c>
      <c r="BH474" s="55">
        <v>16.25</v>
      </c>
      <c r="BI474" s="55">
        <v>-218.25</v>
      </c>
      <c r="BJ474" s="55">
        <v>370.012</v>
      </c>
      <c r="BK474" s="55" t="s">
        <v>91</v>
      </c>
      <c r="BL474" s="55" t="s">
        <v>84</v>
      </c>
      <c r="BM474" s="55">
        <v>1</v>
      </c>
      <c r="BN474" s="55" t="s">
        <v>539</v>
      </c>
      <c r="BO474" s="55" t="s">
        <v>1175</v>
      </c>
      <c r="BP474" s="55" t="s">
        <v>1176</v>
      </c>
      <c r="BQ474" s="55" t="s">
        <v>117</v>
      </c>
      <c r="BR474" s="55" t="s">
        <v>93</v>
      </c>
      <c r="BS474" s="55">
        <v>26.151</v>
      </c>
      <c r="BT474" s="55">
        <v>0</v>
      </c>
      <c r="BU474" s="55">
        <v>2014</v>
      </c>
      <c r="BV474" s="55">
        <v>2019</v>
      </c>
      <c r="BW474" s="55" t="s">
        <v>736</v>
      </c>
      <c r="BX474" s="55" t="s">
        <v>95</v>
      </c>
      <c r="BY474" s="55" t="s">
        <v>96</v>
      </c>
      <c r="BZ474" s="55">
        <v>0</v>
      </c>
      <c r="CA474" s="55">
        <v>0</v>
      </c>
      <c r="CB474" s="55" t="s">
        <v>97</v>
      </c>
      <c r="CC474" s="55" t="s">
        <v>1177</v>
      </c>
      <c r="CD474" s="55">
        <v>0</v>
      </c>
      <c r="CE474" s="55" t="s">
        <v>97</v>
      </c>
      <c r="CF474" s="55">
        <v>0</v>
      </c>
      <c r="CG474" s="55" t="s">
        <v>97</v>
      </c>
      <c r="CH474" s="55">
        <v>1</v>
      </c>
      <c r="CI474" s="55" t="s">
        <v>509</v>
      </c>
      <c r="CJ474" s="55" t="s">
        <v>98</v>
      </c>
      <c r="CK474" s="55">
        <v>61</v>
      </c>
      <c r="CL474" s="55">
        <v>0</v>
      </c>
      <c r="CM474" s="55">
        <v>0</v>
      </c>
      <c r="CN474" s="55" t="s">
        <v>99</v>
      </c>
      <c r="CO474" s="55" t="s">
        <v>97</v>
      </c>
      <c r="CP474" s="55" t="s">
        <v>100</v>
      </c>
      <c r="CQ474" s="55" t="s">
        <v>126</v>
      </c>
      <c r="CR474" s="57">
        <v>46226</v>
      </c>
      <c r="CT474" s="55" t="s">
        <v>543</v>
      </c>
    </row>
    <row r="475" spans="1:98" s="55" customFormat="1" x14ac:dyDescent="0.35">
      <c r="A475" s="54" t="s">
        <v>1170</v>
      </c>
      <c r="B475" s="54" t="s">
        <v>1180</v>
      </c>
      <c r="C475" s="55" t="s">
        <v>1171</v>
      </c>
      <c r="D475" s="55">
        <v>2023</v>
      </c>
      <c r="E475" s="54" t="s">
        <v>1172</v>
      </c>
      <c r="F475" s="54" t="s">
        <v>1173</v>
      </c>
      <c r="G475" s="55" t="s">
        <v>78</v>
      </c>
      <c r="H475" s="55">
        <v>1</v>
      </c>
      <c r="I475" s="55" t="s">
        <v>290</v>
      </c>
      <c r="J475" s="55" t="s">
        <v>1174</v>
      </c>
      <c r="K475" s="55">
        <v>12</v>
      </c>
      <c r="L475" s="55" t="s">
        <v>1179</v>
      </c>
      <c r="M475" s="55" t="s">
        <v>380</v>
      </c>
      <c r="N475" s="55">
        <v>-6.7539999999999996</v>
      </c>
      <c r="O475" s="55">
        <v>0.31900000000000001</v>
      </c>
      <c r="P475" s="88">
        <f t="shared" si="180"/>
        <v>-21.172413793103445</v>
      </c>
      <c r="Q475" s="55" t="s">
        <v>312</v>
      </c>
      <c r="R475" s="88">
        <f t="shared" si="181"/>
        <v>-7.3792399999999994</v>
      </c>
      <c r="S475" s="88">
        <f t="shared" si="182"/>
        <v>-6.1287599999999998</v>
      </c>
      <c r="T475" s="55">
        <v>1</v>
      </c>
      <c r="U475" s="55">
        <v>21519</v>
      </c>
      <c r="V475" s="55">
        <v>1</v>
      </c>
      <c r="W475" s="55">
        <v>1</v>
      </c>
      <c r="X475" s="55">
        <f t="shared" si="193"/>
        <v>21518</v>
      </c>
      <c r="Y475" s="88">
        <f t="shared" si="183"/>
        <v>-0.14285393361416385</v>
      </c>
      <c r="Z475" s="88">
        <f t="shared" si="184"/>
        <v>6.7471727602780975E-3</v>
      </c>
      <c r="AA475" s="88">
        <f t="shared" si="187"/>
        <v>0.14285393361416385</v>
      </c>
      <c r="AB475" s="55" t="s">
        <v>81</v>
      </c>
      <c r="AC475" s="88">
        <f t="shared" si="194"/>
        <v>-0.35887353878852279</v>
      </c>
      <c r="AD475" s="88" cm="1">
        <f t="array" ref="AD475">_xlfn.IFS(
AND(L475="marginal_effect",M475="level"),N475*AN475/BF475,
AND(L475="marginal_effect",M475="sd (Y)"),N475*BH475*AN475/BF475,
AND(L475="marginal_effect",M475="sd (X)"),N475/AQ475*AN475/BF475,
AND(L475="semi_elasticity",M475="level"),N475*AN475,
AND(L475="semi_elasticity",M475="sd (Y)"),N475*AN475*BH475,
AND(L475="semi_elasticity",M475="sd (X)"),N475*AN475/AQ475,
AND(L475="level-log",M475="level"),N475/BF475,
AND(L475="level-log",M475="sd (X)"),N475/BF475/AQ475,
AND(L475="level-log",M475="sd (Y)"),N475/BF475*BH475,
AND(L475="elasticity",M475="level"),N475,
AND(L475="elasticity",M475="sd (X)"),N475/AQ475,
AND(L475="elasticity",M475="sd (Y)"),N475*BH475,
AND(L475="marginal_effect",M475="percent_of_mean"),N475*AN475/BF475/10)</f>
        <v>-0.35887353878852279</v>
      </c>
      <c r="AE475" s="56">
        <f t="shared" si="191"/>
        <v>1</v>
      </c>
      <c r="AF475" s="88">
        <f t="shared" si="195"/>
        <v>1.6950053134962804E-2</v>
      </c>
      <c r="AG475" s="88" cm="1">
        <f t="array" ref="AG475">_xlfn.IFS(
AND(L475="marginal_effect",M475="level"),O475*AN475/BF475,
AND(L475="marginal_effect",M475="sd (Y)"),O475*BH475*AN475/BF475,
AND(L475="marginal_effect",M475="sd (X)"),O475/AQ475*AN475/BF475,
AND(L475="semi_elasticity",M475="level"),O475*AN475,
AND(L475="semi_elasticity",M475="sd (Y)"),O475*AN475*BH475,
AND(L475="semi_elasticity",M475="sd (X)"),O475*AN475/AQ475,
AND(L475="level-log",M475="level"),O475/BF475,
AND(L475="level-log",M475="sd (X)"),O475/BF475/AQ475,
AND(L475="level-log",M475="sd (Y)"),O475/BF475*BH475,
AND(L475="elasticity",M475="level"),O475,
AND(L475="elasticity",M475="sd (X)"),O475/AQ475,
AND(L475="elasticity",M475="sd (Y)"),O475*BH475,
AND(L475="marginal_effect",M475="percent_of_mean"),O475*AN475/BF475/10)</f>
        <v>1.6950053134962804E-2</v>
      </c>
      <c r="AH475" s="56">
        <f t="shared" si="192"/>
        <v>1</v>
      </c>
      <c r="AI475" s="88">
        <f t="shared" si="196"/>
        <v>-0.35887353878852279</v>
      </c>
      <c r="AJ475" s="55">
        <v>0</v>
      </c>
      <c r="AK475" s="55">
        <f t="shared" si="185"/>
        <v>1</v>
      </c>
      <c r="AL475" s="55" t="s">
        <v>735</v>
      </c>
      <c r="AM475" s="76" t="s">
        <v>1411</v>
      </c>
      <c r="AN475" s="76">
        <v>4.5960000000000001</v>
      </c>
      <c r="AO475" s="76">
        <v>0</v>
      </c>
      <c r="AP475" s="76">
        <f t="shared" si="168"/>
        <v>4.5960000000000001</v>
      </c>
      <c r="AQ475" s="76">
        <v>0.48299999999999998</v>
      </c>
      <c r="AR475" s="76">
        <v>2.89</v>
      </c>
      <c r="AS475" s="76">
        <v>6.1840000000000002</v>
      </c>
      <c r="AT475" s="55" t="s">
        <v>83</v>
      </c>
      <c r="AU475" s="55" t="s">
        <v>109</v>
      </c>
      <c r="AV475" s="55" t="s">
        <v>133</v>
      </c>
      <c r="AW475" s="55" t="s">
        <v>85</v>
      </c>
      <c r="AX475" s="55" t="s">
        <v>86</v>
      </c>
      <c r="AY475" s="55">
        <v>0</v>
      </c>
      <c r="AZ475" s="55">
        <v>0</v>
      </c>
      <c r="BA475" s="55" t="s">
        <v>734</v>
      </c>
      <c r="BB475" s="55" t="s">
        <v>88</v>
      </c>
      <c r="BC475" s="55" t="s">
        <v>89</v>
      </c>
      <c r="BD475" s="55" t="s">
        <v>114</v>
      </c>
      <c r="BE475" s="55" t="s">
        <v>1169</v>
      </c>
      <c r="BF475" s="55">
        <v>18.82</v>
      </c>
      <c r="BG475" s="55">
        <v>0</v>
      </c>
      <c r="BH475" s="55">
        <v>16.25</v>
      </c>
      <c r="BI475" s="55">
        <v>-218.25</v>
      </c>
      <c r="BJ475" s="55">
        <v>370.012</v>
      </c>
      <c r="BK475" s="55" t="s">
        <v>91</v>
      </c>
      <c r="BL475" s="55" t="s">
        <v>84</v>
      </c>
      <c r="BM475" s="55">
        <v>1</v>
      </c>
      <c r="BN475" s="55" t="s">
        <v>539</v>
      </c>
      <c r="BO475" s="55" t="s">
        <v>1175</v>
      </c>
      <c r="BP475" s="55" t="s">
        <v>1176</v>
      </c>
      <c r="BQ475" s="55" t="s">
        <v>117</v>
      </c>
      <c r="BR475" s="55" t="s">
        <v>93</v>
      </c>
      <c r="BS475" s="55">
        <v>26.151</v>
      </c>
      <c r="BT475" s="55">
        <v>0</v>
      </c>
      <c r="BU475" s="55">
        <v>2014</v>
      </c>
      <c r="BV475" s="55">
        <v>2019</v>
      </c>
      <c r="BW475" s="55" t="s">
        <v>736</v>
      </c>
      <c r="BX475" s="55" t="s">
        <v>95</v>
      </c>
      <c r="BY475" s="55" t="s">
        <v>96</v>
      </c>
      <c r="BZ475" s="55">
        <v>0</v>
      </c>
      <c r="CA475" s="55">
        <v>0</v>
      </c>
      <c r="CB475" s="55" t="s">
        <v>97</v>
      </c>
      <c r="CC475" s="55" t="s">
        <v>1181</v>
      </c>
      <c r="CD475" s="55">
        <v>0</v>
      </c>
      <c r="CE475" s="55" t="s">
        <v>97</v>
      </c>
      <c r="CF475" s="55">
        <v>0</v>
      </c>
      <c r="CG475" s="55" t="s">
        <v>97</v>
      </c>
      <c r="CH475" s="55">
        <v>1</v>
      </c>
      <c r="CI475" s="55" t="s">
        <v>509</v>
      </c>
      <c r="CJ475" s="55" t="s">
        <v>98</v>
      </c>
      <c r="CK475" s="55">
        <v>61</v>
      </c>
      <c r="CL475" s="55">
        <v>0</v>
      </c>
      <c r="CM475" s="55">
        <v>0</v>
      </c>
      <c r="CN475" s="55" t="s">
        <v>99</v>
      </c>
      <c r="CO475" s="55" t="s">
        <v>97</v>
      </c>
      <c r="CP475" s="55" t="s">
        <v>100</v>
      </c>
      <c r="CQ475" s="55" t="s">
        <v>126</v>
      </c>
      <c r="CR475" s="57">
        <v>46226</v>
      </c>
      <c r="CT475" s="55" t="s">
        <v>549</v>
      </c>
    </row>
    <row r="476" spans="1:98" s="55" customFormat="1" x14ac:dyDescent="0.35">
      <c r="A476" s="54" t="s">
        <v>1170</v>
      </c>
      <c r="B476" s="54" t="s">
        <v>1183</v>
      </c>
      <c r="C476" s="55" t="s">
        <v>1171</v>
      </c>
      <c r="D476" s="55">
        <v>2023</v>
      </c>
      <c r="E476" s="54" t="s">
        <v>1172</v>
      </c>
      <c r="F476" s="54" t="s">
        <v>1173</v>
      </c>
      <c r="G476" s="55" t="s">
        <v>78</v>
      </c>
      <c r="H476" s="55">
        <v>1</v>
      </c>
      <c r="I476" s="55" t="s">
        <v>290</v>
      </c>
      <c r="J476" s="55" t="s">
        <v>1174</v>
      </c>
      <c r="K476" s="55">
        <v>12</v>
      </c>
      <c r="L476" s="55" t="s">
        <v>1179</v>
      </c>
      <c r="M476" s="55" t="s">
        <v>380</v>
      </c>
      <c r="N476" s="55">
        <v>-6.7439999999999998</v>
      </c>
      <c r="O476" s="55">
        <v>0.33500000000000002</v>
      </c>
      <c r="P476" s="88">
        <f t="shared" si="180"/>
        <v>-20.131343283582087</v>
      </c>
      <c r="Q476" s="55" t="s">
        <v>312</v>
      </c>
      <c r="R476" s="88">
        <f t="shared" si="181"/>
        <v>-7.4005999999999998</v>
      </c>
      <c r="S476" s="88">
        <f t="shared" si="182"/>
        <v>-6.0873999999999997</v>
      </c>
      <c r="T476" s="55">
        <v>1</v>
      </c>
      <c r="U476" s="55">
        <v>21519</v>
      </c>
      <c r="V476" s="55">
        <v>6</v>
      </c>
      <c r="W476" s="55">
        <v>1</v>
      </c>
      <c r="X476" s="55">
        <f t="shared" si="193"/>
        <v>21513</v>
      </c>
      <c r="Y476" s="88">
        <f t="shared" si="183"/>
        <v>-0.1359783004013678</v>
      </c>
      <c r="Z476" s="88">
        <f t="shared" si="184"/>
        <v>6.7545567370193103E-3</v>
      </c>
      <c r="AA476" s="88">
        <f t="shared" si="187"/>
        <v>0.1359783004013678</v>
      </c>
      <c r="AB476" s="55" t="s">
        <v>81</v>
      </c>
      <c r="AC476" s="88">
        <f t="shared" si="194"/>
        <v>-0.35834218916046756</v>
      </c>
      <c r="AD476" s="88" cm="1">
        <f t="array" ref="AD476">_xlfn.IFS(
AND(L476="marginal_effect",M476="level"),N476*AN476/BF476,
AND(L476="marginal_effect",M476="sd (Y)"),N476*BH476*AN476/BF476,
AND(L476="marginal_effect",M476="sd (X)"),N476/AQ476*AN476/BF476,
AND(L476="semi_elasticity",M476="level"),N476*AN476,
AND(L476="semi_elasticity",M476="sd (Y)"),N476*AN476*BH476,
AND(L476="semi_elasticity",M476="sd (X)"),N476*AN476/AQ476,
AND(L476="level-log",M476="level"),N476/BF476,
AND(L476="level-log",M476="sd (X)"),N476/BF476/AQ476,
AND(L476="level-log",M476="sd (Y)"),N476/BF476*BH476,
AND(L476="elasticity",M476="level"),N476,
AND(L476="elasticity",M476="sd (X)"),N476/AQ476,
AND(L476="elasticity",M476="sd (Y)"),N476*BH476,
AND(L476="marginal_effect",M476="percent_of_mean"),N476*AN476/BF476/10)</f>
        <v>-0.35834218916046756</v>
      </c>
      <c r="AE476" s="56">
        <f t="shared" si="191"/>
        <v>1</v>
      </c>
      <c r="AF476" s="88">
        <f t="shared" si="195"/>
        <v>1.7800212539851222E-2</v>
      </c>
      <c r="AG476" s="88" cm="1">
        <f t="array" ref="AG476">_xlfn.IFS(
AND(L476="marginal_effect",M476="level"),O476*AN476/BF476,
AND(L476="marginal_effect",M476="sd (Y)"),O476*BH476*AN476/BF476,
AND(L476="marginal_effect",M476="sd (X)"),O476/AQ476*AN476/BF476,
AND(L476="semi_elasticity",M476="level"),O476*AN476,
AND(L476="semi_elasticity",M476="sd (Y)"),O476*AN476*BH476,
AND(L476="semi_elasticity",M476="sd (X)"),O476*AN476/AQ476,
AND(L476="level-log",M476="level"),O476/BF476,
AND(L476="level-log",M476="sd (X)"),O476/BF476/AQ476,
AND(L476="level-log",M476="sd (Y)"),O476/BF476*BH476,
AND(L476="elasticity",M476="level"),O476,
AND(L476="elasticity",M476="sd (X)"),O476/AQ476,
AND(L476="elasticity",M476="sd (Y)"),O476*BH476,
AND(L476="marginal_effect",M476="percent_of_mean"),O476*AN476/BF476/10)</f>
        <v>1.7800212539851222E-2</v>
      </c>
      <c r="AH476" s="56">
        <f t="shared" si="192"/>
        <v>1</v>
      </c>
      <c r="AI476" s="88">
        <f t="shared" si="196"/>
        <v>-0.35834218916046756</v>
      </c>
      <c r="AJ476" s="55">
        <v>0</v>
      </c>
      <c r="AK476" s="55">
        <f t="shared" si="185"/>
        <v>1</v>
      </c>
      <c r="AL476" s="55" t="s">
        <v>735</v>
      </c>
      <c r="AM476" s="76" t="s">
        <v>1411</v>
      </c>
      <c r="AN476" s="76">
        <v>4.5960000000000001</v>
      </c>
      <c r="AO476" s="76">
        <v>0</v>
      </c>
      <c r="AP476" s="76">
        <f t="shared" si="168"/>
        <v>4.5960000000000001</v>
      </c>
      <c r="AQ476" s="76">
        <v>0.48299999999999998</v>
      </c>
      <c r="AR476" s="76">
        <v>2.89</v>
      </c>
      <c r="AS476" s="76">
        <v>6.1840000000000002</v>
      </c>
      <c r="AT476" s="55" t="s">
        <v>83</v>
      </c>
      <c r="AU476" s="55" t="s">
        <v>109</v>
      </c>
      <c r="AV476" s="55" t="s">
        <v>133</v>
      </c>
      <c r="AW476" s="55" t="s">
        <v>85</v>
      </c>
      <c r="AX476" s="55" t="s">
        <v>86</v>
      </c>
      <c r="AY476" s="55">
        <v>0</v>
      </c>
      <c r="AZ476" s="55">
        <v>0</v>
      </c>
      <c r="BA476" s="55" t="s">
        <v>734</v>
      </c>
      <c r="BB476" s="55" t="s">
        <v>88</v>
      </c>
      <c r="BC476" s="55" t="s">
        <v>89</v>
      </c>
      <c r="BD476" s="55" t="s">
        <v>114</v>
      </c>
      <c r="BE476" s="55" t="s">
        <v>1169</v>
      </c>
      <c r="BF476" s="55">
        <v>18.82</v>
      </c>
      <c r="BG476" s="55">
        <v>0</v>
      </c>
      <c r="BH476" s="55">
        <v>16.25</v>
      </c>
      <c r="BI476" s="55">
        <v>-218.25</v>
      </c>
      <c r="BJ476" s="55">
        <v>370.012</v>
      </c>
      <c r="BK476" s="55" t="s">
        <v>91</v>
      </c>
      <c r="BL476" s="55" t="s">
        <v>84</v>
      </c>
      <c r="BM476" s="55">
        <v>1</v>
      </c>
      <c r="BN476" s="55" t="s">
        <v>539</v>
      </c>
      <c r="BO476" s="55" t="s">
        <v>1175</v>
      </c>
      <c r="BP476" s="55" t="s">
        <v>1176</v>
      </c>
      <c r="BQ476" s="55" t="s">
        <v>117</v>
      </c>
      <c r="BR476" s="55" t="s">
        <v>93</v>
      </c>
      <c r="BS476" s="55">
        <v>26.151</v>
      </c>
      <c r="BT476" s="55">
        <v>0</v>
      </c>
      <c r="BU476" s="55">
        <v>2014</v>
      </c>
      <c r="BV476" s="55">
        <v>2019</v>
      </c>
      <c r="BW476" s="55" t="s">
        <v>736</v>
      </c>
      <c r="BX476" s="55" t="s">
        <v>95</v>
      </c>
      <c r="BY476" s="55" t="s">
        <v>96</v>
      </c>
      <c r="BZ476" s="55">
        <v>0</v>
      </c>
      <c r="CA476" s="55">
        <v>0</v>
      </c>
      <c r="CB476" s="55" t="s">
        <v>97</v>
      </c>
      <c r="CC476" s="55" t="s">
        <v>1177</v>
      </c>
      <c r="CD476" s="55">
        <v>0</v>
      </c>
      <c r="CE476" s="55" t="s">
        <v>97</v>
      </c>
      <c r="CF476" s="55">
        <v>0</v>
      </c>
      <c r="CG476" s="55" t="s">
        <v>97</v>
      </c>
      <c r="CH476" s="55">
        <v>1</v>
      </c>
      <c r="CI476" s="55" t="s">
        <v>509</v>
      </c>
      <c r="CJ476" s="55" t="s">
        <v>98</v>
      </c>
      <c r="CK476" s="55">
        <v>61</v>
      </c>
      <c r="CL476" s="55">
        <v>0</v>
      </c>
      <c r="CM476" s="55">
        <v>0</v>
      </c>
      <c r="CN476" s="55" t="s">
        <v>99</v>
      </c>
      <c r="CO476" s="55" t="s">
        <v>97</v>
      </c>
      <c r="CP476" s="55" t="s">
        <v>100</v>
      </c>
      <c r="CQ476" s="55" t="s">
        <v>126</v>
      </c>
      <c r="CR476" s="57">
        <v>46226</v>
      </c>
      <c r="CT476" s="55" t="s">
        <v>550</v>
      </c>
    </row>
    <row r="477" spans="1:98" s="55" customFormat="1" x14ac:dyDescent="0.35">
      <c r="A477" s="54" t="s">
        <v>1170</v>
      </c>
      <c r="B477" s="54" t="s">
        <v>1185</v>
      </c>
      <c r="C477" s="55" t="s">
        <v>1171</v>
      </c>
      <c r="D477" s="55">
        <v>2023</v>
      </c>
      <c r="E477" s="54" t="s">
        <v>1172</v>
      </c>
      <c r="F477" s="54" t="s">
        <v>1173</v>
      </c>
      <c r="G477" s="55" t="s">
        <v>78</v>
      </c>
      <c r="H477" s="55">
        <v>1</v>
      </c>
      <c r="I477" s="55" t="s">
        <v>290</v>
      </c>
      <c r="J477" s="55" t="s">
        <v>1174</v>
      </c>
      <c r="K477" s="55">
        <v>12</v>
      </c>
      <c r="L477" s="55" t="s">
        <v>1179</v>
      </c>
      <c r="M477" s="55" t="s">
        <v>380</v>
      </c>
      <c r="N477" s="55">
        <v>-6.3109999999999999</v>
      </c>
      <c r="O477" s="55">
        <v>0.33</v>
      </c>
      <c r="P477" s="88">
        <f t="shared" si="180"/>
        <v>-19.124242424242425</v>
      </c>
      <c r="Q477" s="55" t="s">
        <v>312</v>
      </c>
      <c r="R477" s="88">
        <f t="shared" si="181"/>
        <v>-6.9577999999999998</v>
      </c>
      <c r="S477" s="88">
        <f t="shared" si="182"/>
        <v>-5.6642000000000001</v>
      </c>
      <c r="T477" s="55">
        <v>1</v>
      </c>
      <c r="U477" s="55">
        <v>21519</v>
      </c>
      <c r="V477" s="55">
        <v>6</v>
      </c>
      <c r="W477" s="55">
        <v>1</v>
      </c>
      <c r="X477" s="55">
        <f t="shared" si="193"/>
        <v>21513</v>
      </c>
      <c r="Y477" s="88">
        <f t="shared" si="183"/>
        <v>-0.12929243654683717</v>
      </c>
      <c r="Z477" s="88">
        <f t="shared" si="184"/>
        <v>6.760656640858227E-3</v>
      </c>
      <c r="AA477" s="88">
        <f t="shared" si="187"/>
        <v>0.12929243654683717</v>
      </c>
      <c r="AB477" s="55" t="s">
        <v>81</v>
      </c>
      <c r="AC477" s="88">
        <f t="shared" si="194"/>
        <v>-0.33533475026567483</v>
      </c>
      <c r="AD477" s="88" cm="1">
        <f t="array" ref="AD477">_xlfn.IFS(
AND(L477="marginal_effect",M477="level"),N477*AN477/BF477,
AND(L477="marginal_effect",M477="sd (Y)"),N477*BH477*AN477/BF477,
AND(L477="marginal_effect",M477="sd (X)"),N477/AQ477*AN477/BF477,
AND(L477="semi_elasticity",M477="level"),N477*AN477,
AND(L477="semi_elasticity",M477="sd (Y)"),N477*AN477*BH477,
AND(L477="semi_elasticity",M477="sd (X)"),N477*AN477/AQ477,
AND(L477="level-log",M477="level"),N477/BF477,
AND(L477="level-log",M477="sd (X)"),N477/BF477/AQ477,
AND(L477="level-log",M477="sd (Y)"),N477/BF477*BH477,
AND(L477="elasticity",M477="level"),N477,
AND(L477="elasticity",M477="sd (X)"),N477/AQ477,
AND(L477="elasticity",M477="sd (Y)"),N477*BH477,
AND(L477="marginal_effect",M477="percent_of_mean"),N477*AN477/BF477/10)</f>
        <v>-0.33533475026567483</v>
      </c>
      <c r="AE477" s="56">
        <f t="shared" si="191"/>
        <v>1</v>
      </c>
      <c r="AF477" s="88">
        <f t="shared" si="195"/>
        <v>1.7534537725823592E-2</v>
      </c>
      <c r="AG477" s="88" cm="1">
        <f t="array" ref="AG477">_xlfn.IFS(
AND(L477="marginal_effect",M477="level"),O477*AN477/BF477,
AND(L477="marginal_effect",M477="sd (Y)"),O477*BH477*AN477/BF477,
AND(L477="marginal_effect",M477="sd (X)"),O477/AQ477*AN477/BF477,
AND(L477="semi_elasticity",M477="level"),O477*AN477,
AND(L477="semi_elasticity",M477="sd (Y)"),O477*AN477*BH477,
AND(L477="semi_elasticity",M477="sd (X)"),O477*AN477/AQ477,
AND(L477="level-log",M477="level"),O477/BF477,
AND(L477="level-log",M477="sd (X)"),O477/BF477/AQ477,
AND(L477="level-log",M477="sd (Y)"),O477/BF477*BH477,
AND(L477="elasticity",M477="level"),O477,
AND(L477="elasticity",M477="sd (X)"),O477/AQ477,
AND(L477="elasticity",M477="sd (Y)"),O477*BH477,
AND(L477="marginal_effect",M477="percent_of_mean"),O477*AN477/BF477/10)</f>
        <v>1.7534537725823592E-2</v>
      </c>
      <c r="AH477" s="56">
        <f t="shared" si="192"/>
        <v>1</v>
      </c>
      <c r="AI477" s="88">
        <f t="shared" si="196"/>
        <v>-0.33533475026567483</v>
      </c>
      <c r="AJ477" s="55">
        <v>0</v>
      </c>
      <c r="AK477" s="55">
        <f t="shared" si="185"/>
        <v>1</v>
      </c>
      <c r="AL477" s="55" t="s">
        <v>735</v>
      </c>
      <c r="AM477" s="76" t="s">
        <v>1411</v>
      </c>
      <c r="AN477" s="76">
        <v>4.5960000000000001</v>
      </c>
      <c r="AO477" s="76">
        <v>0</v>
      </c>
      <c r="AP477" s="76">
        <f t="shared" si="168"/>
        <v>4.5960000000000001</v>
      </c>
      <c r="AQ477" s="76">
        <v>0.48299999999999998</v>
      </c>
      <c r="AR477" s="76">
        <v>2.89</v>
      </c>
      <c r="AS477" s="76">
        <v>6.1840000000000002</v>
      </c>
      <c r="AT477" s="55" t="s">
        <v>83</v>
      </c>
      <c r="AU477" s="55" t="s">
        <v>109</v>
      </c>
      <c r="AV477" s="55" t="s">
        <v>133</v>
      </c>
      <c r="AW477" s="55" t="s">
        <v>85</v>
      </c>
      <c r="AX477" s="55" t="s">
        <v>86</v>
      </c>
      <c r="AY477" s="55">
        <v>0</v>
      </c>
      <c r="AZ477" s="55">
        <v>0</v>
      </c>
      <c r="BA477" s="55" t="s">
        <v>734</v>
      </c>
      <c r="BB477" s="55" t="s">
        <v>88</v>
      </c>
      <c r="BC477" s="55" t="s">
        <v>89</v>
      </c>
      <c r="BD477" s="55" t="s">
        <v>114</v>
      </c>
      <c r="BE477" s="55" t="s">
        <v>1169</v>
      </c>
      <c r="BF477" s="55">
        <v>18.82</v>
      </c>
      <c r="BG477" s="55">
        <v>0</v>
      </c>
      <c r="BH477" s="55">
        <v>16.25</v>
      </c>
      <c r="BI477" s="55">
        <v>-218.25</v>
      </c>
      <c r="BJ477" s="55">
        <v>370.012</v>
      </c>
      <c r="BK477" s="55" t="s">
        <v>91</v>
      </c>
      <c r="BL477" s="55" t="s">
        <v>84</v>
      </c>
      <c r="BM477" s="55">
        <v>1</v>
      </c>
      <c r="BN477" s="55" t="s">
        <v>539</v>
      </c>
      <c r="BO477" s="55" t="s">
        <v>1175</v>
      </c>
      <c r="BP477" s="55" t="s">
        <v>1176</v>
      </c>
      <c r="BQ477" s="55" t="s">
        <v>117</v>
      </c>
      <c r="BR477" s="55" t="s">
        <v>93</v>
      </c>
      <c r="BS477" s="55">
        <v>26.151</v>
      </c>
      <c r="BT477" s="55">
        <v>0</v>
      </c>
      <c r="BU477" s="55">
        <v>2014</v>
      </c>
      <c r="BV477" s="55">
        <v>2019</v>
      </c>
      <c r="BW477" s="55" t="s">
        <v>736</v>
      </c>
      <c r="BX477" s="55" t="s">
        <v>95</v>
      </c>
      <c r="BY477" s="55" t="s">
        <v>96</v>
      </c>
      <c r="BZ477" s="55">
        <v>0</v>
      </c>
      <c r="CA477" s="55">
        <v>0</v>
      </c>
      <c r="CB477" s="55" t="s">
        <v>97</v>
      </c>
      <c r="CC477" s="55" t="s">
        <v>1181</v>
      </c>
      <c r="CD477" s="55">
        <v>0</v>
      </c>
      <c r="CE477" s="55" t="s">
        <v>97</v>
      </c>
      <c r="CF477" s="55">
        <v>0</v>
      </c>
      <c r="CG477" s="55" t="s">
        <v>97</v>
      </c>
      <c r="CH477" s="55">
        <v>1</v>
      </c>
      <c r="CI477" s="55" t="s">
        <v>509</v>
      </c>
      <c r="CJ477" s="55" t="s">
        <v>98</v>
      </c>
      <c r="CK477" s="55">
        <v>61</v>
      </c>
      <c r="CL477" s="55">
        <v>0</v>
      </c>
      <c r="CM477" s="55">
        <v>0</v>
      </c>
      <c r="CN477" s="55" t="s">
        <v>99</v>
      </c>
      <c r="CO477" s="55" t="s">
        <v>97</v>
      </c>
      <c r="CP477" s="55" t="s">
        <v>100</v>
      </c>
      <c r="CQ477" s="55" t="s">
        <v>126</v>
      </c>
      <c r="CR477" s="57">
        <v>46226</v>
      </c>
      <c r="CT477" s="55" t="s">
        <v>551</v>
      </c>
    </row>
    <row r="478" spans="1:98" s="55" customFormat="1" x14ac:dyDescent="0.35">
      <c r="A478" s="54" t="s">
        <v>1170</v>
      </c>
      <c r="B478" s="54" t="s">
        <v>1184</v>
      </c>
      <c r="C478" s="55" t="s">
        <v>1171</v>
      </c>
      <c r="D478" s="55">
        <v>2023</v>
      </c>
      <c r="E478" s="54" t="s">
        <v>1172</v>
      </c>
      <c r="F478" s="54" t="s">
        <v>1173</v>
      </c>
      <c r="G478" s="55" t="s">
        <v>78</v>
      </c>
      <c r="H478" s="55">
        <v>1</v>
      </c>
      <c r="I478" s="55" t="s">
        <v>290</v>
      </c>
      <c r="J478" s="55" t="s">
        <v>1174</v>
      </c>
      <c r="K478" s="55">
        <v>12</v>
      </c>
      <c r="L478" s="55" t="s">
        <v>1179</v>
      </c>
      <c r="M478" s="55" t="s">
        <v>380</v>
      </c>
      <c r="N478" s="55">
        <v>-6.5620000000000003</v>
      </c>
      <c r="O478" s="55">
        <v>0.34799999999999998</v>
      </c>
      <c r="P478" s="88">
        <f t="shared" si="180"/>
        <v>-18.856321839080461</v>
      </c>
      <c r="Q478" s="55" t="s">
        <v>312</v>
      </c>
      <c r="R478" s="88">
        <f t="shared" si="181"/>
        <v>-7.2440800000000003</v>
      </c>
      <c r="S478" s="88">
        <f t="shared" si="182"/>
        <v>-5.8799200000000003</v>
      </c>
      <c r="T478" s="55">
        <v>1</v>
      </c>
      <c r="U478" s="55">
        <v>21519</v>
      </c>
      <c r="V478" s="55">
        <v>10</v>
      </c>
      <c r="W478" s="55">
        <v>1</v>
      </c>
      <c r="X478" s="55">
        <f t="shared" si="193"/>
        <v>21509</v>
      </c>
      <c r="Y478" s="88">
        <f t="shared" si="183"/>
        <v>-0.12752243662907212</v>
      </c>
      <c r="Z478" s="88">
        <f t="shared" si="184"/>
        <v>6.7628479041324432E-3</v>
      </c>
      <c r="AA478" s="88">
        <f t="shared" si="187"/>
        <v>0.12752243662907212</v>
      </c>
      <c r="AB478" s="55" t="s">
        <v>81</v>
      </c>
      <c r="AC478" s="88">
        <f t="shared" si="194"/>
        <v>-0.34867162592986184</v>
      </c>
      <c r="AD478" s="88" cm="1">
        <f t="array" ref="AD478">_xlfn.IFS(
AND(L478="marginal_effect",M478="level"),N478*AN478/BF478,
AND(L478="marginal_effect",M478="sd (Y)"),N478*BH478*AN478/BF478,
AND(L478="marginal_effect",M478="sd (X)"),N478/AQ478*AN478/BF478,
AND(L478="semi_elasticity",M478="level"),N478*AN478,
AND(L478="semi_elasticity",M478="sd (Y)"),N478*AN478*BH478,
AND(L478="semi_elasticity",M478="sd (X)"),N478*AN478/AQ478,
AND(L478="level-log",M478="level"),N478/BF478,
AND(L478="level-log",M478="sd (X)"),N478/BF478/AQ478,
AND(L478="level-log",M478="sd (Y)"),N478/BF478*BH478,
AND(L478="elasticity",M478="level"),N478,
AND(L478="elasticity",M478="sd (X)"),N478/AQ478,
AND(L478="elasticity",M478="sd (Y)"),N478*BH478,
AND(L478="marginal_effect",M478="percent_of_mean"),N478*AN478/BF478/10)</f>
        <v>-0.34867162592986184</v>
      </c>
      <c r="AE478" s="56">
        <f t="shared" si="191"/>
        <v>1</v>
      </c>
      <c r="AF478" s="88">
        <f t="shared" si="195"/>
        <v>1.8490967056323058E-2</v>
      </c>
      <c r="AG478" s="88" cm="1">
        <f t="array" ref="AG478">_xlfn.IFS(
AND(L478="marginal_effect",M478="level"),O478*AN478/BF478,
AND(L478="marginal_effect",M478="sd (Y)"),O478*BH478*AN478/BF478,
AND(L478="marginal_effect",M478="sd (X)"),O478/AQ478*AN478/BF478,
AND(L478="semi_elasticity",M478="level"),O478*AN478,
AND(L478="semi_elasticity",M478="sd (Y)"),O478*AN478*BH478,
AND(L478="semi_elasticity",M478="sd (X)"),O478*AN478/AQ478,
AND(L478="level-log",M478="level"),O478/BF478,
AND(L478="level-log",M478="sd (X)"),O478/BF478/AQ478,
AND(L478="level-log",M478="sd (Y)"),O478/BF478*BH478,
AND(L478="elasticity",M478="level"),O478,
AND(L478="elasticity",M478="sd (X)"),O478/AQ478,
AND(L478="elasticity",M478="sd (Y)"),O478*BH478,
AND(L478="marginal_effect",M478="percent_of_mean"),O478*AN478/BF478/10)</f>
        <v>1.8490967056323058E-2</v>
      </c>
      <c r="AH478" s="56">
        <f t="shared" si="192"/>
        <v>1</v>
      </c>
      <c r="AI478" s="88">
        <f t="shared" si="196"/>
        <v>-0.34867162592986184</v>
      </c>
      <c r="AJ478" s="55">
        <v>0</v>
      </c>
      <c r="AK478" s="55">
        <f t="shared" si="185"/>
        <v>1</v>
      </c>
      <c r="AL478" s="55" t="s">
        <v>735</v>
      </c>
      <c r="AM478" s="76" t="s">
        <v>1411</v>
      </c>
      <c r="AN478" s="76">
        <v>4.5960000000000001</v>
      </c>
      <c r="AO478" s="76">
        <v>0</v>
      </c>
      <c r="AP478" s="76">
        <f t="shared" si="168"/>
        <v>4.5960000000000001</v>
      </c>
      <c r="AQ478" s="76">
        <v>0.48299999999999998</v>
      </c>
      <c r="AR478" s="76">
        <v>2.89</v>
      </c>
      <c r="AS478" s="76">
        <v>6.1840000000000002</v>
      </c>
      <c r="AT478" s="55" t="s">
        <v>83</v>
      </c>
      <c r="AU478" s="55" t="s">
        <v>109</v>
      </c>
      <c r="AV478" s="55" t="s">
        <v>133</v>
      </c>
      <c r="AW478" s="55" t="s">
        <v>85</v>
      </c>
      <c r="AX478" s="55" t="s">
        <v>86</v>
      </c>
      <c r="AY478" s="55">
        <v>0</v>
      </c>
      <c r="AZ478" s="55">
        <v>0</v>
      </c>
      <c r="BA478" s="55" t="s">
        <v>734</v>
      </c>
      <c r="BB478" s="55" t="s">
        <v>88</v>
      </c>
      <c r="BC478" s="55" t="s">
        <v>89</v>
      </c>
      <c r="BD478" s="55" t="s">
        <v>114</v>
      </c>
      <c r="BE478" s="55" t="s">
        <v>1169</v>
      </c>
      <c r="BF478" s="55">
        <v>18.82</v>
      </c>
      <c r="BG478" s="55">
        <v>0</v>
      </c>
      <c r="BH478" s="55">
        <v>16.25</v>
      </c>
      <c r="BI478" s="55">
        <v>-218.25</v>
      </c>
      <c r="BJ478" s="55">
        <v>370.012</v>
      </c>
      <c r="BK478" s="55" t="s">
        <v>91</v>
      </c>
      <c r="BL478" s="55" t="s">
        <v>84</v>
      </c>
      <c r="BM478" s="55">
        <v>1</v>
      </c>
      <c r="BN478" s="55" t="s">
        <v>539</v>
      </c>
      <c r="BO478" s="55" t="s">
        <v>1175</v>
      </c>
      <c r="BP478" s="55" t="s">
        <v>1176</v>
      </c>
      <c r="BQ478" s="55" t="s">
        <v>117</v>
      </c>
      <c r="BR478" s="55" t="s">
        <v>93</v>
      </c>
      <c r="BS478" s="55">
        <v>26.151</v>
      </c>
      <c r="BT478" s="55">
        <v>0</v>
      </c>
      <c r="BU478" s="55">
        <v>2014</v>
      </c>
      <c r="BV478" s="55">
        <v>2019</v>
      </c>
      <c r="BW478" s="55" t="s">
        <v>736</v>
      </c>
      <c r="BX478" s="55" t="s">
        <v>95</v>
      </c>
      <c r="BY478" s="55" t="s">
        <v>96</v>
      </c>
      <c r="BZ478" s="55">
        <v>0</v>
      </c>
      <c r="CA478" s="55">
        <v>0</v>
      </c>
      <c r="CB478" s="55" t="s">
        <v>97</v>
      </c>
      <c r="CC478" s="55" t="s">
        <v>1177</v>
      </c>
      <c r="CD478" s="55">
        <v>1</v>
      </c>
      <c r="CE478" s="55" t="s">
        <v>1182</v>
      </c>
      <c r="CF478" s="55">
        <v>0</v>
      </c>
      <c r="CG478" s="55" t="s">
        <v>97</v>
      </c>
      <c r="CH478" s="55">
        <v>1</v>
      </c>
      <c r="CI478" s="55" t="s">
        <v>509</v>
      </c>
      <c r="CJ478" s="55" t="s">
        <v>98</v>
      </c>
      <c r="CK478" s="55">
        <v>61</v>
      </c>
      <c r="CL478" s="55">
        <v>0</v>
      </c>
      <c r="CM478" s="55">
        <v>0</v>
      </c>
      <c r="CN478" s="55" t="s">
        <v>99</v>
      </c>
      <c r="CO478" s="55" t="s">
        <v>97</v>
      </c>
      <c r="CP478" s="55" t="s">
        <v>100</v>
      </c>
      <c r="CQ478" s="55" t="s">
        <v>126</v>
      </c>
      <c r="CR478" s="57">
        <v>46226</v>
      </c>
      <c r="CT478" s="55" t="s">
        <v>552</v>
      </c>
    </row>
    <row r="479" spans="1:98" s="55" customFormat="1" x14ac:dyDescent="0.35">
      <c r="A479" s="54" t="s">
        <v>1170</v>
      </c>
      <c r="B479" s="54" t="s">
        <v>1186</v>
      </c>
      <c r="C479" s="55" t="s">
        <v>1171</v>
      </c>
      <c r="D479" s="55">
        <v>2023</v>
      </c>
      <c r="E479" s="54" t="s">
        <v>1172</v>
      </c>
      <c r="F479" s="54" t="s">
        <v>1173</v>
      </c>
      <c r="G479" s="55" t="s">
        <v>78</v>
      </c>
      <c r="H479" s="55">
        <v>1</v>
      </c>
      <c r="I479" s="55" t="s">
        <v>290</v>
      </c>
      <c r="J479" s="55" t="s">
        <v>1174</v>
      </c>
      <c r="K479" s="55">
        <v>12</v>
      </c>
      <c r="L479" s="55" t="s">
        <v>1179</v>
      </c>
      <c r="M479" s="55" t="s">
        <v>380</v>
      </c>
      <c r="N479" s="55">
        <v>-6.1950000000000003</v>
      </c>
      <c r="O479" s="55">
        <v>0.34499999999999997</v>
      </c>
      <c r="P479" s="88">
        <f t="shared" si="180"/>
        <v>-17.956521739130437</v>
      </c>
      <c r="Q479" s="55" t="s">
        <v>312</v>
      </c>
      <c r="R479" s="88">
        <f t="shared" si="181"/>
        <v>-6.8712</v>
      </c>
      <c r="S479" s="88">
        <f t="shared" si="182"/>
        <v>-5.5188000000000006</v>
      </c>
      <c r="T479" s="55">
        <v>1</v>
      </c>
      <c r="U479" s="55">
        <v>21519</v>
      </c>
      <c r="V479" s="55">
        <v>10</v>
      </c>
      <c r="W479" s="55">
        <v>1</v>
      </c>
      <c r="X479" s="55">
        <f t="shared" si="193"/>
        <v>21509</v>
      </c>
      <c r="Y479" s="88">
        <f t="shared" si="183"/>
        <v>-0.12152931706537236</v>
      </c>
      <c r="Z479" s="88">
        <f t="shared" si="184"/>
        <v>6.7679764951660134E-3</v>
      </c>
      <c r="AA479" s="88">
        <f t="shared" si="187"/>
        <v>0.12152931706537236</v>
      </c>
      <c r="AB479" s="55" t="s">
        <v>81</v>
      </c>
      <c r="AC479" s="88">
        <f t="shared" si="194"/>
        <v>-0.3291710945802338</v>
      </c>
      <c r="AD479" s="88" cm="1">
        <f t="array" ref="AD479">_xlfn.IFS(
AND(L479="marginal_effect",M479="level"),N479*AN479/BF479,
AND(L479="marginal_effect",M479="sd (Y)"),N479*BH479*AN479/BF479,
AND(L479="marginal_effect",M479="sd (X)"),N479/AQ479*AN479/BF479,
AND(L479="semi_elasticity",M479="level"),N479*AN479,
AND(L479="semi_elasticity",M479="sd (Y)"),N479*AN479*BH479,
AND(L479="semi_elasticity",M479="sd (X)"),N479*AN479/AQ479,
AND(L479="level-log",M479="level"),N479/BF479,
AND(L479="level-log",M479="sd (X)"),N479/BF479/AQ479,
AND(L479="level-log",M479="sd (Y)"),N479/BF479*BH479,
AND(L479="elasticity",M479="level"),N479,
AND(L479="elasticity",M479="sd (X)"),N479/AQ479,
AND(L479="elasticity",M479="sd (Y)"),N479*BH479,
AND(L479="marginal_effect",M479="percent_of_mean"),N479*AN479/BF479/10)</f>
        <v>-0.3291710945802338</v>
      </c>
      <c r="AE479" s="56">
        <f t="shared" si="191"/>
        <v>1</v>
      </c>
      <c r="AF479" s="88">
        <f t="shared" si="195"/>
        <v>1.833156216790648E-2</v>
      </c>
      <c r="AG479" s="88" cm="1">
        <f t="array" ref="AG479">_xlfn.IFS(
AND(L479="marginal_effect",M479="level"),O479*AN479/BF479,
AND(L479="marginal_effect",M479="sd (Y)"),O479*BH479*AN479/BF479,
AND(L479="marginal_effect",M479="sd (X)"),O479/AQ479*AN479/BF479,
AND(L479="semi_elasticity",M479="level"),O479*AN479,
AND(L479="semi_elasticity",M479="sd (Y)"),O479*AN479*BH479,
AND(L479="semi_elasticity",M479="sd (X)"),O479*AN479/AQ479,
AND(L479="level-log",M479="level"),O479/BF479,
AND(L479="level-log",M479="sd (X)"),O479/BF479/AQ479,
AND(L479="level-log",M479="sd (Y)"),O479/BF479*BH479,
AND(L479="elasticity",M479="level"),O479,
AND(L479="elasticity",M479="sd (X)"),O479/AQ479,
AND(L479="elasticity",M479="sd (Y)"),O479*BH479,
AND(L479="marginal_effect",M479="percent_of_mean"),O479*AN479/BF479/10)</f>
        <v>1.833156216790648E-2</v>
      </c>
      <c r="AH479" s="56">
        <f t="shared" si="192"/>
        <v>1</v>
      </c>
      <c r="AI479" s="88">
        <f t="shared" si="196"/>
        <v>-0.3291710945802338</v>
      </c>
      <c r="AJ479" s="55">
        <v>0</v>
      </c>
      <c r="AK479" s="55">
        <f t="shared" si="185"/>
        <v>1</v>
      </c>
      <c r="AL479" s="55" t="s">
        <v>735</v>
      </c>
      <c r="AM479" s="76" t="s">
        <v>1411</v>
      </c>
      <c r="AN479" s="76">
        <v>4.5960000000000001</v>
      </c>
      <c r="AO479" s="76">
        <v>0</v>
      </c>
      <c r="AP479" s="76">
        <f t="shared" ref="AP479:AP542" si="197">AN479</f>
        <v>4.5960000000000001</v>
      </c>
      <c r="AQ479" s="76">
        <v>0.48299999999999998</v>
      </c>
      <c r="AR479" s="76">
        <v>2.89</v>
      </c>
      <c r="AS479" s="76">
        <v>6.1840000000000002</v>
      </c>
      <c r="AT479" s="55" t="s">
        <v>83</v>
      </c>
      <c r="AU479" s="55" t="s">
        <v>109</v>
      </c>
      <c r="AV479" s="55" t="s">
        <v>133</v>
      </c>
      <c r="AW479" s="55" t="s">
        <v>85</v>
      </c>
      <c r="AX479" s="55" t="s">
        <v>86</v>
      </c>
      <c r="AY479" s="55">
        <v>0</v>
      </c>
      <c r="AZ479" s="55">
        <v>0</v>
      </c>
      <c r="BA479" s="55" t="s">
        <v>734</v>
      </c>
      <c r="BB479" s="55" t="s">
        <v>88</v>
      </c>
      <c r="BC479" s="55" t="s">
        <v>89</v>
      </c>
      <c r="BD479" s="55" t="s">
        <v>114</v>
      </c>
      <c r="BE479" s="55" t="s">
        <v>1169</v>
      </c>
      <c r="BF479" s="55">
        <v>18.82</v>
      </c>
      <c r="BG479" s="55">
        <v>0</v>
      </c>
      <c r="BH479" s="55">
        <v>16.25</v>
      </c>
      <c r="BI479" s="55">
        <v>-218.25</v>
      </c>
      <c r="BJ479" s="55">
        <v>370.012</v>
      </c>
      <c r="BK479" s="55" t="s">
        <v>91</v>
      </c>
      <c r="BL479" s="55" t="s">
        <v>84</v>
      </c>
      <c r="BM479" s="55">
        <v>1</v>
      </c>
      <c r="BN479" s="55" t="s">
        <v>539</v>
      </c>
      <c r="BO479" s="55" t="s">
        <v>1175</v>
      </c>
      <c r="BP479" s="55" t="s">
        <v>1176</v>
      </c>
      <c r="BQ479" s="55" t="s">
        <v>117</v>
      </c>
      <c r="BR479" s="55" t="s">
        <v>93</v>
      </c>
      <c r="BS479" s="55">
        <v>26.151</v>
      </c>
      <c r="BT479" s="55">
        <v>0</v>
      </c>
      <c r="BU479" s="55">
        <v>2014</v>
      </c>
      <c r="BV479" s="55">
        <v>2019</v>
      </c>
      <c r="BW479" s="55" t="s">
        <v>736</v>
      </c>
      <c r="BX479" s="55" t="s">
        <v>95</v>
      </c>
      <c r="BY479" s="55" t="s">
        <v>96</v>
      </c>
      <c r="BZ479" s="55">
        <v>0</v>
      </c>
      <c r="CA479" s="55">
        <v>0</v>
      </c>
      <c r="CB479" s="55" t="s">
        <v>97</v>
      </c>
      <c r="CC479" s="55" t="s">
        <v>1181</v>
      </c>
      <c r="CD479" s="55">
        <v>1</v>
      </c>
      <c r="CE479" s="55" t="s">
        <v>1182</v>
      </c>
      <c r="CF479" s="55">
        <v>0</v>
      </c>
      <c r="CG479" s="55" t="s">
        <v>97</v>
      </c>
      <c r="CH479" s="55">
        <v>1</v>
      </c>
      <c r="CI479" s="55" t="s">
        <v>509</v>
      </c>
      <c r="CJ479" s="55" t="s">
        <v>98</v>
      </c>
      <c r="CK479" s="55">
        <v>61</v>
      </c>
      <c r="CL479" s="55">
        <v>0</v>
      </c>
      <c r="CM479" s="55">
        <v>0</v>
      </c>
      <c r="CN479" s="55" t="s">
        <v>99</v>
      </c>
      <c r="CO479" s="55" t="s">
        <v>97</v>
      </c>
      <c r="CP479" s="55" t="s">
        <v>100</v>
      </c>
      <c r="CQ479" s="55" t="s">
        <v>126</v>
      </c>
      <c r="CR479" s="57">
        <v>46226</v>
      </c>
      <c r="CT479" s="55" t="s">
        <v>553</v>
      </c>
    </row>
    <row r="480" spans="1:98" s="55" customFormat="1" x14ac:dyDescent="0.35">
      <c r="A480" s="54" t="s">
        <v>1170</v>
      </c>
      <c r="B480" s="54" t="s">
        <v>1187</v>
      </c>
      <c r="C480" s="55" t="s">
        <v>1171</v>
      </c>
      <c r="D480" s="55">
        <v>2023</v>
      </c>
      <c r="E480" s="54" t="s">
        <v>1172</v>
      </c>
      <c r="F480" s="54" t="s">
        <v>1173</v>
      </c>
      <c r="G480" s="55" t="s">
        <v>78</v>
      </c>
      <c r="H480" s="55">
        <v>1</v>
      </c>
      <c r="I480" s="55" t="s">
        <v>290</v>
      </c>
      <c r="J480" s="55" t="s">
        <v>1174</v>
      </c>
      <c r="K480" s="55">
        <v>12</v>
      </c>
      <c r="L480" s="55" t="s">
        <v>1179</v>
      </c>
      <c r="M480" s="55" t="s">
        <v>380</v>
      </c>
      <c r="N480" s="55">
        <v>-5.6219999999999999</v>
      </c>
      <c r="O480" s="55">
        <v>0.27800000000000002</v>
      </c>
      <c r="P480" s="88">
        <f t="shared" si="180"/>
        <v>-20.223021582733811</v>
      </c>
      <c r="Q480" s="55" t="s">
        <v>312</v>
      </c>
      <c r="R480" s="88">
        <f t="shared" si="181"/>
        <v>-6.1668799999999999</v>
      </c>
      <c r="S480" s="88">
        <f t="shared" si="182"/>
        <v>-5.0771199999999999</v>
      </c>
      <c r="T480" s="55">
        <v>1</v>
      </c>
      <c r="U480" s="55">
        <v>21519</v>
      </c>
      <c r="V480" s="55">
        <v>10</v>
      </c>
      <c r="W480" s="55">
        <v>1</v>
      </c>
      <c r="X480" s="55">
        <f t="shared" si="193"/>
        <v>21509</v>
      </c>
      <c r="Y480" s="88">
        <f t="shared" si="183"/>
        <v>-0.13659848268944116</v>
      </c>
      <c r="Z480" s="88">
        <f t="shared" si="184"/>
        <v>6.7546030216408129E-3</v>
      </c>
      <c r="AA480" s="88">
        <f t="shared" si="187"/>
        <v>0.13659848268944116</v>
      </c>
      <c r="AB480" s="55" t="s">
        <v>81</v>
      </c>
      <c r="AC480" s="88">
        <f t="shared" si="194"/>
        <v>-0.29872476089266736</v>
      </c>
      <c r="AD480" s="88" cm="1">
        <f t="array" ref="AD480">_xlfn.IFS(
AND(L480="marginal_effect",M480="level"),N480*AN480/BF480,
AND(L480="marginal_effect",M480="sd (Y)"),N480*BH480*AN480/BF480,
AND(L480="marginal_effect",M480="sd (X)"),N480/AQ480*AN480/BF480,
AND(L480="semi_elasticity",M480="level"),N480*AN480,
AND(L480="semi_elasticity",M480="sd (Y)"),N480*AN480*BH480,
AND(L480="semi_elasticity",M480="sd (X)"),N480*AN480/AQ480,
AND(L480="level-log",M480="level"),N480/BF480,
AND(L480="level-log",M480="sd (X)"),N480/BF480/AQ480,
AND(L480="level-log",M480="sd (Y)"),N480/BF480*BH480,
AND(L480="elasticity",M480="level"),N480,
AND(L480="elasticity",M480="sd (X)"),N480/AQ480,
AND(L480="elasticity",M480="sd (Y)"),N480*BH480,
AND(L480="marginal_effect",M480="percent_of_mean"),N480*AN480/BF480/10)</f>
        <v>-0.29872476089266736</v>
      </c>
      <c r="AE480" s="56">
        <f t="shared" si="191"/>
        <v>1</v>
      </c>
      <c r="AF480" s="88">
        <f t="shared" si="195"/>
        <v>1.477151965993624E-2</v>
      </c>
      <c r="AG480" s="88" cm="1">
        <f t="array" ref="AG480">_xlfn.IFS(
AND(L480="marginal_effect",M480="level"),O480*AN480/BF480,
AND(L480="marginal_effect",M480="sd (Y)"),O480*BH480*AN480/BF480,
AND(L480="marginal_effect",M480="sd (X)"),O480/AQ480*AN480/BF480,
AND(L480="semi_elasticity",M480="level"),O480*AN480,
AND(L480="semi_elasticity",M480="sd (Y)"),O480*AN480*BH480,
AND(L480="semi_elasticity",M480="sd (X)"),O480*AN480/AQ480,
AND(L480="level-log",M480="level"),O480/BF480,
AND(L480="level-log",M480="sd (X)"),O480/BF480/AQ480,
AND(L480="level-log",M480="sd (Y)"),O480/BF480*BH480,
AND(L480="elasticity",M480="level"),O480,
AND(L480="elasticity",M480="sd (X)"),O480/AQ480,
AND(L480="elasticity",M480="sd (Y)"),O480*BH480,
AND(L480="marginal_effect",M480="percent_of_mean"),O480*AN480/BF480/10)</f>
        <v>1.477151965993624E-2</v>
      </c>
      <c r="AH480" s="56">
        <f t="shared" si="192"/>
        <v>1</v>
      </c>
      <c r="AI480" s="88">
        <f t="shared" si="196"/>
        <v>-0.29872476089266736</v>
      </c>
      <c r="AJ480" s="55">
        <v>0</v>
      </c>
      <c r="AK480" s="55">
        <f t="shared" si="185"/>
        <v>1</v>
      </c>
      <c r="AL480" s="55" t="s">
        <v>82</v>
      </c>
      <c r="AM480" s="76" t="s">
        <v>1411</v>
      </c>
      <c r="AN480" s="76">
        <v>4.2089999999999996</v>
      </c>
      <c r="AO480" s="76">
        <v>0</v>
      </c>
      <c r="AP480" s="76">
        <f t="shared" si="197"/>
        <v>4.2089999999999996</v>
      </c>
      <c r="AQ480" s="76">
        <v>0.61199999999999999</v>
      </c>
      <c r="AR480" s="76">
        <v>1.3859999999999999</v>
      </c>
      <c r="AS480" s="76">
        <v>6.1680000000000001</v>
      </c>
      <c r="AT480" s="55" t="s">
        <v>83</v>
      </c>
      <c r="AU480" s="55" t="s">
        <v>109</v>
      </c>
      <c r="AV480" s="55" t="s">
        <v>133</v>
      </c>
      <c r="AW480" s="55" t="s">
        <v>85</v>
      </c>
      <c r="AX480" s="55" t="s">
        <v>86</v>
      </c>
      <c r="AY480" s="55">
        <v>0</v>
      </c>
      <c r="AZ480" s="55">
        <v>0</v>
      </c>
      <c r="BA480" s="55" t="s">
        <v>734</v>
      </c>
      <c r="BB480" s="55" t="s">
        <v>88</v>
      </c>
      <c r="BC480" s="55" t="s">
        <v>89</v>
      </c>
      <c r="BD480" s="55" t="s">
        <v>114</v>
      </c>
      <c r="BE480" s="55" t="s">
        <v>1169</v>
      </c>
      <c r="BF480" s="55">
        <v>18.82</v>
      </c>
      <c r="BG480" s="55">
        <v>0</v>
      </c>
      <c r="BH480" s="55">
        <v>16.25</v>
      </c>
      <c r="BI480" s="55">
        <v>-218.25</v>
      </c>
      <c r="BJ480" s="55">
        <v>370.012</v>
      </c>
      <c r="BK480" s="55" t="s">
        <v>91</v>
      </c>
      <c r="BL480" s="55" t="s">
        <v>84</v>
      </c>
      <c r="BM480" s="55">
        <v>1</v>
      </c>
      <c r="BN480" s="55" t="s">
        <v>539</v>
      </c>
      <c r="BO480" s="55" t="s">
        <v>1175</v>
      </c>
      <c r="BP480" s="55" t="s">
        <v>1176</v>
      </c>
      <c r="BQ480" s="55" t="s">
        <v>117</v>
      </c>
      <c r="BR480" s="55" t="s">
        <v>93</v>
      </c>
      <c r="BS480" s="55">
        <v>26.151</v>
      </c>
      <c r="BT480" s="55">
        <v>0</v>
      </c>
      <c r="BU480" s="55">
        <v>2014</v>
      </c>
      <c r="BV480" s="55">
        <v>2019</v>
      </c>
      <c r="BW480" s="55" t="s">
        <v>736</v>
      </c>
      <c r="BX480" s="55" t="s">
        <v>95</v>
      </c>
      <c r="BY480" s="55" t="s">
        <v>96</v>
      </c>
      <c r="BZ480" s="55">
        <v>0</v>
      </c>
      <c r="CA480" s="55">
        <v>0</v>
      </c>
      <c r="CB480" s="55" t="s">
        <v>97</v>
      </c>
      <c r="CC480" s="55" t="s">
        <v>1181</v>
      </c>
      <c r="CD480" s="55">
        <v>1</v>
      </c>
      <c r="CE480" s="55" t="s">
        <v>1182</v>
      </c>
      <c r="CF480" s="55">
        <v>0</v>
      </c>
      <c r="CG480" s="55" t="s">
        <v>97</v>
      </c>
      <c r="CH480" s="55">
        <v>1</v>
      </c>
      <c r="CI480" s="55" t="s">
        <v>509</v>
      </c>
      <c r="CJ480" s="55" t="s">
        <v>98</v>
      </c>
      <c r="CK480" s="55">
        <v>61</v>
      </c>
      <c r="CL480" s="55">
        <v>0</v>
      </c>
      <c r="CM480" s="55">
        <v>0</v>
      </c>
      <c r="CN480" s="55" t="s">
        <v>99</v>
      </c>
      <c r="CO480" s="55" t="s">
        <v>97</v>
      </c>
      <c r="CP480" s="55" t="s">
        <v>100</v>
      </c>
      <c r="CQ480" s="55" t="s">
        <v>126</v>
      </c>
      <c r="CR480" s="57">
        <v>46226</v>
      </c>
      <c r="CT480" s="55" t="s">
        <v>437</v>
      </c>
    </row>
    <row r="481" spans="1:98" s="55" customFormat="1" x14ac:dyDescent="0.35">
      <c r="A481" s="54" t="s">
        <v>1170</v>
      </c>
      <c r="B481" s="54" t="s">
        <v>1188</v>
      </c>
      <c r="C481" s="55" t="s">
        <v>1171</v>
      </c>
      <c r="D481" s="55">
        <v>2023</v>
      </c>
      <c r="E481" s="54" t="s">
        <v>1172</v>
      </c>
      <c r="F481" s="54" t="s">
        <v>1173</v>
      </c>
      <c r="G481" s="55" t="s">
        <v>78</v>
      </c>
      <c r="H481" s="55">
        <v>1</v>
      </c>
      <c r="I481" s="55" t="s">
        <v>290</v>
      </c>
      <c r="J481" s="55" t="s">
        <v>1174</v>
      </c>
      <c r="K481" s="55">
        <v>12</v>
      </c>
      <c r="L481" s="55" t="s">
        <v>1179</v>
      </c>
      <c r="M481" s="55" t="s">
        <v>380</v>
      </c>
      <c r="N481" s="55">
        <v>-1.86</v>
      </c>
      <c r="O481" s="55">
        <v>0.26400000000000001</v>
      </c>
      <c r="P481" s="88">
        <f t="shared" si="180"/>
        <v>-7.0454545454545459</v>
      </c>
      <c r="Q481" s="55" t="s">
        <v>312</v>
      </c>
      <c r="R481" s="88">
        <f t="shared" si="181"/>
        <v>-2.37744</v>
      </c>
      <c r="S481" s="88">
        <f t="shared" si="182"/>
        <v>-1.3425600000000002</v>
      </c>
      <c r="T481" s="55">
        <v>1</v>
      </c>
      <c r="U481" s="55">
        <v>21519</v>
      </c>
      <c r="V481" s="55">
        <v>10</v>
      </c>
      <c r="W481" s="55">
        <v>1</v>
      </c>
      <c r="X481" s="55">
        <f t="shared" si="193"/>
        <v>21509</v>
      </c>
      <c r="Y481" s="88">
        <f t="shared" si="183"/>
        <v>-4.7984210425968364E-2</v>
      </c>
      <c r="Z481" s="88">
        <f t="shared" si="184"/>
        <v>6.8106621249761539E-3</v>
      </c>
      <c r="AA481" s="88">
        <f t="shared" si="187"/>
        <v>4.7984210425968364E-2</v>
      </c>
      <c r="AB481" s="55" t="s">
        <v>81</v>
      </c>
      <c r="AC481" s="88">
        <f t="shared" si="194"/>
        <v>-9.8831030818278431E-2</v>
      </c>
      <c r="AD481" s="88" cm="1">
        <f t="array" ref="AD481">_xlfn.IFS(
AND(L481="marginal_effect",M481="level"),N481*AN481/BF481,
AND(L481="marginal_effect",M481="sd (Y)"),N481*BH481*AN481/BF481,
AND(L481="marginal_effect",M481="sd (X)"),N481/AQ481*AN481/BF481,
AND(L481="semi_elasticity",M481="level"),N481*AN481,
AND(L481="semi_elasticity",M481="sd (Y)"),N481*AN481*BH481,
AND(L481="semi_elasticity",M481="sd (X)"),N481*AN481/AQ481,
AND(L481="level-log",M481="level"),N481/BF481,
AND(L481="level-log",M481="sd (X)"),N481/BF481/AQ481,
AND(L481="level-log",M481="sd (Y)"),N481/BF481*BH481,
AND(L481="elasticity",M481="level"),N481,
AND(L481="elasticity",M481="sd (X)"),N481/AQ481,
AND(L481="elasticity",M481="sd (Y)"),N481*BH481,
AND(L481="marginal_effect",M481="percent_of_mean"),N481*AN481/BF481/10)</f>
        <v>-9.8831030818278431E-2</v>
      </c>
      <c r="AE481" s="56">
        <f t="shared" si="191"/>
        <v>1</v>
      </c>
      <c r="AF481" s="88">
        <f t="shared" si="195"/>
        <v>1.4027630180658874E-2</v>
      </c>
      <c r="AG481" s="88" cm="1">
        <f t="array" ref="AG481">_xlfn.IFS(
AND(L481="marginal_effect",M481="level"),O481*AN481/BF481,
AND(L481="marginal_effect",M481="sd (Y)"),O481*BH481*AN481/BF481,
AND(L481="marginal_effect",M481="sd (X)"),O481/AQ481*AN481/BF481,
AND(L481="semi_elasticity",M481="level"),O481*AN481,
AND(L481="semi_elasticity",M481="sd (Y)"),O481*AN481*BH481,
AND(L481="semi_elasticity",M481="sd (X)"),O481*AN481/AQ481,
AND(L481="level-log",M481="level"),O481/BF481,
AND(L481="level-log",M481="sd (X)"),O481/BF481/AQ481,
AND(L481="level-log",M481="sd (Y)"),O481/BF481*BH481,
AND(L481="elasticity",M481="level"),O481,
AND(L481="elasticity",M481="sd (X)"),O481/AQ481,
AND(L481="elasticity",M481="sd (Y)"),O481*BH481,
AND(L481="marginal_effect",M481="percent_of_mean"),O481*AN481/BF481/10)</f>
        <v>1.4027630180658874E-2</v>
      </c>
      <c r="AH481" s="56">
        <f t="shared" si="192"/>
        <v>1</v>
      </c>
      <c r="AI481" s="88">
        <f t="shared" si="196"/>
        <v>-9.8831030818278431E-2</v>
      </c>
      <c r="AJ481" s="55">
        <v>0</v>
      </c>
      <c r="AK481" s="55">
        <f t="shared" si="185"/>
        <v>0</v>
      </c>
      <c r="AL481" s="55" t="s">
        <v>106</v>
      </c>
      <c r="AM481" s="76" t="s">
        <v>1411</v>
      </c>
      <c r="AN481" s="76">
        <v>4.585</v>
      </c>
      <c r="AO481" s="76">
        <v>0</v>
      </c>
      <c r="AP481" s="76">
        <f t="shared" si="197"/>
        <v>4.585</v>
      </c>
      <c r="AQ481" s="76">
        <v>1.0029999999999999</v>
      </c>
      <c r="AR481" s="76">
        <v>-9.2100000000000009</v>
      </c>
      <c r="AS481" s="76">
        <v>6.2380000000000004</v>
      </c>
      <c r="AT481" s="55" t="s">
        <v>83</v>
      </c>
      <c r="AU481" s="55" t="s">
        <v>109</v>
      </c>
      <c r="AV481" s="55" t="s">
        <v>133</v>
      </c>
      <c r="AW481" s="55" t="s">
        <v>85</v>
      </c>
      <c r="AX481" s="55" t="s">
        <v>86</v>
      </c>
      <c r="AY481" s="55">
        <v>0</v>
      </c>
      <c r="AZ481" s="55">
        <v>0</v>
      </c>
      <c r="BA481" s="55" t="s">
        <v>734</v>
      </c>
      <c r="BB481" s="55" t="s">
        <v>88</v>
      </c>
      <c r="BC481" s="55" t="s">
        <v>89</v>
      </c>
      <c r="BD481" s="55" t="s">
        <v>114</v>
      </c>
      <c r="BE481" s="55" t="s">
        <v>1169</v>
      </c>
      <c r="BF481" s="55">
        <v>18.82</v>
      </c>
      <c r="BG481" s="55">
        <v>0</v>
      </c>
      <c r="BH481" s="55">
        <v>16.25</v>
      </c>
      <c r="BI481" s="55">
        <v>-218.25</v>
      </c>
      <c r="BJ481" s="55">
        <v>370.012</v>
      </c>
      <c r="BK481" s="55" t="s">
        <v>91</v>
      </c>
      <c r="BL481" s="55" t="s">
        <v>84</v>
      </c>
      <c r="BM481" s="55">
        <v>1</v>
      </c>
      <c r="BN481" s="55" t="s">
        <v>539</v>
      </c>
      <c r="BO481" s="55" t="s">
        <v>1175</v>
      </c>
      <c r="BP481" s="55" t="s">
        <v>1176</v>
      </c>
      <c r="BQ481" s="55" t="s">
        <v>117</v>
      </c>
      <c r="BR481" s="55" t="s">
        <v>93</v>
      </c>
      <c r="BS481" s="55">
        <v>26.151</v>
      </c>
      <c r="BT481" s="55">
        <v>0</v>
      </c>
      <c r="BU481" s="55">
        <v>2014</v>
      </c>
      <c r="BV481" s="55">
        <v>2019</v>
      </c>
      <c r="BW481" s="55" t="s">
        <v>736</v>
      </c>
      <c r="BX481" s="55" t="s">
        <v>95</v>
      </c>
      <c r="BY481" s="55" t="s">
        <v>96</v>
      </c>
      <c r="BZ481" s="55">
        <v>0</v>
      </c>
      <c r="CA481" s="55">
        <v>0</v>
      </c>
      <c r="CB481" s="55" t="s">
        <v>97</v>
      </c>
      <c r="CC481" s="55" t="s">
        <v>1181</v>
      </c>
      <c r="CD481" s="55">
        <v>1</v>
      </c>
      <c r="CE481" s="55" t="s">
        <v>1182</v>
      </c>
      <c r="CF481" s="55">
        <v>0</v>
      </c>
      <c r="CG481" s="55" t="s">
        <v>97</v>
      </c>
      <c r="CH481" s="55">
        <v>1</v>
      </c>
      <c r="CI481" s="55" t="s">
        <v>509</v>
      </c>
      <c r="CJ481" s="55" t="s">
        <v>98</v>
      </c>
      <c r="CK481" s="55">
        <v>61</v>
      </c>
      <c r="CL481" s="55">
        <v>0</v>
      </c>
      <c r="CM481" s="55">
        <v>0</v>
      </c>
      <c r="CN481" s="55" t="s">
        <v>99</v>
      </c>
      <c r="CO481" s="55" t="s">
        <v>97</v>
      </c>
      <c r="CP481" s="55" t="s">
        <v>100</v>
      </c>
      <c r="CQ481" s="55" t="s">
        <v>126</v>
      </c>
      <c r="CR481" s="57">
        <v>46226</v>
      </c>
      <c r="CT481" s="55" t="s">
        <v>438</v>
      </c>
    </row>
    <row r="482" spans="1:98" s="55" customFormat="1" x14ac:dyDescent="0.35">
      <c r="A482" s="54" t="s">
        <v>1170</v>
      </c>
      <c r="B482" s="54" t="s">
        <v>1189</v>
      </c>
      <c r="C482" s="55" t="s">
        <v>1171</v>
      </c>
      <c r="D482" s="55">
        <v>2023</v>
      </c>
      <c r="E482" s="54" t="s">
        <v>1172</v>
      </c>
      <c r="F482" s="54" t="s">
        <v>1173</v>
      </c>
      <c r="G482" s="55" t="s">
        <v>78</v>
      </c>
      <c r="H482" s="55">
        <v>1</v>
      </c>
      <c r="I482" s="55" t="s">
        <v>290</v>
      </c>
      <c r="J482" s="55" t="s">
        <v>1174</v>
      </c>
      <c r="K482" s="55">
        <v>12</v>
      </c>
      <c r="L482" s="55" t="s">
        <v>1179</v>
      </c>
      <c r="M482" s="55" t="s">
        <v>380</v>
      </c>
      <c r="N482" s="55">
        <v>-2.1219999999999999</v>
      </c>
      <c r="O482" s="55">
        <v>0.24299999999999999</v>
      </c>
      <c r="P482" s="88">
        <f t="shared" si="180"/>
        <v>-8.7325102880658427</v>
      </c>
      <c r="Q482" s="55" t="s">
        <v>312</v>
      </c>
      <c r="R482" s="88">
        <f t="shared" si="181"/>
        <v>-2.5982799999999999</v>
      </c>
      <c r="S482" s="88">
        <f t="shared" si="182"/>
        <v>-1.6457199999999998</v>
      </c>
      <c r="T482" s="55">
        <v>1</v>
      </c>
      <c r="U482" s="55">
        <v>21519</v>
      </c>
      <c r="V482" s="55">
        <v>10</v>
      </c>
      <c r="W482" s="55">
        <v>1</v>
      </c>
      <c r="X482" s="55">
        <f t="shared" si="193"/>
        <v>21509</v>
      </c>
      <c r="Y482" s="88">
        <f t="shared" si="183"/>
        <v>-5.9437494856230955E-2</v>
      </c>
      <c r="Z482" s="88">
        <f t="shared" si="184"/>
        <v>6.8064614750537817E-3</v>
      </c>
      <c r="AA482" s="88">
        <f t="shared" si="187"/>
        <v>5.9437494856230955E-2</v>
      </c>
      <c r="AB482" s="55" t="s">
        <v>81</v>
      </c>
      <c r="AC482" s="88">
        <f t="shared" si="194"/>
        <v>-0.11275239107332624</v>
      </c>
      <c r="AD482" s="88" cm="1">
        <f t="array" ref="AD482">_xlfn.IFS(
AND(L482="marginal_effect",M482="level"),N482*AN482/BF482,
AND(L482="marginal_effect",M482="sd (Y)"),N482*BH482*AN482/BF482,
AND(L482="marginal_effect",M482="sd (X)"),N482/AQ482*AN482/BF482,
AND(L482="semi_elasticity",M482="level"),N482*AN482,
AND(L482="semi_elasticity",M482="sd (Y)"),N482*AN482*BH482,
AND(L482="semi_elasticity",M482="sd (X)"),N482*AN482/AQ482,
AND(L482="level-log",M482="level"),N482/BF482,
AND(L482="level-log",M482="sd (X)"),N482/BF482/AQ482,
AND(L482="level-log",M482="sd (Y)"),N482/BF482*BH482,
AND(L482="elasticity",M482="level"),N482,
AND(L482="elasticity",M482="sd (X)"),N482/AQ482,
AND(L482="elasticity",M482="sd (Y)"),N482*BH482,
AND(L482="marginal_effect",M482="percent_of_mean"),N482*AN482/BF482/10)</f>
        <v>-0.11275239107332624</v>
      </c>
      <c r="AE482" s="56">
        <f t="shared" si="191"/>
        <v>1</v>
      </c>
      <c r="AF482" s="88">
        <f t="shared" si="195"/>
        <v>1.2911795961742826E-2</v>
      </c>
      <c r="AG482" s="88" cm="1">
        <f t="array" ref="AG482">_xlfn.IFS(
AND(L482="marginal_effect",M482="level"),O482*AN482/BF482,
AND(L482="marginal_effect",M482="sd (Y)"),O482*BH482*AN482/BF482,
AND(L482="marginal_effect",M482="sd (X)"),O482/AQ482*AN482/BF482,
AND(L482="semi_elasticity",M482="level"),O482*AN482,
AND(L482="semi_elasticity",M482="sd (Y)"),O482*AN482*BH482,
AND(L482="semi_elasticity",M482="sd (X)"),O482*AN482/AQ482,
AND(L482="level-log",M482="level"),O482/BF482,
AND(L482="level-log",M482="sd (X)"),O482/BF482/AQ482,
AND(L482="level-log",M482="sd (Y)"),O482/BF482*BH482,
AND(L482="elasticity",M482="level"),O482,
AND(L482="elasticity",M482="sd (X)"),O482/AQ482,
AND(L482="elasticity",M482="sd (Y)"),O482*BH482,
AND(L482="marginal_effect",M482="percent_of_mean"),O482*AN482/BF482/10)</f>
        <v>1.2911795961742826E-2</v>
      </c>
      <c r="AH482" s="56">
        <f t="shared" si="192"/>
        <v>1</v>
      </c>
      <c r="AI482" s="88">
        <f t="shared" si="196"/>
        <v>-0.11275239107332624</v>
      </c>
      <c r="AJ482" s="55">
        <v>0</v>
      </c>
      <c r="AK482" s="55">
        <f t="shared" si="185"/>
        <v>1</v>
      </c>
      <c r="AL482" s="55" t="s">
        <v>159</v>
      </c>
      <c r="AM482" s="76" t="s">
        <v>1411</v>
      </c>
      <c r="AN482" s="76">
        <v>3.048</v>
      </c>
      <c r="AO482" s="76">
        <v>0</v>
      </c>
      <c r="AP482" s="76">
        <f t="shared" si="197"/>
        <v>3.048</v>
      </c>
      <c r="AQ482" s="76">
        <v>0.89</v>
      </c>
      <c r="AR482" s="76">
        <v>0</v>
      </c>
      <c r="AS482" s="76">
        <v>5.8460000000000001</v>
      </c>
      <c r="AT482" s="55" t="s">
        <v>83</v>
      </c>
      <c r="AU482" s="55" t="s">
        <v>109</v>
      </c>
      <c r="AV482" s="55" t="s">
        <v>133</v>
      </c>
      <c r="AW482" s="55" t="s">
        <v>85</v>
      </c>
      <c r="AX482" s="55" t="s">
        <v>86</v>
      </c>
      <c r="AY482" s="55">
        <v>0</v>
      </c>
      <c r="AZ482" s="55">
        <v>0</v>
      </c>
      <c r="BA482" s="55" t="s">
        <v>734</v>
      </c>
      <c r="BB482" s="55" t="s">
        <v>88</v>
      </c>
      <c r="BC482" s="55" t="s">
        <v>89</v>
      </c>
      <c r="BD482" s="55" t="s">
        <v>114</v>
      </c>
      <c r="BE482" s="55" t="s">
        <v>1169</v>
      </c>
      <c r="BF482" s="55">
        <v>18.82</v>
      </c>
      <c r="BG482" s="55">
        <v>0</v>
      </c>
      <c r="BH482" s="55">
        <v>16.25</v>
      </c>
      <c r="BI482" s="55">
        <v>-218.25</v>
      </c>
      <c r="BJ482" s="55">
        <v>370.012</v>
      </c>
      <c r="BK482" s="55" t="s">
        <v>91</v>
      </c>
      <c r="BL482" s="55" t="s">
        <v>84</v>
      </c>
      <c r="BM482" s="55">
        <v>1</v>
      </c>
      <c r="BN482" s="55" t="s">
        <v>539</v>
      </c>
      <c r="BO482" s="55" t="s">
        <v>1175</v>
      </c>
      <c r="BP482" s="55" t="s">
        <v>1176</v>
      </c>
      <c r="BQ482" s="55" t="s">
        <v>117</v>
      </c>
      <c r="BR482" s="55" t="s">
        <v>93</v>
      </c>
      <c r="BS482" s="55">
        <v>26.151</v>
      </c>
      <c r="BT482" s="55">
        <v>0</v>
      </c>
      <c r="BU482" s="55">
        <v>2014</v>
      </c>
      <c r="BV482" s="55">
        <v>2019</v>
      </c>
      <c r="BW482" s="55" t="s">
        <v>736</v>
      </c>
      <c r="BX482" s="55" t="s">
        <v>95</v>
      </c>
      <c r="BY482" s="55" t="s">
        <v>96</v>
      </c>
      <c r="BZ482" s="55">
        <v>0</v>
      </c>
      <c r="CA482" s="55">
        <v>0</v>
      </c>
      <c r="CB482" s="55" t="s">
        <v>97</v>
      </c>
      <c r="CC482" s="55" t="s">
        <v>1181</v>
      </c>
      <c r="CD482" s="55">
        <v>1</v>
      </c>
      <c r="CE482" s="55" t="s">
        <v>1182</v>
      </c>
      <c r="CF482" s="55">
        <v>0</v>
      </c>
      <c r="CG482" s="55" t="s">
        <v>97</v>
      </c>
      <c r="CH482" s="55">
        <v>1</v>
      </c>
      <c r="CI482" s="55" t="s">
        <v>509</v>
      </c>
      <c r="CJ482" s="55" t="s">
        <v>98</v>
      </c>
      <c r="CK482" s="55">
        <v>61</v>
      </c>
      <c r="CL482" s="55">
        <v>0</v>
      </c>
      <c r="CM482" s="55">
        <v>0</v>
      </c>
      <c r="CN482" s="55" t="s">
        <v>99</v>
      </c>
      <c r="CO482" s="55" t="s">
        <v>97</v>
      </c>
      <c r="CP482" s="55" t="s">
        <v>100</v>
      </c>
      <c r="CQ482" s="55" t="s">
        <v>126</v>
      </c>
      <c r="CR482" s="57">
        <v>46226</v>
      </c>
      <c r="CT482" s="55" t="s">
        <v>439</v>
      </c>
    </row>
    <row r="483" spans="1:98" s="55" customFormat="1" x14ac:dyDescent="0.35">
      <c r="A483" s="54" t="s">
        <v>1170</v>
      </c>
      <c r="B483" s="54" t="s">
        <v>1190</v>
      </c>
      <c r="C483" s="55" t="s">
        <v>1171</v>
      </c>
      <c r="D483" s="55">
        <v>2023</v>
      </c>
      <c r="E483" s="54" t="s">
        <v>1172</v>
      </c>
      <c r="F483" s="54" t="s">
        <v>1173</v>
      </c>
      <c r="G483" s="55" t="s">
        <v>78</v>
      </c>
      <c r="H483" s="55">
        <v>1</v>
      </c>
      <c r="I483" s="55" t="s">
        <v>290</v>
      </c>
      <c r="J483" s="55" t="s">
        <v>1174</v>
      </c>
      <c r="K483" s="55">
        <v>12</v>
      </c>
      <c r="L483" s="55" t="s">
        <v>1179</v>
      </c>
      <c r="M483" s="55" t="s">
        <v>380</v>
      </c>
      <c r="N483" s="55">
        <v>-5.19</v>
      </c>
      <c r="O483" s="55">
        <v>0.36499999999999999</v>
      </c>
      <c r="P483" s="88">
        <f t="shared" si="180"/>
        <v>-14.219178082191782</v>
      </c>
      <c r="Q483" s="55" t="s">
        <v>312</v>
      </c>
      <c r="R483" s="88">
        <f t="shared" si="181"/>
        <v>-5.9054000000000002</v>
      </c>
      <c r="S483" s="88">
        <f t="shared" si="182"/>
        <v>-4.4746000000000006</v>
      </c>
      <c r="T483" s="55">
        <v>1</v>
      </c>
      <c r="U483" s="55">
        <v>21519</v>
      </c>
      <c r="V483" s="55">
        <v>10</v>
      </c>
      <c r="W483" s="55">
        <v>1</v>
      </c>
      <c r="X483" s="55">
        <f t="shared" si="193"/>
        <v>21509</v>
      </c>
      <c r="Y483" s="88">
        <f t="shared" si="183"/>
        <v>-9.6501203398127136E-2</v>
      </c>
      <c r="Z483" s="88">
        <f t="shared" si="184"/>
        <v>6.7866934952440089E-3</v>
      </c>
      <c r="AA483" s="88">
        <f t="shared" si="187"/>
        <v>9.6501203398127136E-2</v>
      </c>
      <c r="AB483" s="55" t="s">
        <v>81</v>
      </c>
      <c r="AC483" s="88">
        <f t="shared" si="194"/>
        <v>-0.27577045696068014</v>
      </c>
      <c r="AD483" s="88" cm="1">
        <f t="array" ref="AD483">_xlfn.IFS(
AND(L483="marginal_effect",M483="level"),N483*AN483/BF483,
AND(L483="marginal_effect",M483="sd (Y)"),N483*BH483*AN483/BF483,
AND(L483="marginal_effect",M483="sd (X)"),N483/AQ483*AN483/BF483,
AND(L483="semi_elasticity",M483="level"),N483*AN483,
AND(L483="semi_elasticity",M483="sd (Y)"),N483*AN483*BH483,
AND(L483="semi_elasticity",M483="sd (X)"),N483*AN483/AQ483,
AND(L483="level-log",M483="level"),N483/BF483,
AND(L483="level-log",M483="sd (X)"),N483/BF483/AQ483,
AND(L483="level-log",M483="sd (Y)"),N483/BF483*BH483,
AND(L483="elasticity",M483="level"),N483,
AND(L483="elasticity",M483="sd (X)"),N483/AQ483,
AND(L483="elasticity",M483="sd (Y)"),N483*BH483,
AND(L483="marginal_effect",M483="percent_of_mean"),N483*AN483/BF483/10)</f>
        <v>-0.27577045696068014</v>
      </c>
      <c r="AE483" s="56">
        <f t="shared" si="191"/>
        <v>1</v>
      </c>
      <c r="AF483" s="88">
        <f t="shared" si="195"/>
        <v>1.9394261424017002E-2</v>
      </c>
      <c r="AG483" s="88" cm="1">
        <f t="array" ref="AG483">_xlfn.IFS(
AND(L483="marginal_effect",M483="level"),O483*AN483/BF483,
AND(L483="marginal_effect",M483="sd (Y)"),O483*BH483*AN483/BF483,
AND(L483="marginal_effect",M483="sd (X)"),O483/AQ483*AN483/BF483,
AND(L483="semi_elasticity",M483="level"),O483*AN483,
AND(L483="semi_elasticity",M483="sd (Y)"),O483*AN483*BH483,
AND(L483="semi_elasticity",M483="sd (X)"),O483*AN483/AQ483,
AND(L483="level-log",M483="level"),O483/BF483,
AND(L483="level-log",M483="sd (X)"),O483/BF483/AQ483,
AND(L483="level-log",M483="sd (Y)"),O483/BF483*BH483,
AND(L483="elasticity",M483="level"),O483,
AND(L483="elasticity",M483="sd (X)"),O483/AQ483,
AND(L483="elasticity",M483="sd (Y)"),O483*BH483,
AND(L483="marginal_effect",M483="percent_of_mean"),O483*AN483/BF483/10)</f>
        <v>1.9394261424017002E-2</v>
      </c>
      <c r="AH483" s="56">
        <f t="shared" si="192"/>
        <v>1</v>
      </c>
      <c r="AI483" s="88">
        <f t="shared" si="196"/>
        <v>-0.27577045696068014</v>
      </c>
      <c r="AJ483" s="55">
        <v>0</v>
      </c>
      <c r="AK483" s="55">
        <f t="shared" si="185"/>
        <v>1</v>
      </c>
      <c r="AL483" s="55" t="s">
        <v>162</v>
      </c>
      <c r="AM483" s="76" t="s">
        <v>1411</v>
      </c>
      <c r="AN483" s="76">
        <v>0.17499999999999999</v>
      </c>
      <c r="AO483" s="76">
        <v>0</v>
      </c>
      <c r="AP483" s="76">
        <f t="shared" si="197"/>
        <v>0.17499999999999999</v>
      </c>
      <c r="AQ483" s="76">
        <v>0.46800000000000003</v>
      </c>
      <c r="AR483" s="76">
        <v>-1.609</v>
      </c>
      <c r="AS483" s="76">
        <v>2.1970000000000001</v>
      </c>
      <c r="AT483" s="55" t="s">
        <v>83</v>
      </c>
      <c r="AU483" s="55" t="s">
        <v>109</v>
      </c>
      <c r="AV483" s="55" t="s">
        <v>133</v>
      </c>
      <c r="AW483" s="55" t="s">
        <v>85</v>
      </c>
      <c r="AX483" s="55" t="s">
        <v>86</v>
      </c>
      <c r="AY483" s="55">
        <v>0</v>
      </c>
      <c r="AZ483" s="55">
        <v>0</v>
      </c>
      <c r="BA483" s="55" t="s">
        <v>734</v>
      </c>
      <c r="BB483" s="55" t="s">
        <v>88</v>
      </c>
      <c r="BC483" s="55" t="s">
        <v>89</v>
      </c>
      <c r="BD483" s="55" t="s">
        <v>114</v>
      </c>
      <c r="BE483" s="55" t="s">
        <v>1169</v>
      </c>
      <c r="BF483" s="55">
        <v>18.82</v>
      </c>
      <c r="BG483" s="55">
        <v>0</v>
      </c>
      <c r="BH483" s="55">
        <v>16.25</v>
      </c>
      <c r="BI483" s="55">
        <v>-218.25</v>
      </c>
      <c r="BJ483" s="55">
        <v>370.012</v>
      </c>
      <c r="BK483" s="55" t="s">
        <v>91</v>
      </c>
      <c r="BL483" s="55" t="s">
        <v>84</v>
      </c>
      <c r="BM483" s="55">
        <v>1</v>
      </c>
      <c r="BN483" s="55" t="s">
        <v>539</v>
      </c>
      <c r="BO483" s="55" t="s">
        <v>1175</v>
      </c>
      <c r="BP483" s="55" t="s">
        <v>1176</v>
      </c>
      <c r="BQ483" s="55" t="s">
        <v>117</v>
      </c>
      <c r="BR483" s="55" t="s">
        <v>93</v>
      </c>
      <c r="BS483" s="55">
        <v>26.151</v>
      </c>
      <c r="BT483" s="55">
        <v>0</v>
      </c>
      <c r="BU483" s="55">
        <v>2014</v>
      </c>
      <c r="BV483" s="55">
        <v>2019</v>
      </c>
      <c r="BW483" s="55" t="s">
        <v>736</v>
      </c>
      <c r="BX483" s="55" t="s">
        <v>95</v>
      </c>
      <c r="BY483" s="55" t="s">
        <v>96</v>
      </c>
      <c r="BZ483" s="55">
        <v>0</v>
      </c>
      <c r="CA483" s="55">
        <v>0</v>
      </c>
      <c r="CB483" s="55" t="s">
        <v>97</v>
      </c>
      <c r="CC483" s="55" t="s">
        <v>1181</v>
      </c>
      <c r="CD483" s="55">
        <v>1</v>
      </c>
      <c r="CE483" s="55" t="s">
        <v>1182</v>
      </c>
      <c r="CF483" s="55">
        <v>0</v>
      </c>
      <c r="CG483" s="55" t="s">
        <v>97</v>
      </c>
      <c r="CH483" s="55">
        <v>1</v>
      </c>
      <c r="CI483" s="55" t="s">
        <v>509</v>
      </c>
      <c r="CJ483" s="55" t="s">
        <v>98</v>
      </c>
      <c r="CK483" s="55">
        <v>61</v>
      </c>
      <c r="CL483" s="55">
        <v>0</v>
      </c>
      <c r="CM483" s="55">
        <v>0</v>
      </c>
      <c r="CN483" s="55" t="s">
        <v>99</v>
      </c>
      <c r="CO483" s="55" t="s">
        <v>97</v>
      </c>
      <c r="CP483" s="55" t="s">
        <v>100</v>
      </c>
      <c r="CQ483" s="55" t="s">
        <v>126</v>
      </c>
      <c r="CR483" s="57">
        <v>46226</v>
      </c>
      <c r="CT483" s="55" t="s">
        <v>440</v>
      </c>
    </row>
    <row r="484" spans="1:98" s="55" customFormat="1" x14ac:dyDescent="0.35">
      <c r="A484" s="54" t="s">
        <v>1170</v>
      </c>
      <c r="B484" s="54" t="s">
        <v>1191</v>
      </c>
      <c r="C484" s="55" t="s">
        <v>1171</v>
      </c>
      <c r="D484" s="55">
        <v>2023</v>
      </c>
      <c r="E484" s="54" t="s">
        <v>1172</v>
      </c>
      <c r="F484" s="54" t="s">
        <v>1173</v>
      </c>
      <c r="G484" s="55" t="s">
        <v>78</v>
      </c>
      <c r="H484" s="55">
        <v>1</v>
      </c>
      <c r="I484" s="55" t="s">
        <v>290</v>
      </c>
      <c r="J484" s="55" t="s">
        <v>1174</v>
      </c>
      <c r="K484" s="55">
        <v>12</v>
      </c>
      <c r="L484" s="55" t="s">
        <v>1179</v>
      </c>
      <c r="M484" s="55" t="s">
        <v>380</v>
      </c>
      <c r="N484" s="55">
        <v>-6.5250000000000004</v>
      </c>
      <c r="O484" s="55">
        <v>0.39500000000000002</v>
      </c>
      <c r="P484" s="88">
        <f t="shared" si="180"/>
        <v>-16.518987341772153</v>
      </c>
      <c r="Q484" s="55" t="s">
        <v>312</v>
      </c>
      <c r="R484" s="88">
        <f t="shared" si="181"/>
        <v>-7.2992000000000008</v>
      </c>
      <c r="S484" s="88">
        <f t="shared" si="182"/>
        <v>-5.7507999999999999</v>
      </c>
      <c r="T484" s="55">
        <v>1</v>
      </c>
      <c r="U484" s="55">
        <v>21519</v>
      </c>
      <c r="V484" s="55">
        <v>10</v>
      </c>
      <c r="W484" s="55">
        <v>1</v>
      </c>
      <c r="X484" s="55">
        <f t="shared" si="193"/>
        <v>21509</v>
      </c>
      <c r="Y484" s="88">
        <f t="shared" si="183"/>
        <v>-0.1119272337185018</v>
      </c>
      <c r="Z484" s="88">
        <f t="shared" si="184"/>
        <v>6.7756716197407219E-3</v>
      </c>
      <c r="AA484" s="88">
        <f t="shared" si="187"/>
        <v>0.1119272337185018</v>
      </c>
      <c r="AB484" s="55" t="s">
        <v>81</v>
      </c>
      <c r="AC484" s="88">
        <f t="shared" si="194"/>
        <v>-0.34670563230605739</v>
      </c>
      <c r="AD484" s="88" cm="1">
        <f t="array" ref="AD484">_xlfn.IFS(
AND(L484="marginal_effect",M484="level"),N484*AN484/BF484,
AND(L484="marginal_effect",M484="sd (Y)"),N484*BH484*AN484/BF484,
AND(L484="marginal_effect",M484="sd (X)"),N484/AQ484*AN484/BF484,
AND(L484="semi_elasticity",M484="level"),N484*AN484,
AND(L484="semi_elasticity",M484="sd (Y)"),N484*AN484*BH484,
AND(L484="semi_elasticity",M484="sd (X)"),N484*AN484/AQ484,
AND(L484="level-log",M484="level"),N484/BF484,
AND(L484="level-log",M484="sd (X)"),N484/BF484/AQ484,
AND(L484="level-log",M484="sd (Y)"),N484/BF484*BH484,
AND(L484="elasticity",M484="level"),N484,
AND(L484="elasticity",M484="sd (X)"),N484/AQ484,
AND(L484="elasticity",M484="sd (Y)"),N484*BH484,
AND(L484="marginal_effect",M484="percent_of_mean"),N484*AN484/BF484/10)</f>
        <v>-0.34670563230605739</v>
      </c>
      <c r="AE484" s="56">
        <f t="shared" si="191"/>
        <v>1</v>
      </c>
      <c r="AF484" s="88">
        <f t="shared" si="195"/>
        <v>2.0988310308182784E-2</v>
      </c>
      <c r="AG484" s="88" cm="1">
        <f t="array" ref="AG484">_xlfn.IFS(
AND(L484="marginal_effect",M484="level"),O484*AN484/BF484,
AND(L484="marginal_effect",M484="sd (Y)"),O484*BH484*AN484/BF484,
AND(L484="marginal_effect",M484="sd (X)"),O484/AQ484*AN484/BF484,
AND(L484="semi_elasticity",M484="level"),O484*AN484,
AND(L484="semi_elasticity",M484="sd (Y)"),O484*AN484*BH484,
AND(L484="semi_elasticity",M484="sd (X)"),O484*AN484/AQ484,
AND(L484="level-log",M484="level"),O484/BF484,
AND(L484="level-log",M484="sd (X)"),O484/BF484/AQ484,
AND(L484="level-log",M484="sd (Y)"),O484/BF484*BH484,
AND(L484="elasticity",M484="level"),O484,
AND(L484="elasticity",M484="sd (X)"),O484/AQ484,
AND(L484="elasticity",M484="sd (Y)"),O484*BH484,
AND(L484="marginal_effect",M484="percent_of_mean"),O484*AN484/BF484/10)</f>
        <v>2.0988310308182784E-2</v>
      </c>
      <c r="AH484" s="56">
        <f t="shared" si="192"/>
        <v>1</v>
      </c>
      <c r="AI484" s="88">
        <f t="shared" si="196"/>
        <v>-0.34670563230605739</v>
      </c>
      <c r="AJ484" s="55">
        <v>0</v>
      </c>
      <c r="AK484" s="55">
        <f t="shared" si="185"/>
        <v>1</v>
      </c>
      <c r="AL484" s="55" t="s">
        <v>131</v>
      </c>
      <c r="AM484" s="76" t="s">
        <v>1411</v>
      </c>
      <c r="AN484" s="76">
        <v>3.9870000000000001</v>
      </c>
      <c r="AO484" s="76">
        <v>0</v>
      </c>
      <c r="AP484" s="76">
        <f t="shared" si="197"/>
        <v>3.9870000000000001</v>
      </c>
      <c r="AQ484" s="76">
        <v>0.38</v>
      </c>
      <c r="AR484" s="76">
        <v>1.792</v>
      </c>
      <c r="AS484" s="76">
        <v>5.1420000000000003</v>
      </c>
      <c r="AT484" s="55" t="s">
        <v>83</v>
      </c>
      <c r="AU484" s="55" t="s">
        <v>109</v>
      </c>
      <c r="AV484" s="55" t="s">
        <v>133</v>
      </c>
      <c r="AW484" s="55" t="s">
        <v>85</v>
      </c>
      <c r="AX484" s="55" t="s">
        <v>86</v>
      </c>
      <c r="AY484" s="55">
        <v>0</v>
      </c>
      <c r="AZ484" s="55">
        <v>0</v>
      </c>
      <c r="BA484" s="55" t="s">
        <v>734</v>
      </c>
      <c r="BB484" s="55" t="s">
        <v>88</v>
      </c>
      <c r="BC484" s="55" t="s">
        <v>89</v>
      </c>
      <c r="BD484" s="55" t="s">
        <v>114</v>
      </c>
      <c r="BE484" s="55" t="s">
        <v>1169</v>
      </c>
      <c r="BF484" s="55">
        <v>18.82</v>
      </c>
      <c r="BG484" s="55">
        <v>0</v>
      </c>
      <c r="BH484" s="55">
        <v>16.25</v>
      </c>
      <c r="BI484" s="55">
        <v>-218.25</v>
      </c>
      <c r="BJ484" s="55">
        <v>370.012</v>
      </c>
      <c r="BK484" s="55" t="s">
        <v>91</v>
      </c>
      <c r="BL484" s="55" t="s">
        <v>84</v>
      </c>
      <c r="BM484" s="55">
        <v>1</v>
      </c>
      <c r="BN484" s="55" t="s">
        <v>539</v>
      </c>
      <c r="BO484" s="55" t="s">
        <v>1175</v>
      </c>
      <c r="BP484" s="55" t="s">
        <v>1176</v>
      </c>
      <c r="BQ484" s="55" t="s">
        <v>117</v>
      </c>
      <c r="BR484" s="55" t="s">
        <v>93</v>
      </c>
      <c r="BS484" s="55">
        <v>26.151</v>
      </c>
      <c r="BT484" s="55">
        <v>0</v>
      </c>
      <c r="BU484" s="55">
        <v>2014</v>
      </c>
      <c r="BV484" s="55">
        <v>2019</v>
      </c>
      <c r="BW484" s="55" t="s">
        <v>736</v>
      </c>
      <c r="BX484" s="55" t="s">
        <v>95</v>
      </c>
      <c r="BY484" s="55" t="s">
        <v>96</v>
      </c>
      <c r="BZ484" s="55">
        <v>0</v>
      </c>
      <c r="CA484" s="55">
        <v>0</v>
      </c>
      <c r="CB484" s="55" t="s">
        <v>97</v>
      </c>
      <c r="CC484" s="55" t="s">
        <v>1181</v>
      </c>
      <c r="CD484" s="55">
        <v>1</v>
      </c>
      <c r="CE484" s="55" t="s">
        <v>1182</v>
      </c>
      <c r="CF484" s="55">
        <v>0</v>
      </c>
      <c r="CG484" s="55" t="s">
        <v>97</v>
      </c>
      <c r="CH484" s="55">
        <v>1</v>
      </c>
      <c r="CI484" s="55" t="s">
        <v>509</v>
      </c>
      <c r="CJ484" s="55" t="s">
        <v>98</v>
      </c>
      <c r="CK484" s="55">
        <v>61</v>
      </c>
      <c r="CL484" s="55">
        <v>0</v>
      </c>
      <c r="CM484" s="55">
        <v>0</v>
      </c>
      <c r="CN484" s="55" t="s">
        <v>99</v>
      </c>
      <c r="CO484" s="55" t="s">
        <v>97</v>
      </c>
      <c r="CP484" s="55" t="s">
        <v>100</v>
      </c>
      <c r="CQ484" s="55" t="s">
        <v>126</v>
      </c>
      <c r="CR484" s="57">
        <v>46226</v>
      </c>
      <c r="CT484" s="55" t="s">
        <v>778</v>
      </c>
    </row>
    <row r="485" spans="1:98" s="55" customFormat="1" x14ac:dyDescent="0.35">
      <c r="A485" s="54" t="s">
        <v>1170</v>
      </c>
      <c r="B485" s="54" t="s">
        <v>1192</v>
      </c>
      <c r="C485" s="55" t="s">
        <v>1171</v>
      </c>
      <c r="D485" s="55">
        <v>2023</v>
      </c>
      <c r="E485" s="54" t="s">
        <v>1172</v>
      </c>
      <c r="F485" s="54" t="s">
        <v>1173</v>
      </c>
      <c r="G485" s="55" t="s">
        <v>78</v>
      </c>
      <c r="H485" s="55">
        <v>1</v>
      </c>
      <c r="I485" s="55" t="s">
        <v>290</v>
      </c>
      <c r="J485" s="55" t="s">
        <v>1174</v>
      </c>
      <c r="K485" s="55">
        <v>12</v>
      </c>
      <c r="L485" s="55" t="s">
        <v>1179</v>
      </c>
      <c r="M485" s="55" t="s">
        <v>380</v>
      </c>
      <c r="N485" s="55">
        <v>0.123</v>
      </c>
      <c r="O485" s="55">
        <v>5.5E-2</v>
      </c>
      <c r="P485" s="88">
        <f t="shared" si="180"/>
        <v>2.2363636363636363</v>
      </c>
      <c r="Q485" s="55" t="s">
        <v>312</v>
      </c>
      <c r="R485" s="88">
        <f t="shared" si="181"/>
        <v>1.5200000000000005E-2</v>
      </c>
      <c r="S485" s="88">
        <f t="shared" si="182"/>
        <v>0.23080000000000001</v>
      </c>
      <c r="T485" s="55">
        <v>1</v>
      </c>
      <c r="U485" s="55">
        <v>21519</v>
      </c>
      <c r="V485" s="55">
        <v>10</v>
      </c>
      <c r="W485" s="55">
        <v>1</v>
      </c>
      <c r="X485" s="55">
        <f t="shared" si="193"/>
        <v>21509</v>
      </c>
      <c r="Y485" s="88">
        <f t="shared" si="183"/>
        <v>1.5246909638996376E-2</v>
      </c>
      <c r="Z485" s="88">
        <f t="shared" si="184"/>
        <v>6.8177238223154531E-3</v>
      </c>
      <c r="AA485" s="88">
        <f t="shared" si="187"/>
        <v>-1.5246909638996376E-2</v>
      </c>
      <c r="AB485" s="55" t="s">
        <v>81</v>
      </c>
      <c r="AC485" s="88">
        <f t="shared" si="194"/>
        <v>6.5356004250797023E-3</v>
      </c>
      <c r="AD485" s="88" cm="1">
        <f t="array" ref="AD485">_xlfn.IFS(
AND(L485="marginal_effect",M485="level"),N485*AN485/BF485,
AND(L485="marginal_effect",M485="sd (Y)"),N485*BH485*AN485/BF485,
AND(L485="marginal_effect",M485="sd (X)"),N485/AQ485*AN485/BF485,
AND(L485="semi_elasticity",M485="level"),N485*AN485,
AND(L485="semi_elasticity",M485="sd (Y)"),N485*AN485*BH485,
AND(L485="semi_elasticity",M485="sd (X)"),N485*AN485/AQ485,
AND(L485="level-log",M485="level"),N485/BF485,
AND(L485="level-log",M485="sd (X)"),N485/BF485/AQ485,
AND(L485="level-log",M485="sd (Y)"),N485/BF485*BH485,
AND(L485="elasticity",M485="level"),N485,
AND(L485="elasticity",M485="sd (X)"),N485/AQ485,
AND(L485="elasticity",M485="sd (Y)"),N485*BH485,
AND(L485="marginal_effect",M485="percent_of_mean"),N485*AN485/BF485/10)</f>
        <v>6.5356004250797023E-3</v>
      </c>
      <c r="AE485" s="56">
        <f t="shared" si="191"/>
        <v>1</v>
      </c>
      <c r="AF485" s="88">
        <f t="shared" si="195"/>
        <v>2.9224229543039319E-3</v>
      </c>
      <c r="AG485" s="88" cm="1">
        <f t="array" ref="AG485">_xlfn.IFS(
AND(L485="marginal_effect",M485="level"),O485*AN485/BF485,
AND(L485="marginal_effect",M485="sd (Y)"),O485*BH485*AN485/BF485,
AND(L485="marginal_effect",M485="sd (X)"),O485/AQ485*AN485/BF485,
AND(L485="semi_elasticity",M485="level"),O485*AN485,
AND(L485="semi_elasticity",M485="sd (Y)"),O485*AN485*BH485,
AND(L485="semi_elasticity",M485="sd (X)"),O485*AN485/AQ485,
AND(L485="level-log",M485="level"),O485/BF485,
AND(L485="level-log",M485="sd (X)"),O485/BF485/AQ485,
AND(L485="level-log",M485="sd (Y)"),O485/BF485*BH485,
AND(L485="elasticity",M485="level"),O485,
AND(L485="elasticity",M485="sd (X)"),O485/AQ485,
AND(L485="elasticity",M485="sd (Y)"),O485*BH485,
AND(L485="marginal_effect",M485="percent_of_mean"),O485*AN485/BF485/10)</f>
        <v>2.9224229543039319E-3</v>
      </c>
      <c r="AH485" s="56">
        <f t="shared" si="192"/>
        <v>1</v>
      </c>
      <c r="AI485" s="88">
        <f t="shared" si="196"/>
        <v>6.5356004250797023E-3</v>
      </c>
      <c r="AJ485" s="55">
        <v>0</v>
      </c>
      <c r="AK485" s="55">
        <f t="shared" si="185"/>
        <v>1</v>
      </c>
      <c r="AL485" s="55" t="s">
        <v>148</v>
      </c>
      <c r="AM485" s="76" t="s">
        <v>1411</v>
      </c>
      <c r="AN485" s="76">
        <v>3.5609999999999999</v>
      </c>
      <c r="AO485" s="76">
        <v>0</v>
      </c>
      <c r="AP485" s="76">
        <f t="shared" si="197"/>
        <v>3.5609999999999999</v>
      </c>
      <c r="AQ485" s="76">
        <v>2.0409999999999999</v>
      </c>
      <c r="AR485" s="76">
        <v>-9.2100000000000009</v>
      </c>
      <c r="AS485" s="76">
        <v>5.3179999999999996</v>
      </c>
      <c r="AT485" s="55" t="s">
        <v>83</v>
      </c>
      <c r="AU485" s="55" t="s">
        <v>109</v>
      </c>
      <c r="AV485" s="55" t="s">
        <v>133</v>
      </c>
      <c r="AW485" s="55" t="s">
        <v>85</v>
      </c>
      <c r="AX485" s="55" t="s">
        <v>86</v>
      </c>
      <c r="AY485" s="55">
        <v>0</v>
      </c>
      <c r="AZ485" s="55">
        <v>0</v>
      </c>
      <c r="BA485" s="55" t="s">
        <v>734</v>
      </c>
      <c r="BB485" s="55" t="s">
        <v>88</v>
      </c>
      <c r="BC485" s="55" t="s">
        <v>89</v>
      </c>
      <c r="BD485" s="55" t="s">
        <v>114</v>
      </c>
      <c r="BE485" s="55" t="s">
        <v>1169</v>
      </c>
      <c r="BF485" s="55">
        <v>18.82</v>
      </c>
      <c r="BG485" s="55">
        <v>0</v>
      </c>
      <c r="BH485" s="55">
        <v>16.25</v>
      </c>
      <c r="BI485" s="55">
        <v>-218.25</v>
      </c>
      <c r="BJ485" s="55">
        <v>370.012</v>
      </c>
      <c r="BK485" s="55" t="s">
        <v>91</v>
      </c>
      <c r="BL485" s="55" t="s">
        <v>84</v>
      </c>
      <c r="BM485" s="55">
        <v>1</v>
      </c>
      <c r="BN485" s="55" t="s">
        <v>539</v>
      </c>
      <c r="BO485" s="55" t="s">
        <v>1175</v>
      </c>
      <c r="BP485" s="55" t="s">
        <v>1176</v>
      </c>
      <c r="BQ485" s="55" t="s">
        <v>117</v>
      </c>
      <c r="BR485" s="55" t="s">
        <v>93</v>
      </c>
      <c r="BS485" s="55">
        <v>26.151</v>
      </c>
      <c r="BT485" s="55">
        <v>0</v>
      </c>
      <c r="BU485" s="55">
        <v>2014</v>
      </c>
      <c r="BV485" s="55">
        <v>2019</v>
      </c>
      <c r="BW485" s="55" t="s">
        <v>736</v>
      </c>
      <c r="BX485" s="55" t="s">
        <v>95</v>
      </c>
      <c r="BY485" s="55" t="s">
        <v>96</v>
      </c>
      <c r="BZ485" s="55">
        <v>0</v>
      </c>
      <c r="CA485" s="55">
        <v>0</v>
      </c>
      <c r="CB485" s="55" t="s">
        <v>97</v>
      </c>
      <c r="CC485" s="55" t="s">
        <v>1181</v>
      </c>
      <c r="CD485" s="55">
        <v>1</v>
      </c>
      <c r="CE485" s="55" t="s">
        <v>1182</v>
      </c>
      <c r="CF485" s="55">
        <v>0</v>
      </c>
      <c r="CG485" s="55" t="s">
        <v>97</v>
      </c>
      <c r="CH485" s="55">
        <v>1</v>
      </c>
      <c r="CI485" s="55" t="s">
        <v>509</v>
      </c>
      <c r="CJ485" s="55" t="s">
        <v>98</v>
      </c>
      <c r="CK485" s="55">
        <v>61</v>
      </c>
      <c r="CL485" s="55">
        <v>0</v>
      </c>
      <c r="CM485" s="55">
        <v>0</v>
      </c>
      <c r="CN485" s="55" t="s">
        <v>99</v>
      </c>
      <c r="CO485" s="55" t="s">
        <v>97</v>
      </c>
      <c r="CP485" s="55" t="s">
        <v>100</v>
      </c>
      <c r="CQ485" s="55" t="s">
        <v>126</v>
      </c>
      <c r="CR485" s="57">
        <v>46226</v>
      </c>
      <c r="CT485" s="55" t="s">
        <v>779</v>
      </c>
    </row>
    <row r="486" spans="1:98" s="55" customFormat="1" x14ac:dyDescent="0.35">
      <c r="A486" s="54" t="s">
        <v>1170</v>
      </c>
      <c r="B486" s="54" t="s">
        <v>1193</v>
      </c>
      <c r="C486" s="55" t="s">
        <v>1171</v>
      </c>
      <c r="D486" s="55">
        <v>2023</v>
      </c>
      <c r="E486" s="54" t="s">
        <v>1172</v>
      </c>
      <c r="F486" s="54" t="s">
        <v>1173</v>
      </c>
      <c r="G486" s="55" t="s">
        <v>78</v>
      </c>
      <c r="H486" s="55">
        <v>1</v>
      </c>
      <c r="I486" s="55" t="s">
        <v>290</v>
      </c>
      <c r="J486" s="55" t="s">
        <v>1174</v>
      </c>
      <c r="K486" s="55">
        <v>12</v>
      </c>
      <c r="L486" s="55" t="s">
        <v>1179</v>
      </c>
      <c r="M486" s="55" t="s">
        <v>380</v>
      </c>
      <c r="N486" s="55">
        <v>-5.1680000000000001</v>
      </c>
      <c r="O486" s="55">
        <v>1.5309999999999999</v>
      </c>
      <c r="P486" s="88">
        <f t="shared" si="180"/>
        <v>-3.3755715218811235</v>
      </c>
      <c r="Q486" s="55" t="s">
        <v>312</v>
      </c>
      <c r="R486" s="88">
        <f t="shared" si="181"/>
        <v>-8.1687599999999989</v>
      </c>
      <c r="S486" s="88">
        <f t="shared" si="182"/>
        <v>-2.1672400000000005</v>
      </c>
      <c r="T486" s="55">
        <v>1</v>
      </c>
      <c r="U486" s="55">
        <v>21519</v>
      </c>
      <c r="V486" s="55">
        <v>1</v>
      </c>
      <c r="W486" s="55">
        <v>1</v>
      </c>
      <c r="X486" s="55">
        <f t="shared" si="193"/>
        <v>21518</v>
      </c>
      <c r="Y486" s="88">
        <f t="shared" si="183"/>
        <v>-2.3005485695078431E-2</v>
      </c>
      <c r="Z486" s="88">
        <f t="shared" si="184"/>
        <v>6.8152861066495896E-3</v>
      </c>
      <c r="AA486" s="88">
        <f t="shared" si="187"/>
        <v>2.3005485695078431E-2</v>
      </c>
      <c r="AB486" s="55" t="s">
        <v>81</v>
      </c>
      <c r="AC486" s="88">
        <f t="shared" si="194"/>
        <v>-0.27460148777895854</v>
      </c>
      <c r="AD486" s="88" cm="1">
        <f t="array" ref="AD486">_xlfn.IFS(
AND(L486="marginal_effect",M486="level"),N486*AN486/BF486,
AND(L486="marginal_effect",M486="sd (Y)"),N486*BH486*AN486/BF486,
AND(L486="marginal_effect",M486="sd (X)"),N486/AQ486*AN486/BF486,
AND(L486="semi_elasticity",M486="level"),N486*AN486,
AND(L486="semi_elasticity",M486="sd (Y)"),N486*AN486*BH486,
AND(L486="semi_elasticity",M486="sd (X)"),N486*AN486/AQ486,
AND(L486="level-log",M486="level"),N486/BF486,
AND(L486="level-log",M486="sd (X)"),N486/BF486/AQ486,
AND(L486="level-log",M486="sd (Y)"),N486/BF486*BH486,
AND(L486="elasticity",M486="level"),N486,
AND(L486="elasticity",M486="sd (X)"),N486/AQ486,
AND(L486="elasticity",M486="sd (Y)"),N486*BH486,
AND(L486="marginal_effect",M486="percent_of_mean"),N486*AN486/BF486/10)</f>
        <v>-0.27460148777895854</v>
      </c>
      <c r="AE486" s="56">
        <f t="shared" si="191"/>
        <v>1</v>
      </c>
      <c r="AF486" s="88">
        <f t="shared" si="195"/>
        <v>8.1349628055260359E-2</v>
      </c>
      <c r="AG486" s="88" cm="1">
        <f t="array" ref="AG486">_xlfn.IFS(
AND(L486="marginal_effect",M486="level"),O486*AN486/BF486,
AND(L486="marginal_effect",M486="sd (Y)"),O486*BH486*AN486/BF486,
AND(L486="marginal_effect",M486="sd (X)"),O486/AQ486*AN486/BF486,
AND(L486="semi_elasticity",M486="level"),O486*AN486,
AND(L486="semi_elasticity",M486="sd (Y)"),O486*AN486*BH486,
AND(L486="semi_elasticity",M486="sd (X)"),O486*AN486/AQ486,
AND(L486="level-log",M486="level"),O486/BF486,
AND(L486="level-log",M486="sd (X)"),O486/BF486/AQ486,
AND(L486="level-log",M486="sd (Y)"),O486/BF486*BH486,
AND(L486="elasticity",M486="level"),O486,
AND(L486="elasticity",M486="sd (X)"),O486/AQ486,
AND(L486="elasticity",M486="sd (Y)"),O486*BH486,
AND(L486="marginal_effect",M486="percent_of_mean"),O486*AN486/BF486/10)</f>
        <v>8.1349628055260359E-2</v>
      </c>
      <c r="AH486" s="56">
        <f t="shared" si="192"/>
        <v>1</v>
      </c>
      <c r="AI486" s="88">
        <f t="shared" si="196"/>
        <v>-0.27460148777895854</v>
      </c>
      <c r="AJ486" s="55">
        <v>0</v>
      </c>
      <c r="AK486" s="55">
        <f t="shared" si="185"/>
        <v>1</v>
      </c>
      <c r="AL486" s="55" t="s">
        <v>735</v>
      </c>
      <c r="AM486" s="76" t="s">
        <v>1411</v>
      </c>
      <c r="AN486" s="76">
        <v>4.5960000000000001</v>
      </c>
      <c r="AO486" s="76">
        <v>0</v>
      </c>
      <c r="AP486" s="76">
        <f t="shared" si="197"/>
        <v>4.5960000000000001</v>
      </c>
      <c r="AQ486" s="76">
        <v>0.48299999999999998</v>
      </c>
      <c r="AR486" s="76">
        <v>2.89</v>
      </c>
      <c r="AS486" s="76">
        <v>6.1840000000000002</v>
      </c>
      <c r="AT486" s="55" t="s">
        <v>83</v>
      </c>
      <c r="AU486" s="55" t="s">
        <v>109</v>
      </c>
      <c r="AV486" s="55" t="s">
        <v>133</v>
      </c>
      <c r="AW486" s="55" t="s">
        <v>85</v>
      </c>
      <c r="AX486" s="55" t="s">
        <v>86</v>
      </c>
      <c r="AY486" s="55">
        <v>0</v>
      </c>
      <c r="AZ486" s="55">
        <v>0</v>
      </c>
      <c r="BA486" s="55" t="s">
        <v>734</v>
      </c>
      <c r="BB486" s="55" t="s">
        <v>88</v>
      </c>
      <c r="BC486" s="55" t="s">
        <v>89</v>
      </c>
      <c r="BD486" s="55" t="s">
        <v>114</v>
      </c>
      <c r="BE486" s="55" t="s">
        <v>1169</v>
      </c>
      <c r="BF486" s="55">
        <v>18.82</v>
      </c>
      <c r="BG486" s="55">
        <v>0</v>
      </c>
      <c r="BH486" s="55">
        <v>16.25</v>
      </c>
      <c r="BI486" s="55">
        <v>-218.25</v>
      </c>
      <c r="BJ486" s="55">
        <v>370.012</v>
      </c>
      <c r="BK486" s="55" t="s">
        <v>91</v>
      </c>
      <c r="BL486" s="55" t="s">
        <v>84</v>
      </c>
      <c r="BM486" s="55">
        <v>1</v>
      </c>
      <c r="BN486" s="55" t="s">
        <v>539</v>
      </c>
      <c r="BO486" s="55" t="s">
        <v>1175</v>
      </c>
      <c r="BP486" s="55" t="s">
        <v>1176</v>
      </c>
      <c r="BQ486" s="55" t="s">
        <v>117</v>
      </c>
      <c r="BR486" s="55" t="s">
        <v>93</v>
      </c>
      <c r="BS486" s="55">
        <v>26.151</v>
      </c>
      <c r="BT486" s="55">
        <v>0</v>
      </c>
      <c r="BU486" s="55">
        <v>2014</v>
      </c>
      <c r="BV486" s="55">
        <v>2019</v>
      </c>
      <c r="BW486" s="55" t="s">
        <v>736</v>
      </c>
      <c r="BX486" s="55" t="s">
        <v>95</v>
      </c>
      <c r="BY486" s="55" t="s">
        <v>748</v>
      </c>
      <c r="BZ486" s="55">
        <v>1</v>
      </c>
      <c r="CA486" s="55">
        <v>1</v>
      </c>
      <c r="CB486" s="55" t="s">
        <v>1211</v>
      </c>
      <c r="CC486" s="55" t="s">
        <v>1177</v>
      </c>
      <c r="CD486" s="55">
        <v>0</v>
      </c>
      <c r="CE486" s="55" t="s">
        <v>97</v>
      </c>
      <c r="CF486" s="55">
        <v>0</v>
      </c>
      <c r="CG486" s="55" t="s">
        <v>97</v>
      </c>
      <c r="CH486" s="55">
        <v>1</v>
      </c>
      <c r="CI486" s="55" t="s">
        <v>509</v>
      </c>
      <c r="CJ486" s="55" t="s">
        <v>98</v>
      </c>
      <c r="CK486" s="55">
        <v>61</v>
      </c>
      <c r="CL486" s="55">
        <v>0</v>
      </c>
      <c r="CM486" s="55">
        <v>0</v>
      </c>
      <c r="CN486" s="55" t="s">
        <v>99</v>
      </c>
      <c r="CO486" s="55" t="s">
        <v>97</v>
      </c>
      <c r="CP486" s="55" t="s">
        <v>100</v>
      </c>
      <c r="CQ486" s="55" t="s">
        <v>126</v>
      </c>
      <c r="CR486" s="57">
        <v>46226</v>
      </c>
      <c r="CT486" s="55" t="s">
        <v>449</v>
      </c>
    </row>
    <row r="487" spans="1:98" s="55" customFormat="1" x14ac:dyDescent="0.35">
      <c r="A487" s="54" t="s">
        <v>1170</v>
      </c>
      <c r="B487" s="54" t="s">
        <v>1194</v>
      </c>
      <c r="C487" s="55" t="s">
        <v>1171</v>
      </c>
      <c r="D487" s="55">
        <v>2023</v>
      </c>
      <c r="E487" s="54" t="s">
        <v>1172</v>
      </c>
      <c r="F487" s="54" t="s">
        <v>1173</v>
      </c>
      <c r="G487" s="55" t="s">
        <v>78</v>
      </c>
      <c r="H487" s="55">
        <v>1</v>
      </c>
      <c r="I487" s="55" t="s">
        <v>290</v>
      </c>
      <c r="J487" s="55" t="s">
        <v>1174</v>
      </c>
      <c r="K487" s="55">
        <v>12</v>
      </c>
      <c r="L487" s="55" t="s">
        <v>1179</v>
      </c>
      <c r="M487" s="55" t="s">
        <v>380</v>
      </c>
      <c r="N487" s="55">
        <v>-4.9850000000000003</v>
      </c>
      <c r="O487" s="55">
        <v>1.552</v>
      </c>
      <c r="P487" s="88">
        <f t="shared" si="180"/>
        <v>-3.2119845360824741</v>
      </c>
      <c r="Q487" s="55" t="s">
        <v>312</v>
      </c>
      <c r="R487" s="88">
        <f t="shared" si="181"/>
        <v>-8.0269200000000005</v>
      </c>
      <c r="S487" s="88">
        <f t="shared" si="182"/>
        <v>-1.9430800000000001</v>
      </c>
      <c r="T487" s="55">
        <v>1</v>
      </c>
      <c r="U487" s="55">
        <v>21519</v>
      </c>
      <c r="V487" s="55">
        <v>1</v>
      </c>
      <c r="W487" s="55">
        <v>1</v>
      </c>
      <c r="X487" s="55">
        <f t="shared" si="193"/>
        <v>21518</v>
      </c>
      <c r="Y487" s="88">
        <f t="shared" si="183"/>
        <v>-2.1891141463105029E-2</v>
      </c>
      <c r="Z487" s="88">
        <f t="shared" si="184"/>
        <v>6.8154566801883667E-3</v>
      </c>
      <c r="AA487" s="88">
        <f t="shared" si="187"/>
        <v>2.1891141463105029E-2</v>
      </c>
      <c r="AB487" s="55" t="s">
        <v>81</v>
      </c>
      <c r="AC487" s="88">
        <f t="shared" si="194"/>
        <v>-0.26487778958554731</v>
      </c>
      <c r="AD487" s="88" cm="1">
        <f t="array" ref="AD487">_xlfn.IFS(
AND(L487="marginal_effect",M487="level"),N487*AN487/BF487,
AND(L487="marginal_effect",M487="sd (Y)"),N487*BH487*AN487/BF487,
AND(L487="marginal_effect",M487="sd (X)"),N487/AQ487*AN487/BF487,
AND(L487="semi_elasticity",M487="level"),N487*AN487,
AND(L487="semi_elasticity",M487="sd (Y)"),N487*AN487*BH487,
AND(L487="semi_elasticity",M487="sd (X)"),N487*AN487/AQ487,
AND(L487="level-log",M487="level"),N487/BF487,
AND(L487="level-log",M487="sd (X)"),N487/BF487/AQ487,
AND(L487="level-log",M487="sd (Y)"),N487/BF487*BH487,
AND(L487="elasticity",M487="level"),N487,
AND(L487="elasticity",M487="sd (X)"),N487/AQ487,
AND(L487="elasticity",M487="sd (Y)"),N487*BH487,
AND(L487="marginal_effect",M487="percent_of_mean"),N487*AN487/BF487/10)</f>
        <v>-0.26487778958554731</v>
      </c>
      <c r="AE487" s="56">
        <f t="shared" si="191"/>
        <v>1</v>
      </c>
      <c r="AF487" s="88">
        <f t="shared" si="195"/>
        <v>8.2465462274176407E-2</v>
      </c>
      <c r="AG487" s="88" cm="1">
        <f t="array" ref="AG487">_xlfn.IFS(
AND(L487="marginal_effect",M487="level"),O487*AN487/BF487,
AND(L487="marginal_effect",M487="sd (Y)"),O487*BH487*AN487/BF487,
AND(L487="marginal_effect",M487="sd (X)"),O487/AQ487*AN487/BF487,
AND(L487="semi_elasticity",M487="level"),O487*AN487,
AND(L487="semi_elasticity",M487="sd (Y)"),O487*AN487*BH487,
AND(L487="semi_elasticity",M487="sd (X)"),O487*AN487/AQ487,
AND(L487="level-log",M487="level"),O487/BF487,
AND(L487="level-log",M487="sd (X)"),O487/BF487/AQ487,
AND(L487="level-log",M487="sd (Y)"),O487/BF487*BH487,
AND(L487="elasticity",M487="level"),O487,
AND(L487="elasticity",M487="sd (X)"),O487/AQ487,
AND(L487="elasticity",M487="sd (Y)"),O487*BH487,
AND(L487="marginal_effect",M487="percent_of_mean"),O487*AN487/BF487/10)</f>
        <v>8.2465462274176407E-2</v>
      </c>
      <c r="AH487" s="56">
        <f t="shared" si="192"/>
        <v>1</v>
      </c>
      <c r="AI487" s="88">
        <f t="shared" si="196"/>
        <v>-0.26487778958554731</v>
      </c>
      <c r="AJ487" s="55">
        <v>0</v>
      </c>
      <c r="AK487" s="55">
        <f t="shared" si="185"/>
        <v>1</v>
      </c>
      <c r="AL487" s="55" t="s">
        <v>735</v>
      </c>
      <c r="AM487" s="76" t="s">
        <v>1411</v>
      </c>
      <c r="AN487" s="76">
        <v>4.5960000000000001</v>
      </c>
      <c r="AO487" s="76">
        <v>0</v>
      </c>
      <c r="AP487" s="76">
        <f t="shared" si="197"/>
        <v>4.5960000000000001</v>
      </c>
      <c r="AQ487" s="76">
        <v>0.48299999999999998</v>
      </c>
      <c r="AR487" s="76">
        <v>2.89</v>
      </c>
      <c r="AS487" s="76">
        <v>6.1840000000000002</v>
      </c>
      <c r="AT487" s="55" t="s">
        <v>83</v>
      </c>
      <c r="AU487" s="55" t="s">
        <v>109</v>
      </c>
      <c r="AV487" s="55" t="s">
        <v>133</v>
      </c>
      <c r="AW487" s="55" t="s">
        <v>85</v>
      </c>
      <c r="AX487" s="55" t="s">
        <v>86</v>
      </c>
      <c r="AY487" s="55">
        <v>0</v>
      </c>
      <c r="AZ487" s="55">
        <v>0</v>
      </c>
      <c r="BA487" s="55" t="s">
        <v>734</v>
      </c>
      <c r="BB487" s="55" t="s">
        <v>88</v>
      </c>
      <c r="BC487" s="55" t="s">
        <v>89</v>
      </c>
      <c r="BD487" s="55" t="s">
        <v>114</v>
      </c>
      <c r="BE487" s="55" t="s">
        <v>1169</v>
      </c>
      <c r="BF487" s="55">
        <v>18.82</v>
      </c>
      <c r="BG487" s="55">
        <v>0</v>
      </c>
      <c r="BH487" s="55">
        <v>16.25</v>
      </c>
      <c r="BI487" s="55">
        <v>-218.25</v>
      </c>
      <c r="BJ487" s="55">
        <v>370.012</v>
      </c>
      <c r="BK487" s="55" t="s">
        <v>91</v>
      </c>
      <c r="BL487" s="55" t="s">
        <v>84</v>
      </c>
      <c r="BM487" s="55">
        <v>1</v>
      </c>
      <c r="BN487" s="55" t="s">
        <v>539</v>
      </c>
      <c r="BO487" s="55" t="s">
        <v>1175</v>
      </c>
      <c r="BP487" s="55" t="s">
        <v>1176</v>
      </c>
      <c r="BQ487" s="55" t="s">
        <v>117</v>
      </c>
      <c r="BR487" s="55" t="s">
        <v>93</v>
      </c>
      <c r="BS487" s="55">
        <v>26.151</v>
      </c>
      <c r="BT487" s="55">
        <v>0</v>
      </c>
      <c r="BU487" s="55">
        <v>2014</v>
      </c>
      <c r="BV487" s="55">
        <v>2019</v>
      </c>
      <c r="BW487" s="55" t="s">
        <v>736</v>
      </c>
      <c r="BX487" s="55" t="s">
        <v>95</v>
      </c>
      <c r="BY487" s="55" t="s">
        <v>748</v>
      </c>
      <c r="BZ487" s="55">
        <v>1</v>
      </c>
      <c r="CA487" s="55">
        <v>1</v>
      </c>
      <c r="CB487" s="55" t="s">
        <v>1211</v>
      </c>
      <c r="CC487" s="55" t="s">
        <v>1181</v>
      </c>
      <c r="CD487" s="55">
        <v>0</v>
      </c>
      <c r="CE487" s="55" t="s">
        <v>97</v>
      </c>
      <c r="CF487" s="55">
        <v>0</v>
      </c>
      <c r="CG487" s="55" t="s">
        <v>97</v>
      </c>
      <c r="CH487" s="55">
        <v>1</v>
      </c>
      <c r="CI487" s="55" t="s">
        <v>509</v>
      </c>
      <c r="CJ487" s="55" t="s">
        <v>98</v>
      </c>
      <c r="CK487" s="55">
        <v>61</v>
      </c>
      <c r="CL487" s="55">
        <v>0</v>
      </c>
      <c r="CM487" s="55">
        <v>0</v>
      </c>
      <c r="CN487" s="55" t="s">
        <v>99</v>
      </c>
      <c r="CO487" s="55" t="s">
        <v>97</v>
      </c>
      <c r="CP487" s="55" t="s">
        <v>100</v>
      </c>
      <c r="CQ487" s="55" t="s">
        <v>126</v>
      </c>
      <c r="CR487" s="57">
        <v>46226</v>
      </c>
      <c r="CT487" s="55" t="s">
        <v>450</v>
      </c>
    </row>
    <row r="488" spans="1:98" s="55" customFormat="1" x14ac:dyDescent="0.35">
      <c r="A488" s="54" t="s">
        <v>1170</v>
      </c>
      <c r="B488" s="54" t="s">
        <v>1195</v>
      </c>
      <c r="C488" s="55" t="s">
        <v>1171</v>
      </c>
      <c r="D488" s="55">
        <v>2023</v>
      </c>
      <c r="E488" s="54" t="s">
        <v>1172</v>
      </c>
      <c r="F488" s="54" t="s">
        <v>1173</v>
      </c>
      <c r="G488" s="55" t="s">
        <v>78</v>
      </c>
      <c r="H488" s="55">
        <v>1</v>
      </c>
      <c r="I488" s="55" t="s">
        <v>290</v>
      </c>
      <c r="J488" s="55" t="s">
        <v>1174</v>
      </c>
      <c r="K488" s="55">
        <v>12</v>
      </c>
      <c r="L488" s="55" t="s">
        <v>1179</v>
      </c>
      <c r="M488" s="55" t="s">
        <v>380</v>
      </c>
      <c r="N488" s="55">
        <v>-4.8470000000000004</v>
      </c>
      <c r="O488" s="55">
        <v>1.5509999999999999</v>
      </c>
      <c r="P488" s="88">
        <f t="shared" si="180"/>
        <v>-3.1250805931656997</v>
      </c>
      <c r="Q488" s="55" t="s">
        <v>312</v>
      </c>
      <c r="R488" s="88">
        <f t="shared" si="181"/>
        <v>-7.8869600000000002</v>
      </c>
      <c r="S488" s="88">
        <f t="shared" si="182"/>
        <v>-1.8070400000000006</v>
      </c>
      <c r="T488" s="55">
        <v>1</v>
      </c>
      <c r="U488" s="55">
        <v>21519</v>
      </c>
      <c r="V488" s="55">
        <v>6</v>
      </c>
      <c r="W488" s="55">
        <v>1</v>
      </c>
      <c r="X488" s="55">
        <f t="shared" si="193"/>
        <v>21513</v>
      </c>
      <c r="Y488" s="88">
        <f t="shared" si="183"/>
        <v>-2.1301597711959396E-2</v>
      </c>
      <c r="Z488" s="88">
        <f t="shared" si="184"/>
        <v>6.8163354758095764E-3</v>
      </c>
      <c r="AA488" s="88">
        <f t="shared" si="187"/>
        <v>2.1301597711959396E-2</v>
      </c>
      <c r="AB488" s="55" t="s">
        <v>81</v>
      </c>
      <c r="AC488" s="88">
        <f t="shared" si="194"/>
        <v>-0.25754516471838473</v>
      </c>
      <c r="AD488" s="88" cm="1">
        <f t="array" ref="AD488">_xlfn.IFS(
AND(L488="marginal_effect",M488="level"),N488*AN488/BF488,
AND(L488="marginal_effect",M488="sd (Y)"),N488*BH488*AN488/BF488,
AND(L488="marginal_effect",M488="sd (X)"),N488/AQ488*AN488/BF488,
AND(L488="semi_elasticity",M488="level"),N488*AN488,
AND(L488="semi_elasticity",M488="sd (Y)"),N488*AN488*BH488,
AND(L488="semi_elasticity",M488="sd (X)"),N488*AN488/AQ488,
AND(L488="level-log",M488="level"),N488/BF488,
AND(L488="level-log",M488="sd (X)"),N488/BF488/AQ488,
AND(L488="level-log",M488="sd (Y)"),N488/BF488*BH488,
AND(L488="elasticity",M488="level"),N488,
AND(L488="elasticity",M488="sd (X)"),N488/AQ488,
AND(L488="elasticity",M488="sd (Y)"),N488*BH488,
AND(L488="marginal_effect",M488="percent_of_mean"),N488*AN488/BF488/10)</f>
        <v>-0.25754516471838473</v>
      </c>
      <c r="AE488" s="56">
        <f t="shared" si="191"/>
        <v>1</v>
      </c>
      <c r="AF488" s="88">
        <f t="shared" si="195"/>
        <v>8.2412327311370881E-2</v>
      </c>
      <c r="AG488" s="88" cm="1">
        <f t="array" ref="AG488">_xlfn.IFS(
AND(L488="marginal_effect",M488="level"),O488*AN488/BF488,
AND(L488="marginal_effect",M488="sd (Y)"),O488*BH488*AN488/BF488,
AND(L488="marginal_effect",M488="sd (X)"),O488/AQ488*AN488/BF488,
AND(L488="semi_elasticity",M488="level"),O488*AN488,
AND(L488="semi_elasticity",M488="sd (Y)"),O488*AN488*BH488,
AND(L488="semi_elasticity",M488="sd (X)"),O488*AN488/AQ488,
AND(L488="level-log",M488="level"),O488/BF488,
AND(L488="level-log",M488="sd (X)"),O488/BF488/AQ488,
AND(L488="level-log",M488="sd (Y)"),O488/BF488*BH488,
AND(L488="elasticity",M488="level"),O488,
AND(L488="elasticity",M488="sd (X)"),O488/AQ488,
AND(L488="elasticity",M488="sd (Y)"),O488*BH488,
AND(L488="marginal_effect",M488="percent_of_mean"),O488*AN488/BF488/10)</f>
        <v>8.2412327311370881E-2</v>
      </c>
      <c r="AH488" s="56">
        <f t="shared" si="192"/>
        <v>1</v>
      </c>
      <c r="AI488" s="88">
        <f t="shared" si="196"/>
        <v>-0.25754516471838473</v>
      </c>
      <c r="AJ488" s="55">
        <v>0</v>
      </c>
      <c r="AK488" s="55">
        <f t="shared" si="185"/>
        <v>1</v>
      </c>
      <c r="AL488" s="55" t="s">
        <v>735</v>
      </c>
      <c r="AM488" s="76" t="s">
        <v>1411</v>
      </c>
      <c r="AN488" s="76">
        <v>4.5960000000000001</v>
      </c>
      <c r="AO488" s="76">
        <v>0</v>
      </c>
      <c r="AP488" s="76">
        <f t="shared" si="197"/>
        <v>4.5960000000000001</v>
      </c>
      <c r="AQ488" s="76">
        <v>0.48299999999999998</v>
      </c>
      <c r="AR488" s="76">
        <v>2.89</v>
      </c>
      <c r="AS488" s="76">
        <v>6.1840000000000002</v>
      </c>
      <c r="AT488" s="55" t="s">
        <v>83</v>
      </c>
      <c r="AU488" s="55" t="s">
        <v>109</v>
      </c>
      <c r="AV488" s="55" t="s">
        <v>133</v>
      </c>
      <c r="AW488" s="55" t="s">
        <v>85</v>
      </c>
      <c r="AX488" s="55" t="s">
        <v>86</v>
      </c>
      <c r="AY488" s="55">
        <v>0</v>
      </c>
      <c r="AZ488" s="55">
        <v>0</v>
      </c>
      <c r="BA488" s="55" t="s">
        <v>734</v>
      </c>
      <c r="BB488" s="55" t="s">
        <v>88</v>
      </c>
      <c r="BC488" s="55" t="s">
        <v>89</v>
      </c>
      <c r="BD488" s="55" t="s">
        <v>114</v>
      </c>
      <c r="BE488" s="55" t="s">
        <v>1169</v>
      </c>
      <c r="BF488" s="55">
        <v>18.82</v>
      </c>
      <c r="BG488" s="55">
        <v>0</v>
      </c>
      <c r="BH488" s="55">
        <v>16.25</v>
      </c>
      <c r="BI488" s="55">
        <v>-218.25</v>
      </c>
      <c r="BJ488" s="55">
        <v>370.012</v>
      </c>
      <c r="BK488" s="55" t="s">
        <v>91</v>
      </c>
      <c r="BL488" s="55" t="s">
        <v>84</v>
      </c>
      <c r="BM488" s="55">
        <v>1</v>
      </c>
      <c r="BN488" s="55" t="s">
        <v>539</v>
      </c>
      <c r="BO488" s="55" t="s">
        <v>1175</v>
      </c>
      <c r="BP488" s="55" t="s">
        <v>1176</v>
      </c>
      <c r="BQ488" s="55" t="s">
        <v>117</v>
      </c>
      <c r="BR488" s="55" t="s">
        <v>93</v>
      </c>
      <c r="BS488" s="55">
        <v>26.151</v>
      </c>
      <c r="BT488" s="55">
        <v>0</v>
      </c>
      <c r="BU488" s="55">
        <v>2014</v>
      </c>
      <c r="BV488" s="55">
        <v>2019</v>
      </c>
      <c r="BW488" s="55" t="s">
        <v>736</v>
      </c>
      <c r="BX488" s="55" t="s">
        <v>95</v>
      </c>
      <c r="BY488" s="55" t="s">
        <v>748</v>
      </c>
      <c r="BZ488" s="55">
        <v>1</v>
      </c>
      <c r="CA488" s="55">
        <v>1</v>
      </c>
      <c r="CB488" s="55" t="s">
        <v>1211</v>
      </c>
      <c r="CC488" s="55" t="s">
        <v>1177</v>
      </c>
      <c r="CD488" s="55">
        <v>0</v>
      </c>
      <c r="CE488" s="55" t="s">
        <v>97</v>
      </c>
      <c r="CF488" s="55">
        <v>0</v>
      </c>
      <c r="CG488" s="55" t="s">
        <v>97</v>
      </c>
      <c r="CH488" s="55">
        <v>1</v>
      </c>
      <c r="CI488" s="55" t="s">
        <v>509</v>
      </c>
      <c r="CJ488" s="55" t="s">
        <v>98</v>
      </c>
      <c r="CK488" s="55">
        <v>61</v>
      </c>
      <c r="CL488" s="55">
        <v>0</v>
      </c>
      <c r="CM488" s="55">
        <v>0</v>
      </c>
      <c r="CN488" s="55" t="s">
        <v>99</v>
      </c>
      <c r="CO488" s="55" t="s">
        <v>97</v>
      </c>
      <c r="CP488" s="55" t="s">
        <v>100</v>
      </c>
      <c r="CQ488" s="55" t="s">
        <v>126</v>
      </c>
      <c r="CR488" s="57">
        <v>46226</v>
      </c>
      <c r="CT488" s="55" t="s">
        <v>451</v>
      </c>
    </row>
    <row r="489" spans="1:98" s="55" customFormat="1" x14ac:dyDescent="0.35">
      <c r="A489" s="54" t="s">
        <v>1170</v>
      </c>
      <c r="B489" s="54" t="s">
        <v>1196</v>
      </c>
      <c r="C489" s="55" t="s">
        <v>1171</v>
      </c>
      <c r="D489" s="55">
        <v>2023</v>
      </c>
      <c r="E489" s="54" t="s">
        <v>1172</v>
      </c>
      <c r="F489" s="54" t="s">
        <v>1173</v>
      </c>
      <c r="G489" s="55" t="s">
        <v>78</v>
      </c>
      <c r="H489" s="55">
        <v>1</v>
      </c>
      <c r="I489" s="55" t="s">
        <v>290</v>
      </c>
      <c r="J489" s="55" t="s">
        <v>1174</v>
      </c>
      <c r="K489" s="55">
        <v>12</v>
      </c>
      <c r="L489" s="55" t="s">
        <v>1179</v>
      </c>
      <c r="M489" s="55" t="s">
        <v>380</v>
      </c>
      <c r="N489" s="55">
        <v>-4.6710000000000003</v>
      </c>
      <c r="O489" s="55">
        <v>1.552</v>
      </c>
      <c r="P489" s="88">
        <f t="shared" si="180"/>
        <v>-3.0096649484536084</v>
      </c>
      <c r="Q489" s="55" t="s">
        <v>312</v>
      </c>
      <c r="R489" s="88">
        <f t="shared" si="181"/>
        <v>-7.7129200000000004</v>
      </c>
      <c r="S489" s="88">
        <f t="shared" si="182"/>
        <v>-1.6290800000000001</v>
      </c>
      <c r="T489" s="55">
        <v>1</v>
      </c>
      <c r="U489" s="55">
        <v>21519</v>
      </c>
      <c r="V489" s="55">
        <v>6</v>
      </c>
      <c r="W489" s="55">
        <v>1</v>
      </c>
      <c r="X489" s="55">
        <f t="shared" si="193"/>
        <v>21513</v>
      </c>
      <c r="Y489" s="88">
        <f t="shared" si="183"/>
        <v>-2.0515223411198266E-2</v>
      </c>
      <c r="Z489" s="88">
        <f t="shared" si="184"/>
        <v>6.8164475988395862E-3</v>
      </c>
      <c r="AA489" s="88">
        <f t="shared" si="187"/>
        <v>2.0515223411198266E-2</v>
      </c>
      <c r="AB489" s="55" t="s">
        <v>81</v>
      </c>
      <c r="AC489" s="88">
        <f t="shared" si="194"/>
        <v>-0.24819341126461211</v>
      </c>
      <c r="AD489" s="88" cm="1">
        <f t="array" ref="AD489">_xlfn.IFS(
AND(L489="marginal_effect",M489="level"),N489*AN489/BF489,
AND(L489="marginal_effect",M489="sd (Y)"),N489*BH489*AN489/BF489,
AND(L489="marginal_effect",M489="sd (X)"),N489/AQ489*AN489/BF489,
AND(L489="semi_elasticity",M489="level"),N489*AN489,
AND(L489="semi_elasticity",M489="sd (Y)"),N489*AN489*BH489,
AND(L489="semi_elasticity",M489="sd (X)"),N489*AN489/AQ489,
AND(L489="level-log",M489="level"),N489/BF489,
AND(L489="level-log",M489="sd (X)"),N489/BF489/AQ489,
AND(L489="level-log",M489="sd (Y)"),N489/BF489*BH489,
AND(L489="elasticity",M489="level"),N489,
AND(L489="elasticity",M489="sd (X)"),N489/AQ489,
AND(L489="elasticity",M489="sd (Y)"),N489*BH489,
AND(L489="marginal_effect",M489="percent_of_mean"),N489*AN489/BF489/10)</f>
        <v>-0.24819341126461211</v>
      </c>
      <c r="AE489" s="56">
        <f t="shared" si="191"/>
        <v>1</v>
      </c>
      <c r="AF489" s="88">
        <f t="shared" si="195"/>
        <v>8.2465462274176407E-2</v>
      </c>
      <c r="AG489" s="88" cm="1">
        <f t="array" ref="AG489">_xlfn.IFS(
AND(L489="marginal_effect",M489="level"),O489*AN489/BF489,
AND(L489="marginal_effect",M489="sd (Y)"),O489*BH489*AN489/BF489,
AND(L489="marginal_effect",M489="sd (X)"),O489/AQ489*AN489/BF489,
AND(L489="semi_elasticity",M489="level"),O489*AN489,
AND(L489="semi_elasticity",M489="sd (Y)"),O489*AN489*BH489,
AND(L489="semi_elasticity",M489="sd (X)"),O489*AN489/AQ489,
AND(L489="level-log",M489="level"),O489/BF489,
AND(L489="level-log",M489="sd (X)"),O489/BF489/AQ489,
AND(L489="level-log",M489="sd (Y)"),O489/BF489*BH489,
AND(L489="elasticity",M489="level"),O489,
AND(L489="elasticity",M489="sd (X)"),O489/AQ489,
AND(L489="elasticity",M489="sd (Y)"),O489*BH489,
AND(L489="marginal_effect",M489="percent_of_mean"),O489*AN489/BF489/10)</f>
        <v>8.2465462274176407E-2</v>
      </c>
      <c r="AH489" s="56">
        <f t="shared" si="192"/>
        <v>1</v>
      </c>
      <c r="AI489" s="88">
        <f t="shared" si="196"/>
        <v>-0.24819341126461211</v>
      </c>
      <c r="AJ489" s="55">
        <v>0</v>
      </c>
      <c r="AK489" s="55">
        <f t="shared" si="185"/>
        <v>1</v>
      </c>
      <c r="AL489" s="55" t="s">
        <v>735</v>
      </c>
      <c r="AM489" s="76" t="s">
        <v>1411</v>
      </c>
      <c r="AN489" s="76">
        <v>4.5960000000000001</v>
      </c>
      <c r="AO489" s="76">
        <v>0</v>
      </c>
      <c r="AP489" s="76">
        <f t="shared" si="197"/>
        <v>4.5960000000000001</v>
      </c>
      <c r="AQ489" s="76">
        <v>0.48299999999999998</v>
      </c>
      <c r="AR489" s="76">
        <v>2.89</v>
      </c>
      <c r="AS489" s="76">
        <v>6.1840000000000002</v>
      </c>
      <c r="AT489" s="55" t="s">
        <v>83</v>
      </c>
      <c r="AU489" s="55" t="s">
        <v>109</v>
      </c>
      <c r="AV489" s="55" t="s">
        <v>133</v>
      </c>
      <c r="AW489" s="55" t="s">
        <v>85</v>
      </c>
      <c r="AX489" s="55" t="s">
        <v>86</v>
      </c>
      <c r="AY489" s="55">
        <v>0</v>
      </c>
      <c r="AZ489" s="55">
        <v>0</v>
      </c>
      <c r="BA489" s="55" t="s">
        <v>734</v>
      </c>
      <c r="BB489" s="55" t="s">
        <v>88</v>
      </c>
      <c r="BC489" s="55" t="s">
        <v>89</v>
      </c>
      <c r="BD489" s="55" t="s">
        <v>114</v>
      </c>
      <c r="BE489" s="55" t="s">
        <v>1169</v>
      </c>
      <c r="BF489" s="55">
        <v>18.82</v>
      </c>
      <c r="BG489" s="55">
        <v>0</v>
      </c>
      <c r="BH489" s="55">
        <v>16.25</v>
      </c>
      <c r="BI489" s="55">
        <v>-218.25</v>
      </c>
      <c r="BJ489" s="55">
        <v>370.012</v>
      </c>
      <c r="BK489" s="55" t="s">
        <v>91</v>
      </c>
      <c r="BL489" s="55" t="s">
        <v>84</v>
      </c>
      <c r="BM489" s="55">
        <v>1</v>
      </c>
      <c r="BN489" s="55" t="s">
        <v>539</v>
      </c>
      <c r="BO489" s="55" t="s">
        <v>1175</v>
      </c>
      <c r="BP489" s="55" t="s">
        <v>1176</v>
      </c>
      <c r="BQ489" s="55" t="s">
        <v>117</v>
      </c>
      <c r="BR489" s="55" t="s">
        <v>93</v>
      </c>
      <c r="BS489" s="55">
        <v>26.151</v>
      </c>
      <c r="BT489" s="55">
        <v>0</v>
      </c>
      <c r="BU489" s="55">
        <v>2014</v>
      </c>
      <c r="BV489" s="55">
        <v>2019</v>
      </c>
      <c r="BW489" s="55" t="s">
        <v>736</v>
      </c>
      <c r="BX489" s="55" t="s">
        <v>95</v>
      </c>
      <c r="BY489" s="55" t="s">
        <v>748</v>
      </c>
      <c r="BZ489" s="55">
        <v>1</v>
      </c>
      <c r="CA489" s="55">
        <v>1</v>
      </c>
      <c r="CB489" s="55" t="s">
        <v>1211</v>
      </c>
      <c r="CC489" s="55" t="s">
        <v>1181</v>
      </c>
      <c r="CD489" s="55">
        <v>0</v>
      </c>
      <c r="CE489" s="55" t="s">
        <v>97</v>
      </c>
      <c r="CF489" s="55">
        <v>0</v>
      </c>
      <c r="CG489" s="55" t="s">
        <v>97</v>
      </c>
      <c r="CH489" s="55">
        <v>1</v>
      </c>
      <c r="CI489" s="55" t="s">
        <v>509</v>
      </c>
      <c r="CJ489" s="55" t="s">
        <v>98</v>
      </c>
      <c r="CK489" s="55">
        <v>61</v>
      </c>
      <c r="CL489" s="55">
        <v>0</v>
      </c>
      <c r="CM489" s="55">
        <v>0</v>
      </c>
      <c r="CN489" s="55" t="s">
        <v>99</v>
      </c>
      <c r="CO489" s="55" t="s">
        <v>97</v>
      </c>
      <c r="CP489" s="55" t="s">
        <v>100</v>
      </c>
      <c r="CQ489" s="55" t="s">
        <v>126</v>
      </c>
      <c r="CR489" s="57">
        <v>46226</v>
      </c>
      <c r="CT489" s="55" t="s">
        <v>452</v>
      </c>
    </row>
    <row r="490" spans="1:98" s="55" customFormat="1" x14ac:dyDescent="0.35">
      <c r="A490" s="54" t="s">
        <v>1170</v>
      </c>
      <c r="B490" s="54" t="s">
        <v>1197</v>
      </c>
      <c r="C490" s="55" t="s">
        <v>1171</v>
      </c>
      <c r="D490" s="55">
        <v>2023</v>
      </c>
      <c r="E490" s="54" t="s">
        <v>1172</v>
      </c>
      <c r="F490" s="54" t="s">
        <v>1173</v>
      </c>
      <c r="G490" s="55" t="s">
        <v>78</v>
      </c>
      <c r="H490" s="55">
        <v>1</v>
      </c>
      <c r="I490" s="55" t="s">
        <v>290</v>
      </c>
      <c r="J490" s="55" t="s">
        <v>1174</v>
      </c>
      <c r="K490" s="55">
        <v>12</v>
      </c>
      <c r="L490" s="55" t="s">
        <v>1179</v>
      </c>
      <c r="M490" s="55" t="s">
        <v>380</v>
      </c>
      <c r="N490" s="55">
        <v>-4.4160000000000004</v>
      </c>
      <c r="O490" s="55">
        <v>2.008</v>
      </c>
      <c r="P490" s="88">
        <f t="shared" si="180"/>
        <v>-2.1992031872509963</v>
      </c>
      <c r="Q490" s="55" t="s">
        <v>312</v>
      </c>
      <c r="R490" s="88">
        <f t="shared" si="181"/>
        <v>-8.35168</v>
      </c>
      <c r="S490" s="88">
        <f t="shared" si="182"/>
        <v>-0.4803200000000003</v>
      </c>
      <c r="T490" s="55">
        <v>1</v>
      </c>
      <c r="U490" s="55">
        <v>21519</v>
      </c>
      <c r="V490" s="55">
        <v>10</v>
      </c>
      <c r="W490" s="55">
        <v>1</v>
      </c>
      <c r="X490" s="55">
        <f t="shared" si="193"/>
        <v>21509</v>
      </c>
      <c r="Y490" s="88">
        <f t="shared" si="183"/>
        <v>-1.4993617396092845E-2</v>
      </c>
      <c r="Z490" s="88">
        <f t="shared" si="184"/>
        <v>6.8177499391654057E-3</v>
      </c>
      <c r="AA490" s="88">
        <f t="shared" si="187"/>
        <v>1.4993617396092845E-2</v>
      </c>
      <c r="AB490" s="55" t="s">
        <v>81</v>
      </c>
      <c r="AC490" s="88">
        <f t="shared" si="194"/>
        <v>-0.234643995749203</v>
      </c>
      <c r="AD490" s="88" cm="1">
        <f t="array" ref="AD490">_xlfn.IFS(
AND(L490="marginal_effect",M490="level"),N490*AN490/BF490,
AND(L490="marginal_effect",M490="sd (Y)"),N490*BH490*AN490/BF490,
AND(L490="marginal_effect",M490="sd (X)"),N490/AQ490*AN490/BF490,
AND(L490="semi_elasticity",M490="level"),N490*AN490,
AND(L490="semi_elasticity",M490="sd (Y)"),N490*AN490*BH490,
AND(L490="semi_elasticity",M490="sd (X)"),N490*AN490/AQ490,
AND(L490="level-log",M490="level"),N490/BF490,
AND(L490="level-log",M490="sd (X)"),N490/BF490/AQ490,
AND(L490="level-log",M490="sd (Y)"),N490/BF490*BH490,
AND(L490="elasticity",M490="level"),N490,
AND(L490="elasticity",M490="sd (X)"),N490/AQ490,
AND(L490="elasticity",M490="sd (Y)"),N490*BH490,
AND(L490="marginal_effect",M490="percent_of_mean"),N490*AN490/BF490/10)</f>
        <v>-0.234643995749203</v>
      </c>
      <c r="AE490" s="56">
        <f t="shared" si="191"/>
        <v>1</v>
      </c>
      <c r="AF490" s="88">
        <f t="shared" si="195"/>
        <v>0.10669500531349628</v>
      </c>
      <c r="AG490" s="88" cm="1">
        <f t="array" ref="AG490">_xlfn.IFS(
AND(L490="marginal_effect",M490="level"),O490*AN490/BF490,
AND(L490="marginal_effect",M490="sd (Y)"),O490*BH490*AN490/BF490,
AND(L490="marginal_effect",M490="sd (X)"),O490/AQ490*AN490/BF490,
AND(L490="semi_elasticity",M490="level"),O490*AN490,
AND(L490="semi_elasticity",M490="sd (Y)"),O490*AN490*BH490,
AND(L490="semi_elasticity",M490="sd (X)"),O490*AN490/AQ490,
AND(L490="level-log",M490="level"),O490/BF490,
AND(L490="level-log",M490="sd (X)"),O490/BF490/AQ490,
AND(L490="level-log",M490="sd (Y)"),O490/BF490*BH490,
AND(L490="elasticity",M490="level"),O490,
AND(L490="elasticity",M490="sd (X)"),O490/AQ490,
AND(L490="elasticity",M490="sd (Y)"),O490*BH490,
AND(L490="marginal_effect",M490="percent_of_mean"),O490*AN490/BF490/10)</f>
        <v>0.10669500531349628</v>
      </c>
      <c r="AH490" s="56">
        <f t="shared" si="192"/>
        <v>1</v>
      </c>
      <c r="AI490" s="88">
        <f t="shared" si="196"/>
        <v>-0.234643995749203</v>
      </c>
      <c r="AJ490" s="55">
        <v>0</v>
      </c>
      <c r="AK490" s="55">
        <f t="shared" si="185"/>
        <v>1</v>
      </c>
      <c r="AL490" s="55" t="s">
        <v>735</v>
      </c>
      <c r="AM490" s="76" t="s">
        <v>1411</v>
      </c>
      <c r="AN490" s="76">
        <v>4.5960000000000001</v>
      </c>
      <c r="AO490" s="76">
        <v>0</v>
      </c>
      <c r="AP490" s="76">
        <f t="shared" si="197"/>
        <v>4.5960000000000001</v>
      </c>
      <c r="AQ490" s="76">
        <v>0.48299999999999998</v>
      </c>
      <c r="AR490" s="76">
        <v>2.89</v>
      </c>
      <c r="AS490" s="76">
        <v>6.1840000000000002</v>
      </c>
      <c r="AT490" s="55" t="s">
        <v>83</v>
      </c>
      <c r="AU490" s="55" t="s">
        <v>109</v>
      </c>
      <c r="AV490" s="55" t="s">
        <v>133</v>
      </c>
      <c r="AW490" s="55" t="s">
        <v>85</v>
      </c>
      <c r="AX490" s="55" t="s">
        <v>86</v>
      </c>
      <c r="AY490" s="55">
        <v>0</v>
      </c>
      <c r="AZ490" s="55">
        <v>0</v>
      </c>
      <c r="BA490" s="55" t="s">
        <v>734</v>
      </c>
      <c r="BB490" s="55" t="s">
        <v>88</v>
      </c>
      <c r="BC490" s="55" t="s">
        <v>89</v>
      </c>
      <c r="BD490" s="55" t="s">
        <v>114</v>
      </c>
      <c r="BE490" s="55" t="s">
        <v>1169</v>
      </c>
      <c r="BF490" s="55">
        <v>18.82</v>
      </c>
      <c r="BG490" s="55">
        <v>0</v>
      </c>
      <c r="BH490" s="55">
        <v>16.25</v>
      </c>
      <c r="BI490" s="55">
        <v>-218.25</v>
      </c>
      <c r="BJ490" s="55">
        <v>370.012</v>
      </c>
      <c r="BK490" s="55" t="s">
        <v>91</v>
      </c>
      <c r="BL490" s="55" t="s">
        <v>84</v>
      </c>
      <c r="BM490" s="55">
        <v>1</v>
      </c>
      <c r="BN490" s="55" t="s">
        <v>539</v>
      </c>
      <c r="BO490" s="55" t="s">
        <v>1175</v>
      </c>
      <c r="BP490" s="55" t="s">
        <v>1176</v>
      </c>
      <c r="BQ490" s="55" t="s">
        <v>117</v>
      </c>
      <c r="BR490" s="55" t="s">
        <v>93</v>
      </c>
      <c r="BS490" s="55">
        <v>26.151</v>
      </c>
      <c r="BT490" s="55">
        <v>0</v>
      </c>
      <c r="BU490" s="55">
        <v>2014</v>
      </c>
      <c r="BV490" s="55">
        <v>2019</v>
      </c>
      <c r="BW490" s="55" t="s">
        <v>736</v>
      </c>
      <c r="BX490" s="55" t="s">
        <v>95</v>
      </c>
      <c r="BY490" s="55" t="s">
        <v>748</v>
      </c>
      <c r="BZ490" s="55">
        <v>1</v>
      </c>
      <c r="CA490" s="55">
        <v>1</v>
      </c>
      <c r="CB490" s="55" t="s">
        <v>1211</v>
      </c>
      <c r="CC490" s="55" t="s">
        <v>1177</v>
      </c>
      <c r="CD490" s="55">
        <v>1</v>
      </c>
      <c r="CE490" s="55" t="s">
        <v>1182</v>
      </c>
      <c r="CF490" s="55">
        <v>0</v>
      </c>
      <c r="CG490" s="55" t="s">
        <v>97</v>
      </c>
      <c r="CH490" s="55">
        <v>1</v>
      </c>
      <c r="CI490" s="55" t="s">
        <v>509</v>
      </c>
      <c r="CJ490" s="55" t="s">
        <v>98</v>
      </c>
      <c r="CK490" s="55">
        <v>61</v>
      </c>
      <c r="CL490" s="55">
        <v>0</v>
      </c>
      <c r="CM490" s="55">
        <v>0</v>
      </c>
      <c r="CN490" s="55" t="s">
        <v>99</v>
      </c>
      <c r="CO490" s="55" t="s">
        <v>97</v>
      </c>
      <c r="CP490" s="55" t="s">
        <v>100</v>
      </c>
      <c r="CQ490" s="55" t="s">
        <v>126</v>
      </c>
      <c r="CR490" s="57">
        <v>46226</v>
      </c>
      <c r="CT490" s="55" t="s">
        <v>521</v>
      </c>
    </row>
    <row r="491" spans="1:98" s="55" customFormat="1" x14ac:dyDescent="0.35">
      <c r="A491" s="54" t="s">
        <v>1170</v>
      </c>
      <c r="B491" s="54" t="s">
        <v>1198</v>
      </c>
      <c r="C491" s="55" t="s">
        <v>1171</v>
      </c>
      <c r="D491" s="55">
        <v>2023</v>
      </c>
      <c r="E491" s="54" t="s">
        <v>1172</v>
      </c>
      <c r="F491" s="54" t="s">
        <v>1173</v>
      </c>
      <c r="G491" s="55" t="s">
        <v>78</v>
      </c>
      <c r="H491" s="55">
        <v>1</v>
      </c>
      <c r="I491" s="55" t="s">
        <v>290</v>
      </c>
      <c r="J491" s="55" t="s">
        <v>1174</v>
      </c>
      <c r="K491" s="55">
        <v>12</v>
      </c>
      <c r="L491" s="55" t="s">
        <v>1179</v>
      </c>
      <c r="M491" s="55" t="s">
        <v>380</v>
      </c>
      <c r="N491" s="55">
        <v>-4.2210000000000001</v>
      </c>
      <c r="O491" s="55">
        <v>2.0150000000000001</v>
      </c>
      <c r="P491" s="88">
        <f t="shared" si="180"/>
        <v>-2.0947890818858559</v>
      </c>
      <c r="Q491" s="55" t="s">
        <v>312</v>
      </c>
      <c r="R491" s="88">
        <f t="shared" si="181"/>
        <v>-8.1704000000000008</v>
      </c>
      <c r="S491" s="88">
        <f t="shared" si="182"/>
        <v>-0.27159999999999984</v>
      </c>
      <c r="T491" s="55">
        <v>1</v>
      </c>
      <c r="U491" s="55">
        <v>21519</v>
      </c>
      <c r="V491" s="55">
        <v>10</v>
      </c>
      <c r="W491" s="55">
        <v>1</v>
      </c>
      <c r="X491" s="55">
        <f t="shared" si="193"/>
        <v>21509</v>
      </c>
      <c r="Y491" s="88">
        <f t="shared" si="183"/>
        <v>-1.4281896955395787E-2</v>
      </c>
      <c r="Z491" s="88">
        <f t="shared" si="184"/>
        <v>6.8178209820238134E-3</v>
      </c>
      <c r="AA491" s="88">
        <f t="shared" si="187"/>
        <v>1.4281896955395787E-2</v>
      </c>
      <c r="AB491" s="55" t="s">
        <v>81</v>
      </c>
      <c r="AC491" s="88">
        <f t="shared" si="194"/>
        <v>-0.2242826780021254</v>
      </c>
      <c r="AD491" s="88" cm="1">
        <f t="array" ref="AD491">_xlfn.IFS(
AND(L491="marginal_effect",M491="level"),N491*AN491/BF491,
AND(L491="marginal_effect",M491="sd (Y)"),N491*BH491*AN491/BF491,
AND(L491="marginal_effect",M491="sd (X)"),N491/AQ491*AN491/BF491,
AND(L491="semi_elasticity",M491="level"),N491*AN491,
AND(L491="semi_elasticity",M491="sd (Y)"),N491*AN491*BH491,
AND(L491="semi_elasticity",M491="sd (X)"),N491*AN491/AQ491,
AND(L491="level-log",M491="level"),N491/BF491,
AND(L491="level-log",M491="sd (X)"),N491/BF491/AQ491,
AND(L491="level-log",M491="sd (Y)"),N491/BF491*BH491,
AND(L491="elasticity",M491="level"),N491,
AND(L491="elasticity",M491="sd (X)"),N491/AQ491,
AND(L491="elasticity",M491="sd (Y)"),N491*BH491,
AND(L491="marginal_effect",M491="percent_of_mean"),N491*AN491/BF491/10)</f>
        <v>-0.2242826780021254</v>
      </c>
      <c r="AE491" s="56">
        <f t="shared" si="191"/>
        <v>1</v>
      </c>
      <c r="AF491" s="88">
        <f t="shared" si="195"/>
        <v>0.10706695005313496</v>
      </c>
      <c r="AG491" s="88" cm="1">
        <f t="array" ref="AG491">_xlfn.IFS(
AND(L491="marginal_effect",M491="level"),O491*AN491/BF491,
AND(L491="marginal_effect",M491="sd (Y)"),O491*BH491*AN491/BF491,
AND(L491="marginal_effect",M491="sd (X)"),O491/AQ491*AN491/BF491,
AND(L491="semi_elasticity",M491="level"),O491*AN491,
AND(L491="semi_elasticity",M491="sd (Y)"),O491*AN491*BH491,
AND(L491="semi_elasticity",M491="sd (X)"),O491*AN491/AQ491,
AND(L491="level-log",M491="level"),O491/BF491,
AND(L491="level-log",M491="sd (X)"),O491/BF491/AQ491,
AND(L491="level-log",M491="sd (Y)"),O491/BF491*BH491,
AND(L491="elasticity",M491="level"),O491,
AND(L491="elasticity",M491="sd (X)"),O491/AQ491,
AND(L491="elasticity",M491="sd (Y)"),O491*BH491,
AND(L491="marginal_effect",M491="percent_of_mean"),O491*AN491/BF491/10)</f>
        <v>0.10706695005313496</v>
      </c>
      <c r="AH491" s="56">
        <f t="shared" si="192"/>
        <v>1</v>
      </c>
      <c r="AI491" s="88">
        <f t="shared" si="196"/>
        <v>-0.2242826780021254</v>
      </c>
      <c r="AJ491" s="55">
        <v>0</v>
      </c>
      <c r="AK491" s="55">
        <f t="shared" si="185"/>
        <v>1</v>
      </c>
      <c r="AL491" s="55" t="s">
        <v>735</v>
      </c>
      <c r="AM491" s="76" t="s">
        <v>1411</v>
      </c>
      <c r="AN491" s="76">
        <v>4.5960000000000001</v>
      </c>
      <c r="AO491" s="76">
        <v>0</v>
      </c>
      <c r="AP491" s="76">
        <f t="shared" si="197"/>
        <v>4.5960000000000001</v>
      </c>
      <c r="AQ491" s="76">
        <v>0.48299999999999998</v>
      </c>
      <c r="AR491" s="76">
        <v>2.89</v>
      </c>
      <c r="AS491" s="76">
        <v>6.1840000000000002</v>
      </c>
      <c r="AT491" s="55" t="s">
        <v>83</v>
      </c>
      <c r="AU491" s="55" t="s">
        <v>109</v>
      </c>
      <c r="AV491" s="55" t="s">
        <v>133</v>
      </c>
      <c r="AW491" s="55" t="s">
        <v>85</v>
      </c>
      <c r="AX491" s="55" t="s">
        <v>86</v>
      </c>
      <c r="AY491" s="55">
        <v>0</v>
      </c>
      <c r="AZ491" s="55">
        <v>0</v>
      </c>
      <c r="BA491" s="55" t="s">
        <v>734</v>
      </c>
      <c r="BB491" s="55" t="s">
        <v>88</v>
      </c>
      <c r="BC491" s="55" t="s">
        <v>89</v>
      </c>
      <c r="BD491" s="55" t="s">
        <v>114</v>
      </c>
      <c r="BE491" s="55" t="s">
        <v>1169</v>
      </c>
      <c r="BF491" s="55">
        <v>18.82</v>
      </c>
      <c r="BG491" s="55">
        <v>0</v>
      </c>
      <c r="BH491" s="55">
        <v>16.25</v>
      </c>
      <c r="BI491" s="55">
        <v>-218.25</v>
      </c>
      <c r="BJ491" s="55">
        <v>370.012</v>
      </c>
      <c r="BK491" s="55" t="s">
        <v>91</v>
      </c>
      <c r="BL491" s="55" t="s">
        <v>84</v>
      </c>
      <c r="BM491" s="55">
        <v>1</v>
      </c>
      <c r="BN491" s="55" t="s">
        <v>539</v>
      </c>
      <c r="BO491" s="55" t="s">
        <v>1175</v>
      </c>
      <c r="BP491" s="55" t="s">
        <v>1176</v>
      </c>
      <c r="BQ491" s="55" t="s">
        <v>117</v>
      </c>
      <c r="BR491" s="55" t="s">
        <v>93</v>
      </c>
      <c r="BS491" s="55">
        <v>26.151</v>
      </c>
      <c r="BT491" s="55">
        <v>0</v>
      </c>
      <c r="BU491" s="55">
        <v>2014</v>
      </c>
      <c r="BV491" s="55">
        <v>2019</v>
      </c>
      <c r="BW491" s="55" t="s">
        <v>736</v>
      </c>
      <c r="BX491" s="55" t="s">
        <v>95</v>
      </c>
      <c r="BY491" s="55" t="s">
        <v>748</v>
      </c>
      <c r="BZ491" s="55">
        <v>1</v>
      </c>
      <c r="CA491" s="55">
        <v>1</v>
      </c>
      <c r="CB491" s="55" t="s">
        <v>1211</v>
      </c>
      <c r="CC491" s="55" t="s">
        <v>1181</v>
      </c>
      <c r="CD491" s="55">
        <v>1</v>
      </c>
      <c r="CE491" s="55" t="s">
        <v>1182</v>
      </c>
      <c r="CF491" s="55">
        <v>0</v>
      </c>
      <c r="CG491" s="55" t="s">
        <v>97</v>
      </c>
      <c r="CH491" s="55">
        <v>1</v>
      </c>
      <c r="CI491" s="55" t="s">
        <v>509</v>
      </c>
      <c r="CJ491" s="55" t="s">
        <v>98</v>
      </c>
      <c r="CK491" s="55">
        <v>61</v>
      </c>
      <c r="CL491" s="55">
        <v>1</v>
      </c>
      <c r="CM491" s="55">
        <v>1</v>
      </c>
      <c r="CN491" s="55" t="s">
        <v>99</v>
      </c>
      <c r="CO491" s="55" t="s">
        <v>97</v>
      </c>
      <c r="CP491" s="55" t="s">
        <v>100</v>
      </c>
      <c r="CQ491" s="55" t="s">
        <v>126</v>
      </c>
      <c r="CR491" s="57">
        <v>46226</v>
      </c>
      <c r="CT491" s="55" t="s">
        <v>510</v>
      </c>
    </row>
    <row r="492" spans="1:98" s="55" customFormat="1" x14ac:dyDescent="0.35">
      <c r="A492" s="54" t="s">
        <v>1170</v>
      </c>
      <c r="B492" s="54" t="s">
        <v>1199</v>
      </c>
      <c r="C492" s="55" t="s">
        <v>1171</v>
      </c>
      <c r="D492" s="55">
        <v>2023</v>
      </c>
      <c r="E492" s="54" t="s">
        <v>1172</v>
      </c>
      <c r="F492" s="54" t="s">
        <v>1173</v>
      </c>
      <c r="G492" s="55" t="s">
        <v>78</v>
      </c>
      <c r="H492" s="55">
        <v>1</v>
      </c>
      <c r="I492" s="55" t="s">
        <v>290</v>
      </c>
      <c r="J492" s="55" t="s">
        <v>1174</v>
      </c>
      <c r="K492" s="55">
        <v>12</v>
      </c>
      <c r="L492" s="55" t="s">
        <v>1179</v>
      </c>
      <c r="M492" s="55" t="s">
        <v>380</v>
      </c>
      <c r="N492" s="55">
        <v>-3.3839999999999999</v>
      </c>
      <c r="O492" s="55">
        <v>1.6220000000000001</v>
      </c>
      <c r="P492" s="88">
        <f t="shared" si="180"/>
        <v>-2.0863131935881625</v>
      </c>
      <c r="Q492" s="55" t="s">
        <v>312</v>
      </c>
      <c r="R492" s="88">
        <f t="shared" si="181"/>
        <v>-6.5631199999999996</v>
      </c>
      <c r="S492" s="88">
        <f t="shared" si="182"/>
        <v>-0.20487999999999973</v>
      </c>
      <c r="T492" s="55">
        <v>1</v>
      </c>
      <c r="U492" s="55">
        <v>21519</v>
      </c>
      <c r="V492" s="55">
        <v>10</v>
      </c>
      <c r="W492" s="55">
        <v>1</v>
      </c>
      <c r="X492" s="55">
        <f t="shared" si="193"/>
        <v>21509</v>
      </c>
      <c r="Y492" s="88">
        <f t="shared" si="183"/>
        <v>-1.4224121581872801E-2</v>
      </c>
      <c r="Z492" s="88">
        <f t="shared" si="184"/>
        <v>6.817826597457945E-3</v>
      </c>
      <c r="AA492" s="88">
        <f t="shared" si="187"/>
        <v>1.4224121581872801E-2</v>
      </c>
      <c r="AB492" s="55" t="s">
        <v>81</v>
      </c>
      <c r="AC492" s="88">
        <f t="shared" si="194"/>
        <v>-0.17980871413390009</v>
      </c>
      <c r="AD492" s="88" cm="1">
        <f t="array" ref="AD492">_xlfn.IFS(
AND(L492="marginal_effect",M492="level"),N492*AN492/BF492,
AND(L492="marginal_effect",M492="sd (Y)"),N492*BH492*AN492/BF492,
AND(L492="marginal_effect",M492="sd (X)"),N492/AQ492*AN492/BF492,
AND(L492="semi_elasticity",M492="level"),N492*AN492,
AND(L492="semi_elasticity",M492="sd (Y)"),N492*AN492*BH492,
AND(L492="semi_elasticity",M492="sd (X)"),N492*AN492/AQ492,
AND(L492="level-log",M492="level"),N492/BF492,
AND(L492="level-log",M492="sd (X)"),N492/BF492/AQ492,
AND(L492="level-log",M492="sd (Y)"),N492/BF492*BH492,
AND(L492="elasticity",M492="level"),N492,
AND(L492="elasticity",M492="sd (X)"),N492/AQ492,
AND(L492="elasticity",M492="sd (Y)"),N492*BH492,
AND(L492="marginal_effect",M492="percent_of_mean"),N492*AN492/BF492/10)</f>
        <v>-0.17980871413390009</v>
      </c>
      <c r="AE492" s="56">
        <f t="shared" si="191"/>
        <v>1</v>
      </c>
      <c r="AF492" s="88">
        <f t="shared" si="195"/>
        <v>8.6184909670563234E-2</v>
      </c>
      <c r="AG492" s="88" cm="1">
        <f t="array" ref="AG492">_xlfn.IFS(
AND(L492="marginal_effect",M492="level"),O492*AN492/BF492,
AND(L492="marginal_effect",M492="sd (Y)"),O492*BH492*AN492/BF492,
AND(L492="marginal_effect",M492="sd (X)"),O492/AQ492*AN492/BF492,
AND(L492="semi_elasticity",M492="level"),O492*AN492,
AND(L492="semi_elasticity",M492="sd (Y)"),O492*AN492*BH492,
AND(L492="semi_elasticity",M492="sd (X)"),O492*AN492/AQ492,
AND(L492="level-log",M492="level"),O492/BF492,
AND(L492="level-log",M492="sd (X)"),O492/BF492/AQ492,
AND(L492="level-log",M492="sd (Y)"),O492/BF492*BH492,
AND(L492="elasticity",M492="level"),O492,
AND(L492="elasticity",M492="sd (X)"),O492/AQ492,
AND(L492="elasticity",M492="sd (Y)"),O492*BH492,
AND(L492="marginal_effect",M492="percent_of_mean"),O492*AN492/BF492/10)</f>
        <v>8.6184909670563234E-2</v>
      </c>
      <c r="AH492" s="56">
        <f t="shared" si="192"/>
        <v>1</v>
      </c>
      <c r="AI492" s="88">
        <f t="shared" si="196"/>
        <v>-0.17980871413390009</v>
      </c>
      <c r="AJ492" s="55">
        <v>0</v>
      </c>
      <c r="AK492" s="55">
        <f t="shared" si="185"/>
        <v>1</v>
      </c>
      <c r="AL492" s="55" t="s">
        <v>82</v>
      </c>
      <c r="AM492" s="76" t="s">
        <v>1411</v>
      </c>
      <c r="AN492" s="76">
        <v>4.2089999999999996</v>
      </c>
      <c r="AO492" s="76">
        <v>0</v>
      </c>
      <c r="AP492" s="76">
        <f t="shared" si="197"/>
        <v>4.2089999999999996</v>
      </c>
      <c r="AQ492" s="76">
        <v>0.61199999999999999</v>
      </c>
      <c r="AR492" s="76">
        <v>1.3859999999999999</v>
      </c>
      <c r="AS492" s="76">
        <v>6.1680000000000001</v>
      </c>
      <c r="AT492" s="55" t="s">
        <v>83</v>
      </c>
      <c r="AU492" s="55" t="s">
        <v>109</v>
      </c>
      <c r="AV492" s="55" t="s">
        <v>133</v>
      </c>
      <c r="AW492" s="55" t="s">
        <v>85</v>
      </c>
      <c r="AX492" s="55" t="s">
        <v>86</v>
      </c>
      <c r="AY492" s="55">
        <v>0</v>
      </c>
      <c r="AZ492" s="55">
        <v>0</v>
      </c>
      <c r="BA492" s="55" t="s">
        <v>734</v>
      </c>
      <c r="BB492" s="55" t="s">
        <v>88</v>
      </c>
      <c r="BC492" s="55" t="s">
        <v>89</v>
      </c>
      <c r="BD492" s="55" t="s">
        <v>114</v>
      </c>
      <c r="BE492" s="55" t="s">
        <v>1169</v>
      </c>
      <c r="BF492" s="55">
        <v>18.82</v>
      </c>
      <c r="BG492" s="55">
        <v>0</v>
      </c>
      <c r="BH492" s="55">
        <v>16.25</v>
      </c>
      <c r="BI492" s="55">
        <v>-218.25</v>
      </c>
      <c r="BJ492" s="55">
        <v>370.012</v>
      </c>
      <c r="BK492" s="55" t="s">
        <v>91</v>
      </c>
      <c r="BL492" s="55" t="s">
        <v>84</v>
      </c>
      <c r="BM492" s="55">
        <v>1</v>
      </c>
      <c r="BN492" s="55" t="s">
        <v>539</v>
      </c>
      <c r="BO492" s="55" t="s">
        <v>1175</v>
      </c>
      <c r="BP492" s="55" t="s">
        <v>1176</v>
      </c>
      <c r="BQ492" s="55" t="s">
        <v>117</v>
      </c>
      <c r="BR492" s="55" t="s">
        <v>93</v>
      </c>
      <c r="BS492" s="55">
        <v>26.151</v>
      </c>
      <c r="BT492" s="55">
        <v>0</v>
      </c>
      <c r="BU492" s="55">
        <v>2014</v>
      </c>
      <c r="BV492" s="55">
        <v>2019</v>
      </c>
      <c r="BW492" s="55" t="s">
        <v>736</v>
      </c>
      <c r="BX492" s="55" t="s">
        <v>95</v>
      </c>
      <c r="BY492" s="55" t="s">
        <v>748</v>
      </c>
      <c r="BZ492" s="55">
        <v>1</v>
      </c>
      <c r="CA492" s="55">
        <v>1</v>
      </c>
      <c r="CB492" s="55" t="s">
        <v>1211</v>
      </c>
      <c r="CC492" s="55" t="s">
        <v>1181</v>
      </c>
      <c r="CD492" s="55">
        <v>1</v>
      </c>
      <c r="CE492" s="55" t="s">
        <v>1182</v>
      </c>
      <c r="CF492" s="55">
        <v>0</v>
      </c>
      <c r="CG492" s="55" t="s">
        <v>97</v>
      </c>
      <c r="CH492" s="55">
        <v>1</v>
      </c>
      <c r="CI492" s="55" t="s">
        <v>509</v>
      </c>
      <c r="CJ492" s="55" t="s">
        <v>98</v>
      </c>
      <c r="CK492" s="55">
        <v>61</v>
      </c>
      <c r="CL492" s="55">
        <v>0</v>
      </c>
      <c r="CM492" s="55">
        <v>0</v>
      </c>
      <c r="CN492" s="55" t="s">
        <v>99</v>
      </c>
      <c r="CO492" s="55" t="s">
        <v>97</v>
      </c>
      <c r="CP492" s="55" t="s">
        <v>100</v>
      </c>
      <c r="CQ492" s="55" t="s">
        <v>126</v>
      </c>
      <c r="CR492" s="57">
        <v>46226</v>
      </c>
      <c r="CT492" s="55" t="s">
        <v>704</v>
      </c>
    </row>
    <row r="493" spans="1:98" s="55" customFormat="1" x14ac:dyDescent="0.35">
      <c r="A493" s="54" t="s">
        <v>1170</v>
      </c>
      <c r="B493" s="54" t="s">
        <v>1200</v>
      </c>
      <c r="C493" s="55" t="s">
        <v>1171</v>
      </c>
      <c r="D493" s="55">
        <v>2023</v>
      </c>
      <c r="E493" s="54" t="s">
        <v>1172</v>
      </c>
      <c r="F493" s="54" t="s">
        <v>1173</v>
      </c>
      <c r="G493" s="55" t="s">
        <v>78</v>
      </c>
      <c r="H493" s="55">
        <v>1</v>
      </c>
      <c r="I493" s="55" t="s">
        <v>290</v>
      </c>
      <c r="J493" s="55" t="s">
        <v>1174</v>
      </c>
      <c r="K493" s="55">
        <v>12</v>
      </c>
      <c r="L493" s="55" t="s">
        <v>1179</v>
      </c>
      <c r="M493" s="55" t="s">
        <v>380</v>
      </c>
      <c r="N493" s="55">
        <v>-3.7450000000000001</v>
      </c>
      <c r="O493" s="55">
        <v>1.766</v>
      </c>
      <c r="P493" s="88">
        <f t="shared" ref="P493:P497" si="198">N493/O493</f>
        <v>-2.1206115515288788</v>
      </c>
      <c r="Q493" s="55" t="s">
        <v>312</v>
      </c>
      <c r="R493" s="88">
        <f t="shared" si="181"/>
        <v>-7.2063600000000001</v>
      </c>
      <c r="S493" s="88">
        <f t="shared" si="182"/>
        <v>-0.28364000000000011</v>
      </c>
      <c r="T493" s="55">
        <v>1</v>
      </c>
      <c r="U493" s="55">
        <v>21519</v>
      </c>
      <c r="V493" s="55">
        <v>10</v>
      </c>
      <c r="W493" s="55">
        <v>1</v>
      </c>
      <c r="X493" s="55">
        <f t="shared" si="193"/>
        <v>21509</v>
      </c>
      <c r="Y493" s="88">
        <f t="shared" ref="Y493:Y497" si="199">P493/(P493^2 + X493)^(1/2)</f>
        <v>-1.4457913354172803E-2</v>
      </c>
      <c r="Z493" s="88">
        <f t="shared" ref="Z493:Z497" si="200">((1-Y493^2)/X493)^(1/2)</f>
        <v>6.8178037339036504E-3</v>
      </c>
      <c r="AA493" s="88">
        <f t="shared" si="187"/>
        <v>1.4457913354172803E-2</v>
      </c>
      <c r="AB493" s="55" t="s">
        <v>81</v>
      </c>
      <c r="AC493" s="88">
        <f t="shared" si="194"/>
        <v>-0.198990435706695</v>
      </c>
      <c r="AD493" s="88" cm="1">
        <f t="array" ref="AD493">_xlfn.IFS(
AND(L493="marginal_effect",M493="level"),N493*AN493/BF493,
AND(L493="marginal_effect",M493="sd (Y)"),N493*BH493*AN493/BF493,
AND(L493="marginal_effect",M493="sd (X)"),N493/AQ493*AN493/BF493,
AND(L493="semi_elasticity",M493="level"),N493*AN493,
AND(L493="semi_elasticity",M493="sd (Y)"),N493*AN493*BH493,
AND(L493="semi_elasticity",M493="sd (X)"),N493*AN493/AQ493,
AND(L493="level-log",M493="level"),N493/BF493,
AND(L493="level-log",M493="sd (X)"),N493/BF493/AQ493,
AND(L493="level-log",M493="sd (Y)"),N493/BF493*BH493,
AND(L493="elasticity",M493="level"),N493,
AND(L493="elasticity",M493="sd (X)"),N493/AQ493,
AND(L493="elasticity",M493="sd (Y)"),N493*BH493,
AND(L493="marginal_effect",M493="percent_of_mean"),N493*AN493/BF493/10)</f>
        <v>-0.198990435706695</v>
      </c>
      <c r="AE493" s="56">
        <f t="shared" si="191"/>
        <v>1</v>
      </c>
      <c r="AF493" s="88">
        <f t="shared" si="195"/>
        <v>9.3836344314558978E-2</v>
      </c>
      <c r="AG493" s="88" cm="1">
        <f t="array" ref="AG493">_xlfn.IFS(
AND(L493="marginal_effect",M493="level"),O493*AN493/BF493,
AND(L493="marginal_effect",M493="sd (Y)"),O493*BH493*AN493/BF493,
AND(L493="marginal_effect",M493="sd (X)"),O493/AQ493*AN493/BF493,
AND(L493="semi_elasticity",M493="level"),O493*AN493,
AND(L493="semi_elasticity",M493="sd (Y)"),O493*AN493*BH493,
AND(L493="semi_elasticity",M493="sd (X)"),O493*AN493/AQ493,
AND(L493="level-log",M493="level"),O493/BF493,
AND(L493="level-log",M493="sd (X)"),O493/BF493/AQ493,
AND(L493="level-log",M493="sd (Y)"),O493/BF493*BH493,
AND(L493="elasticity",M493="level"),O493,
AND(L493="elasticity",M493="sd (X)"),O493/AQ493,
AND(L493="elasticity",M493="sd (Y)"),O493*BH493,
AND(L493="marginal_effect",M493="percent_of_mean"),O493*AN493/BF493/10)</f>
        <v>9.3836344314558978E-2</v>
      </c>
      <c r="AH493" s="56">
        <f t="shared" si="192"/>
        <v>1</v>
      </c>
      <c r="AI493" s="88">
        <f t="shared" si="196"/>
        <v>-0.198990435706695</v>
      </c>
      <c r="AJ493" s="55">
        <v>0</v>
      </c>
      <c r="AK493" s="55">
        <f t="shared" si="185"/>
        <v>1</v>
      </c>
      <c r="AL493" s="55" t="s">
        <v>106</v>
      </c>
      <c r="AM493" s="76" t="s">
        <v>1411</v>
      </c>
      <c r="AN493" s="76">
        <v>4.585</v>
      </c>
      <c r="AO493" s="76">
        <v>0</v>
      </c>
      <c r="AP493" s="76">
        <f t="shared" si="197"/>
        <v>4.585</v>
      </c>
      <c r="AQ493" s="76">
        <v>1.0029999999999999</v>
      </c>
      <c r="AR493" s="76">
        <v>-9.2100000000000009</v>
      </c>
      <c r="AS493" s="76">
        <v>6.2380000000000004</v>
      </c>
      <c r="AT493" s="55" t="s">
        <v>83</v>
      </c>
      <c r="AU493" s="55" t="s">
        <v>109</v>
      </c>
      <c r="AV493" s="55" t="s">
        <v>133</v>
      </c>
      <c r="AW493" s="55" t="s">
        <v>85</v>
      </c>
      <c r="AX493" s="55" t="s">
        <v>86</v>
      </c>
      <c r="AY493" s="55">
        <v>0</v>
      </c>
      <c r="AZ493" s="55">
        <v>0</v>
      </c>
      <c r="BA493" s="55" t="s">
        <v>734</v>
      </c>
      <c r="BB493" s="55" t="s">
        <v>88</v>
      </c>
      <c r="BC493" s="55" t="s">
        <v>89</v>
      </c>
      <c r="BD493" s="55" t="s">
        <v>114</v>
      </c>
      <c r="BE493" s="55" t="s">
        <v>1169</v>
      </c>
      <c r="BF493" s="55">
        <v>18.82</v>
      </c>
      <c r="BG493" s="55">
        <v>0</v>
      </c>
      <c r="BH493" s="55">
        <v>16.25</v>
      </c>
      <c r="BI493" s="55">
        <v>-218.25</v>
      </c>
      <c r="BJ493" s="55">
        <v>370.012</v>
      </c>
      <c r="BK493" s="55" t="s">
        <v>91</v>
      </c>
      <c r="BL493" s="55" t="s">
        <v>84</v>
      </c>
      <c r="BM493" s="55">
        <v>1</v>
      </c>
      <c r="BN493" s="55" t="s">
        <v>539</v>
      </c>
      <c r="BO493" s="55" t="s">
        <v>1175</v>
      </c>
      <c r="BP493" s="55" t="s">
        <v>1176</v>
      </c>
      <c r="BQ493" s="55" t="s">
        <v>117</v>
      </c>
      <c r="BR493" s="55" t="s">
        <v>93</v>
      </c>
      <c r="BS493" s="55">
        <v>26.151</v>
      </c>
      <c r="BT493" s="55">
        <v>0</v>
      </c>
      <c r="BU493" s="55">
        <v>2014</v>
      </c>
      <c r="BV493" s="55">
        <v>2019</v>
      </c>
      <c r="BW493" s="55" t="s">
        <v>736</v>
      </c>
      <c r="BX493" s="55" t="s">
        <v>95</v>
      </c>
      <c r="BY493" s="55" t="s">
        <v>748</v>
      </c>
      <c r="BZ493" s="55">
        <v>1</v>
      </c>
      <c r="CA493" s="55">
        <v>1</v>
      </c>
      <c r="CB493" s="55" t="s">
        <v>1211</v>
      </c>
      <c r="CC493" s="55" t="s">
        <v>1181</v>
      </c>
      <c r="CD493" s="55">
        <v>1</v>
      </c>
      <c r="CE493" s="55" t="s">
        <v>1182</v>
      </c>
      <c r="CF493" s="55">
        <v>0</v>
      </c>
      <c r="CG493" s="55" t="s">
        <v>97</v>
      </c>
      <c r="CH493" s="55">
        <v>1</v>
      </c>
      <c r="CI493" s="55" t="s">
        <v>509</v>
      </c>
      <c r="CJ493" s="55" t="s">
        <v>98</v>
      </c>
      <c r="CK493" s="55">
        <v>61</v>
      </c>
      <c r="CL493" s="55">
        <v>0</v>
      </c>
      <c r="CM493" s="55">
        <v>0</v>
      </c>
      <c r="CN493" s="55" t="s">
        <v>99</v>
      </c>
      <c r="CO493" s="55" t="s">
        <v>97</v>
      </c>
      <c r="CP493" s="55" t="s">
        <v>100</v>
      </c>
      <c r="CQ493" s="55" t="s">
        <v>126</v>
      </c>
      <c r="CR493" s="57">
        <v>46226</v>
      </c>
      <c r="CT493" s="55" t="s">
        <v>457</v>
      </c>
    </row>
    <row r="494" spans="1:98" s="55" customFormat="1" x14ac:dyDescent="0.35">
      <c r="A494" s="54" t="s">
        <v>1170</v>
      </c>
      <c r="B494" s="54" t="s">
        <v>1201</v>
      </c>
      <c r="C494" s="55" t="s">
        <v>1171</v>
      </c>
      <c r="D494" s="55">
        <v>2023</v>
      </c>
      <c r="E494" s="54" t="s">
        <v>1172</v>
      </c>
      <c r="F494" s="54" t="s">
        <v>1173</v>
      </c>
      <c r="G494" s="55" t="s">
        <v>78</v>
      </c>
      <c r="H494" s="55">
        <v>1</v>
      </c>
      <c r="I494" s="55" t="s">
        <v>290</v>
      </c>
      <c r="J494" s="55" t="s">
        <v>1174</v>
      </c>
      <c r="K494" s="55">
        <v>12</v>
      </c>
      <c r="L494" s="55" t="s">
        <v>1179</v>
      </c>
      <c r="M494" s="55" t="s">
        <v>380</v>
      </c>
      <c r="N494" s="55">
        <v>1.44</v>
      </c>
      <c r="O494" s="55">
        <v>0.69199999999999995</v>
      </c>
      <c r="P494" s="88">
        <f t="shared" si="198"/>
        <v>2.0809248554913298</v>
      </c>
      <c r="Q494" s="55" t="s">
        <v>312</v>
      </c>
      <c r="R494" s="88">
        <f t="shared" si="181"/>
        <v>8.3679999999999977E-2</v>
      </c>
      <c r="S494" s="88">
        <f t="shared" si="182"/>
        <v>2.7963199999999997</v>
      </c>
      <c r="T494" s="55">
        <v>1</v>
      </c>
      <c r="U494" s="55">
        <v>21519</v>
      </c>
      <c r="V494" s="55">
        <v>10</v>
      </c>
      <c r="W494" s="55">
        <v>1</v>
      </c>
      <c r="X494" s="55">
        <f t="shared" si="193"/>
        <v>21509</v>
      </c>
      <c r="Y494" s="88">
        <f t="shared" si="199"/>
        <v>1.4187392231102856E-2</v>
      </c>
      <c r="Z494" s="88">
        <f t="shared" si="200"/>
        <v>6.8178301555022053E-3</v>
      </c>
      <c r="AA494" s="88">
        <f t="shared" si="187"/>
        <v>-1.4187392231102856E-2</v>
      </c>
      <c r="AB494" s="55" t="s">
        <v>81</v>
      </c>
      <c r="AC494" s="88">
        <f t="shared" si="194"/>
        <v>7.6514346439957484E-2</v>
      </c>
      <c r="AD494" s="88" cm="1">
        <f t="array" ref="AD494">_xlfn.IFS(
AND(L494="marginal_effect",M494="level"),N494*AN494/BF494,
AND(L494="marginal_effect",M494="sd (Y)"),N494*BH494*AN494/BF494,
AND(L494="marginal_effect",M494="sd (X)"),N494/AQ494*AN494/BF494,
AND(L494="semi_elasticity",M494="level"),N494*AN494,
AND(L494="semi_elasticity",M494="sd (Y)"),N494*AN494*BH494,
AND(L494="semi_elasticity",M494="sd (X)"),N494*AN494/AQ494,
AND(L494="level-log",M494="level"),N494/BF494,
AND(L494="level-log",M494="sd (X)"),N494/BF494/AQ494,
AND(L494="level-log",M494="sd (Y)"),N494/BF494*BH494,
AND(L494="elasticity",M494="level"),N494,
AND(L494="elasticity",M494="sd (X)"),N494/AQ494,
AND(L494="elasticity",M494="sd (Y)"),N494*BH494,
AND(L494="marginal_effect",M494="percent_of_mean"),N494*AN494/BF494/10)</f>
        <v>7.6514346439957484E-2</v>
      </c>
      <c r="AE494" s="56">
        <f t="shared" si="191"/>
        <v>1</v>
      </c>
      <c r="AF494" s="88">
        <f t="shared" si="195"/>
        <v>3.6769394261424011E-2</v>
      </c>
      <c r="AG494" s="88" cm="1">
        <f t="array" ref="AG494">_xlfn.IFS(
AND(L494="marginal_effect",M494="level"),O494*AN494/BF494,
AND(L494="marginal_effect",M494="sd (Y)"),O494*BH494*AN494/BF494,
AND(L494="marginal_effect",M494="sd (X)"),O494/AQ494*AN494/BF494,
AND(L494="semi_elasticity",M494="level"),O494*AN494,
AND(L494="semi_elasticity",M494="sd (Y)"),O494*AN494*BH494,
AND(L494="semi_elasticity",M494="sd (X)"),O494*AN494/AQ494,
AND(L494="level-log",M494="level"),O494/BF494,
AND(L494="level-log",M494="sd (X)"),O494/BF494/AQ494,
AND(L494="level-log",M494="sd (Y)"),O494/BF494*BH494,
AND(L494="elasticity",M494="level"),O494,
AND(L494="elasticity",M494="sd (X)"),O494/AQ494,
AND(L494="elasticity",M494="sd (Y)"),O494*BH494,
AND(L494="marginal_effect",M494="percent_of_mean"),O494*AN494/BF494/10)</f>
        <v>3.6769394261424011E-2</v>
      </c>
      <c r="AH494" s="56">
        <f t="shared" si="192"/>
        <v>1</v>
      </c>
      <c r="AI494" s="88">
        <f t="shared" si="196"/>
        <v>7.6514346439957484E-2</v>
      </c>
      <c r="AJ494" s="55">
        <v>0</v>
      </c>
      <c r="AK494" s="55">
        <f t="shared" si="185"/>
        <v>1</v>
      </c>
      <c r="AL494" s="55" t="s">
        <v>159</v>
      </c>
      <c r="AM494" s="76" t="s">
        <v>1411</v>
      </c>
      <c r="AN494" s="76">
        <v>3.048</v>
      </c>
      <c r="AO494" s="76">
        <v>0</v>
      </c>
      <c r="AP494" s="76">
        <f t="shared" si="197"/>
        <v>3.048</v>
      </c>
      <c r="AQ494" s="76">
        <v>0.89</v>
      </c>
      <c r="AR494" s="76">
        <v>0</v>
      </c>
      <c r="AS494" s="76">
        <v>5.8460000000000001</v>
      </c>
      <c r="AT494" s="55" t="s">
        <v>83</v>
      </c>
      <c r="AU494" s="55" t="s">
        <v>109</v>
      </c>
      <c r="AV494" s="55" t="s">
        <v>133</v>
      </c>
      <c r="AW494" s="55" t="s">
        <v>85</v>
      </c>
      <c r="AX494" s="55" t="s">
        <v>86</v>
      </c>
      <c r="AY494" s="55">
        <v>0</v>
      </c>
      <c r="AZ494" s="55">
        <v>0</v>
      </c>
      <c r="BA494" s="55" t="s">
        <v>734</v>
      </c>
      <c r="BB494" s="55" t="s">
        <v>88</v>
      </c>
      <c r="BC494" s="55" t="s">
        <v>89</v>
      </c>
      <c r="BD494" s="55" t="s">
        <v>114</v>
      </c>
      <c r="BE494" s="55" t="s">
        <v>1169</v>
      </c>
      <c r="BF494" s="55">
        <v>18.82</v>
      </c>
      <c r="BG494" s="55">
        <v>0</v>
      </c>
      <c r="BH494" s="55">
        <v>16.25</v>
      </c>
      <c r="BI494" s="55">
        <v>-218.25</v>
      </c>
      <c r="BJ494" s="55">
        <v>370.012</v>
      </c>
      <c r="BK494" s="55" t="s">
        <v>91</v>
      </c>
      <c r="BL494" s="55" t="s">
        <v>84</v>
      </c>
      <c r="BM494" s="55">
        <v>1</v>
      </c>
      <c r="BN494" s="55" t="s">
        <v>539</v>
      </c>
      <c r="BO494" s="55" t="s">
        <v>1175</v>
      </c>
      <c r="BP494" s="55" t="s">
        <v>1176</v>
      </c>
      <c r="BQ494" s="55" t="s">
        <v>117</v>
      </c>
      <c r="BR494" s="55" t="s">
        <v>93</v>
      </c>
      <c r="BS494" s="55">
        <v>26.151</v>
      </c>
      <c r="BT494" s="55">
        <v>0</v>
      </c>
      <c r="BU494" s="55">
        <v>2014</v>
      </c>
      <c r="BV494" s="55">
        <v>2019</v>
      </c>
      <c r="BW494" s="55" t="s">
        <v>736</v>
      </c>
      <c r="BX494" s="55" t="s">
        <v>95</v>
      </c>
      <c r="BY494" s="55" t="s">
        <v>748</v>
      </c>
      <c r="BZ494" s="55">
        <v>1</v>
      </c>
      <c r="CA494" s="55">
        <v>1</v>
      </c>
      <c r="CB494" s="55" t="s">
        <v>1211</v>
      </c>
      <c r="CC494" s="55" t="s">
        <v>1181</v>
      </c>
      <c r="CD494" s="55">
        <v>1</v>
      </c>
      <c r="CE494" s="55" t="s">
        <v>1182</v>
      </c>
      <c r="CF494" s="55">
        <v>0</v>
      </c>
      <c r="CG494" s="55" t="s">
        <v>97</v>
      </c>
      <c r="CH494" s="55">
        <v>1</v>
      </c>
      <c r="CI494" s="55" t="s">
        <v>509</v>
      </c>
      <c r="CJ494" s="55" t="s">
        <v>98</v>
      </c>
      <c r="CK494" s="55">
        <v>61</v>
      </c>
      <c r="CL494" s="55">
        <v>0</v>
      </c>
      <c r="CM494" s="55">
        <v>0</v>
      </c>
      <c r="CN494" s="55" t="s">
        <v>99</v>
      </c>
      <c r="CO494" s="55" t="s">
        <v>97</v>
      </c>
      <c r="CP494" s="55" t="s">
        <v>100</v>
      </c>
      <c r="CQ494" s="55" t="s">
        <v>126</v>
      </c>
      <c r="CR494" s="57">
        <v>46226</v>
      </c>
      <c r="CT494" s="55" t="s">
        <v>660</v>
      </c>
    </row>
    <row r="495" spans="1:98" s="55" customFormat="1" x14ac:dyDescent="0.35">
      <c r="A495" s="54" t="s">
        <v>1170</v>
      </c>
      <c r="B495" s="54" t="s">
        <v>1202</v>
      </c>
      <c r="C495" s="55" t="s">
        <v>1171</v>
      </c>
      <c r="D495" s="55">
        <v>2023</v>
      </c>
      <c r="E495" s="54" t="s">
        <v>1172</v>
      </c>
      <c r="F495" s="54" t="s">
        <v>1173</v>
      </c>
      <c r="G495" s="55" t="s">
        <v>78</v>
      </c>
      <c r="H495" s="55">
        <v>1</v>
      </c>
      <c r="I495" s="55" t="s">
        <v>290</v>
      </c>
      <c r="J495" s="55" t="s">
        <v>1174</v>
      </c>
      <c r="K495" s="55">
        <v>12</v>
      </c>
      <c r="L495" s="55" t="s">
        <v>1179</v>
      </c>
      <c r="M495" s="55" t="s">
        <v>380</v>
      </c>
      <c r="N495" s="55">
        <v>-4.883</v>
      </c>
      <c r="O495" s="55">
        <v>2.2949999999999999</v>
      </c>
      <c r="P495" s="88">
        <f t="shared" si="198"/>
        <v>-2.1276688453159043</v>
      </c>
      <c r="Q495" s="55" t="s">
        <v>312</v>
      </c>
      <c r="R495" s="88">
        <f t="shared" si="181"/>
        <v>-9.3811999999999998</v>
      </c>
      <c r="S495" s="88">
        <f t="shared" si="182"/>
        <v>-0.38480000000000025</v>
      </c>
      <c r="T495" s="55">
        <v>1</v>
      </c>
      <c r="U495" s="55">
        <v>21519</v>
      </c>
      <c r="V495" s="55">
        <v>10</v>
      </c>
      <c r="W495" s="55">
        <v>1</v>
      </c>
      <c r="X495" s="55">
        <f t="shared" si="193"/>
        <v>21509</v>
      </c>
      <c r="Y495" s="88">
        <f t="shared" si="199"/>
        <v>-1.4506018490263348E-2</v>
      </c>
      <c r="Z495" s="88">
        <f t="shared" si="200"/>
        <v>6.8177989832386605E-3</v>
      </c>
      <c r="AA495" s="88">
        <f t="shared" si="187"/>
        <v>1.4506018490263348E-2</v>
      </c>
      <c r="AB495" s="55" t="s">
        <v>81</v>
      </c>
      <c r="AC495" s="88">
        <f t="shared" si="194"/>
        <v>-0.25945802337938362</v>
      </c>
      <c r="AD495" s="88" cm="1">
        <f t="array" ref="AD495">_xlfn.IFS(
AND(L495="marginal_effect",M495="level"),N495*AN495/BF495,
AND(L495="marginal_effect",M495="sd (Y)"),N495*BH495*AN495/BF495,
AND(L495="marginal_effect",M495="sd (X)"),N495/AQ495*AN495/BF495,
AND(L495="semi_elasticity",M495="level"),N495*AN495,
AND(L495="semi_elasticity",M495="sd (Y)"),N495*AN495*BH495,
AND(L495="semi_elasticity",M495="sd (X)"),N495*AN495/AQ495,
AND(L495="level-log",M495="level"),N495/BF495,
AND(L495="level-log",M495="sd (X)"),N495/BF495/AQ495,
AND(L495="level-log",M495="sd (Y)"),N495/BF495*BH495,
AND(L495="elasticity",M495="level"),N495,
AND(L495="elasticity",M495="sd (X)"),N495/AQ495,
AND(L495="elasticity",M495="sd (Y)"),N495*BH495,
AND(L495="marginal_effect",M495="percent_of_mean"),N495*AN495/BF495/10)</f>
        <v>-0.25945802337938362</v>
      </c>
      <c r="AE495" s="56">
        <f t="shared" si="191"/>
        <v>1</v>
      </c>
      <c r="AF495" s="88">
        <f t="shared" si="195"/>
        <v>0.12194473963868224</v>
      </c>
      <c r="AG495" s="88" cm="1">
        <f t="array" ref="AG495">_xlfn.IFS(
AND(L495="marginal_effect",M495="level"),O495*AN495/BF495,
AND(L495="marginal_effect",M495="sd (Y)"),O495*BH495*AN495/BF495,
AND(L495="marginal_effect",M495="sd (X)"),O495/AQ495*AN495/BF495,
AND(L495="semi_elasticity",M495="level"),O495*AN495,
AND(L495="semi_elasticity",M495="sd (Y)"),O495*AN495*BH495,
AND(L495="semi_elasticity",M495="sd (X)"),O495*AN495/AQ495,
AND(L495="level-log",M495="level"),O495/BF495,
AND(L495="level-log",M495="sd (X)"),O495/BF495/AQ495,
AND(L495="level-log",M495="sd (Y)"),O495/BF495*BH495,
AND(L495="elasticity",M495="level"),O495,
AND(L495="elasticity",M495="sd (X)"),O495/AQ495,
AND(L495="elasticity",M495="sd (Y)"),O495*BH495,
AND(L495="marginal_effect",M495="percent_of_mean"),O495*AN495/BF495/10)</f>
        <v>0.12194473963868224</v>
      </c>
      <c r="AH495" s="56">
        <f t="shared" si="192"/>
        <v>1</v>
      </c>
      <c r="AI495" s="88">
        <f t="shared" si="196"/>
        <v>-0.25945802337938362</v>
      </c>
      <c r="AJ495" s="55">
        <v>0</v>
      </c>
      <c r="AK495" s="55">
        <f t="shared" si="185"/>
        <v>1</v>
      </c>
      <c r="AL495" s="55" t="s">
        <v>162</v>
      </c>
      <c r="AM495" s="76" t="s">
        <v>1411</v>
      </c>
      <c r="AN495" s="76">
        <v>0.17499999999999999</v>
      </c>
      <c r="AO495" s="76">
        <v>0</v>
      </c>
      <c r="AP495" s="76">
        <f t="shared" si="197"/>
        <v>0.17499999999999999</v>
      </c>
      <c r="AQ495" s="76">
        <v>0.46800000000000003</v>
      </c>
      <c r="AR495" s="76">
        <v>-1.609</v>
      </c>
      <c r="AS495" s="76">
        <v>2.1970000000000001</v>
      </c>
      <c r="AT495" s="55" t="s">
        <v>83</v>
      </c>
      <c r="AU495" s="55" t="s">
        <v>109</v>
      </c>
      <c r="AV495" s="55" t="s">
        <v>133</v>
      </c>
      <c r="AW495" s="55" t="s">
        <v>85</v>
      </c>
      <c r="AX495" s="55" t="s">
        <v>86</v>
      </c>
      <c r="AY495" s="55">
        <v>0</v>
      </c>
      <c r="AZ495" s="55">
        <v>0</v>
      </c>
      <c r="BA495" s="55" t="s">
        <v>734</v>
      </c>
      <c r="BB495" s="55" t="s">
        <v>88</v>
      </c>
      <c r="BC495" s="55" t="s">
        <v>89</v>
      </c>
      <c r="BD495" s="55" t="s">
        <v>114</v>
      </c>
      <c r="BE495" s="55" t="s">
        <v>1169</v>
      </c>
      <c r="BF495" s="55">
        <v>18.82</v>
      </c>
      <c r="BG495" s="55">
        <v>0</v>
      </c>
      <c r="BH495" s="55">
        <v>16.25</v>
      </c>
      <c r="BI495" s="55">
        <v>-218.25</v>
      </c>
      <c r="BJ495" s="55">
        <v>370.012</v>
      </c>
      <c r="BK495" s="55" t="s">
        <v>91</v>
      </c>
      <c r="BL495" s="55" t="s">
        <v>84</v>
      </c>
      <c r="BM495" s="55">
        <v>1</v>
      </c>
      <c r="BN495" s="55" t="s">
        <v>539</v>
      </c>
      <c r="BO495" s="55" t="s">
        <v>1175</v>
      </c>
      <c r="BP495" s="55" t="s">
        <v>1176</v>
      </c>
      <c r="BQ495" s="55" t="s">
        <v>117</v>
      </c>
      <c r="BR495" s="55" t="s">
        <v>93</v>
      </c>
      <c r="BS495" s="55">
        <v>26.151</v>
      </c>
      <c r="BT495" s="55">
        <v>0</v>
      </c>
      <c r="BU495" s="55">
        <v>2014</v>
      </c>
      <c r="BV495" s="55">
        <v>2019</v>
      </c>
      <c r="BW495" s="55" t="s">
        <v>736</v>
      </c>
      <c r="BX495" s="55" t="s">
        <v>95</v>
      </c>
      <c r="BY495" s="55" t="s">
        <v>748</v>
      </c>
      <c r="BZ495" s="55">
        <v>1</v>
      </c>
      <c r="CA495" s="55">
        <v>1</v>
      </c>
      <c r="CB495" s="55" t="s">
        <v>1211</v>
      </c>
      <c r="CC495" s="55" t="s">
        <v>1181</v>
      </c>
      <c r="CD495" s="55">
        <v>1</v>
      </c>
      <c r="CE495" s="55" t="s">
        <v>1182</v>
      </c>
      <c r="CF495" s="55">
        <v>0</v>
      </c>
      <c r="CG495" s="55" t="s">
        <v>97</v>
      </c>
      <c r="CH495" s="55">
        <v>1</v>
      </c>
      <c r="CI495" s="55" t="s">
        <v>509</v>
      </c>
      <c r="CJ495" s="55" t="s">
        <v>98</v>
      </c>
      <c r="CK495" s="55">
        <v>61</v>
      </c>
      <c r="CL495" s="55">
        <v>0</v>
      </c>
      <c r="CM495" s="55">
        <v>0</v>
      </c>
      <c r="CN495" s="55" t="s">
        <v>99</v>
      </c>
      <c r="CO495" s="55" t="s">
        <v>97</v>
      </c>
      <c r="CP495" s="55" t="s">
        <v>100</v>
      </c>
      <c r="CQ495" s="55" t="s">
        <v>126</v>
      </c>
      <c r="CR495" s="57">
        <v>46226</v>
      </c>
      <c r="CT495" s="55" t="s">
        <v>661</v>
      </c>
    </row>
    <row r="496" spans="1:98" s="55" customFormat="1" x14ac:dyDescent="0.35">
      <c r="A496" s="54" t="s">
        <v>1170</v>
      </c>
      <c r="B496" s="54" t="s">
        <v>1203</v>
      </c>
      <c r="C496" s="55" t="s">
        <v>1171</v>
      </c>
      <c r="D496" s="55">
        <v>2023</v>
      </c>
      <c r="E496" s="54" t="s">
        <v>1172</v>
      </c>
      <c r="F496" s="54" t="s">
        <v>1173</v>
      </c>
      <c r="G496" s="55" t="s">
        <v>78</v>
      </c>
      <c r="H496" s="55">
        <v>1</v>
      </c>
      <c r="I496" s="55" t="s">
        <v>290</v>
      </c>
      <c r="J496" s="55" t="s">
        <v>1174</v>
      </c>
      <c r="K496" s="55">
        <v>12</v>
      </c>
      <c r="L496" s="55" t="s">
        <v>1179</v>
      </c>
      <c r="M496" s="55" t="s">
        <v>380</v>
      </c>
      <c r="N496" s="55">
        <v>-4.9539999999999997</v>
      </c>
      <c r="O496" s="55">
        <v>2.3410000000000002</v>
      </c>
      <c r="P496" s="88">
        <f t="shared" si="198"/>
        <v>-2.1161896625373768</v>
      </c>
      <c r="Q496" s="55" t="s">
        <v>312</v>
      </c>
      <c r="R496" s="88">
        <f t="shared" si="181"/>
        <v>-9.5423600000000004</v>
      </c>
      <c r="S496" s="88">
        <f t="shared" si="182"/>
        <v>-0.36563999999999908</v>
      </c>
      <c r="T496" s="55">
        <v>1</v>
      </c>
      <c r="U496" s="55">
        <v>21519</v>
      </c>
      <c r="V496" s="55">
        <v>10</v>
      </c>
      <c r="W496" s="55">
        <v>1</v>
      </c>
      <c r="X496" s="55">
        <f t="shared" si="193"/>
        <v>21509</v>
      </c>
      <c r="Y496" s="88">
        <f t="shared" si="199"/>
        <v>-1.4427772064987526E-2</v>
      </c>
      <c r="Z496" s="88">
        <f t="shared" si="200"/>
        <v>6.8178067024900696E-3</v>
      </c>
      <c r="AA496" s="88">
        <f t="shared" si="187"/>
        <v>1.4427772064987526E-2</v>
      </c>
      <c r="AB496" s="55" t="s">
        <v>81</v>
      </c>
      <c r="AC496" s="88">
        <f t="shared" si="194"/>
        <v>-0.26323060573857598</v>
      </c>
      <c r="AD496" s="88" cm="1">
        <f t="array" ref="AD496">_xlfn.IFS(
AND(L496="marginal_effect",M496="level"),N496*AN496/BF496,
AND(L496="marginal_effect",M496="sd (Y)"),N496*BH496*AN496/BF496,
AND(L496="marginal_effect",M496="sd (X)"),N496/AQ496*AN496/BF496,
AND(L496="semi_elasticity",M496="level"),N496*AN496,
AND(L496="semi_elasticity",M496="sd (Y)"),N496*AN496*BH496,
AND(L496="semi_elasticity",M496="sd (X)"),N496*AN496/AQ496,
AND(L496="level-log",M496="level"),N496/BF496,
AND(L496="level-log",M496="sd (X)"),N496/BF496/AQ496,
AND(L496="level-log",M496="sd (Y)"),N496/BF496*BH496,
AND(L496="elasticity",M496="level"),N496,
AND(L496="elasticity",M496="sd (X)"),N496/AQ496,
AND(L496="elasticity",M496="sd (Y)"),N496*BH496,
AND(L496="marginal_effect",M496="percent_of_mean"),N496*AN496/BF496/10)</f>
        <v>-0.26323060573857598</v>
      </c>
      <c r="AE496" s="56">
        <f t="shared" si="191"/>
        <v>1</v>
      </c>
      <c r="AF496" s="88">
        <f t="shared" si="195"/>
        <v>0.12438894792773646</v>
      </c>
      <c r="AG496" s="88" cm="1">
        <f t="array" ref="AG496">_xlfn.IFS(
AND(L496="marginal_effect",M496="level"),O496*AN496/BF496,
AND(L496="marginal_effect",M496="sd (Y)"),O496*BH496*AN496/BF496,
AND(L496="marginal_effect",M496="sd (X)"),O496/AQ496*AN496/BF496,
AND(L496="semi_elasticity",M496="level"),O496*AN496,
AND(L496="semi_elasticity",M496="sd (Y)"),O496*AN496*BH496,
AND(L496="semi_elasticity",M496="sd (X)"),O496*AN496/AQ496,
AND(L496="level-log",M496="level"),O496/BF496,
AND(L496="level-log",M496="sd (X)"),O496/BF496/AQ496,
AND(L496="level-log",M496="sd (Y)"),O496/BF496*BH496,
AND(L496="elasticity",M496="level"),O496,
AND(L496="elasticity",M496="sd (X)"),O496/AQ496,
AND(L496="elasticity",M496="sd (Y)"),O496*BH496,
AND(L496="marginal_effect",M496="percent_of_mean"),O496*AN496/BF496/10)</f>
        <v>0.12438894792773646</v>
      </c>
      <c r="AH496" s="56">
        <f t="shared" si="192"/>
        <v>1</v>
      </c>
      <c r="AI496" s="88">
        <f t="shared" si="196"/>
        <v>-0.26323060573857598</v>
      </c>
      <c r="AJ496" s="55">
        <v>0</v>
      </c>
      <c r="AK496" s="55">
        <f t="shared" si="185"/>
        <v>1</v>
      </c>
      <c r="AL496" s="55" t="s">
        <v>131</v>
      </c>
      <c r="AM496" s="76" t="s">
        <v>1411</v>
      </c>
      <c r="AN496" s="76">
        <v>3.9870000000000001</v>
      </c>
      <c r="AO496" s="76">
        <v>0</v>
      </c>
      <c r="AP496" s="76">
        <f t="shared" si="197"/>
        <v>3.9870000000000001</v>
      </c>
      <c r="AQ496" s="76">
        <v>0.38</v>
      </c>
      <c r="AR496" s="76">
        <v>1.792</v>
      </c>
      <c r="AS496" s="76">
        <v>5.1420000000000003</v>
      </c>
      <c r="AT496" s="55" t="s">
        <v>83</v>
      </c>
      <c r="AU496" s="55" t="s">
        <v>109</v>
      </c>
      <c r="AV496" s="55" t="s">
        <v>133</v>
      </c>
      <c r="AW496" s="55" t="s">
        <v>85</v>
      </c>
      <c r="AX496" s="55" t="s">
        <v>86</v>
      </c>
      <c r="AY496" s="55">
        <v>0</v>
      </c>
      <c r="AZ496" s="55">
        <v>0</v>
      </c>
      <c r="BA496" s="55" t="s">
        <v>734</v>
      </c>
      <c r="BB496" s="55" t="s">
        <v>88</v>
      </c>
      <c r="BC496" s="55" t="s">
        <v>89</v>
      </c>
      <c r="BD496" s="55" t="s">
        <v>114</v>
      </c>
      <c r="BE496" s="55" t="s">
        <v>1169</v>
      </c>
      <c r="BF496" s="55">
        <v>18.82</v>
      </c>
      <c r="BG496" s="55">
        <v>0</v>
      </c>
      <c r="BH496" s="55">
        <v>16.25</v>
      </c>
      <c r="BI496" s="55">
        <v>-218.25</v>
      </c>
      <c r="BJ496" s="55">
        <v>370.012</v>
      </c>
      <c r="BK496" s="55" t="s">
        <v>91</v>
      </c>
      <c r="BL496" s="55" t="s">
        <v>84</v>
      </c>
      <c r="BM496" s="55">
        <v>1</v>
      </c>
      <c r="BN496" s="55" t="s">
        <v>539</v>
      </c>
      <c r="BO496" s="55" t="s">
        <v>1175</v>
      </c>
      <c r="BP496" s="55" t="s">
        <v>1176</v>
      </c>
      <c r="BQ496" s="55" t="s">
        <v>117</v>
      </c>
      <c r="BR496" s="55" t="s">
        <v>93</v>
      </c>
      <c r="BS496" s="55">
        <v>26.151</v>
      </c>
      <c r="BT496" s="55">
        <v>0</v>
      </c>
      <c r="BU496" s="55">
        <v>2014</v>
      </c>
      <c r="BV496" s="55">
        <v>2019</v>
      </c>
      <c r="BW496" s="55" t="s">
        <v>736</v>
      </c>
      <c r="BX496" s="55" t="s">
        <v>95</v>
      </c>
      <c r="BY496" s="55" t="s">
        <v>748</v>
      </c>
      <c r="BZ496" s="55">
        <v>1</v>
      </c>
      <c r="CA496" s="55">
        <v>1</v>
      </c>
      <c r="CB496" s="55" t="s">
        <v>1211</v>
      </c>
      <c r="CC496" s="55" t="s">
        <v>1181</v>
      </c>
      <c r="CD496" s="55">
        <v>1</v>
      </c>
      <c r="CE496" s="55" t="s">
        <v>1182</v>
      </c>
      <c r="CF496" s="55">
        <v>0</v>
      </c>
      <c r="CG496" s="55" t="s">
        <v>97</v>
      </c>
      <c r="CH496" s="55">
        <v>1</v>
      </c>
      <c r="CI496" s="55" t="s">
        <v>509</v>
      </c>
      <c r="CJ496" s="55" t="s">
        <v>98</v>
      </c>
      <c r="CK496" s="55">
        <v>61</v>
      </c>
      <c r="CL496" s="55">
        <v>0</v>
      </c>
      <c r="CM496" s="55">
        <v>0</v>
      </c>
      <c r="CN496" s="55" t="s">
        <v>99</v>
      </c>
      <c r="CO496" s="55" t="s">
        <v>97</v>
      </c>
      <c r="CP496" s="55" t="s">
        <v>100</v>
      </c>
      <c r="CQ496" s="55" t="s">
        <v>126</v>
      </c>
      <c r="CR496" s="57">
        <v>46226</v>
      </c>
      <c r="CT496" s="55" t="s">
        <v>1205</v>
      </c>
    </row>
    <row r="497" spans="1:98" s="55" customFormat="1" x14ac:dyDescent="0.35">
      <c r="A497" s="54" t="s">
        <v>1170</v>
      </c>
      <c r="B497" s="54" t="s">
        <v>1204</v>
      </c>
      <c r="C497" s="55" t="s">
        <v>1171</v>
      </c>
      <c r="D497" s="55">
        <v>2023</v>
      </c>
      <c r="E497" s="54" t="s">
        <v>1172</v>
      </c>
      <c r="F497" s="54" t="s">
        <v>1173</v>
      </c>
      <c r="G497" s="55" t="s">
        <v>78</v>
      </c>
      <c r="H497" s="55">
        <v>1</v>
      </c>
      <c r="I497" s="55" t="s">
        <v>290</v>
      </c>
      <c r="J497" s="55" t="s">
        <v>1174</v>
      </c>
      <c r="K497" s="55">
        <v>12</v>
      </c>
      <c r="L497" s="55" t="s">
        <v>1179</v>
      </c>
      <c r="M497" s="55" t="s">
        <v>380</v>
      </c>
      <c r="N497" s="55">
        <v>-2.8969999999999998</v>
      </c>
      <c r="O497" s="55">
        <v>1.538</v>
      </c>
      <c r="P497" s="88">
        <f t="shared" si="198"/>
        <v>-1.8836150845253574</v>
      </c>
      <c r="Q497" s="55" t="s">
        <v>312</v>
      </c>
      <c r="R497" s="88">
        <f t="shared" si="181"/>
        <v>-5.9114799999999992</v>
      </c>
      <c r="S497" s="88">
        <f t="shared" si="182"/>
        <v>0.11748000000000003</v>
      </c>
      <c r="T497" s="55">
        <v>1</v>
      </c>
      <c r="U497" s="55">
        <v>21519</v>
      </c>
      <c r="V497" s="55">
        <v>10</v>
      </c>
      <c r="W497" s="55">
        <v>1</v>
      </c>
      <c r="X497" s="55">
        <f t="shared" si="193"/>
        <v>21509</v>
      </c>
      <c r="Y497" s="88">
        <f t="shared" si="199"/>
        <v>-1.284240120691899E-2</v>
      </c>
      <c r="Z497" s="88">
        <f t="shared" si="200"/>
        <v>6.8179541098520573E-3</v>
      </c>
      <c r="AA497" s="88">
        <f t="shared" si="187"/>
        <v>1.284240120691899E-2</v>
      </c>
      <c r="AB497" s="55" t="s">
        <v>81</v>
      </c>
      <c r="AC497" s="88">
        <f t="shared" si="194"/>
        <v>-0.15393198724760893</v>
      </c>
      <c r="AD497" s="88" cm="1">
        <f t="array" ref="AD497">_xlfn.IFS(
AND(L497="marginal_effect",M497="level"),N497*AN497/BF497,
AND(L497="marginal_effect",M497="sd (Y)"),N497*BH497*AN497/BF497,
AND(L497="marginal_effect",M497="sd (X)"),N497/AQ497*AN497/BF497,
AND(L497="semi_elasticity",M497="level"),N497*AN497,
AND(L497="semi_elasticity",M497="sd (Y)"),N497*AN497*BH497,
AND(L497="semi_elasticity",M497="sd (X)"),N497*AN497/AQ497,
AND(L497="level-log",M497="level"),N497/BF497,
AND(L497="level-log",M497="sd (X)"),N497/BF497/AQ497,
AND(L497="level-log",M497="sd (Y)"),N497/BF497*BH497,
AND(L497="elasticity",M497="level"),N497,
AND(L497="elasticity",M497="sd (X)"),N497/AQ497,
AND(L497="elasticity",M497="sd (Y)"),N497*BH497,
AND(L497="marginal_effect",M497="percent_of_mean"),N497*AN497/BF497/10)</f>
        <v>-0.15393198724760893</v>
      </c>
      <c r="AE497" s="56">
        <f t="shared" si="191"/>
        <v>1</v>
      </c>
      <c r="AF497" s="88">
        <f t="shared" si="195"/>
        <v>8.1721572794899042E-2</v>
      </c>
      <c r="AG497" s="88" cm="1">
        <f t="array" ref="AG497">_xlfn.IFS(
AND(L497="marginal_effect",M497="level"),O497*AN497/BF497,
AND(L497="marginal_effect",M497="sd (Y)"),O497*BH497*AN497/BF497,
AND(L497="marginal_effect",M497="sd (X)"),O497/AQ497*AN497/BF497,
AND(L497="semi_elasticity",M497="level"),O497*AN497,
AND(L497="semi_elasticity",M497="sd (Y)"),O497*AN497*BH497,
AND(L497="semi_elasticity",M497="sd (X)"),O497*AN497/AQ497,
AND(L497="level-log",M497="level"),O497/BF497,
AND(L497="level-log",M497="sd (X)"),O497/BF497/AQ497,
AND(L497="level-log",M497="sd (Y)"),O497/BF497*BH497,
AND(L497="elasticity",M497="level"),O497,
AND(L497="elasticity",M497="sd (X)"),O497/AQ497,
AND(L497="elasticity",M497="sd (Y)"),O497*BH497,
AND(L497="marginal_effect",M497="percent_of_mean"),O497*AN497/BF497/10)</f>
        <v>8.1721572794899042E-2</v>
      </c>
      <c r="AH497" s="56">
        <f t="shared" si="192"/>
        <v>1</v>
      </c>
      <c r="AI497" s="88">
        <f t="shared" si="196"/>
        <v>-0.15393198724760893</v>
      </c>
      <c r="AJ497" s="55">
        <v>0</v>
      </c>
      <c r="AK497" s="55">
        <f t="shared" si="185"/>
        <v>1</v>
      </c>
      <c r="AL497" s="55" t="s">
        <v>148</v>
      </c>
      <c r="AM497" s="76" t="s">
        <v>1411</v>
      </c>
      <c r="AN497" s="76">
        <v>3.5609999999999999</v>
      </c>
      <c r="AO497" s="76">
        <v>0</v>
      </c>
      <c r="AP497" s="76">
        <f t="shared" si="197"/>
        <v>3.5609999999999999</v>
      </c>
      <c r="AQ497" s="76">
        <v>2.0409999999999999</v>
      </c>
      <c r="AR497" s="76">
        <v>-9.2100000000000009</v>
      </c>
      <c r="AS497" s="76">
        <v>5.3179999999999996</v>
      </c>
      <c r="AT497" s="55" t="s">
        <v>83</v>
      </c>
      <c r="AU497" s="55" t="s">
        <v>109</v>
      </c>
      <c r="AV497" s="55" t="s">
        <v>133</v>
      </c>
      <c r="AW497" s="55" t="s">
        <v>85</v>
      </c>
      <c r="AX497" s="55" t="s">
        <v>86</v>
      </c>
      <c r="AY497" s="55">
        <v>0</v>
      </c>
      <c r="AZ497" s="55">
        <v>0</v>
      </c>
      <c r="BA497" s="55" t="s">
        <v>734</v>
      </c>
      <c r="BB497" s="55" t="s">
        <v>88</v>
      </c>
      <c r="BC497" s="55" t="s">
        <v>89</v>
      </c>
      <c r="BD497" s="55" t="s">
        <v>114</v>
      </c>
      <c r="BE497" s="55" t="s">
        <v>1169</v>
      </c>
      <c r="BF497" s="55">
        <v>18.82</v>
      </c>
      <c r="BG497" s="55">
        <v>0</v>
      </c>
      <c r="BH497" s="55">
        <v>16.25</v>
      </c>
      <c r="BI497" s="55">
        <v>-218.25</v>
      </c>
      <c r="BJ497" s="55">
        <v>370.012</v>
      </c>
      <c r="BK497" s="55" t="s">
        <v>91</v>
      </c>
      <c r="BL497" s="55" t="s">
        <v>84</v>
      </c>
      <c r="BM497" s="55">
        <v>1</v>
      </c>
      <c r="BN497" s="55" t="s">
        <v>539</v>
      </c>
      <c r="BO497" s="55" t="s">
        <v>1175</v>
      </c>
      <c r="BP497" s="55" t="s">
        <v>1176</v>
      </c>
      <c r="BQ497" s="55" t="s">
        <v>117</v>
      </c>
      <c r="BR497" s="55" t="s">
        <v>93</v>
      </c>
      <c r="BS497" s="55">
        <v>26.151</v>
      </c>
      <c r="BT497" s="55">
        <v>0</v>
      </c>
      <c r="BU497" s="55">
        <v>2014</v>
      </c>
      <c r="BV497" s="55">
        <v>2019</v>
      </c>
      <c r="BW497" s="55" t="s">
        <v>736</v>
      </c>
      <c r="BX497" s="55" t="s">
        <v>95</v>
      </c>
      <c r="BY497" s="55" t="s">
        <v>748</v>
      </c>
      <c r="BZ497" s="55">
        <v>1</v>
      </c>
      <c r="CA497" s="55">
        <v>1</v>
      </c>
      <c r="CB497" s="55" t="s">
        <v>1211</v>
      </c>
      <c r="CC497" s="55" t="s">
        <v>1181</v>
      </c>
      <c r="CD497" s="55">
        <v>1</v>
      </c>
      <c r="CE497" s="55" t="s">
        <v>1182</v>
      </c>
      <c r="CF497" s="55">
        <v>0</v>
      </c>
      <c r="CG497" s="55" t="s">
        <v>97</v>
      </c>
      <c r="CH497" s="55">
        <v>1</v>
      </c>
      <c r="CI497" s="55" t="s">
        <v>509</v>
      </c>
      <c r="CJ497" s="55" t="s">
        <v>98</v>
      </c>
      <c r="CK497" s="55">
        <v>61</v>
      </c>
      <c r="CL497" s="55">
        <v>0</v>
      </c>
      <c r="CM497" s="55">
        <v>0</v>
      </c>
      <c r="CN497" s="55" t="s">
        <v>99</v>
      </c>
      <c r="CO497" s="55" t="s">
        <v>97</v>
      </c>
      <c r="CP497" s="55" t="s">
        <v>100</v>
      </c>
      <c r="CQ497" s="55" t="s">
        <v>126</v>
      </c>
      <c r="CR497" s="57">
        <v>46226</v>
      </c>
      <c r="CT497" s="55" t="s">
        <v>1206</v>
      </c>
    </row>
    <row r="498" spans="1:98" s="55" customFormat="1" x14ac:dyDescent="0.35">
      <c r="A498" s="54" t="s">
        <v>1170</v>
      </c>
      <c r="B498" s="54" t="s">
        <v>1207</v>
      </c>
      <c r="C498" s="55" t="s">
        <v>1171</v>
      </c>
      <c r="D498" s="55">
        <v>2023</v>
      </c>
      <c r="E498" s="54" t="s">
        <v>1172</v>
      </c>
      <c r="F498" s="54" t="s">
        <v>1173</v>
      </c>
      <c r="G498" s="55" t="s">
        <v>78</v>
      </c>
      <c r="H498" s="55">
        <v>1</v>
      </c>
      <c r="I498" s="55" t="s">
        <v>290</v>
      </c>
      <c r="J498" s="55" t="s">
        <v>1174</v>
      </c>
      <c r="K498" s="55">
        <v>12</v>
      </c>
      <c r="L498" s="55" t="s">
        <v>1179</v>
      </c>
      <c r="M498" s="55" t="s">
        <v>380</v>
      </c>
      <c r="N498" s="55">
        <f>-5.422+0.386</f>
        <v>-5.0359999999999996</v>
      </c>
      <c r="O498" s="55" t="s">
        <v>312</v>
      </c>
      <c r="P498" s="88" t="s">
        <v>312</v>
      </c>
      <c r="Q498" s="55" t="s">
        <v>312</v>
      </c>
      <c r="R498" s="88" t="s">
        <v>312</v>
      </c>
      <c r="S498" s="88" t="s">
        <v>312</v>
      </c>
      <c r="T498" s="55" t="s">
        <v>312</v>
      </c>
      <c r="U498" s="55">
        <v>21519</v>
      </c>
      <c r="V498" s="55">
        <v>10</v>
      </c>
      <c r="W498" s="55">
        <v>1</v>
      </c>
      <c r="X498" s="55">
        <f t="shared" si="193"/>
        <v>21509</v>
      </c>
      <c r="Y498" s="88" t="s">
        <v>312</v>
      </c>
      <c r="Z498" s="88" t="s">
        <v>312</v>
      </c>
      <c r="AA498" s="88" t="s">
        <v>312</v>
      </c>
      <c r="AB498" s="55" t="s">
        <v>312</v>
      </c>
      <c r="AC498" s="88">
        <f t="shared" si="194"/>
        <v>-0.2675876726886291</v>
      </c>
      <c r="AD498" s="88" cm="1">
        <f t="array" ref="AD498">_xlfn.IFS(
AND(L498="marginal_effect",M498="level"),N498*AN498/BF498,
AND(L498="marginal_effect",M498="sd (Y)"),N498*BH498*AN498/BF498,
AND(L498="marginal_effect",M498="sd (X)"),N498/AQ498*AN498/BF498,
AND(L498="semi_elasticity",M498="level"),N498*AN498,
AND(L498="semi_elasticity",M498="sd (Y)"),N498*AN498*BH498,
AND(L498="semi_elasticity",M498="sd (X)"),N498*AN498/AQ498,
AND(L498="level-log",M498="level"),N498/BF498,
AND(L498="level-log",M498="sd (X)"),N498/BF498/AQ498,
AND(L498="level-log",M498="sd (Y)"),N498/BF498*BH498,
AND(L498="elasticity",M498="level"),N498,
AND(L498="elasticity",M498="sd (X)"),N498/AQ498,
AND(L498="elasticity",M498="sd (Y)"),N498*BH498,
AND(L498="marginal_effect",M498="percent_of_mean"),N498*AN498/BF498/10)</f>
        <v>-0.2675876726886291</v>
      </c>
      <c r="AE498" s="56">
        <f t="shared" si="191"/>
        <v>1</v>
      </c>
      <c r="AF498" s="88" t="s">
        <v>312</v>
      </c>
      <c r="AG498" s="88" t="e" cm="1">
        <f t="array" ref="AG498">_xlfn.IFS(
AND(L498="marginal_effect",M498="level"),O498*AN498/BF498,
AND(L498="marginal_effect",M498="sd (Y)"),O498*BH498*AN498/BF498,
AND(L498="marginal_effect",M498="sd (X)"),O498/AQ498*AN498/BF498,
AND(L498="semi_elasticity",M498="level"),O498*AN498,
AND(L498="semi_elasticity",M498="sd (Y)"),O498*AN498*BH498,
AND(L498="semi_elasticity",M498="sd (X)"),O498*AN498/AQ498,
AND(L498="level-log",M498="level"),O498/BF498,
AND(L498="level-log",M498="sd (X)"),O498/BF498/AQ498,
AND(L498="level-log",M498="sd (Y)"),O498/BF498*BH498,
AND(L498="elasticity",M498="level"),O498,
AND(L498="elasticity",M498="sd (X)"),O498/AQ498,
AND(L498="elasticity",M498="sd (Y)"),O498*BH498,
AND(L498="marginal_effect",M498="percent_of_mean"),O498*AN498/BF498/10)</f>
        <v>#VALUE!</v>
      </c>
      <c r="AH498" s="56" t="e">
        <f t="shared" si="192"/>
        <v>#VALUE!</v>
      </c>
      <c r="AI498" s="88">
        <f t="shared" si="196"/>
        <v>-0.2675876726886291</v>
      </c>
      <c r="AJ498" s="55">
        <v>0</v>
      </c>
      <c r="AK498" s="55" t="s">
        <v>312</v>
      </c>
      <c r="AL498" s="55" t="s">
        <v>735</v>
      </c>
      <c r="AM498" s="76" t="s">
        <v>1411</v>
      </c>
      <c r="AN498" s="76">
        <v>4.5960000000000001</v>
      </c>
      <c r="AO498" s="76">
        <v>1</v>
      </c>
      <c r="AP498" s="76">
        <f t="shared" si="197"/>
        <v>4.5960000000000001</v>
      </c>
      <c r="AQ498" s="76">
        <v>0.48299999999999998</v>
      </c>
      <c r="AR498" s="76">
        <v>2.89</v>
      </c>
      <c r="AS498" s="76">
        <v>6.1840000000000002</v>
      </c>
      <c r="AT498" s="55" t="s">
        <v>83</v>
      </c>
      <c r="AU498" s="55" t="s">
        <v>109</v>
      </c>
      <c r="AV498" s="55" t="s">
        <v>133</v>
      </c>
      <c r="AW498" s="55" t="s">
        <v>85</v>
      </c>
      <c r="AX498" s="55" t="s">
        <v>86</v>
      </c>
      <c r="AY498" s="55">
        <v>0</v>
      </c>
      <c r="AZ498" s="55">
        <v>0</v>
      </c>
      <c r="BA498" s="55" t="s">
        <v>734</v>
      </c>
      <c r="BB498" s="55" t="s">
        <v>88</v>
      </c>
      <c r="BC498" s="55" t="s">
        <v>89</v>
      </c>
      <c r="BD498" s="55" t="s">
        <v>114</v>
      </c>
      <c r="BE498" s="55" t="s">
        <v>1169</v>
      </c>
      <c r="BF498" s="55">
        <v>18.82</v>
      </c>
      <c r="BG498" s="55">
        <v>1</v>
      </c>
      <c r="BH498" s="55">
        <v>16.25</v>
      </c>
      <c r="BI498" s="55">
        <v>-218.25</v>
      </c>
      <c r="BJ498" s="55">
        <v>370.012</v>
      </c>
      <c r="BK498" s="55" t="s">
        <v>91</v>
      </c>
      <c r="BL498" s="55" t="s">
        <v>84</v>
      </c>
      <c r="BM498" s="55">
        <v>1</v>
      </c>
      <c r="BN498" s="55" t="s">
        <v>539</v>
      </c>
      <c r="BO498" s="55" t="s">
        <v>1175</v>
      </c>
      <c r="BP498" s="55" t="s">
        <v>1176</v>
      </c>
      <c r="BQ498" s="55" t="s">
        <v>117</v>
      </c>
      <c r="BR498" s="55" t="s">
        <v>93</v>
      </c>
      <c r="BS498" s="55">
        <v>26.151</v>
      </c>
      <c r="BT498" s="55">
        <v>0</v>
      </c>
      <c r="BU498" s="55">
        <v>2014</v>
      </c>
      <c r="BV498" s="55">
        <v>2019</v>
      </c>
      <c r="BW498" s="55" t="s">
        <v>736</v>
      </c>
      <c r="BX498" s="55" t="s">
        <v>95</v>
      </c>
      <c r="BY498" s="55" t="s">
        <v>748</v>
      </c>
      <c r="BZ498" s="55">
        <v>1</v>
      </c>
      <c r="CA498" s="55">
        <v>1</v>
      </c>
      <c r="CB498" s="55" t="s">
        <v>1211</v>
      </c>
      <c r="CC498" s="55" t="s">
        <v>1177</v>
      </c>
      <c r="CD498" s="55">
        <v>1</v>
      </c>
      <c r="CE498" s="55" t="s">
        <v>1182</v>
      </c>
      <c r="CF498" s="55">
        <v>0</v>
      </c>
      <c r="CG498" s="55" t="s">
        <v>97</v>
      </c>
      <c r="CH498" s="55">
        <v>1</v>
      </c>
      <c r="CI498" s="55" t="s">
        <v>509</v>
      </c>
      <c r="CJ498" s="55" t="s">
        <v>98</v>
      </c>
      <c r="CK498" s="55">
        <v>61</v>
      </c>
      <c r="CL498" s="55">
        <v>0</v>
      </c>
      <c r="CM498" s="55">
        <v>0</v>
      </c>
      <c r="CN498" s="55" t="s">
        <v>99</v>
      </c>
      <c r="CO498" s="55" t="s">
        <v>943</v>
      </c>
      <c r="CP498" s="55" t="s">
        <v>100</v>
      </c>
      <c r="CQ498" s="55" t="s">
        <v>126</v>
      </c>
      <c r="CR498" s="57">
        <v>46226</v>
      </c>
      <c r="CT498" s="55" t="s">
        <v>672</v>
      </c>
    </row>
    <row r="499" spans="1:98" s="55" customFormat="1" x14ac:dyDescent="0.35">
      <c r="A499" s="54" t="s">
        <v>1170</v>
      </c>
      <c r="B499" s="54" t="s">
        <v>1209</v>
      </c>
      <c r="C499" s="55" t="s">
        <v>1171</v>
      </c>
      <c r="D499" s="55">
        <v>2023</v>
      </c>
      <c r="E499" s="54" t="s">
        <v>1172</v>
      </c>
      <c r="F499" s="54" t="s">
        <v>1173</v>
      </c>
      <c r="G499" s="55" t="s">
        <v>78</v>
      </c>
      <c r="H499" s="55">
        <v>1</v>
      </c>
      <c r="I499" s="55" t="s">
        <v>290</v>
      </c>
      <c r="J499" s="55" t="s">
        <v>1174</v>
      </c>
      <c r="K499" s="55">
        <v>12</v>
      </c>
      <c r="L499" s="55" t="s">
        <v>1179</v>
      </c>
      <c r="M499" s="55" t="s">
        <v>380</v>
      </c>
      <c r="N499" s="55">
        <v>-5.4219999999999997</v>
      </c>
      <c r="O499" s="55">
        <v>0.51500000000000001</v>
      </c>
      <c r="P499" s="88">
        <f>N499/O499</f>
        <v>-10.528155339805824</v>
      </c>
      <c r="Q499" s="55" t="s">
        <v>312</v>
      </c>
      <c r="R499" s="88">
        <f>N499-1.96*O499</f>
        <v>-6.4314</v>
      </c>
      <c r="S499" s="88">
        <f>N499+1.96*O499</f>
        <v>-4.4125999999999994</v>
      </c>
      <c r="T499" s="55">
        <v>1</v>
      </c>
      <c r="U499" s="55">
        <v>21519</v>
      </c>
      <c r="V499" s="55">
        <v>10</v>
      </c>
      <c r="W499" s="55">
        <v>1</v>
      </c>
      <c r="X499" s="55">
        <f t="shared" si="193"/>
        <v>21509</v>
      </c>
      <c r="Y499" s="88" t="s">
        <v>312</v>
      </c>
      <c r="Z499" s="88" t="s">
        <v>312</v>
      </c>
      <c r="AA499" s="88" t="s">
        <v>312</v>
      </c>
      <c r="AB499" s="55" t="s">
        <v>81</v>
      </c>
      <c r="AC499" s="88">
        <f t="shared" si="194"/>
        <v>-0.28809776833156214</v>
      </c>
      <c r="AD499" s="88" cm="1">
        <f t="array" ref="AD499">_xlfn.IFS(
AND(L499="marginal_effect",M499="level"),N499*AN499/BF499,
AND(L499="marginal_effect",M499="sd (Y)"),N499*BH499*AN499/BF499,
AND(L499="marginal_effect",M499="sd (X)"),N499/AQ499*AN499/BF499,
AND(L499="semi_elasticity",M499="level"),N499*AN499,
AND(L499="semi_elasticity",M499="sd (Y)"),N499*AN499*BH499,
AND(L499="semi_elasticity",M499="sd (X)"),N499*AN499/AQ499,
AND(L499="level-log",M499="level"),N499/BF499,
AND(L499="level-log",M499="sd (X)"),N499/BF499/AQ499,
AND(L499="level-log",M499="sd (Y)"),N499/BF499*BH499,
AND(L499="elasticity",M499="level"),N499,
AND(L499="elasticity",M499="sd (X)"),N499/AQ499,
AND(L499="elasticity",M499="sd (Y)"),N499*BH499,
AND(L499="marginal_effect",M499="percent_of_mean"),N499*AN499/BF499/10)</f>
        <v>-0.28809776833156214</v>
      </c>
      <c r="AE499" s="56">
        <f t="shared" si="191"/>
        <v>1</v>
      </c>
      <c r="AF499" s="88">
        <f>O499/BF499</f>
        <v>2.7364505844845909E-2</v>
      </c>
      <c r="AG499" s="88" cm="1">
        <f t="array" ref="AG499">_xlfn.IFS(
AND(L499="marginal_effect",M499="level"),O499*AN499/BF499,
AND(L499="marginal_effect",M499="sd (Y)"),O499*BH499*AN499/BF499,
AND(L499="marginal_effect",M499="sd (X)"),O499/AQ499*AN499/BF499,
AND(L499="semi_elasticity",M499="level"),O499*AN499,
AND(L499="semi_elasticity",M499="sd (Y)"),O499*AN499*BH499,
AND(L499="semi_elasticity",M499="sd (X)"),O499*AN499/AQ499,
AND(L499="level-log",M499="level"),O499/BF499,
AND(L499="level-log",M499="sd (X)"),O499/BF499/AQ499,
AND(L499="level-log",M499="sd (Y)"),O499/BF499*BH499,
AND(L499="elasticity",M499="level"),O499,
AND(L499="elasticity",M499="sd (X)"),O499/AQ499,
AND(L499="elasticity",M499="sd (Y)"),O499*BH499,
AND(L499="marginal_effect",M499="percent_of_mean"),O499*AN499/BF499/10)</f>
        <v>2.7364505844845909E-2</v>
      </c>
      <c r="AH499" s="56">
        <f t="shared" si="192"/>
        <v>1</v>
      </c>
      <c r="AI499" s="88">
        <f t="shared" si="196"/>
        <v>-0.28809776833156214</v>
      </c>
      <c r="AJ499" s="55">
        <v>0</v>
      </c>
      <c r="AK499" s="55">
        <f>IF(P499=(AC499/AF499),1,0)</f>
        <v>1</v>
      </c>
      <c r="AL499" s="55" t="s">
        <v>735</v>
      </c>
      <c r="AM499" s="76" t="s">
        <v>1411</v>
      </c>
      <c r="AN499" s="76">
        <v>4.5960000000000001</v>
      </c>
      <c r="AO499" s="76">
        <v>1</v>
      </c>
      <c r="AP499" s="76">
        <f t="shared" si="197"/>
        <v>4.5960000000000001</v>
      </c>
      <c r="AQ499" s="76">
        <v>0.48299999999999998</v>
      </c>
      <c r="AR499" s="76">
        <v>2.89</v>
      </c>
      <c r="AS499" s="76">
        <v>6.1840000000000002</v>
      </c>
      <c r="AT499" s="55" t="s">
        <v>83</v>
      </c>
      <c r="AU499" s="55" t="s">
        <v>109</v>
      </c>
      <c r="AV499" s="55" t="s">
        <v>133</v>
      </c>
      <c r="AW499" s="55" t="s">
        <v>85</v>
      </c>
      <c r="AX499" s="55" t="s">
        <v>86</v>
      </c>
      <c r="AY499" s="55">
        <v>0</v>
      </c>
      <c r="AZ499" s="55">
        <v>0</v>
      </c>
      <c r="BA499" s="55" t="s">
        <v>734</v>
      </c>
      <c r="BB499" s="55" t="s">
        <v>88</v>
      </c>
      <c r="BC499" s="55" t="s">
        <v>89</v>
      </c>
      <c r="BD499" s="55" t="s">
        <v>114</v>
      </c>
      <c r="BE499" s="55" t="s">
        <v>1169</v>
      </c>
      <c r="BF499" s="55">
        <v>18.82</v>
      </c>
      <c r="BG499" s="55">
        <v>1</v>
      </c>
      <c r="BH499" s="55">
        <v>16.25</v>
      </c>
      <c r="BI499" s="55">
        <v>-218.25</v>
      </c>
      <c r="BJ499" s="55">
        <v>370.012</v>
      </c>
      <c r="BK499" s="55" t="s">
        <v>91</v>
      </c>
      <c r="BL499" s="55" t="s">
        <v>84</v>
      </c>
      <c r="BM499" s="55">
        <v>1</v>
      </c>
      <c r="BN499" s="55" t="s">
        <v>539</v>
      </c>
      <c r="BO499" s="55" t="s">
        <v>1175</v>
      </c>
      <c r="BP499" s="55" t="s">
        <v>1176</v>
      </c>
      <c r="BQ499" s="55" t="s">
        <v>117</v>
      </c>
      <c r="BR499" s="55" t="s">
        <v>93</v>
      </c>
      <c r="BS499" s="55">
        <v>26.151</v>
      </c>
      <c r="BT499" s="55">
        <v>0</v>
      </c>
      <c r="BU499" s="55">
        <v>2014</v>
      </c>
      <c r="BV499" s="55">
        <v>2019</v>
      </c>
      <c r="BW499" s="55" t="s">
        <v>736</v>
      </c>
      <c r="BX499" s="55" t="s">
        <v>95</v>
      </c>
      <c r="BY499" s="55" t="s">
        <v>748</v>
      </c>
      <c r="BZ499" s="55">
        <v>1</v>
      </c>
      <c r="CA499" s="55">
        <v>1</v>
      </c>
      <c r="CB499" s="55" t="s">
        <v>1211</v>
      </c>
      <c r="CC499" s="55" t="s">
        <v>1181</v>
      </c>
      <c r="CD499" s="55">
        <v>1</v>
      </c>
      <c r="CE499" s="55" t="s">
        <v>1182</v>
      </c>
      <c r="CF499" s="55">
        <v>0</v>
      </c>
      <c r="CG499" s="55" t="s">
        <v>97</v>
      </c>
      <c r="CH499" s="55">
        <v>1</v>
      </c>
      <c r="CI499" s="55" t="s">
        <v>509</v>
      </c>
      <c r="CJ499" s="55" t="s">
        <v>98</v>
      </c>
      <c r="CK499" s="55">
        <v>61</v>
      </c>
      <c r="CL499" s="55">
        <v>0</v>
      </c>
      <c r="CM499" s="55">
        <v>0</v>
      </c>
      <c r="CN499" s="55" t="s">
        <v>99</v>
      </c>
      <c r="CO499" s="55" t="s">
        <v>943</v>
      </c>
      <c r="CP499" s="55" t="s">
        <v>100</v>
      </c>
      <c r="CQ499" s="55" t="s">
        <v>126</v>
      </c>
      <c r="CR499" s="57">
        <v>46226</v>
      </c>
      <c r="CT499" s="55" t="s">
        <v>671</v>
      </c>
    </row>
    <row r="500" spans="1:98" s="55" customFormat="1" x14ac:dyDescent="0.35">
      <c r="A500" s="54" t="s">
        <v>1170</v>
      </c>
      <c r="B500" s="54" t="s">
        <v>1208</v>
      </c>
      <c r="C500" s="55" t="s">
        <v>1171</v>
      </c>
      <c r="D500" s="55">
        <v>2023</v>
      </c>
      <c r="E500" s="54" t="s">
        <v>1172</v>
      </c>
      <c r="F500" s="54" t="s">
        <v>1173</v>
      </c>
      <c r="G500" s="55" t="s">
        <v>78</v>
      </c>
      <c r="H500" s="55">
        <v>1</v>
      </c>
      <c r="I500" s="55" t="s">
        <v>290</v>
      </c>
      <c r="J500" s="55" t="s">
        <v>1174</v>
      </c>
      <c r="K500" s="55">
        <v>12</v>
      </c>
      <c r="L500" s="55" t="s">
        <v>1179</v>
      </c>
      <c r="M500" s="55" t="s">
        <v>380</v>
      </c>
      <c r="N500" s="55">
        <f>-5.026+0.386</f>
        <v>-4.6399999999999997</v>
      </c>
      <c r="O500" s="55" t="s">
        <v>312</v>
      </c>
      <c r="P500" s="88" t="s">
        <v>312</v>
      </c>
      <c r="Q500" s="55" t="s">
        <v>312</v>
      </c>
      <c r="R500" s="88" t="s">
        <v>312</v>
      </c>
      <c r="S500" s="88" t="s">
        <v>312</v>
      </c>
      <c r="T500" s="55" t="s">
        <v>312</v>
      </c>
      <c r="U500" s="55">
        <v>21519</v>
      </c>
      <c r="V500" s="55">
        <v>10</v>
      </c>
      <c r="W500" s="55">
        <v>1</v>
      </c>
      <c r="X500" s="55">
        <f t="shared" si="193"/>
        <v>21509</v>
      </c>
      <c r="Y500" s="88" t="s">
        <v>312</v>
      </c>
      <c r="Z500" s="88" t="s">
        <v>312</v>
      </c>
      <c r="AA500" s="88" t="s">
        <v>312</v>
      </c>
      <c r="AB500" s="55" t="s">
        <v>312</v>
      </c>
      <c r="AC500" s="88">
        <f t="shared" si="194"/>
        <v>-0.24654622741764079</v>
      </c>
      <c r="AD500" s="88" cm="1">
        <f t="array" ref="AD500">_xlfn.IFS(
AND(L500="marginal_effect",M500="level"),N500*AN500/BF500,
AND(L500="marginal_effect",M500="sd (Y)"),N500*BH500*AN500/BF500,
AND(L500="marginal_effect",M500="sd (X)"),N500/AQ500*AN500/BF500,
AND(L500="semi_elasticity",M500="level"),N500*AN500,
AND(L500="semi_elasticity",M500="sd (Y)"),N500*AN500*BH500,
AND(L500="semi_elasticity",M500="sd (X)"),N500*AN500/AQ500,
AND(L500="level-log",M500="level"),N500/BF500,
AND(L500="level-log",M500="sd (X)"),N500/BF500/AQ500,
AND(L500="level-log",M500="sd (Y)"),N500/BF500*BH500,
AND(L500="elasticity",M500="level"),N500,
AND(L500="elasticity",M500="sd (X)"),N500/AQ500,
AND(L500="elasticity",M500="sd (Y)"),N500*BH500,
AND(L500="marginal_effect",M500="percent_of_mean"),N500*AN500/BF500/10)</f>
        <v>-0.24654622741764079</v>
      </c>
      <c r="AE500" s="56">
        <f t="shared" si="191"/>
        <v>1</v>
      </c>
      <c r="AF500" s="88" t="s">
        <v>312</v>
      </c>
      <c r="AG500" s="88" t="e" cm="1">
        <f t="array" ref="AG500">_xlfn.IFS(
AND(L500="marginal_effect",M500="level"),O500*AN500/BF500,
AND(L500="marginal_effect",M500="sd (Y)"),O500*BH500*AN500/BF500,
AND(L500="marginal_effect",M500="sd (X)"),O500/AQ500*AN500/BF500,
AND(L500="semi_elasticity",M500="level"),O500*AN500,
AND(L500="semi_elasticity",M500="sd (Y)"),O500*AN500*BH500,
AND(L500="semi_elasticity",M500="sd (X)"),O500*AN500/AQ500,
AND(L500="level-log",M500="level"),O500/BF500,
AND(L500="level-log",M500="sd (X)"),O500/BF500/AQ500,
AND(L500="level-log",M500="sd (Y)"),O500/BF500*BH500,
AND(L500="elasticity",M500="level"),O500,
AND(L500="elasticity",M500="sd (X)"),O500/AQ500,
AND(L500="elasticity",M500="sd (Y)"),O500*BH500,
AND(L500="marginal_effect",M500="percent_of_mean"),O500*AN500/BF500/10)</f>
        <v>#VALUE!</v>
      </c>
      <c r="AH500" s="56" t="e">
        <f t="shared" si="192"/>
        <v>#VALUE!</v>
      </c>
      <c r="AI500" s="88">
        <f t="shared" si="196"/>
        <v>-0.24654622741764079</v>
      </c>
      <c r="AJ500" s="55">
        <v>0</v>
      </c>
      <c r="AK500" s="55" t="s">
        <v>312</v>
      </c>
      <c r="AL500" s="55" t="s">
        <v>735</v>
      </c>
      <c r="AM500" s="76" t="s">
        <v>1411</v>
      </c>
      <c r="AN500" s="76">
        <v>4.5960000000000001</v>
      </c>
      <c r="AO500" s="76">
        <v>1</v>
      </c>
      <c r="AP500" s="76">
        <f t="shared" si="197"/>
        <v>4.5960000000000001</v>
      </c>
      <c r="AQ500" s="76">
        <v>0.48299999999999998</v>
      </c>
      <c r="AR500" s="76">
        <v>2.89</v>
      </c>
      <c r="AS500" s="76">
        <v>6.1840000000000002</v>
      </c>
      <c r="AT500" s="55" t="s">
        <v>83</v>
      </c>
      <c r="AU500" s="55" t="s">
        <v>109</v>
      </c>
      <c r="AV500" s="55" t="s">
        <v>133</v>
      </c>
      <c r="AW500" s="55" t="s">
        <v>85</v>
      </c>
      <c r="AX500" s="55" t="s">
        <v>86</v>
      </c>
      <c r="AY500" s="55">
        <v>0</v>
      </c>
      <c r="AZ500" s="55">
        <v>0</v>
      </c>
      <c r="BA500" s="55" t="s">
        <v>734</v>
      </c>
      <c r="BB500" s="55" t="s">
        <v>88</v>
      </c>
      <c r="BC500" s="55" t="s">
        <v>89</v>
      </c>
      <c r="BD500" s="55" t="s">
        <v>114</v>
      </c>
      <c r="BE500" s="55" t="s">
        <v>1169</v>
      </c>
      <c r="BF500" s="55">
        <v>18.82</v>
      </c>
      <c r="BG500" s="55">
        <v>1</v>
      </c>
      <c r="BH500" s="55">
        <v>16.25</v>
      </c>
      <c r="BI500" s="55">
        <v>-218.25</v>
      </c>
      <c r="BJ500" s="55">
        <v>370.012</v>
      </c>
      <c r="BK500" s="55" t="s">
        <v>91</v>
      </c>
      <c r="BL500" s="55" t="s">
        <v>84</v>
      </c>
      <c r="BM500" s="55">
        <v>1</v>
      </c>
      <c r="BN500" s="55" t="s">
        <v>539</v>
      </c>
      <c r="BO500" s="55" t="s">
        <v>1175</v>
      </c>
      <c r="BP500" s="55" t="s">
        <v>1176</v>
      </c>
      <c r="BQ500" s="55" t="s">
        <v>117</v>
      </c>
      <c r="BR500" s="55" t="s">
        <v>93</v>
      </c>
      <c r="BS500" s="55">
        <v>26.151</v>
      </c>
      <c r="BT500" s="55">
        <v>0</v>
      </c>
      <c r="BU500" s="55">
        <v>2014</v>
      </c>
      <c r="BV500" s="55">
        <v>2019</v>
      </c>
      <c r="BW500" s="55" t="s">
        <v>736</v>
      </c>
      <c r="BX500" s="55" t="s">
        <v>95</v>
      </c>
      <c r="BY500" s="55" t="s">
        <v>748</v>
      </c>
      <c r="BZ500" s="55">
        <v>1</v>
      </c>
      <c r="CA500" s="55">
        <v>1</v>
      </c>
      <c r="CB500" s="55" t="s">
        <v>1211</v>
      </c>
      <c r="CC500" s="55" t="s">
        <v>1177</v>
      </c>
      <c r="CD500" s="55">
        <v>1</v>
      </c>
      <c r="CE500" s="55" t="s">
        <v>1182</v>
      </c>
      <c r="CF500" s="55">
        <v>0</v>
      </c>
      <c r="CG500" s="55" t="s">
        <v>97</v>
      </c>
      <c r="CH500" s="55">
        <v>1</v>
      </c>
      <c r="CI500" s="55" t="s">
        <v>509</v>
      </c>
      <c r="CJ500" s="55" t="s">
        <v>98</v>
      </c>
      <c r="CK500" s="55">
        <v>61</v>
      </c>
      <c r="CL500" s="55">
        <v>0</v>
      </c>
      <c r="CM500" s="55">
        <v>0</v>
      </c>
      <c r="CN500" s="55" t="s">
        <v>99</v>
      </c>
      <c r="CO500" s="55" t="s">
        <v>943</v>
      </c>
      <c r="CP500" s="55" t="s">
        <v>100</v>
      </c>
      <c r="CQ500" s="55" t="s">
        <v>126</v>
      </c>
      <c r="CR500" s="57">
        <v>46226</v>
      </c>
      <c r="CT500" s="55" t="s">
        <v>672</v>
      </c>
    </row>
    <row r="501" spans="1:98" s="55" customFormat="1" x14ac:dyDescent="0.35">
      <c r="A501" s="54" t="s">
        <v>1170</v>
      </c>
      <c r="B501" s="54" t="s">
        <v>1210</v>
      </c>
      <c r="C501" s="55" t="s">
        <v>1171</v>
      </c>
      <c r="D501" s="55">
        <v>2023</v>
      </c>
      <c r="E501" s="54" t="s">
        <v>1172</v>
      </c>
      <c r="F501" s="54" t="s">
        <v>1173</v>
      </c>
      <c r="G501" s="55" t="s">
        <v>78</v>
      </c>
      <c r="H501" s="55">
        <v>1</v>
      </c>
      <c r="I501" s="55" t="s">
        <v>290</v>
      </c>
      <c r="J501" s="55" t="s">
        <v>1174</v>
      </c>
      <c r="K501" s="55">
        <v>12</v>
      </c>
      <c r="L501" s="55" t="s">
        <v>1179</v>
      </c>
      <c r="M501" s="55" t="s">
        <v>380</v>
      </c>
      <c r="N501" s="55">
        <v>-5.0259999999999998</v>
      </c>
      <c r="O501" s="55">
        <v>0.502</v>
      </c>
      <c r="P501" s="88">
        <f>N501/O501</f>
        <v>-10.011952191235059</v>
      </c>
      <c r="Q501" s="55" t="s">
        <v>312</v>
      </c>
      <c r="R501" s="88">
        <f>N501-1.96*O501</f>
        <v>-6.0099200000000002</v>
      </c>
      <c r="S501" s="88">
        <f>N501+1.96*O501</f>
        <v>-4.0420799999999995</v>
      </c>
      <c r="T501" s="55">
        <v>1</v>
      </c>
      <c r="U501" s="55">
        <v>21519</v>
      </c>
      <c r="V501" s="55">
        <v>10</v>
      </c>
      <c r="W501" s="55">
        <v>1</v>
      </c>
      <c r="X501" s="55">
        <f t="shared" si="193"/>
        <v>21509</v>
      </c>
      <c r="Y501" s="88" t="s">
        <v>312</v>
      </c>
      <c r="Z501" s="88" t="s">
        <v>312</v>
      </c>
      <c r="AA501" s="88" t="s">
        <v>312</v>
      </c>
      <c r="AB501" s="55" t="s">
        <v>81</v>
      </c>
      <c r="AC501" s="88">
        <f t="shared" si="194"/>
        <v>-0.26705632306057386</v>
      </c>
      <c r="AD501" s="88" cm="1">
        <f t="array" ref="AD501">_xlfn.IFS(
AND(L501="marginal_effect",M501="level"),N501*AN501/BF501,
AND(L501="marginal_effect",M501="sd (Y)"),N501*BH501*AN501/BF501,
AND(L501="marginal_effect",M501="sd (X)"),N501/AQ501*AN501/BF501,
AND(L501="semi_elasticity",M501="level"),N501*AN501,
AND(L501="semi_elasticity",M501="sd (Y)"),N501*AN501*BH501,
AND(L501="semi_elasticity",M501="sd (X)"),N501*AN501/AQ501,
AND(L501="level-log",M501="level"),N501/BF501,
AND(L501="level-log",M501="sd (X)"),N501/BF501/AQ501,
AND(L501="level-log",M501="sd (Y)"),N501/BF501*BH501,
AND(L501="elasticity",M501="level"),N501,
AND(L501="elasticity",M501="sd (X)"),N501/AQ501,
AND(L501="elasticity",M501="sd (Y)"),N501*BH501,
AND(L501="marginal_effect",M501="percent_of_mean"),N501*AN501/BF501/10)</f>
        <v>-0.26705632306057386</v>
      </c>
      <c r="AE501" s="56">
        <f t="shared" si="191"/>
        <v>1</v>
      </c>
      <c r="AF501" s="88">
        <f>O501/BF501</f>
        <v>2.667375132837407E-2</v>
      </c>
      <c r="AG501" s="88" cm="1">
        <f t="array" ref="AG501">_xlfn.IFS(
AND(L501="marginal_effect",M501="level"),O501*AN501/BF501,
AND(L501="marginal_effect",M501="sd (Y)"),O501*BH501*AN501/BF501,
AND(L501="marginal_effect",M501="sd (X)"),O501/AQ501*AN501/BF501,
AND(L501="semi_elasticity",M501="level"),O501*AN501,
AND(L501="semi_elasticity",M501="sd (Y)"),O501*AN501*BH501,
AND(L501="semi_elasticity",M501="sd (X)"),O501*AN501/AQ501,
AND(L501="level-log",M501="level"),O501/BF501,
AND(L501="level-log",M501="sd (X)"),O501/BF501/AQ501,
AND(L501="level-log",M501="sd (Y)"),O501/BF501*BH501,
AND(L501="elasticity",M501="level"),O501,
AND(L501="elasticity",M501="sd (X)"),O501/AQ501,
AND(L501="elasticity",M501="sd (Y)"),O501*BH501,
AND(L501="marginal_effect",M501="percent_of_mean"),O501*AN501/BF501/10)</f>
        <v>2.667375132837407E-2</v>
      </c>
      <c r="AH501" s="56">
        <f t="shared" si="192"/>
        <v>1</v>
      </c>
      <c r="AI501" s="88">
        <f t="shared" si="196"/>
        <v>-0.26705632306057386</v>
      </c>
      <c r="AJ501" s="55">
        <v>0</v>
      </c>
      <c r="AK501" s="55">
        <f>IF(P501=(AC501/AF501),1,0)</f>
        <v>1</v>
      </c>
      <c r="AL501" s="55" t="s">
        <v>735</v>
      </c>
      <c r="AM501" s="76" t="s">
        <v>1411</v>
      </c>
      <c r="AN501" s="76">
        <v>4.5960000000000001</v>
      </c>
      <c r="AO501" s="76">
        <v>1</v>
      </c>
      <c r="AP501" s="76">
        <f t="shared" si="197"/>
        <v>4.5960000000000001</v>
      </c>
      <c r="AQ501" s="76">
        <v>0.48299999999999998</v>
      </c>
      <c r="AR501" s="76">
        <v>2.89</v>
      </c>
      <c r="AS501" s="76">
        <v>6.1840000000000002</v>
      </c>
      <c r="AT501" s="55" t="s">
        <v>83</v>
      </c>
      <c r="AU501" s="55" t="s">
        <v>109</v>
      </c>
      <c r="AV501" s="55" t="s">
        <v>133</v>
      </c>
      <c r="AW501" s="55" t="s">
        <v>85</v>
      </c>
      <c r="AX501" s="55" t="s">
        <v>86</v>
      </c>
      <c r="AY501" s="55">
        <v>0</v>
      </c>
      <c r="AZ501" s="55">
        <v>0</v>
      </c>
      <c r="BA501" s="55" t="s">
        <v>734</v>
      </c>
      <c r="BB501" s="55" t="s">
        <v>88</v>
      </c>
      <c r="BC501" s="55" t="s">
        <v>89</v>
      </c>
      <c r="BD501" s="55" t="s">
        <v>114</v>
      </c>
      <c r="BE501" s="55" t="s">
        <v>1169</v>
      </c>
      <c r="BF501" s="55">
        <v>18.82</v>
      </c>
      <c r="BG501" s="55">
        <v>1</v>
      </c>
      <c r="BH501" s="55">
        <v>16.25</v>
      </c>
      <c r="BI501" s="55">
        <v>-218.25</v>
      </c>
      <c r="BJ501" s="55">
        <v>370.012</v>
      </c>
      <c r="BK501" s="55" t="s">
        <v>91</v>
      </c>
      <c r="BL501" s="55" t="s">
        <v>84</v>
      </c>
      <c r="BM501" s="55">
        <v>1</v>
      </c>
      <c r="BN501" s="55" t="s">
        <v>539</v>
      </c>
      <c r="BO501" s="55" t="s">
        <v>1175</v>
      </c>
      <c r="BP501" s="55" t="s">
        <v>1176</v>
      </c>
      <c r="BQ501" s="55" t="s">
        <v>117</v>
      </c>
      <c r="BR501" s="55" t="s">
        <v>93</v>
      </c>
      <c r="BS501" s="55">
        <v>26.151</v>
      </c>
      <c r="BT501" s="55">
        <v>0</v>
      </c>
      <c r="BU501" s="55">
        <v>2014</v>
      </c>
      <c r="BV501" s="55">
        <v>2019</v>
      </c>
      <c r="BW501" s="55" t="s">
        <v>736</v>
      </c>
      <c r="BX501" s="55" t="s">
        <v>95</v>
      </c>
      <c r="BY501" s="55" t="s">
        <v>748</v>
      </c>
      <c r="BZ501" s="55">
        <v>1</v>
      </c>
      <c r="CA501" s="55">
        <v>1</v>
      </c>
      <c r="CB501" s="55" t="s">
        <v>1211</v>
      </c>
      <c r="CC501" s="55" t="s">
        <v>1181</v>
      </c>
      <c r="CD501" s="55">
        <v>1</v>
      </c>
      <c r="CE501" s="55" t="s">
        <v>1182</v>
      </c>
      <c r="CF501" s="55">
        <v>0</v>
      </c>
      <c r="CG501" s="55" t="s">
        <v>97</v>
      </c>
      <c r="CH501" s="55">
        <v>1</v>
      </c>
      <c r="CI501" s="55" t="s">
        <v>509</v>
      </c>
      <c r="CJ501" s="55" t="s">
        <v>98</v>
      </c>
      <c r="CK501" s="55">
        <v>61</v>
      </c>
      <c r="CL501" s="55">
        <v>0</v>
      </c>
      <c r="CM501" s="55">
        <v>0</v>
      </c>
      <c r="CN501" s="55" t="s">
        <v>99</v>
      </c>
      <c r="CO501" s="55" t="s">
        <v>943</v>
      </c>
      <c r="CP501" s="55" t="s">
        <v>100</v>
      </c>
      <c r="CQ501" s="55" t="s">
        <v>126</v>
      </c>
      <c r="CR501" s="57">
        <v>46226</v>
      </c>
      <c r="CT501" s="55" t="s">
        <v>671</v>
      </c>
    </row>
    <row r="502" spans="1:98" s="55" customFormat="1" x14ac:dyDescent="0.35">
      <c r="A502" s="54" t="s">
        <v>1170</v>
      </c>
      <c r="B502" s="54" t="s">
        <v>1212</v>
      </c>
      <c r="C502" s="55" t="s">
        <v>1171</v>
      </c>
      <c r="D502" s="55">
        <v>2023</v>
      </c>
      <c r="E502" s="54" t="s">
        <v>1172</v>
      </c>
      <c r="F502" s="54" t="s">
        <v>1173</v>
      </c>
      <c r="G502" s="55" t="s">
        <v>78</v>
      </c>
      <c r="H502" s="55">
        <v>1</v>
      </c>
      <c r="I502" s="55" t="s">
        <v>290</v>
      </c>
      <c r="J502" s="55" t="s">
        <v>1174</v>
      </c>
      <c r="K502" s="55">
        <v>12</v>
      </c>
      <c r="L502" s="55" t="s">
        <v>1179</v>
      </c>
      <c r="M502" s="55" t="s">
        <v>380</v>
      </c>
      <c r="N502" s="55">
        <f>-5.206-0.175</f>
        <v>-5.3810000000000002</v>
      </c>
      <c r="O502" s="55" t="s">
        <v>312</v>
      </c>
      <c r="P502" s="88" t="s">
        <v>312</v>
      </c>
      <c r="Q502" s="55" t="s">
        <v>312</v>
      </c>
      <c r="R502" s="88" t="s">
        <v>312</v>
      </c>
      <c r="S502" s="88" t="s">
        <v>312</v>
      </c>
      <c r="T502" s="55" t="s">
        <v>312</v>
      </c>
      <c r="U502" s="55">
        <v>21519</v>
      </c>
      <c r="V502" s="55">
        <v>10</v>
      </c>
      <c r="W502" s="55">
        <v>1</v>
      </c>
      <c r="X502" s="55">
        <f t="shared" si="193"/>
        <v>21509</v>
      </c>
      <c r="Y502" s="88" t="s">
        <v>312</v>
      </c>
      <c r="Z502" s="88" t="s">
        <v>312</v>
      </c>
      <c r="AA502" s="88" t="s">
        <v>312</v>
      </c>
      <c r="AB502" s="55" t="s">
        <v>312</v>
      </c>
      <c r="AC502" s="88">
        <f t="shared" si="194"/>
        <v>-0.28591923485653559</v>
      </c>
      <c r="AD502" s="88" cm="1">
        <f t="array" ref="AD502">_xlfn.IFS(
AND(L502="marginal_effect",M502="level"),N502*AN502/BF502,
AND(L502="marginal_effect",M502="sd (Y)"),N502*BH502*AN502/BF502,
AND(L502="marginal_effect",M502="sd (X)"),N502/AQ502*AN502/BF502,
AND(L502="semi_elasticity",M502="level"),N502*AN502,
AND(L502="semi_elasticity",M502="sd (Y)"),N502*AN502*BH502,
AND(L502="semi_elasticity",M502="sd (X)"),N502*AN502/AQ502,
AND(L502="level-log",M502="level"),N502/BF502,
AND(L502="level-log",M502="sd (X)"),N502/BF502/AQ502,
AND(L502="level-log",M502="sd (Y)"),N502/BF502*BH502,
AND(L502="elasticity",M502="level"),N502,
AND(L502="elasticity",M502="sd (X)"),N502/AQ502,
AND(L502="elasticity",M502="sd (Y)"),N502*BH502,
AND(L502="marginal_effect",M502="percent_of_mean"),N502*AN502/BF502/10)</f>
        <v>-0.28591923485653559</v>
      </c>
      <c r="AE502" s="56">
        <f t="shared" si="191"/>
        <v>1</v>
      </c>
      <c r="AF502" s="88" t="s">
        <v>312</v>
      </c>
      <c r="AG502" s="88" t="e" cm="1">
        <f t="array" ref="AG502">_xlfn.IFS(
AND(L502="marginal_effect",M502="level"),O502*AN502/BF502,
AND(L502="marginal_effect",M502="sd (Y)"),O502*BH502*AN502/BF502,
AND(L502="marginal_effect",M502="sd (X)"),O502/AQ502*AN502/BF502,
AND(L502="semi_elasticity",M502="level"),O502*AN502,
AND(L502="semi_elasticity",M502="sd (Y)"),O502*AN502*BH502,
AND(L502="semi_elasticity",M502="sd (X)"),O502*AN502/AQ502,
AND(L502="level-log",M502="level"),O502/BF502,
AND(L502="level-log",M502="sd (X)"),O502/BF502/AQ502,
AND(L502="level-log",M502="sd (Y)"),O502/BF502*BH502,
AND(L502="elasticity",M502="level"),O502,
AND(L502="elasticity",M502="sd (X)"),O502/AQ502,
AND(L502="elasticity",M502="sd (Y)"),O502*BH502,
AND(L502="marginal_effect",M502="percent_of_mean"),O502*AN502/BF502/10)</f>
        <v>#VALUE!</v>
      </c>
      <c r="AH502" s="56" t="e">
        <f t="shared" si="192"/>
        <v>#VALUE!</v>
      </c>
      <c r="AI502" s="88">
        <f t="shared" si="196"/>
        <v>-0.28591923485653559</v>
      </c>
      <c r="AJ502" s="55">
        <v>0</v>
      </c>
      <c r="AK502" s="55" t="s">
        <v>312</v>
      </c>
      <c r="AL502" s="55" t="s">
        <v>735</v>
      </c>
      <c r="AM502" s="76" t="s">
        <v>1411</v>
      </c>
      <c r="AN502" s="76">
        <v>4.5960000000000001</v>
      </c>
      <c r="AO502" s="76">
        <v>1</v>
      </c>
      <c r="AP502" s="76">
        <f t="shared" si="197"/>
        <v>4.5960000000000001</v>
      </c>
      <c r="AQ502" s="76">
        <v>0.48299999999999998</v>
      </c>
      <c r="AR502" s="76">
        <v>2.89</v>
      </c>
      <c r="AS502" s="76">
        <v>6.1840000000000002</v>
      </c>
      <c r="AT502" s="55" t="s">
        <v>83</v>
      </c>
      <c r="AU502" s="55" t="s">
        <v>109</v>
      </c>
      <c r="AV502" s="55" t="s">
        <v>133</v>
      </c>
      <c r="AW502" s="55" t="s">
        <v>85</v>
      </c>
      <c r="AX502" s="55" t="s">
        <v>86</v>
      </c>
      <c r="AY502" s="55">
        <v>0</v>
      </c>
      <c r="AZ502" s="55">
        <v>0</v>
      </c>
      <c r="BA502" s="55" t="s">
        <v>734</v>
      </c>
      <c r="BB502" s="55" t="s">
        <v>88</v>
      </c>
      <c r="BC502" s="55" t="s">
        <v>89</v>
      </c>
      <c r="BD502" s="55" t="s">
        <v>114</v>
      </c>
      <c r="BE502" s="55" t="s">
        <v>1169</v>
      </c>
      <c r="BF502" s="55">
        <v>18.82</v>
      </c>
      <c r="BG502" s="55">
        <v>1</v>
      </c>
      <c r="BH502" s="55">
        <v>16.25</v>
      </c>
      <c r="BI502" s="55">
        <v>-218.25</v>
      </c>
      <c r="BJ502" s="55">
        <v>370.012</v>
      </c>
      <c r="BK502" s="55" t="s">
        <v>91</v>
      </c>
      <c r="BL502" s="55" t="s">
        <v>84</v>
      </c>
      <c r="BM502" s="55">
        <v>1</v>
      </c>
      <c r="BN502" s="55" t="s">
        <v>539</v>
      </c>
      <c r="BO502" s="55" t="s">
        <v>1175</v>
      </c>
      <c r="BP502" s="55" t="s">
        <v>1176</v>
      </c>
      <c r="BQ502" s="55" t="s">
        <v>117</v>
      </c>
      <c r="BR502" s="55" t="s">
        <v>93</v>
      </c>
      <c r="BS502" s="55">
        <v>26.151</v>
      </c>
      <c r="BT502" s="55">
        <v>0</v>
      </c>
      <c r="BU502" s="55">
        <v>2014</v>
      </c>
      <c r="BV502" s="55">
        <v>2019</v>
      </c>
      <c r="BW502" s="55" t="s">
        <v>736</v>
      </c>
      <c r="BX502" s="55" t="s">
        <v>95</v>
      </c>
      <c r="BY502" s="55" t="s">
        <v>748</v>
      </c>
      <c r="BZ502" s="55">
        <v>1</v>
      </c>
      <c r="CA502" s="55">
        <v>1</v>
      </c>
      <c r="CB502" s="55" t="s">
        <v>1211</v>
      </c>
      <c r="CC502" s="55" t="s">
        <v>1177</v>
      </c>
      <c r="CD502" s="55">
        <v>1</v>
      </c>
      <c r="CE502" s="55" t="s">
        <v>1182</v>
      </c>
      <c r="CF502" s="55">
        <v>0</v>
      </c>
      <c r="CG502" s="55" t="s">
        <v>97</v>
      </c>
      <c r="CH502" s="55">
        <v>1</v>
      </c>
      <c r="CI502" s="55" t="s">
        <v>509</v>
      </c>
      <c r="CJ502" s="55" t="s">
        <v>98</v>
      </c>
      <c r="CK502" s="55">
        <v>61</v>
      </c>
      <c r="CL502" s="55">
        <v>0</v>
      </c>
      <c r="CM502" s="55">
        <v>0</v>
      </c>
      <c r="CN502" s="55" t="s">
        <v>99</v>
      </c>
      <c r="CO502" s="55" t="s">
        <v>121</v>
      </c>
      <c r="CP502" s="55" t="s">
        <v>100</v>
      </c>
      <c r="CQ502" s="55" t="s">
        <v>126</v>
      </c>
      <c r="CR502" s="57">
        <v>46226</v>
      </c>
      <c r="CT502" s="55" t="s">
        <v>780</v>
      </c>
    </row>
    <row r="503" spans="1:98" s="55" customFormat="1" x14ac:dyDescent="0.35">
      <c r="A503" s="54" t="s">
        <v>1170</v>
      </c>
      <c r="B503" s="54" t="s">
        <v>1214</v>
      </c>
      <c r="C503" s="55" t="s">
        <v>1171</v>
      </c>
      <c r="D503" s="55">
        <v>2023</v>
      </c>
      <c r="E503" s="54" t="s">
        <v>1172</v>
      </c>
      <c r="F503" s="54" t="s">
        <v>1173</v>
      </c>
      <c r="G503" s="55" t="s">
        <v>78</v>
      </c>
      <c r="H503" s="55">
        <v>1</v>
      </c>
      <c r="I503" s="55" t="s">
        <v>290</v>
      </c>
      <c r="J503" s="55" t="s">
        <v>1174</v>
      </c>
      <c r="K503" s="55">
        <v>12</v>
      </c>
      <c r="L503" s="55" t="s">
        <v>1179</v>
      </c>
      <c r="M503" s="55" t="s">
        <v>380</v>
      </c>
      <c r="N503" s="55">
        <v>-5.2060000000000004</v>
      </c>
      <c r="O503" s="55">
        <v>0.51900000000000002</v>
      </c>
      <c r="P503" s="88">
        <f>N503/O503</f>
        <v>-10.03082851637765</v>
      </c>
      <c r="Q503" s="55" t="s">
        <v>312</v>
      </c>
      <c r="R503" s="88">
        <f>N503-1.96*O503</f>
        <v>-6.2232400000000005</v>
      </c>
      <c r="S503" s="88">
        <f>N503+1.96*O503</f>
        <v>-4.1887600000000003</v>
      </c>
      <c r="T503" s="55">
        <v>1</v>
      </c>
      <c r="U503" s="55">
        <v>21519</v>
      </c>
      <c r="V503" s="55">
        <v>10</v>
      </c>
      <c r="W503" s="55">
        <v>1</v>
      </c>
      <c r="X503" s="55">
        <f t="shared" si="193"/>
        <v>21509</v>
      </c>
      <c r="Y503" s="88" t="s">
        <v>312</v>
      </c>
      <c r="Z503" s="88" t="s">
        <v>312</v>
      </c>
      <c r="AA503" s="88" t="s">
        <v>312</v>
      </c>
      <c r="AB503" s="55" t="s">
        <v>81</v>
      </c>
      <c r="AC503" s="88">
        <f t="shared" si="194"/>
        <v>-0.27662061636556856</v>
      </c>
      <c r="AD503" s="88" cm="1">
        <f t="array" ref="AD503">_xlfn.IFS(
AND(L503="marginal_effect",M503="level"),N503*AN503/BF503,
AND(L503="marginal_effect",M503="sd (Y)"),N503*BH503*AN503/BF503,
AND(L503="marginal_effect",M503="sd (X)"),N503/AQ503*AN503/BF503,
AND(L503="semi_elasticity",M503="level"),N503*AN503,
AND(L503="semi_elasticity",M503="sd (Y)"),N503*AN503*BH503,
AND(L503="semi_elasticity",M503="sd (X)"),N503*AN503/AQ503,
AND(L503="level-log",M503="level"),N503/BF503,
AND(L503="level-log",M503="sd (X)"),N503/BF503/AQ503,
AND(L503="level-log",M503="sd (Y)"),N503/BF503*BH503,
AND(L503="elasticity",M503="level"),N503,
AND(L503="elasticity",M503="sd (X)"),N503/AQ503,
AND(L503="elasticity",M503="sd (Y)"),N503*BH503,
AND(L503="marginal_effect",M503="percent_of_mean"),N503*AN503/BF503/10)</f>
        <v>-0.27662061636556856</v>
      </c>
      <c r="AE503" s="56">
        <f t="shared" si="191"/>
        <v>1</v>
      </c>
      <c r="AF503" s="88">
        <f>O503/BF503</f>
        <v>2.7577045696068014E-2</v>
      </c>
      <c r="AG503" s="88" cm="1">
        <f t="array" ref="AG503">_xlfn.IFS(
AND(L503="marginal_effect",M503="level"),O503*AN503/BF503,
AND(L503="marginal_effect",M503="sd (Y)"),O503*BH503*AN503/BF503,
AND(L503="marginal_effect",M503="sd (X)"),O503/AQ503*AN503/BF503,
AND(L503="semi_elasticity",M503="level"),O503*AN503,
AND(L503="semi_elasticity",M503="sd (Y)"),O503*AN503*BH503,
AND(L503="semi_elasticity",M503="sd (X)"),O503*AN503/AQ503,
AND(L503="level-log",M503="level"),O503/BF503,
AND(L503="level-log",M503="sd (X)"),O503/BF503/AQ503,
AND(L503="level-log",M503="sd (Y)"),O503/BF503*BH503,
AND(L503="elasticity",M503="level"),O503,
AND(L503="elasticity",M503="sd (X)"),O503/AQ503,
AND(L503="elasticity",M503="sd (Y)"),O503*BH503,
AND(L503="marginal_effect",M503="percent_of_mean"),O503*AN503/BF503/10)</f>
        <v>2.7577045696068014E-2</v>
      </c>
      <c r="AH503" s="56">
        <f t="shared" si="192"/>
        <v>1</v>
      </c>
      <c r="AI503" s="88">
        <f t="shared" si="196"/>
        <v>-0.27662061636556856</v>
      </c>
      <c r="AJ503" s="55">
        <v>0</v>
      </c>
      <c r="AK503" s="55">
        <f>IF(P503=(AC503/AF503),1,0)</f>
        <v>1</v>
      </c>
      <c r="AL503" s="55" t="s">
        <v>735</v>
      </c>
      <c r="AM503" s="76" t="s">
        <v>1411</v>
      </c>
      <c r="AN503" s="76">
        <v>4.5960000000000001</v>
      </c>
      <c r="AO503" s="76">
        <v>1</v>
      </c>
      <c r="AP503" s="76">
        <f t="shared" si="197"/>
        <v>4.5960000000000001</v>
      </c>
      <c r="AQ503" s="76">
        <v>0.48299999999999998</v>
      </c>
      <c r="AR503" s="76">
        <v>2.89</v>
      </c>
      <c r="AS503" s="76">
        <v>6.1840000000000002</v>
      </c>
      <c r="AT503" s="55" t="s">
        <v>83</v>
      </c>
      <c r="AU503" s="55" t="s">
        <v>109</v>
      </c>
      <c r="AV503" s="55" t="s">
        <v>133</v>
      </c>
      <c r="AW503" s="55" t="s">
        <v>85</v>
      </c>
      <c r="AX503" s="55" t="s">
        <v>86</v>
      </c>
      <c r="AY503" s="55">
        <v>0</v>
      </c>
      <c r="AZ503" s="55">
        <v>0</v>
      </c>
      <c r="BA503" s="55" t="s">
        <v>734</v>
      </c>
      <c r="BB503" s="55" t="s">
        <v>88</v>
      </c>
      <c r="BC503" s="55" t="s">
        <v>89</v>
      </c>
      <c r="BD503" s="55" t="s">
        <v>114</v>
      </c>
      <c r="BE503" s="55" t="s">
        <v>1169</v>
      </c>
      <c r="BF503" s="55">
        <v>18.82</v>
      </c>
      <c r="BG503" s="55">
        <v>1</v>
      </c>
      <c r="BH503" s="55">
        <v>16.25</v>
      </c>
      <c r="BI503" s="55">
        <v>-218.25</v>
      </c>
      <c r="BJ503" s="55">
        <v>370.012</v>
      </c>
      <c r="BK503" s="55" t="s">
        <v>91</v>
      </c>
      <c r="BL503" s="55" t="s">
        <v>84</v>
      </c>
      <c r="BM503" s="55">
        <v>1</v>
      </c>
      <c r="BN503" s="55" t="s">
        <v>539</v>
      </c>
      <c r="BO503" s="55" t="s">
        <v>1175</v>
      </c>
      <c r="BP503" s="55" t="s">
        <v>1176</v>
      </c>
      <c r="BQ503" s="55" t="s">
        <v>117</v>
      </c>
      <c r="BR503" s="55" t="s">
        <v>93</v>
      </c>
      <c r="BS503" s="55">
        <v>26.151</v>
      </c>
      <c r="BT503" s="55">
        <v>0</v>
      </c>
      <c r="BU503" s="55">
        <v>2014</v>
      </c>
      <c r="BV503" s="55">
        <v>2019</v>
      </c>
      <c r="BW503" s="55" t="s">
        <v>736</v>
      </c>
      <c r="BX503" s="55" t="s">
        <v>95</v>
      </c>
      <c r="BY503" s="55" t="s">
        <v>748</v>
      </c>
      <c r="BZ503" s="55">
        <v>1</v>
      </c>
      <c r="CA503" s="55">
        <v>1</v>
      </c>
      <c r="CB503" s="55" t="s">
        <v>1211</v>
      </c>
      <c r="CC503" s="55" t="s">
        <v>1181</v>
      </c>
      <c r="CD503" s="55">
        <v>1</v>
      </c>
      <c r="CE503" s="55" t="s">
        <v>1182</v>
      </c>
      <c r="CF503" s="55">
        <v>0</v>
      </c>
      <c r="CG503" s="55" t="s">
        <v>97</v>
      </c>
      <c r="CH503" s="55">
        <v>1</v>
      </c>
      <c r="CI503" s="55" t="s">
        <v>509</v>
      </c>
      <c r="CJ503" s="55" t="s">
        <v>98</v>
      </c>
      <c r="CK503" s="55">
        <v>61</v>
      </c>
      <c r="CL503" s="55">
        <v>0</v>
      </c>
      <c r="CM503" s="55">
        <v>0</v>
      </c>
      <c r="CN503" s="55" t="s">
        <v>99</v>
      </c>
      <c r="CO503" s="55" t="s">
        <v>121</v>
      </c>
      <c r="CP503" s="55" t="s">
        <v>100</v>
      </c>
      <c r="CQ503" s="55" t="s">
        <v>126</v>
      </c>
      <c r="CR503" s="57">
        <v>46226</v>
      </c>
      <c r="CT503" s="55" t="s">
        <v>673</v>
      </c>
    </row>
    <row r="504" spans="1:98" s="55" customFormat="1" x14ac:dyDescent="0.35">
      <c r="A504" s="54" t="s">
        <v>1170</v>
      </c>
      <c r="B504" s="54" t="s">
        <v>1213</v>
      </c>
      <c r="C504" s="55" t="s">
        <v>1171</v>
      </c>
      <c r="D504" s="55">
        <v>2023</v>
      </c>
      <c r="E504" s="54" t="s">
        <v>1172</v>
      </c>
      <c r="F504" s="54" t="s">
        <v>1173</v>
      </c>
      <c r="G504" s="55" t="s">
        <v>78</v>
      </c>
      <c r="H504" s="55">
        <v>1</v>
      </c>
      <c r="I504" s="55" t="s">
        <v>290</v>
      </c>
      <c r="J504" s="55" t="s">
        <v>1174</v>
      </c>
      <c r="K504" s="55">
        <v>12</v>
      </c>
      <c r="L504" s="55" t="s">
        <v>1179</v>
      </c>
      <c r="M504" s="55" t="s">
        <v>380</v>
      </c>
      <c r="N504" s="55">
        <f>-4.804-0.199</f>
        <v>-5.0030000000000001</v>
      </c>
      <c r="O504" s="55" t="s">
        <v>312</v>
      </c>
      <c r="P504" s="88" t="s">
        <v>312</v>
      </c>
      <c r="Q504" s="55" t="s">
        <v>312</v>
      </c>
      <c r="R504" s="88" t="s">
        <v>312</v>
      </c>
      <c r="S504" s="88" t="s">
        <v>312</v>
      </c>
      <c r="T504" s="55" t="s">
        <v>312</v>
      </c>
      <c r="U504" s="55">
        <v>21519</v>
      </c>
      <c r="V504" s="55">
        <v>10</v>
      </c>
      <c r="W504" s="55">
        <v>1</v>
      </c>
      <c r="X504" s="55">
        <f t="shared" si="193"/>
        <v>21509</v>
      </c>
      <c r="Y504" s="88" t="s">
        <v>312</v>
      </c>
      <c r="Z504" s="88" t="s">
        <v>312</v>
      </c>
      <c r="AA504" s="88" t="s">
        <v>312</v>
      </c>
      <c r="AB504" s="55" t="s">
        <v>312</v>
      </c>
      <c r="AC504" s="88">
        <f t="shared" si="194"/>
        <v>-0.26583421891604675</v>
      </c>
      <c r="AD504" s="88" cm="1">
        <f t="array" ref="AD504">_xlfn.IFS(
AND(L504="marginal_effect",M504="level"),N504*AN504/BF504,
AND(L504="marginal_effect",M504="sd (Y)"),N504*BH504*AN504/BF504,
AND(L504="marginal_effect",M504="sd (X)"),N504/AQ504*AN504/BF504,
AND(L504="semi_elasticity",M504="level"),N504*AN504,
AND(L504="semi_elasticity",M504="sd (Y)"),N504*AN504*BH504,
AND(L504="semi_elasticity",M504="sd (X)"),N504*AN504/AQ504,
AND(L504="level-log",M504="level"),N504/BF504,
AND(L504="level-log",M504="sd (X)"),N504/BF504/AQ504,
AND(L504="level-log",M504="sd (Y)"),N504/BF504*BH504,
AND(L504="elasticity",M504="level"),N504,
AND(L504="elasticity",M504="sd (X)"),N504/AQ504,
AND(L504="elasticity",M504="sd (Y)"),N504*BH504,
AND(L504="marginal_effect",M504="percent_of_mean"),N504*AN504/BF504/10)</f>
        <v>-0.26583421891604675</v>
      </c>
      <c r="AE504" s="56">
        <f t="shared" si="191"/>
        <v>1</v>
      </c>
      <c r="AF504" s="88" t="s">
        <v>312</v>
      </c>
      <c r="AG504" s="88" t="e" cm="1">
        <f t="array" ref="AG504">_xlfn.IFS(
AND(L504="marginal_effect",M504="level"),O504*AN504/BF504,
AND(L504="marginal_effect",M504="sd (Y)"),O504*BH504*AN504/BF504,
AND(L504="marginal_effect",M504="sd (X)"),O504/AQ504*AN504/BF504,
AND(L504="semi_elasticity",M504="level"),O504*AN504,
AND(L504="semi_elasticity",M504="sd (Y)"),O504*AN504*BH504,
AND(L504="semi_elasticity",M504="sd (X)"),O504*AN504/AQ504,
AND(L504="level-log",M504="level"),O504/BF504,
AND(L504="level-log",M504="sd (X)"),O504/BF504/AQ504,
AND(L504="level-log",M504="sd (Y)"),O504/BF504*BH504,
AND(L504="elasticity",M504="level"),O504,
AND(L504="elasticity",M504="sd (X)"),O504/AQ504,
AND(L504="elasticity",M504="sd (Y)"),O504*BH504,
AND(L504="marginal_effect",M504="percent_of_mean"),O504*AN504/BF504/10)</f>
        <v>#VALUE!</v>
      </c>
      <c r="AH504" s="56" t="e">
        <f t="shared" si="192"/>
        <v>#VALUE!</v>
      </c>
      <c r="AI504" s="88">
        <f t="shared" si="196"/>
        <v>-0.26583421891604675</v>
      </c>
      <c r="AJ504" s="55">
        <v>0</v>
      </c>
      <c r="AK504" s="55" t="s">
        <v>312</v>
      </c>
      <c r="AL504" s="55" t="s">
        <v>735</v>
      </c>
      <c r="AM504" s="76" t="s">
        <v>1411</v>
      </c>
      <c r="AN504" s="76">
        <v>4.5960000000000001</v>
      </c>
      <c r="AO504" s="76">
        <v>1</v>
      </c>
      <c r="AP504" s="76">
        <f t="shared" si="197"/>
        <v>4.5960000000000001</v>
      </c>
      <c r="AQ504" s="76">
        <v>0.48299999999999998</v>
      </c>
      <c r="AR504" s="76">
        <v>2.89</v>
      </c>
      <c r="AS504" s="76">
        <v>6.1840000000000002</v>
      </c>
      <c r="AT504" s="55" t="s">
        <v>83</v>
      </c>
      <c r="AU504" s="55" t="s">
        <v>109</v>
      </c>
      <c r="AV504" s="55" t="s">
        <v>133</v>
      </c>
      <c r="AW504" s="55" t="s">
        <v>85</v>
      </c>
      <c r="AX504" s="55" t="s">
        <v>86</v>
      </c>
      <c r="AY504" s="55">
        <v>0</v>
      </c>
      <c r="AZ504" s="55">
        <v>0</v>
      </c>
      <c r="BA504" s="55" t="s">
        <v>734</v>
      </c>
      <c r="BB504" s="55" t="s">
        <v>88</v>
      </c>
      <c r="BC504" s="55" t="s">
        <v>89</v>
      </c>
      <c r="BD504" s="55" t="s">
        <v>114</v>
      </c>
      <c r="BE504" s="55" t="s">
        <v>1169</v>
      </c>
      <c r="BF504" s="55">
        <v>18.82</v>
      </c>
      <c r="BG504" s="55">
        <v>1</v>
      </c>
      <c r="BH504" s="55">
        <v>16.25</v>
      </c>
      <c r="BI504" s="55">
        <v>-218.25</v>
      </c>
      <c r="BJ504" s="55">
        <v>370.012</v>
      </c>
      <c r="BK504" s="55" t="s">
        <v>91</v>
      </c>
      <c r="BL504" s="55" t="s">
        <v>84</v>
      </c>
      <c r="BM504" s="55">
        <v>1</v>
      </c>
      <c r="BN504" s="55" t="s">
        <v>539</v>
      </c>
      <c r="BO504" s="55" t="s">
        <v>1175</v>
      </c>
      <c r="BP504" s="55" t="s">
        <v>1176</v>
      </c>
      <c r="BQ504" s="55" t="s">
        <v>117</v>
      </c>
      <c r="BR504" s="55" t="s">
        <v>93</v>
      </c>
      <c r="BS504" s="55">
        <v>26.151</v>
      </c>
      <c r="BT504" s="55">
        <v>0</v>
      </c>
      <c r="BU504" s="55">
        <v>2014</v>
      </c>
      <c r="BV504" s="55">
        <v>2019</v>
      </c>
      <c r="BW504" s="55" t="s">
        <v>736</v>
      </c>
      <c r="BX504" s="55" t="s">
        <v>95</v>
      </c>
      <c r="BY504" s="55" t="s">
        <v>748</v>
      </c>
      <c r="BZ504" s="55">
        <v>1</v>
      </c>
      <c r="CA504" s="55">
        <v>1</v>
      </c>
      <c r="CB504" s="55" t="s">
        <v>1211</v>
      </c>
      <c r="CC504" s="55" t="s">
        <v>1177</v>
      </c>
      <c r="CD504" s="55">
        <v>1</v>
      </c>
      <c r="CE504" s="55" t="s">
        <v>1182</v>
      </c>
      <c r="CF504" s="55">
        <v>0</v>
      </c>
      <c r="CG504" s="55" t="s">
        <v>97</v>
      </c>
      <c r="CH504" s="55">
        <v>1</v>
      </c>
      <c r="CI504" s="55" t="s">
        <v>509</v>
      </c>
      <c r="CJ504" s="55" t="s">
        <v>98</v>
      </c>
      <c r="CK504" s="55">
        <v>61</v>
      </c>
      <c r="CL504" s="55">
        <v>0</v>
      </c>
      <c r="CM504" s="55">
        <v>0</v>
      </c>
      <c r="CN504" s="55" t="s">
        <v>99</v>
      </c>
      <c r="CO504" s="55" t="s">
        <v>121</v>
      </c>
      <c r="CP504" s="55" t="s">
        <v>100</v>
      </c>
      <c r="CQ504" s="55" t="s">
        <v>126</v>
      </c>
      <c r="CR504" s="57">
        <v>46226</v>
      </c>
      <c r="CT504" s="55" t="s">
        <v>780</v>
      </c>
    </row>
    <row r="505" spans="1:98" s="55" customFormat="1" x14ac:dyDescent="0.35">
      <c r="A505" s="54" t="s">
        <v>1170</v>
      </c>
      <c r="B505" s="54" t="s">
        <v>1215</v>
      </c>
      <c r="C505" s="55" t="s">
        <v>1171</v>
      </c>
      <c r="D505" s="55">
        <v>2023</v>
      </c>
      <c r="E505" s="54" t="s">
        <v>1172</v>
      </c>
      <c r="F505" s="54" t="s">
        <v>1173</v>
      </c>
      <c r="G505" s="55" t="s">
        <v>78</v>
      </c>
      <c r="H505" s="55">
        <v>1</v>
      </c>
      <c r="I505" s="55" t="s">
        <v>290</v>
      </c>
      <c r="J505" s="55" t="s">
        <v>1174</v>
      </c>
      <c r="K505" s="55">
        <v>12</v>
      </c>
      <c r="L505" s="55" t="s">
        <v>1179</v>
      </c>
      <c r="M505" s="55" t="s">
        <v>380</v>
      </c>
      <c r="N505" s="55">
        <v>-4.8040000000000003</v>
      </c>
      <c r="O505" s="55">
        <v>0.50600000000000001</v>
      </c>
      <c r="P505" s="88">
        <f>N505/O505</f>
        <v>-9.4940711462450604</v>
      </c>
      <c r="Q505" s="55" t="s">
        <v>312</v>
      </c>
      <c r="R505" s="88">
        <f>N505-1.96*O505</f>
        <v>-5.7957600000000005</v>
      </c>
      <c r="S505" s="88">
        <f>N505+1.96*O505</f>
        <v>-3.8122400000000001</v>
      </c>
      <c r="T505" s="55">
        <v>1</v>
      </c>
      <c r="U505" s="55">
        <v>21519</v>
      </c>
      <c r="V505" s="55">
        <v>10</v>
      </c>
      <c r="W505" s="55">
        <v>1</v>
      </c>
      <c r="X505" s="55">
        <f t="shared" si="193"/>
        <v>21509</v>
      </c>
      <c r="Y505" s="88" t="s">
        <v>312</v>
      </c>
      <c r="Z505" s="88" t="s">
        <v>312</v>
      </c>
      <c r="AA505" s="88" t="s">
        <v>312</v>
      </c>
      <c r="AB505" s="55" t="s">
        <v>81</v>
      </c>
      <c r="AC505" s="88">
        <f t="shared" si="194"/>
        <v>-0.2552603613177471</v>
      </c>
      <c r="AD505" s="88" cm="1">
        <f t="array" ref="AD505">_xlfn.IFS(
AND(L505="marginal_effect",M505="level"),N505*AN505/BF505,
AND(L505="marginal_effect",M505="sd (Y)"),N505*BH505*AN505/BF505,
AND(L505="marginal_effect",M505="sd (X)"),N505/AQ505*AN505/BF505,
AND(L505="semi_elasticity",M505="level"),N505*AN505,
AND(L505="semi_elasticity",M505="sd (Y)"),N505*AN505*BH505,
AND(L505="semi_elasticity",M505="sd (X)"),N505*AN505/AQ505,
AND(L505="level-log",M505="level"),N505/BF505,
AND(L505="level-log",M505="sd (X)"),N505/BF505/AQ505,
AND(L505="level-log",M505="sd (Y)"),N505/BF505*BH505,
AND(L505="elasticity",M505="level"),N505,
AND(L505="elasticity",M505="sd (X)"),N505/AQ505,
AND(L505="elasticity",M505="sd (Y)"),N505*BH505,
AND(L505="marginal_effect",M505="percent_of_mean"),N505*AN505/BF505/10)</f>
        <v>-0.2552603613177471</v>
      </c>
      <c r="AE505" s="56">
        <f t="shared" si="191"/>
        <v>1</v>
      </c>
      <c r="AF505" s="88">
        <f>O505/BF505</f>
        <v>2.6886291179596174E-2</v>
      </c>
      <c r="AG505" s="88" cm="1">
        <f t="array" ref="AG505">_xlfn.IFS(
AND(L505="marginal_effect",M505="level"),O505*AN505/BF505,
AND(L505="marginal_effect",M505="sd (Y)"),O505*BH505*AN505/BF505,
AND(L505="marginal_effect",M505="sd (X)"),O505/AQ505*AN505/BF505,
AND(L505="semi_elasticity",M505="level"),O505*AN505,
AND(L505="semi_elasticity",M505="sd (Y)"),O505*AN505*BH505,
AND(L505="semi_elasticity",M505="sd (X)"),O505*AN505/AQ505,
AND(L505="level-log",M505="level"),O505/BF505,
AND(L505="level-log",M505="sd (X)"),O505/BF505/AQ505,
AND(L505="level-log",M505="sd (Y)"),O505/BF505*BH505,
AND(L505="elasticity",M505="level"),O505,
AND(L505="elasticity",M505="sd (X)"),O505/AQ505,
AND(L505="elasticity",M505="sd (Y)"),O505*BH505,
AND(L505="marginal_effect",M505="percent_of_mean"),O505*AN505/BF505/10)</f>
        <v>2.6886291179596174E-2</v>
      </c>
      <c r="AH505" s="56">
        <f t="shared" si="192"/>
        <v>1</v>
      </c>
      <c r="AI505" s="88">
        <f t="shared" si="196"/>
        <v>-0.2552603613177471</v>
      </c>
      <c r="AJ505" s="55">
        <v>0</v>
      </c>
      <c r="AK505" s="55">
        <f>IF(P505=(AC505/AF505),1,0)</f>
        <v>1</v>
      </c>
      <c r="AL505" s="55" t="s">
        <v>735</v>
      </c>
      <c r="AM505" s="76" t="s">
        <v>1411</v>
      </c>
      <c r="AN505" s="76">
        <v>4.5960000000000001</v>
      </c>
      <c r="AO505" s="76">
        <v>1</v>
      </c>
      <c r="AP505" s="76">
        <f t="shared" si="197"/>
        <v>4.5960000000000001</v>
      </c>
      <c r="AQ505" s="76">
        <v>0.48299999999999998</v>
      </c>
      <c r="AR505" s="76">
        <v>2.89</v>
      </c>
      <c r="AS505" s="76">
        <v>6.1840000000000002</v>
      </c>
      <c r="AT505" s="55" t="s">
        <v>83</v>
      </c>
      <c r="AU505" s="55" t="s">
        <v>109</v>
      </c>
      <c r="AV505" s="55" t="s">
        <v>133</v>
      </c>
      <c r="AW505" s="55" t="s">
        <v>85</v>
      </c>
      <c r="AX505" s="55" t="s">
        <v>86</v>
      </c>
      <c r="AY505" s="55">
        <v>0</v>
      </c>
      <c r="AZ505" s="55">
        <v>0</v>
      </c>
      <c r="BA505" s="55" t="s">
        <v>734</v>
      </c>
      <c r="BB505" s="55" t="s">
        <v>88</v>
      </c>
      <c r="BC505" s="55" t="s">
        <v>89</v>
      </c>
      <c r="BD505" s="55" t="s">
        <v>114</v>
      </c>
      <c r="BE505" s="55" t="s">
        <v>1169</v>
      </c>
      <c r="BF505" s="55">
        <v>18.82</v>
      </c>
      <c r="BG505" s="55">
        <v>1</v>
      </c>
      <c r="BH505" s="55">
        <v>16.25</v>
      </c>
      <c r="BI505" s="55">
        <v>-218.25</v>
      </c>
      <c r="BJ505" s="55">
        <v>370.012</v>
      </c>
      <c r="BK505" s="55" t="s">
        <v>91</v>
      </c>
      <c r="BL505" s="55" t="s">
        <v>84</v>
      </c>
      <c r="BM505" s="55">
        <v>1</v>
      </c>
      <c r="BN505" s="55" t="s">
        <v>539</v>
      </c>
      <c r="BO505" s="55" t="s">
        <v>1175</v>
      </c>
      <c r="BP505" s="55" t="s">
        <v>1176</v>
      </c>
      <c r="BQ505" s="55" t="s">
        <v>117</v>
      </c>
      <c r="BR505" s="55" t="s">
        <v>93</v>
      </c>
      <c r="BS505" s="55">
        <v>26.151</v>
      </c>
      <c r="BT505" s="55">
        <v>0</v>
      </c>
      <c r="BU505" s="55">
        <v>2014</v>
      </c>
      <c r="BV505" s="55">
        <v>2019</v>
      </c>
      <c r="BW505" s="55" t="s">
        <v>736</v>
      </c>
      <c r="BX505" s="55" t="s">
        <v>95</v>
      </c>
      <c r="BY505" s="55" t="s">
        <v>748</v>
      </c>
      <c r="BZ505" s="55">
        <v>1</v>
      </c>
      <c r="CA505" s="55">
        <v>1</v>
      </c>
      <c r="CB505" s="55" t="s">
        <v>1211</v>
      </c>
      <c r="CC505" s="55" t="s">
        <v>1181</v>
      </c>
      <c r="CD505" s="55">
        <v>1</v>
      </c>
      <c r="CE505" s="55" t="s">
        <v>1182</v>
      </c>
      <c r="CF505" s="55">
        <v>0</v>
      </c>
      <c r="CG505" s="55" t="s">
        <v>97</v>
      </c>
      <c r="CH505" s="55">
        <v>1</v>
      </c>
      <c r="CI505" s="55" t="s">
        <v>509</v>
      </c>
      <c r="CJ505" s="55" t="s">
        <v>98</v>
      </c>
      <c r="CK505" s="55">
        <v>61</v>
      </c>
      <c r="CL505" s="55">
        <v>0</v>
      </c>
      <c r="CM505" s="55">
        <v>0</v>
      </c>
      <c r="CN505" s="55" t="s">
        <v>99</v>
      </c>
      <c r="CO505" s="55" t="s">
        <v>121</v>
      </c>
      <c r="CP505" s="55" t="s">
        <v>100</v>
      </c>
      <c r="CQ505" s="55" t="s">
        <v>126</v>
      </c>
      <c r="CR505" s="57">
        <v>46226</v>
      </c>
      <c r="CT505" s="55" t="s">
        <v>673</v>
      </c>
    </row>
    <row r="506" spans="1:98" s="55" customFormat="1" x14ac:dyDescent="0.35">
      <c r="A506" s="54" t="s">
        <v>1170</v>
      </c>
      <c r="B506" s="54" t="s">
        <v>1216</v>
      </c>
      <c r="C506" s="55" t="s">
        <v>1171</v>
      </c>
      <c r="D506" s="55">
        <v>2023</v>
      </c>
      <c r="E506" s="54" t="s">
        <v>1172</v>
      </c>
      <c r="F506" s="54" t="s">
        <v>1173</v>
      </c>
      <c r="G506" s="55" t="s">
        <v>78</v>
      </c>
      <c r="H506" s="55">
        <v>1</v>
      </c>
      <c r="I506" s="55" t="s">
        <v>290</v>
      </c>
      <c r="J506" s="55" t="s">
        <v>1174</v>
      </c>
      <c r="K506" s="55">
        <v>12</v>
      </c>
      <c r="L506" s="55" t="s">
        <v>1179</v>
      </c>
      <c r="M506" s="55" t="s">
        <v>380</v>
      </c>
      <c r="N506" s="55">
        <f>-6.087+1.288</f>
        <v>-4.7989999999999995</v>
      </c>
      <c r="O506" s="55" t="s">
        <v>312</v>
      </c>
      <c r="P506" s="88" t="s">
        <v>312</v>
      </c>
      <c r="Q506" s="55" t="s">
        <v>312</v>
      </c>
      <c r="R506" s="88" t="s">
        <v>312</v>
      </c>
      <c r="S506" s="88" t="s">
        <v>312</v>
      </c>
      <c r="T506" s="55" t="s">
        <v>312</v>
      </c>
      <c r="U506" s="55">
        <v>21519</v>
      </c>
      <c r="V506" s="55">
        <v>10</v>
      </c>
      <c r="W506" s="55">
        <v>1</v>
      </c>
      <c r="X506" s="55">
        <f t="shared" ref="X506:X531" si="201">U506-V506</f>
        <v>21509</v>
      </c>
      <c r="Y506" s="88" t="s">
        <v>312</v>
      </c>
      <c r="Z506" s="88" t="s">
        <v>312</v>
      </c>
      <c r="AA506" s="88" t="s">
        <v>312</v>
      </c>
      <c r="AB506" s="55" t="s">
        <v>312</v>
      </c>
      <c r="AC506" s="88">
        <f t="shared" ref="AC506:AC534" si="202">N506/BF506</f>
        <v>-0.25499468650371943</v>
      </c>
      <c r="AD506" s="88" cm="1">
        <f t="array" ref="AD506">_xlfn.IFS(
AND(L506="marginal_effect",M506="level"),N506*AN506/BF506,
AND(L506="marginal_effect",M506="sd (Y)"),N506*BH506*AN506/BF506,
AND(L506="marginal_effect",M506="sd (X)"),N506/AQ506*AN506/BF506,
AND(L506="semi_elasticity",M506="level"),N506*AN506,
AND(L506="semi_elasticity",M506="sd (Y)"),N506*AN506*BH506,
AND(L506="semi_elasticity",M506="sd (X)"),N506*AN506/AQ506,
AND(L506="level-log",M506="level"),N506/BF506,
AND(L506="level-log",M506="sd (X)"),N506/BF506/AQ506,
AND(L506="level-log",M506="sd (Y)"),N506/BF506*BH506,
AND(L506="elasticity",M506="level"),N506,
AND(L506="elasticity",M506="sd (X)"),N506/AQ506,
AND(L506="elasticity",M506="sd (Y)"),N506*BH506,
AND(L506="marginal_effect",M506="percent_of_mean"),N506*AN506/BF506/10)</f>
        <v>-0.25499468650371943</v>
      </c>
      <c r="AE506" s="56">
        <f t="shared" si="191"/>
        <v>1</v>
      </c>
      <c r="AF506" s="88" t="s">
        <v>312</v>
      </c>
      <c r="AG506" s="88" t="e" cm="1">
        <f t="array" ref="AG506">_xlfn.IFS(
AND(L506="marginal_effect",M506="level"),O506*AN506/BF506,
AND(L506="marginal_effect",M506="sd (Y)"),O506*BH506*AN506/BF506,
AND(L506="marginal_effect",M506="sd (X)"),O506/AQ506*AN506/BF506,
AND(L506="semi_elasticity",M506="level"),O506*AN506,
AND(L506="semi_elasticity",M506="sd (Y)"),O506*AN506*BH506,
AND(L506="semi_elasticity",M506="sd (X)"),O506*AN506/AQ506,
AND(L506="level-log",M506="level"),O506/BF506,
AND(L506="level-log",M506="sd (X)"),O506/BF506/AQ506,
AND(L506="level-log",M506="sd (Y)"),O506/BF506*BH506,
AND(L506="elasticity",M506="level"),O506,
AND(L506="elasticity",M506="sd (X)"),O506/AQ506,
AND(L506="elasticity",M506="sd (Y)"),O506*BH506,
AND(L506="marginal_effect",M506="percent_of_mean"),O506*AN506/BF506/10)</f>
        <v>#VALUE!</v>
      </c>
      <c r="AH506" s="56" t="e">
        <f t="shared" si="192"/>
        <v>#VALUE!</v>
      </c>
      <c r="AI506" s="88">
        <f t="shared" ref="AI506:AI531" si="203">AC506</f>
        <v>-0.25499468650371943</v>
      </c>
      <c r="AJ506" s="55">
        <v>0</v>
      </c>
      <c r="AK506" s="55" t="s">
        <v>312</v>
      </c>
      <c r="AL506" s="55" t="s">
        <v>735</v>
      </c>
      <c r="AM506" s="76" t="s">
        <v>1411</v>
      </c>
      <c r="AN506" s="76">
        <v>4.5960000000000001</v>
      </c>
      <c r="AO506" s="76">
        <v>1</v>
      </c>
      <c r="AP506" s="76">
        <f t="shared" si="197"/>
        <v>4.5960000000000001</v>
      </c>
      <c r="AQ506" s="76">
        <v>0.48299999999999998</v>
      </c>
      <c r="AR506" s="76">
        <v>2.89</v>
      </c>
      <c r="AS506" s="76">
        <v>6.1840000000000002</v>
      </c>
      <c r="AT506" s="55" t="s">
        <v>83</v>
      </c>
      <c r="AU506" s="55" t="s">
        <v>109</v>
      </c>
      <c r="AV506" s="55" t="s">
        <v>133</v>
      </c>
      <c r="AW506" s="55" t="s">
        <v>85</v>
      </c>
      <c r="AX506" s="55" t="s">
        <v>86</v>
      </c>
      <c r="AY506" s="55">
        <v>0</v>
      </c>
      <c r="AZ506" s="55">
        <v>0</v>
      </c>
      <c r="BA506" s="55" t="s">
        <v>734</v>
      </c>
      <c r="BB506" s="55" t="s">
        <v>88</v>
      </c>
      <c r="BC506" s="55" t="s">
        <v>89</v>
      </c>
      <c r="BD506" s="55" t="s">
        <v>114</v>
      </c>
      <c r="BE506" s="55" t="s">
        <v>1169</v>
      </c>
      <c r="BF506" s="55">
        <v>18.82</v>
      </c>
      <c r="BG506" s="55">
        <v>1</v>
      </c>
      <c r="BH506" s="55">
        <v>16.25</v>
      </c>
      <c r="BI506" s="55">
        <v>-218.25</v>
      </c>
      <c r="BJ506" s="55">
        <v>370.012</v>
      </c>
      <c r="BK506" s="55" t="s">
        <v>91</v>
      </c>
      <c r="BL506" s="55" t="s">
        <v>84</v>
      </c>
      <c r="BM506" s="55">
        <v>1</v>
      </c>
      <c r="BN506" s="55" t="s">
        <v>539</v>
      </c>
      <c r="BO506" s="55" t="s">
        <v>1175</v>
      </c>
      <c r="BP506" s="55" t="s">
        <v>1176</v>
      </c>
      <c r="BQ506" s="55" t="s">
        <v>117</v>
      </c>
      <c r="BR506" s="55" t="s">
        <v>93</v>
      </c>
      <c r="BS506" s="55">
        <v>26.151</v>
      </c>
      <c r="BT506" s="55">
        <v>0</v>
      </c>
      <c r="BU506" s="55">
        <v>2014</v>
      </c>
      <c r="BV506" s="55">
        <v>2019</v>
      </c>
      <c r="BW506" s="55" t="s">
        <v>736</v>
      </c>
      <c r="BX506" s="55" t="s">
        <v>95</v>
      </c>
      <c r="BY506" s="55" t="s">
        <v>748</v>
      </c>
      <c r="BZ506" s="55">
        <v>1</v>
      </c>
      <c r="CA506" s="55">
        <v>1</v>
      </c>
      <c r="CB506" s="55" t="s">
        <v>1211</v>
      </c>
      <c r="CC506" s="55" t="s">
        <v>1177</v>
      </c>
      <c r="CD506" s="55">
        <v>1</v>
      </c>
      <c r="CE506" s="55" t="s">
        <v>1182</v>
      </c>
      <c r="CF506" s="55">
        <v>0</v>
      </c>
      <c r="CG506" s="55" t="s">
        <v>97</v>
      </c>
      <c r="CH506" s="55">
        <v>1</v>
      </c>
      <c r="CI506" s="55" t="s">
        <v>509</v>
      </c>
      <c r="CJ506" s="55" t="s">
        <v>98</v>
      </c>
      <c r="CK506" s="55">
        <v>61</v>
      </c>
      <c r="CL506" s="55">
        <v>0</v>
      </c>
      <c r="CM506" s="55">
        <v>0</v>
      </c>
      <c r="CN506" s="55" t="s">
        <v>99</v>
      </c>
      <c r="CO506" s="55" t="s">
        <v>940</v>
      </c>
      <c r="CP506" s="55" t="s">
        <v>100</v>
      </c>
      <c r="CQ506" s="55" t="s">
        <v>126</v>
      </c>
      <c r="CR506" s="57">
        <v>46226</v>
      </c>
      <c r="CT506" s="55" t="s">
        <v>782</v>
      </c>
    </row>
    <row r="507" spans="1:98" s="55" customFormat="1" x14ac:dyDescent="0.35">
      <c r="A507" s="54" t="s">
        <v>1170</v>
      </c>
      <c r="B507" s="54" t="s">
        <v>1217</v>
      </c>
      <c r="C507" s="55" t="s">
        <v>1171</v>
      </c>
      <c r="D507" s="55">
        <v>2023</v>
      </c>
      <c r="E507" s="54" t="s">
        <v>1172</v>
      </c>
      <c r="F507" s="54" t="s">
        <v>1173</v>
      </c>
      <c r="G507" s="55" t="s">
        <v>78</v>
      </c>
      <c r="H507" s="55">
        <v>1</v>
      </c>
      <c r="I507" s="55" t="s">
        <v>290</v>
      </c>
      <c r="J507" s="55" t="s">
        <v>1174</v>
      </c>
      <c r="K507" s="55">
        <v>12</v>
      </c>
      <c r="L507" s="55" t="s">
        <v>1179</v>
      </c>
      <c r="M507" s="55" t="s">
        <v>380</v>
      </c>
      <c r="N507" s="55">
        <v>-6.0869999999999997</v>
      </c>
      <c r="O507" s="55">
        <v>0.52900000000000003</v>
      </c>
      <c r="P507" s="88">
        <f>N507/O507</f>
        <v>-11.506616257088846</v>
      </c>
      <c r="Q507" s="55" t="s">
        <v>312</v>
      </c>
      <c r="R507" s="88">
        <f>N507-1.96*O507</f>
        <v>-7.1238399999999995</v>
      </c>
      <c r="S507" s="88">
        <f>N507+1.96*O507</f>
        <v>-5.05016</v>
      </c>
      <c r="T507" s="55">
        <v>1</v>
      </c>
      <c r="U507" s="55">
        <v>21519</v>
      </c>
      <c r="V507" s="55">
        <v>10</v>
      </c>
      <c r="W507" s="55">
        <v>1</v>
      </c>
      <c r="X507" s="55">
        <f t="shared" si="201"/>
        <v>21509</v>
      </c>
      <c r="Y507" s="88" t="s">
        <v>312</v>
      </c>
      <c r="Z507" s="88" t="s">
        <v>312</v>
      </c>
      <c r="AA507" s="88" t="s">
        <v>312</v>
      </c>
      <c r="AB507" s="55" t="s">
        <v>81</v>
      </c>
      <c r="AC507" s="88">
        <f t="shared" si="202"/>
        <v>-0.32343251859723698</v>
      </c>
      <c r="AD507" s="88" cm="1">
        <f t="array" ref="AD507">_xlfn.IFS(
AND(L507="marginal_effect",M507="level"),N507*AN507/BF507,
AND(L507="marginal_effect",M507="sd (Y)"),N507*BH507*AN507/BF507,
AND(L507="marginal_effect",M507="sd (X)"),N507/AQ507*AN507/BF507,
AND(L507="semi_elasticity",M507="level"),N507*AN507,
AND(L507="semi_elasticity",M507="sd (Y)"),N507*AN507*BH507,
AND(L507="semi_elasticity",M507="sd (X)"),N507*AN507/AQ507,
AND(L507="level-log",M507="level"),N507/BF507,
AND(L507="level-log",M507="sd (X)"),N507/BF507/AQ507,
AND(L507="level-log",M507="sd (Y)"),N507/BF507*BH507,
AND(L507="elasticity",M507="level"),N507,
AND(L507="elasticity",M507="sd (X)"),N507/AQ507,
AND(L507="elasticity",M507="sd (Y)"),N507*BH507,
AND(L507="marginal_effect",M507="percent_of_mean"),N507*AN507/BF507/10)</f>
        <v>-0.32343251859723698</v>
      </c>
      <c r="AE507" s="56">
        <f t="shared" si="191"/>
        <v>1</v>
      </c>
      <c r="AF507" s="88">
        <f>O507/BF507</f>
        <v>2.8108395324123275E-2</v>
      </c>
      <c r="AG507" s="88" cm="1">
        <f t="array" ref="AG507">_xlfn.IFS(
AND(L507="marginal_effect",M507="level"),O507*AN507/BF507,
AND(L507="marginal_effect",M507="sd (Y)"),O507*BH507*AN507/BF507,
AND(L507="marginal_effect",M507="sd (X)"),O507/AQ507*AN507/BF507,
AND(L507="semi_elasticity",M507="level"),O507*AN507,
AND(L507="semi_elasticity",M507="sd (Y)"),O507*AN507*BH507,
AND(L507="semi_elasticity",M507="sd (X)"),O507*AN507/AQ507,
AND(L507="level-log",M507="level"),O507/BF507,
AND(L507="level-log",M507="sd (X)"),O507/BF507/AQ507,
AND(L507="level-log",M507="sd (Y)"),O507/BF507*BH507,
AND(L507="elasticity",M507="level"),O507,
AND(L507="elasticity",M507="sd (X)"),O507/AQ507,
AND(L507="elasticity",M507="sd (Y)"),O507*BH507,
AND(L507="marginal_effect",M507="percent_of_mean"),O507*AN507/BF507/10)</f>
        <v>2.8108395324123275E-2</v>
      </c>
      <c r="AH507" s="56">
        <f t="shared" si="192"/>
        <v>1</v>
      </c>
      <c r="AI507" s="88">
        <f t="shared" si="203"/>
        <v>-0.32343251859723698</v>
      </c>
      <c r="AJ507" s="55">
        <v>0</v>
      </c>
      <c r="AK507" s="55">
        <f>IF(P507=(AC507/AF507),1,0)</f>
        <v>1</v>
      </c>
      <c r="AL507" s="55" t="s">
        <v>735</v>
      </c>
      <c r="AM507" s="76" t="s">
        <v>1411</v>
      </c>
      <c r="AN507" s="76">
        <v>4.5960000000000001</v>
      </c>
      <c r="AO507" s="76">
        <v>1</v>
      </c>
      <c r="AP507" s="76">
        <f t="shared" si="197"/>
        <v>4.5960000000000001</v>
      </c>
      <c r="AQ507" s="76">
        <v>0.48299999999999998</v>
      </c>
      <c r="AR507" s="76">
        <v>2.89</v>
      </c>
      <c r="AS507" s="76">
        <v>6.1840000000000002</v>
      </c>
      <c r="AT507" s="55" t="s">
        <v>83</v>
      </c>
      <c r="AU507" s="55" t="s">
        <v>109</v>
      </c>
      <c r="AV507" s="55" t="s">
        <v>133</v>
      </c>
      <c r="AW507" s="55" t="s">
        <v>85</v>
      </c>
      <c r="AX507" s="55" t="s">
        <v>86</v>
      </c>
      <c r="AY507" s="55">
        <v>0</v>
      </c>
      <c r="AZ507" s="55">
        <v>0</v>
      </c>
      <c r="BA507" s="55" t="s">
        <v>734</v>
      </c>
      <c r="BB507" s="55" t="s">
        <v>88</v>
      </c>
      <c r="BC507" s="55" t="s">
        <v>89</v>
      </c>
      <c r="BD507" s="55" t="s">
        <v>114</v>
      </c>
      <c r="BE507" s="55" t="s">
        <v>1169</v>
      </c>
      <c r="BF507" s="55">
        <v>18.82</v>
      </c>
      <c r="BG507" s="55">
        <v>1</v>
      </c>
      <c r="BH507" s="55">
        <v>16.25</v>
      </c>
      <c r="BI507" s="55">
        <v>-218.25</v>
      </c>
      <c r="BJ507" s="55">
        <v>370.012</v>
      </c>
      <c r="BK507" s="55" t="s">
        <v>91</v>
      </c>
      <c r="BL507" s="55" t="s">
        <v>84</v>
      </c>
      <c r="BM507" s="55">
        <v>1</v>
      </c>
      <c r="BN507" s="55" t="s">
        <v>539</v>
      </c>
      <c r="BO507" s="55" t="s">
        <v>1175</v>
      </c>
      <c r="BP507" s="55" t="s">
        <v>1176</v>
      </c>
      <c r="BQ507" s="55" t="s">
        <v>117</v>
      </c>
      <c r="BR507" s="55" t="s">
        <v>93</v>
      </c>
      <c r="BS507" s="55">
        <v>26.151</v>
      </c>
      <c r="BT507" s="55">
        <v>0</v>
      </c>
      <c r="BU507" s="55">
        <v>2014</v>
      </c>
      <c r="BV507" s="55">
        <v>2019</v>
      </c>
      <c r="BW507" s="55" t="s">
        <v>736</v>
      </c>
      <c r="BX507" s="55" t="s">
        <v>95</v>
      </c>
      <c r="BY507" s="55" t="s">
        <v>748</v>
      </c>
      <c r="BZ507" s="55">
        <v>1</v>
      </c>
      <c r="CA507" s="55">
        <v>1</v>
      </c>
      <c r="CB507" s="55" t="s">
        <v>1211</v>
      </c>
      <c r="CC507" s="55" t="s">
        <v>1181</v>
      </c>
      <c r="CD507" s="55">
        <v>1</v>
      </c>
      <c r="CE507" s="55" t="s">
        <v>1182</v>
      </c>
      <c r="CF507" s="55">
        <v>0</v>
      </c>
      <c r="CG507" s="55" t="s">
        <v>97</v>
      </c>
      <c r="CH507" s="55">
        <v>1</v>
      </c>
      <c r="CI507" s="55" t="s">
        <v>509</v>
      </c>
      <c r="CJ507" s="55" t="s">
        <v>98</v>
      </c>
      <c r="CK507" s="55">
        <v>61</v>
      </c>
      <c r="CL507" s="55">
        <v>0</v>
      </c>
      <c r="CM507" s="55">
        <v>0</v>
      </c>
      <c r="CN507" s="55" t="s">
        <v>99</v>
      </c>
      <c r="CO507" s="55" t="s">
        <v>940</v>
      </c>
      <c r="CP507" s="55" t="s">
        <v>100</v>
      </c>
      <c r="CQ507" s="55" t="s">
        <v>126</v>
      </c>
      <c r="CR507" s="57">
        <v>46226</v>
      </c>
      <c r="CT507" s="55" t="s">
        <v>783</v>
      </c>
    </row>
    <row r="508" spans="1:98" s="55" customFormat="1" x14ac:dyDescent="0.35">
      <c r="A508" s="54" t="s">
        <v>1170</v>
      </c>
      <c r="B508" s="54" t="s">
        <v>1244</v>
      </c>
      <c r="C508" s="55" t="s">
        <v>1171</v>
      </c>
      <c r="D508" s="55">
        <v>2023</v>
      </c>
      <c r="E508" s="54" t="s">
        <v>1172</v>
      </c>
      <c r="F508" s="54" t="s">
        <v>1173</v>
      </c>
      <c r="G508" s="55" t="s">
        <v>78</v>
      </c>
      <c r="H508" s="55">
        <v>1</v>
      </c>
      <c r="I508" s="55" t="s">
        <v>290</v>
      </c>
      <c r="J508" s="55" t="s">
        <v>1174</v>
      </c>
      <c r="K508" s="55">
        <v>12</v>
      </c>
      <c r="L508" s="55" t="s">
        <v>1179</v>
      </c>
      <c r="M508" s="55" t="s">
        <v>380</v>
      </c>
      <c r="N508" s="55">
        <f>-5.618+1.163</f>
        <v>-4.4550000000000001</v>
      </c>
      <c r="O508" s="55" t="s">
        <v>312</v>
      </c>
      <c r="P508" s="88" t="s">
        <v>312</v>
      </c>
      <c r="Q508" s="55" t="s">
        <v>312</v>
      </c>
      <c r="R508" s="88" t="s">
        <v>312</v>
      </c>
      <c r="S508" s="88" t="s">
        <v>312</v>
      </c>
      <c r="T508" s="55" t="s">
        <v>312</v>
      </c>
      <c r="U508" s="55">
        <v>21519</v>
      </c>
      <c r="V508" s="55">
        <v>10</v>
      </c>
      <c r="W508" s="55">
        <v>1</v>
      </c>
      <c r="X508" s="55">
        <f t="shared" si="201"/>
        <v>21509</v>
      </c>
      <c r="Y508" s="88" t="s">
        <v>312</v>
      </c>
      <c r="Z508" s="88" t="s">
        <v>312</v>
      </c>
      <c r="AA508" s="88" t="s">
        <v>312</v>
      </c>
      <c r="AB508" s="55" t="s">
        <v>312</v>
      </c>
      <c r="AC508" s="88">
        <f t="shared" si="202"/>
        <v>-0.2367162592986185</v>
      </c>
      <c r="AD508" s="88" cm="1">
        <f t="array" ref="AD508">_xlfn.IFS(
AND(L508="marginal_effect",M508="level"),N508*AN508/BF508,
AND(L508="marginal_effect",M508="sd (Y)"),N508*BH508*AN508/BF508,
AND(L508="marginal_effect",M508="sd (X)"),N508/AQ508*AN508/BF508,
AND(L508="semi_elasticity",M508="level"),N508*AN508,
AND(L508="semi_elasticity",M508="sd (Y)"),N508*AN508*BH508,
AND(L508="semi_elasticity",M508="sd (X)"),N508*AN508/AQ508,
AND(L508="level-log",M508="level"),N508/BF508,
AND(L508="level-log",M508="sd (X)"),N508/BF508/AQ508,
AND(L508="level-log",M508="sd (Y)"),N508/BF508*BH508,
AND(L508="elasticity",M508="level"),N508,
AND(L508="elasticity",M508="sd (X)"),N508/AQ508,
AND(L508="elasticity",M508="sd (Y)"),N508*BH508,
AND(L508="marginal_effect",M508="percent_of_mean"),N508*AN508/BF508/10)</f>
        <v>-0.2367162592986185</v>
      </c>
      <c r="AE508" s="56">
        <f t="shared" si="191"/>
        <v>1</v>
      </c>
      <c r="AF508" s="88" t="s">
        <v>312</v>
      </c>
      <c r="AG508" s="88" t="e" cm="1">
        <f t="array" ref="AG508">_xlfn.IFS(
AND(L508="marginal_effect",M508="level"),O508*AN508/BF508,
AND(L508="marginal_effect",M508="sd (Y)"),O508*BH508*AN508/BF508,
AND(L508="marginal_effect",M508="sd (X)"),O508/AQ508*AN508/BF508,
AND(L508="semi_elasticity",M508="level"),O508*AN508,
AND(L508="semi_elasticity",M508="sd (Y)"),O508*AN508*BH508,
AND(L508="semi_elasticity",M508="sd (X)"),O508*AN508/AQ508,
AND(L508="level-log",M508="level"),O508/BF508,
AND(L508="level-log",M508="sd (X)"),O508/BF508/AQ508,
AND(L508="level-log",M508="sd (Y)"),O508/BF508*BH508,
AND(L508="elasticity",M508="level"),O508,
AND(L508="elasticity",M508="sd (X)"),O508/AQ508,
AND(L508="elasticity",M508="sd (Y)"),O508*BH508,
AND(L508="marginal_effect",M508="percent_of_mean"),O508*AN508/BF508/10)</f>
        <v>#VALUE!</v>
      </c>
      <c r="AH508" s="56" t="e">
        <f t="shared" si="192"/>
        <v>#VALUE!</v>
      </c>
      <c r="AI508" s="88">
        <f t="shared" si="203"/>
        <v>-0.2367162592986185</v>
      </c>
      <c r="AJ508" s="55">
        <v>0</v>
      </c>
      <c r="AK508" s="55" t="s">
        <v>312</v>
      </c>
      <c r="AL508" s="55" t="s">
        <v>735</v>
      </c>
      <c r="AM508" s="76" t="s">
        <v>1411</v>
      </c>
      <c r="AN508" s="76">
        <v>4.5960000000000001</v>
      </c>
      <c r="AO508" s="76">
        <v>1</v>
      </c>
      <c r="AP508" s="76">
        <f t="shared" si="197"/>
        <v>4.5960000000000001</v>
      </c>
      <c r="AQ508" s="76">
        <v>0.48299999999999998</v>
      </c>
      <c r="AR508" s="76">
        <v>2.89</v>
      </c>
      <c r="AS508" s="76">
        <v>6.1840000000000002</v>
      </c>
      <c r="AT508" s="55" t="s">
        <v>83</v>
      </c>
      <c r="AU508" s="55" t="s">
        <v>109</v>
      </c>
      <c r="AV508" s="55" t="s">
        <v>133</v>
      </c>
      <c r="AW508" s="55" t="s">
        <v>85</v>
      </c>
      <c r="AX508" s="55" t="s">
        <v>86</v>
      </c>
      <c r="AY508" s="55">
        <v>0</v>
      </c>
      <c r="AZ508" s="55">
        <v>0</v>
      </c>
      <c r="BA508" s="55" t="s">
        <v>734</v>
      </c>
      <c r="BB508" s="55" t="s">
        <v>88</v>
      </c>
      <c r="BC508" s="55" t="s">
        <v>89</v>
      </c>
      <c r="BD508" s="55" t="s">
        <v>114</v>
      </c>
      <c r="BE508" s="55" t="s">
        <v>1169</v>
      </c>
      <c r="BF508" s="55">
        <v>18.82</v>
      </c>
      <c r="BG508" s="55">
        <v>1</v>
      </c>
      <c r="BH508" s="55">
        <v>16.25</v>
      </c>
      <c r="BI508" s="55">
        <v>-218.25</v>
      </c>
      <c r="BJ508" s="55">
        <v>370.012</v>
      </c>
      <c r="BK508" s="55" t="s">
        <v>91</v>
      </c>
      <c r="BL508" s="55" t="s">
        <v>84</v>
      </c>
      <c r="BM508" s="55">
        <v>1</v>
      </c>
      <c r="BN508" s="55" t="s">
        <v>539</v>
      </c>
      <c r="BO508" s="55" t="s">
        <v>1175</v>
      </c>
      <c r="BP508" s="55" t="s">
        <v>1176</v>
      </c>
      <c r="BQ508" s="55" t="s">
        <v>117</v>
      </c>
      <c r="BR508" s="55" t="s">
        <v>93</v>
      </c>
      <c r="BS508" s="55">
        <v>26.151</v>
      </c>
      <c r="BT508" s="55">
        <v>0</v>
      </c>
      <c r="BU508" s="55">
        <v>2014</v>
      </c>
      <c r="BV508" s="55">
        <v>2019</v>
      </c>
      <c r="BW508" s="55" t="s">
        <v>736</v>
      </c>
      <c r="BX508" s="55" t="s">
        <v>95</v>
      </c>
      <c r="BY508" s="55" t="s">
        <v>748</v>
      </c>
      <c r="BZ508" s="55">
        <v>1</v>
      </c>
      <c r="CA508" s="55">
        <v>1</v>
      </c>
      <c r="CB508" s="55" t="s">
        <v>1211</v>
      </c>
      <c r="CC508" s="55" t="s">
        <v>1177</v>
      </c>
      <c r="CD508" s="55">
        <v>1</v>
      </c>
      <c r="CE508" s="55" t="s">
        <v>1182</v>
      </c>
      <c r="CF508" s="55">
        <v>0</v>
      </c>
      <c r="CG508" s="55" t="s">
        <v>97</v>
      </c>
      <c r="CH508" s="55">
        <v>1</v>
      </c>
      <c r="CI508" s="55" t="s">
        <v>509</v>
      </c>
      <c r="CJ508" s="55" t="s">
        <v>98</v>
      </c>
      <c r="CK508" s="55">
        <v>61</v>
      </c>
      <c r="CL508" s="55">
        <v>0</v>
      </c>
      <c r="CM508" s="55">
        <v>0</v>
      </c>
      <c r="CN508" s="55" t="s">
        <v>99</v>
      </c>
      <c r="CO508" s="55" t="s">
        <v>940</v>
      </c>
      <c r="CP508" s="55" t="s">
        <v>100</v>
      </c>
      <c r="CQ508" s="55" t="s">
        <v>126</v>
      </c>
      <c r="CR508" s="57">
        <v>46226</v>
      </c>
      <c r="CT508" s="55" t="s">
        <v>782</v>
      </c>
    </row>
    <row r="509" spans="1:98" s="55" customFormat="1" x14ac:dyDescent="0.35">
      <c r="A509" s="54" t="s">
        <v>1170</v>
      </c>
      <c r="B509" s="54" t="s">
        <v>1218</v>
      </c>
      <c r="C509" s="55" t="s">
        <v>1171</v>
      </c>
      <c r="D509" s="55">
        <v>2023</v>
      </c>
      <c r="E509" s="54" t="s">
        <v>1172</v>
      </c>
      <c r="F509" s="54" t="s">
        <v>1173</v>
      </c>
      <c r="G509" s="55" t="s">
        <v>78</v>
      </c>
      <c r="H509" s="55">
        <v>1</v>
      </c>
      <c r="I509" s="55" t="s">
        <v>290</v>
      </c>
      <c r="J509" s="55" t="s">
        <v>1174</v>
      </c>
      <c r="K509" s="55">
        <v>12</v>
      </c>
      <c r="L509" s="55" t="s">
        <v>1179</v>
      </c>
      <c r="M509" s="55" t="s">
        <v>380</v>
      </c>
      <c r="N509" s="55">
        <v>-5.6180000000000003</v>
      </c>
      <c r="O509" s="55">
        <v>0.51300000000000001</v>
      </c>
      <c r="P509" s="88">
        <f>N509/O509</f>
        <v>-10.951267056530215</v>
      </c>
      <c r="Q509" s="55" t="s">
        <v>312</v>
      </c>
      <c r="R509" s="88">
        <f>N509-1.96*O509</f>
        <v>-6.6234800000000007</v>
      </c>
      <c r="S509" s="88">
        <f>N509+1.96*O509</f>
        <v>-4.61252</v>
      </c>
      <c r="T509" s="55">
        <v>1</v>
      </c>
      <c r="U509" s="55">
        <v>21519</v>
      </c>
      <c r="V509" s="55">
        <v>10</v>
      </c>
      <c r="W509" s="55">
        <v>1</v>
      </c>
      <c r="X509" s="55">
        <f t="shared" si="201"/>
        <v>21509</v>
      </c>
      <c r="Y509" s="88" t="s">
        <v>312</v>
      </c>
      <c r="Z509" s="88" t="s">
        <v>312</v>
      </c>
      <c r="AA509" s="88" t="s">
        <v>312</v>
      </c>
      <c r="AB509" s="55" t="s">
        <v>81</v>
      </c>
      <c r="AC509" s="88">
        <f t="shared" si="202"/>
        <v>-0.29851222104144526</v>
      </c>
      <c r="AD509" s="88" cm="1">
        <f t="array" ref="AD509">_xlfn.IFS(
AND(L509="marginal_effect",M509="level"),N509*AN509/BF509,
AND(L509="marginal_effect",M509="sd (Y)"),N509*BH509*AN509/BF509,
AND(L509="marginal_effect",M509="sd (X)"),N509/AQ509*AN509/BF509,
AND(L509="semi_elasticity",M509="level"),N509*AN509,
AND(L509="semi_elasticity",M509="sd (Y)"),N509*AN509*BH509,
AND(L509="semi_elasticity",M509="sd (X)"),N509*AN509/AQ509,
AND(L509="level-log",M509="level"),N509/BF509,
AND(L509="level-log",M509="sd (X)"),N509/BF509/AQ509,
AND(L509="level-log",M509="sd (Y)"),N509/BF509*BH509,
AND(L509="elasticity",M509="level"),N509,
AND(L509="elasticity",M509="sd (X)"),N509/AQ509,
AND(L509="elasticity",M509="sd (Y)"),N509*BH509,
AND(L509="marginal_effect",M509="percent_of_mean"),N509*AN509/BF509/10)</f>
        <v>-0.29851222104144526</v>
      </c>
      <c r="AE509" s="56">
        <f t="shared" si="191"/>
        <v>1</v>
      </c>
      <c r="AF509" s="88">
        <f>O509/BF509</f>
        <v>2.7258235919234857E-2</v>
      </c>
      <c r="AG509" s="88" cm="1">
        <f t="array" ref="AG509">_xlfn.IFS(
AND(L509="marginal_effect",M509="level"),O509*AN509/BF509,
AND(L509="marginal_effect",M509="sd (Y)"),O509*BH509*AN509/BF509,
AND(L509="marginal_effect",M509="sd (X)"),O509/AQ509*AN509/BF509,
AND(L509="semi_elasticity",M509="level"),O509*AN509,
AND(L509="semi_elasticity",M509="sd (Y)"),O509*AN509*BH509,
AND(L509="semi_elasticity",M509="sd (X)"),O509*AN509/AQ509,
AND(L509="level-log",M509="level"),O509/BF509,
AND(L509="level-log",M509="sd (X)"),O509/BF509/AQ509,
AND(L509="level-log",M509="sd (Y)"),O509/BF509*BH509,
AND(L509="elasticity",M509="level"),O509,
AND(L509="elasticity",M509="sd (X)"),O509/AQ509,
AND(L509="elasticity",M509="sd (Y)"),O509*BH509,
AND(L509="marginal_effect",M509="percent_of_mean"),O509*AN509/BF509/10)</f>
        <v>2.7258235919234857E-2</v>
      </c>
      <c r="AH509" s="56">
        <f t="shared" si="192"/>
        <v>1</v>
      </c>
      <c r="AI509" s="88">
        <f t="shared" si="203"/>
        <v>-0.29851222104144526</v>
      </c>
      <c r="AJ509" s="55">
        <v>0</v>
      </c>
      <c r="AK509" s="55">
        <f>IF(P509=(AC509/AF509),1,0)</f>
        <v>1</v>
      </c>
      <c r="AL509" s="55" t="s">
        <v>735</v>
      </c>
      <c r="AM509" s="76" t="s">
        <v>1411</v>
      </c>
      <c r="AN509" s="76">
        <v>4.5960000000000001</v>
      </c>
      <c r="AO509" s="76">
        <v>1</v>
      </c>
      <c r="AP509" s="76">
        <f t="shared" si="197"/>
        <v>4.5960000000000001</v>
      </c>
      <c r="AQ509" s="76">
        <v>0.48299999999999998</v>
      </c>
      <c r="AR509" s="76">
        <v>2.89</v>
      </c>
      <c r="AS509" s="76">
        <v>6.1840000000000002</v>
      </c>
      <c r="AT509" s="55" t="s">
        <v>83</v>
      </c>
      <c r="AU509" s="55" t="s">
        <v>109</v>
      </c>
      <c r="AV509" s="55" t="s">
        <v>133</v>
      </c>
      <c r="AW509" s="55" t="s">
        <v>85</v>
      </c>
      <c r="AX509" s="55" t="s">
        <v>86</v>
      </c>
      <c r="AY509" s="55">
        <v>0</v>
      </c>
      <c r="AZ509" s="55">
        <v>0</v>
      </c>
      <c r="BA509" s="55" t="s">
        <v>734</v>
      </c>
      <c r="BB509" s="55" t="s">
        <v>88</v>
      </c>
      <c r="BC509" s="55" t="s">
        <v>89</v>
      </c>
      <c r="BD509" s="55" t="s">
        <v>114</v>
      </c>
      <c r="BE509" s="55" t="s">
        <v>1169</v>
      </c>
      <c r="BF509" s="55">
        <v>18.82</v>
      </c>
      <c r="BG509" s="55">
        <v>1</v>
      </c>
      <c r="BH509" s="55">
        <v>16.25</v>
      </c>
      <c r="BI509" s="55">
        <v>-218.25</v>
      </c>
      <c r="BJ509" s="55">
        <v>370.012</v>
      </c>
      <c r="BK509" s="55" t="s">
        <v>91</v>
      </c>
      <c r="BL509" s="55" t="s">
        <v>84</v>
      </c>
      <c r="BM509" s="55">
        <v>1</v>
      </c>
      <c r="BN509" s="55" t="s">
        <v>539</v>
      </c>
      <c r="BO509" s="55" t="s">
        <v>1175</v>
      </c>
      <c r="BP509" s="55" t="s">
        <v>1176</v>
      </c>
      <c r="BQ509" s="55" t="s">
        <v>117</v>
      </c>
      <c r="BR509" s="55" t="s">
        <v>93</v>
      </c>
      <c r="BS509" s="55">
        <v>26.151</v>
      </c>
      <c r="BT509" s="55">
        <v>0</v>
      </c>
      <c r="BU509" s="55">
        <v>2014</v>
      </c>
      <c r="BV509" s="55">
        <v>2019</v>
      </c>
      <c r="BW509" s="55" t="s">
        <v>736</v>
      </c>
      <c r="BX509" s="55" t="s">
        <v>95</v>
      </c>
      <c r="BY509" s="55" t="s">
        <v>748</v>
      </c>
      <c r="BZ509" s="55">
        <v>1</v>
      </c>
      <c r="CA509" s="55">
        <v>1</v>
      </c>
      <c r="CB509" s="55" t="s">
        <v>1211</v>
      </c>
      <c r="CC509" s="55" t="s">
        <v>1181</v>
      </c>
      <c r="CD509" s="55">
        <v>1</v>
      </c>
      <c r="CE509" s="55" t="s">
        <v>1182</v>
      </c>
      <c r="CF509" s="55">
        <v>0</v>
      </c>
      <c r="CG509" s="55" t="s">
        <v>97</v>
      </c>
      <c r="CH509" s="55">
        <v>1</v>
      </c>
      <c r="CI509" s="55" t="s">
        <v>509</v>
      </c>
      <c r="CJ509" s="55" t="s">
        <v>98</v>
      </c>
      <c r="CK509" s="55">
        <v>61</v>
      </c>
      <c r="CL509" s="55">
        <v>0</v>
      </c>
      <c r="CM509" s="55">
        <v>0</v>
      </c>
      <c r="CN509" s="55" t="s">
        <v>99</v>
      </c>
      <c r="CO509" s="55" t="s">
        <v>940</v>
      </c>
      <c r="CP509" s="55" t="s">
        <v>100</v>
      </c>
      <c r="CQ509" s="55" t="s">
        <v>126</v>
      </c>
      <c r="CR509" s="57">
        <v>46226</v>
      </c>
      <c r="CT509" s="55" t="s">
        <v>783</v>
      </c>
    </row>
    <row r="510" spans="1:98" s="55" customFormat="1" x14ac:dyDescent="0.35">
      <c r="A510" s="54" t="s">
        <v>1170</v>
      </c>
      <c r="B510" s="54" t="s">
        <v>1219</v>
      </c>
      <c r="C510" s="55" t="s">
        <v>1171</v>
      </c>
      <c r="D510" s="55">
        <v>2023</v>
      </c>
      <c r="E510" s="54" t="s">
        <v>1172</v>
      </c>
      <c r="F510" s="54" t="s">
        <v>1173</v>
      </c>
      <c r="G510" s="55" t="s">
        <v>78</v>
      </c>
      <c r="H510" s="55">
        <v>1</v>
      </c>
      <c r="I510" s="55" t="s">
        <v>290</v>
      </c>
      <c r="J510" s="55" t="s">
        <v>1174</v>
      </c>
      <c r="K510" s="55">
        <v>12</v>
      </c>
      <c r="L510" s="55" t="s">
        <v>1179</v>
      </c>
      <c r="M510" s="55" t="s">
        <v>380</v>
      </c>
      <c r="N510" s="55">
        <f>-5.974+4.171</f>
        <v>-1.8029999999999999</v>
      </c>
      <c r="O510" s="55" t="s">
        <v>312</v>
      </c>
      <c r="P510" s="88" t="s">
        <v>312</v>
      </c>
      <c r="Q510" s="55" t="s">
        <v>312</v>
      </c>
      <c r="R510" s="88" t="s">
        <v>312</v>
      </c>
      <c r="S510" s="88" t="s">
        <v>312</v>
      </c>
      <c r="T510" s="55" t="s">
        <v>312</v>
      </c>
      <c r="U510" s="55">
        <v>21519</v>
      </c>
      <c r="V510" s="55">
        <v>10</v>
      </c>
      <c r="W510" s="55">
        <v>1</v>
      </c>
      <c r="X510" s="55">
        <f t="shared" si="201"/>
        <v>21509</v>
      </c>
      <c r="Y510" s="88" t="s">
        <v>312</v>
      </c>
      <c r="Z510" s="88" t="s">
        <v>312</v>
      </c>
      <c r="AA510" s="88" t="s">
        <v>312</v>
      </c>
      <c r="AB510" s="55" t="s">
        <v>312</v>
      </c>
      <c r="AC510" s="88">
        <f t="shared" si="202"/>
        <v>-9.5802337938363444E-2</v>
      </c>
      <c r="AD510" s="88" cm="1">
        <f t="array" ref="AD510">_xlfn.IFS(
AND(L510="marginal_effect",M510="level"),N510*AN510/BF510,
AND(L510="marginal_effect",M510="sd (Y)"),N510*BH510*AN510/BF510,
AND(L510="marginal_effect",M510="sd (X)"),N510/AQ510*AN510/BF510,
AND(L510="semi_elasticity",M510="level"),N510*AN510,
AND(L510="semi_elasticity",M510="sd (Y)"),N510*AN510*BH510,
AND(L510="semi_elasticity",M510="sd (X)"),N510*AN510/AQ510,
AND(L510="level-log",M510="level"),N510/BF510,
AND(L510="level-log",M510="sd (X)"),N510/BF510/AQ510,
AND(L510="level-log",M510="sd (Y)"),N510/BF510*BH510,
AND(L510="elasticity",M510="level"),N510,
AND(L510="elasticity",M510="sd (X)"),N510/AQ510,
AND(L510="elasticity",M510="sd (Y)"),N510*BH510,
AND(L510="marginal_effect",M510="percent_of_mean"),N510*AN510/BF510/10)</f>
        <v>-9.5802337938363444E-2</v>
      </c>
      <c r="AE510" s="56">
        <f t="shared" si="191"/>
        <v>1</v>
      </c>
      <c r="AF510" s="88" t="s">
        <v>312</v>
      </c>
      <c r="AG510" s="88" t="e" cm="1">
        <f t="array" ref="AG510">_xlfn.IFS(
AND(L510="marginal_effect",M510="level"),O510*AN510/BF510,
AND(L510="marginal_effect",M510="sd (Y)"),O510*BH510*AN510/BF510,
AND(L510="marginal_effect",M510="sd (X)"),O510/AQ510*AN510/BF510,
AND(L510="semi_elasticity",M510="level"),O510*AN510,
AND(L510="semi_elasticity",M510="sd (Y)"),O510*AN510*BH510,
AND(L510="semi_elasticity",M510="sd (X)"),O510*AN510/AQ510,
AND(L510="level-log",M510="level"),O510/BF510,
AND(L510="level-log",M510="sd (X)"),O510/BF510/AQ510,
AND(L510="level-log",M510="sd (Y)"),O510/BF510*BH510,
AND(L510="elasticity",M510="level"),O510,
AND(L510="elasticity",M510="sd (X)"),O510/AQ510,
AND(L510="elasticity",M510="sd (Y)"),O510*BH510,
AND(L510="marginal_effect",M510="percent_of_mean"),O510*AN510/BF510/10)</f>
        <v>#VALUE!</v>
      </c>
      <c r="AH510" s="56" t="e">
        <f t="shared" si="192"/>
        <v>#VALUE!</v>
      </c>
      <c r="AI510" s="88">
        <f t="shared" si="203"/>
        <v>-9.5802337938363444E-2</v>
      </c>
      <c r="AJ510" s="55">
        <v>0</v>
      </c>
      <c r="AK510" s="55" t="s">
        <v>312</v>
      </c>
      <c r="AL510" s="55" t="s">
        <v>735</v>
      </c>
      <c r="AM510" s="76" t="s">
        <v>1411</v>
      </c>
      <c r="AN510" s="76">
        <v>4.5960000000000001</v>
      </c>
      <c r="AO510" s="76">
        <v>1</v>
      </c>
      <c r="AP510" s="76">
        <f t="shared" si="197"/>
        <v>4.5960000000000001</v>
      </c>
      <c r="AQ510" s="76">
        <v>0.48299999999999998</v>
      </c>
      <c r="AR510" s="76">
        <v>2.89</v>
      </c>
      <c r="AS510" s="76">
        <v>6.1840000000000002</v>
      </c>
      <c r="AT510" s="55" t="s">
        <v>83</v>
      </c>
      <c r="AU510" s="55" t="s">
        <v>109</v>
      </c>
      <c r="AV510" s="55" t="s">
        <v>133</v>
      </c>
      <c r="AW510" s="55" t="s">
        <v>85</v>
      </c>
      <c r="AX510" s="55" t="s">
        <v>86</v>
      </c>
      <c r="AY510" s="55">
        <v>0</v>
      </c>
      <c r="AZ510" s="55">
        <v>0</v>
      </c>
      <c r="BA510" s="55" t="s">
        <v>734</v>
      </c>
      <c r="BB510" s="55" t="s">
        <v>88</v>
      </c>
      <c r="BC510" s="55" t="s">
        <v>89</v>
      </c>
      <c r="BD510" s="55" t="s">
        <v>114</v>
      </c>
      <c r="BE510" s="55" t="s">
        <v>1169</v>
      </c>
      <c r="BF510" s="55">
        <v>18.82</v>
      </c>
      <c r="BG510" s="55">
        <v>1</v>
      </c>
      <c r="BH510" s="55">
        <v>16.25</v>
      </c>
      <c r="BI510" s="55">
        <v>-218.25</v>
      </c>
      <c r="BJ510" s="55">
        <v>370.012</v>
      </c>
      <c r="BK510" s="55" t="s">
        <v>91</v>
      </c>
      <c r="BL510" s="55" t="s">
        <v>84</v>
      </c>
      <c r="BM510" s="55">
        <v>1</v>
      </c>
      <c r="BN510" s="55" t="s">
        <v>539</v>
      </c>
      <c r="BO510" s="55" t="s">
        <v>1175</v>
      </c>
      <c r="BP510" s="55" t="s">
        <v>1176</v>
      </c>
      <c r="BQ510" s="55" t="s">
        <v>117</v>
      </c>
      <c r="BR510" s="55" t="s">
        <v>93</v>
      </c>
      <c r="BS510" s="55">
        <v>26.151</v>
      </c>
      <c r="BT510" s="55">
        <v>0</v>
      </c>
      <c r="BU510" s="55">
        <v>2014</v>
      </c>
      <c r="BV510" s="55">
        <v>2019</v>
      </c>
      <c r="BW510" s="55" t="s">
        <v>736</v>
      </c>
      <c r="BX510" s="55" t="s">
        <v>95</v>
      </c>
      <c r="BY510" s="55" t="s">
        <v>748</v>
      </c>
      <c r="BZ510" s="55">
        <v>1</v>
      </c>
      <c r="CA510" s="55">
        <v>1</v>
      </c>
      <c r="CB510" s="55" t="s">
        <v>1211</v>
      </c>
      <c r="CC510" s="55" t="s">
        <v>1177</v>
      </c>
      <c r="CD510" s="55">
        <v>1</v>
      </c>
      <c r="CE510" s="55" t="s">
        <v>1182</v>
      </c>
      <c r="CF510" s="55">
        <v>0</v>
      </c>
      <c r="CG510" s="55" t="s">
        <v>97</v>
      </c>
      <c r="CH510" s="55">
        <v>1</v>
      </c>
      <c r="CI510" s="55" t="s">
        <v>509</v>
      </c>
      <c r="CJ510" s="55" t="s">
        <v>98</v>
      </c>
      <c r="CK510" s="55">
        <v>61</v>
      </c>
      <c r="CL510" s="55">
        <v>0</v>
      </c>
      <c r="CM510" s="55">
        <v>0</v>
      </c>
      <c r="CN510" s="55" t="s">
        <v>99</v>
      </c>
      <c r="CO510" s="55" t="s">
        <v>947</v>
      </c>
      <c r="CP510" s="55" t="s">
        <v>100</v>
      </c>
      <c r="CQ510" s="55" t="s">
        <v>126</v>
      </c>
      <c r="CR510" s="57">
        <v>46226</v>
      </c>
      <c r="CT510" s="55" t="s">
        <v>784</v>
      </c>
    </row>
    <row r="511" spans="1:98" s="55" customFormat="1" x14ac:dyDescent="0.35">
      <c r="A511" s="54" t="s">
        <v>1170</v>
      </c>
      <c r="B511" s="54" t="s">
        <v>1220</v>
      </c>
      <c r="C511" s="55" t="s">
        <v>1171</v>
      </c>
      <c r="D511" s="55">
        <v>2023</v>
      </c>
      <c r="E511" s="54" t="s">
        <v>1172</v>
      </c>
      <c r="F511" s="54" t="s">
        <v>1173</v>
      </c>
      <c r="G511" s="55" t="s">
        <v>78</v>
      </c>
      <c r="H511" s="55">
        <v>1</v>
      </c>
      <c r="I511" s="55" t="s">
        <v>290</v>
      </c>
      <c r="J511" s="55" t="s">
        <v>1174</v>
      </c>
      <c r="K511" s="55">
        <v>12</v>
      </c>
      <c r="L511" s="55" t="s">
        <v>1179</v>
      </c>
      <c r="M511" s="55" t="s">
        <v>380</v>
      </c>
      <c r="N511" s="55">
        <v>-5.9740000000000002</v>
      </c>
      <c r="O511" s="55">
        <v>0.443</v>
      </c>
      <c r="P511" s="88">
        <f>N511/O511</f>
        <v>-13.485327313769751</v>
      </c>
      <c r="Q511" s="55" t="s">
        <v>312</v>
      </c>
      <c r="R511" s="88">
        <f>N511-1.96*O511</f>
        <v>-6.8422800000000006</v>
      </c>
      <c r="S511" s="88">
        <f>N511+1.96*O511</f>
        <v>-5.1057199999999998</v>
      </c>
      <c r="T511" s="55">
        <v>1</v>
      </c>
      <c r="U511" s="55">
        <v>21519</v>
      </c>
      <c r="V511" s="55">
        <v>10</v>
      </c>
      <c r="W511" s="55">
        <v>1</v>
      </c>
      <c r="X511" s="55">
        <f t="shared" si="201"/>
        <v>21509</v>
      </c>
      <c r="Y511" s="88" t="s">
        <v>312</v>
      </c>
      <c r="Z511" s="88" t="s">
        <v>312</v>
      </c>
      <c r="AA511" s="88" t="s">
        <v>312</v>
      </c>
      <c r="AB511" s="55" t="s">
        <v>81</v>
      </c>
      <c r="AC511" s="88">
        <f t="shared" si="202"/>
        <v>-0.31742826780021255</v>
      </c>
      <c r="AD511" s="88" cm="1">
        <f t="array" ref="AD511">_xlfn.IFS(
AND(L511="marginal_effect",M511="level"),N511*AN511/BF511,
AND(L511="marginal_effect",M511="sd (Y)"),N511*BH511*AN511/BF511,
AND(L511="marginal_effect",M511="sd (X)"),N511/AQ511*AN511/BF511,
AND(L511="semi_elasticity",M511="level"),N511*AN511,
AND(L511="semi_elasticity",M511="sd (Y)"),N511*AN511*BH511,
AND(L511="semi_elasticity",M511="sd (X)"),N511*AN511/AQ511,
AND(L511="level-log",M511="level"),N511/BF511,
AND(L511="level-log",M511="sd (X)"),N511/BF511/AQ511,
AND(L511="level-log",M511="sd (Y)"),N511/BF511*BH511,
AND(L511="elasticity",M511="level"),N511,
AND(L511="elasticity",M511="sd (X)"),N511/AQ511,
AND(L511="elasticity",M511="sd (Y)"),N511*BH511,
AND(L511="marginal_effect",M511="percent_of_mean"),N511*AN511/BF511/10)</f>
        <v>-0.31742826780021255</v>
      </c>
      <c r="AE511" s="56">
        <f t="shared" si="191"/>
        <v>1</v>
      </c>
      <c r="AF511" s="88">
        <f>O511/BF511</f>
        <v>2.3538788522848034E-2</v>
      </c>
      <c r="AG511" s="88" cm="1">
        <f t="array" ref="AG511">_xlfn.IFS(
AND(L511="marginal_effect",M511="level"),O511*AN511/BF511,
AND(L511="marginal_effect",M511="sd (Y)"),O511*BH511*AN511/BF511,
AND(L511="marginal_effect",M511="sd (X)"),O511/AQ511*AN511/BF511,
AND(L511="semi_elasticity",M511="level"),O511*AN511,
AND(L511="semi_elasticity",M511="sd (Y)"),O511*AN511*BH511,
AND(L511="semi_elasticity",M511="sd (X)"),O511*AN511/AQ511,
AND(L511="level-log",M511="level"),O511/BF511,
AND(L511="level-log",M511="sd (X)"),O511/BF511/AQ511,
AND(L511="level-log",M511="sd (Y)"),O511/BF511*BH511,
AND(L511="elasticity",M511="level"),O511,
AND(L511="elasticity",M511="sd (X)"),O511/AQ511,
AND(L511="elasticity",M511="sd (Y)"),O511*BH511,
AND(L511="marginal_effect",M511="percent_of_mean"),O511*AN511/BF511/10)</f>
        <v>2.3538788522848034E-2</v>
      </c>
      <c r="AH511" s="56">
        <f t="shared" si="192"/>
        <v>1</v>
      </c>
      <c r="AI511" s="88">
        <f t="shared" si="203"/>
        <v>-0.31742826780021255</v>
      </c>
      <c r="AJ511" s="55">
        <v>0</v>
      </c>
      <c r="AK511" s="55">
        <f>IF(P511=(AC511/AF511),1,0)</f>
        <v>1</v>
      </c>
      <c r="AL511" s="55" t="s">
        <v>735</v>
      </c>
      <c r="AM511" s="76" t="s">
        <v>1411</v>
      </c>
      <c r="AN511" s="76">
        <v>4.5960000000000001</v>
      </c>
      <c r="AO511" s="76">
        <v>1</v>
      </c>
      <c r="AP511" s="76">
        <f t="shared" si="197"/>
        <v>4.5960000000000001</v>
      </c>
      <c r="AQ511" s="76">
        <v>0.48299999999999998</v>
      </c>
      <c r="AR511" s="76">
        <v>2.89</v>
      </c>
      <c r="AS511" s="76">
        <v>6.1840000000000002</v>
      </c>
      <c r="AT511" s="55" t="s">
        <v>83</v>
      </c>
      <c r="AU511" s="55" t="s">
        <v>109</v>
      </c>
      <c r="AV511" s="55" t="s">
        <v>133</v>
      </c>
      <c r="AW511" s="55" t="s">
        <v>85</v>
      </c>
      <c r="AX511" s="55" t="s">
        <v>86</v>
      </c>
      <c r="AY511" s="55">
        <v>0</v>
      </c>
      <c r="AZ511" s="55">
        <v>0</v>
      </c>
      <c r="BA511" s="55" t="s">
        <v>734</v>
      </c>
      <c r="BB511" s="55" t="s">
        <v>88</v>
      </c>
      <c r="BC511" s="55" t="s">
        <v>89</v>
      </c>
      <c r="BD511" s="55" t="s">
        <v>114</v>
      </c>
      <c r="BE511" s="55" t="s">
        <v>1169</v>
      </c>
      <c r="BF511" s="55">
        <v>18.82</v>
      </c>
      <c r="BG511" s="55">
        <v>1</v>
      </c>
      <c r="BH511" s="55">
        <v>16.25</v>
      </c>
      <c r="BI511" s="55">
        <v>-218.25</v>
      </c>
      <c r="BJ511" s="55">
        <v>370.012</v>
      </c>
      <c r="BK511" s="55" t="s">
        <v>91</v>
      </c>
      <c r="BL511" s="55" t="s">
        <v>84</v>
      </c>
      <c r="BM511" s="55">
        <v>1</v>
      </c>
      <c r="BN511" s="55" t="s">
        <v>539</v>
      </c>
      <c r="BO511" s="55" t="s">
        <v>1175</v>
      </c>
      <c r="BP511" s="55" t="s">
        <v>1176</v>
      </c>
      <c r="BQ511" s="55" t="s">
        <v>117</v>
      </c>
      <c r="BR511" s="55" t="s">
        <v>93</v>
      </c>
      <c r="BS511" s="55">
        <v>26.151</v>
      </c>
      <c r="BT511" s="55">
        <v>0</v>
      </c>
      <c r="BU511" s="55">
        <v>2014</v>
      </c>
      <c r="BV511" s="55">
        <v>2019</v>
      </c>
      <c r="BW511" s="55" t="s">
        <v>736</v>
      </c>
      <c r="BX511" s="55" t="s">
        <v>95</v>
      </c>
      <c r="BY511" s="55" t="s">
        <v>748</v>
      </c>
      <c r="BZ511" s="55">
        <v>1</v>
      </c>
      <c r="CA511" s="55">
        <v>1</v>
      </c>
      <c r="CB511" s="55" t="s">
        <v>1211</v>
      </c>
      <c r="CC511" s="55" t="s">
        <v>1181</v>
      </c>
      <c r="CD511" s="55">
        <v>1</v>
      </c>
      <c r="CE511" s="55" t="s">
        <v>1182</v>
      </c>
      <c r="CF511" s="55">
        <v>0</v>
      </c>
      <c r="CG511" s="55" t="s">
        <v>97</v>
      </c>
      <c r="CH511" s="55">
        <v>1</v>
      </c>
      <c r="CI511" s="55" t="s">
        <v>509</v>
      </c>
      <c r="CJ511" s="55" t="s">
        <v>98</v>
      </c>
      <c r="CK511" s="55">
        <v>61</v>
      </c>
      <c r="CL511" s="55">
        <v>0</v>
      </c>
      <c r="CM511" s="55">
        <v>0</v>
      </c>
      <c r="CN511" s="55" t="s">
        <v>99</v>
      </c>
      <c r="CO511" s="55" t="s">
        <v>947</v>
      </c>
      <c r="CP511" s="55" t="s">
        <v>100</v>
      </c>
      <c r="CQ511" s="55" t="s">
        <v>126</v>
      </c>
      <c r="CR511" s="57">
        <v>46226</v>
      </c>
      <c r="CT511" s="55" t="s">
        <v>785</v>
      </c>
    </row>
    <row r="512" spans="1:98" s="55" customFormat="1" x14ac:dyDescent="0.35">
      <c r="A512" s="54" t="s">
        <v>1170</v>
      </c>
      <c r="B512" s="54" t="s">
        <v>1221</v>
      </c>
      <c r="C512" s="55" t="s">
        <v>1171</v>
      </c>
      <c r="D512" s="55">
        <v>2023</v>
      </c>
      <c r="E512" s="54" t="s">
        <v>1172</v>
      </c>
      <c r="F512" s="54" t="s">
        <v>1173</v>
      </c>
      <c r="G512" s="55" t="s">
        <v>78</v>
      </c>
      <c r="H512" s="55">
        <v>1</v>
      </c>
      <c r="I512" s="55" t="s">
        <v>290</v>
      </c>
      <c r="J512" s="55" t="s">
        <v>1174</v>
      </c>
      <c r="K512" s="55">
        <v>12</v>
      </c>
      <c r="L512" s="55" t="s">
        <v>1179</v>
      </c>
      <c r="M512" s="55" t="s">
        <v>380</v>
      </c>
      <c r="N512" s="55">
        <f>-5.767+4.323</f>
        <v>-1.444</v>
      </c>
      <c r="O512" s="55" t="s">
        <v>312</v>
      </c>
      <c r="P512" s="88" t="s">
        <v>312</v>
      </c>
      <c r="Q512" s="55" t="s">
        <v>312</v>
      </c>
      <c r="R512" s="88" t="s">
        <v>312</v>
      </c>
      <c r="S512" s="88" t="s">
        <v>312</v>
      </c>
      <c r="T512" s="55" t="s">
        <v>312</v>
      </c>
      <c r="U512" s="55">
        <v>21519</v>
      </c>
      <c r="V512" s="55">
        <v>10</v>
      </c>
      <c r="W512" s="55">
        <v>1</v>
      </c>
      <c r="X512" s="55">
        <f t="shared" si="201"/>
        <v>21509</v>
      </c>
      <c r="Y512" s="88" t="s">
        <v>312</v>
      </c>
      <c r="Z512" s="88" t="s">
        <v>312</v>
      </c>
      <c r="AA512" s="88" t="s">
        <v>312</v>
      </c>
      <c r="AB512" s="55" t="s">
        <v>312</v>
      </c>
      <c r="AC512" s="88">
        <f t="shared" si="202"/>
        <v>-7.6726886291179588E-2</v>
      </c>
      <c r="AD512" s="88" cm="1">
        <f t="array" ref="AD512">_xlfn.IFS(
AND(L512="marginal_effect",M512="level"),N512*AN512/BF512,
AND(L512="marginal_effect",M512="sd (Y)"),N512*BH512*AN512/BF512,
AND(L512="marginal_effect",M512="sd (X)"),N512/AQ512*AN512/BF512,
AND(L512="semi_elasticity",M512="level"),N512*AN512,
AND(L512="semi_elasticity",M512="sd (Y)"),N512*AN512*BH512,
AND(L512="semi_elasticity",M512="sd (X)"),N512*AN512/AQ512,
AND(L512="level-log",M512="level"),N512/BF512,
AND(L512="level-log",M512="sd (X)"),N512/BF512/AQ512,
AND(L512="level-log",M512="sd (Y)"),N512/BF512*BH512,
AND(L512="elasticity",M512="level"),N512,
AND(L512="elasticity",M512="sd (X)"),N512/AQ512,
AND(L512="elasticity",M512="sd (Y)"),N512*BH512,
AND(L512="marginal_effect",M512="percent_of_mean"),N512*AN512/BF512/10)</f>
        <v>-7.6726886291179588E-2</v>
      </c>
      <c r="AE512" s="56">
        <f t="shared" si="191"/>
        <v>1</v>
      </c>
      <c r="AF512" s="88" t="s">
        <v>312</v>
      </c>
      <c r="AG512" s="88" t="e" cm="1">
        <f t="array" ref="AG512">_xlfn.IFS(
AND(L512="marginal_effect",M512="level"),O512*AN512/BF512,
AND(L512="marginal_effect",M512="sd (Y)"),O512*BH512*AN512/BF512,
AND(L512="marginal_effect",M512="sd (X)"),O512/AQ512*AN512/BF512,
AND(L512="semi_elasticity",M512="level"),O512*AN512,
AND(L512="semi_elasticity",M512="sd (Y)"),O512*AN512*BH512,
AND(L512="semi_elasticity",M512="sd (X)"),O512*AN512/AQ512,
AND(L512="level-log",M512="level"),O512/BF512,
AND(L512="level-log",M512="sd (X)"),O512/BF512/AQ512,
AND(L512="level-log",M512="sd (Y)"),O512/BF512*BH512,
AND(L512="elasticity",M512="level"),O512,
AND(L512="elasticity",M512="sd (X)"),O512/AQ512,
AND(L512="elasticity",M512="sd (Y)"),O512*BH512,
AND(L512="marginal_effect",M512="percent_of_mean"),O512*AN512/BF512/10)</f>
        <v>#VALUE!</v>
      </c>
      <c r="AH512" s="56" t="e">
        <f t="shared" si="192"/>
        <v>#VALUE!</v>
      </c>
      <c r="AI512" s="88">
        <f t="shared" si="203"/>
        <v>-7.6726886291179588E-2</v>
      </c>
      <c r="AJ512" s="55">
        <v>0</v>
      </c>
      <c r="AK512" s="55" t="s">
        <v>312</v>
      </c>
      <c r="AL512" s="55" t="s">
        <v>735</v>
      </c>
      <c r="AM512" s="76" t="s">
        <v>1411</v>
      </c>
      <c r="AN512" s="76">
        <v>4.5960000000000001</v>
      </c>
      <c r="AO512" s="76">
        <v>1</v>
      </c>
      <c r="AP512" s="76">
        <f t="shared" si="197"/>
        <v>4.5960000000000001</v>
      </c>
      <c r="AQ512" s="76">
        <v>0.48299999999999998</v>
      </c>
      <c r="AR512" s="76">
        <v>2.89</v>
      </c>
      <c r="AS512" s="76">
        <v>6.1840000000000002</v>
      </c>
      <c r="AT512" s="55" t="s">
        <v>83</v>
      </c>
      <c r="AU512" s="55" t="s">
        <v>109</v>
      </c>
      <c r="AV512" s="55" t="s">
        <v>133</v>
      </c>
      <c r="AW512" s="55" t="s">
        <v>85</v>
      </c>
      <c r="AX512" s="55" t="s">
        <v>86</v>
      </c>
      <c r="AY512" s="55">
        <v>0</v>
      </c>
      <c r="AZ512" s="55">
        <v>0</v>
      </c>
      <c r="BA512" s="55" t="s">
        <v>734</v>
      </c>
      <c r="BB512" s="55" t="s">
        <v>88</v>
      </c>
      <c r="BC512" s="55" t="s">
        <v>89</v>
      </c>
      <c r="BD512" s="55" t="s">
        <v>114</v>
      </c>
      <c r="BE512" s="55" t="s">
        <v>1169</v>
      </c>
      <c r="BF512" s="55">
        <v>18.82</v>
      </c>
      <c r="BG512" s="55">
        <v>1</v>
      </c>
      <c r="BH512" s="55">
        <v>16.25</v>
      </c>
      <c r="BI512" s="55">
        <v>-218.25</v>
      </c>
      <c r="BJ512" s="55">
        <v>370.012</v>
      </c>
      <c r="BK512" s="55" t="s">
        <v>91</v>
      </c>
      <c r="BL512" s="55" t="s">
        <v>84</v>
      </c>
      <c r="BM512" s="55">
        <v>1</v>
      </c>
      <c r="BN512" s="55" t="s">
        <v>539</v>
      </c>
      <c r="BO512" s="55" t="s">
        <v>1175</v>
      </c>
      <c r="BP512" s="55" t="s">
        <v>1176</v>
      </c>
      <c r="BQ512" s="55" t="s">
        <v>117</v>
      </c>
      <c r="BR512" s="55" t="s">
        <v>93</v>
      </c>
      <c r="BS512" s="55">
        <v>26.151</v>
      </c>
      <c r="BT512" s="55">
        <v>0</v>
      </c>
      <c r="BU512" s="55">
        <v>2014</v>
      </c>
      <c r="BV512" s="55">
        <v>2019</v>
      </c>
      <c r="BW512" s="55" t="s">
        <v>736</v>
      </c>
      <c r="BX512" s="55" t="s">
        <v>95</v>
      </c>
      <c r="BY512" s="55" t="s">
        <v>748</v>
      </c>
      <c r="BZ512" s="55">
        <v>1</v>
      </c>
      <c r="CA512" s="55">
        <v>1</v>
      </c>
      <c r="CB512" s="55" t="s">
        <v>1211</v>
      </c>
      <c r="CC512" s="55" t="s">
        <v>1177</v>
      </c>
      <c r="CD512" s="55">
        <v>1</v>
      </c>
      <c r="CE512" s="55" t="s">
        <v>1182</v>
      </c>
      <c r="CF512" s="55">
        <v>0</v>
      </c>
      <c r="CG512" s="55" t="s">
        <v>97</v>
      </c>
      <c r="CH512" s="55">
        <v>1</v>
      </c>
      <c r="CI512" s="55" t="s">
        <v>509</v>
      </c>
      <c r="CJ512" s="55" t="s">
        <v>98</v>
      </c>
      <c r="CK512" s="55">
        <v>61</v>
      </c>
      <c r="CL512" s="55">
        <v>0</v>
      </c>
      <c r="CM512" s="55">
        <v>0</v>
      </c>
      <c r="CN512" s="55" t="s">
        <v>99</v>
      </c>
      <c r="CO512" s="55" t="s">
        <v>947</v>
      </c>
      <c r="CP512" s="55" t="s">
        <v>100</v>
      </c>
      <c r="CQ512" s="55" t="s">
        <v>126</v>
      </c>
      <c r="CR512" s="57">
        <v>46226</v>
      </c>
      <c r="CT512" s="55" t="s">
        <v>784</v>
      </c>
    </row>
    <row r="513" spans="1:98" s="55" customFormat="1" x14ac:dyDescent="0.35">
      <c r="A513" s="54" t="s">
        <v>1170</v>
      </c>
      <c r="B513" s="54" t="s">
        <v>1222</v>
      </c>
      <c r="C513" s="55" t="s">
        <v>1171</v>
      </c>
      <c r="D513" s="55">
        <v>2023</v>
      </c>
      <c r="E513" s="54" t="s">
        <v>1172</v>
      </c>
      <c r="F513" s="54" t="s">
        <v>1173</v>
      </c>
      <c r="G513" s="55" t="s">
        <v>78</v>
      </c>
      <c r="H513" s="55">
        <v>1</v>
      </c>
      <c r="I513" s="55" t="s">
        <v>290</v>
      </c>
      <c r="J513" s="55" t="s">
        <v>1174</v>
      </c>
      <c r="K513" s="55">
        <v>12</v>
      </c>
      <c r="L513" s="55" t="s">
        <v>1179</v>
      </c>
      <c r="M513" s="55" t="s">
        <v>380</v>
      </c>
      <c r="N513" s="55">
        <v>-5.7670000000000003</v>
      </c>
      <c r="O513" s="55">
        <v>0.442</v>
      </c>
      <c r="P513" s="88">
        <f t="shared" ref="P513:P523" si="204">N513/O513</f>
        <v>-13.047511312217194</v>
      </c>
      <c r="Q513" s="55" t="s">
        <v>312</v>
      </c>
      <c r="R513" s="88">
        <f t="shared" ref="R513:R523" si="205">N513-1.96*O513</f>
        <v>-6.6333200000000003</v>
      </c>
      <c r="S513" s="88">
        <f t="shared" ref="S513:S523" si="206">N513+1.96*O513</f>
        <v>-4.9006800000000004</v>
      </c>
      <c r="T513" s="55">
        <v>1</v>
      </c>
      <c r="U513" s="55">
        <v>21519</v>
      </c>
      <c r="V513" s="55">
        <v>10</v>
      </c>
      <c r="W513" s="55">
        <v>1</v>
      </c>
      <c r="X513" s="55">
        <f t="shared" si="201"/>
        <v>21509</v>
      </c>
      <c r="Y513" s="88" t="s">
        <v>312</v>
      </c>
      <c r="Z513" s="88" t="s">
        <v>312</v>
      </c>
      <c r="AA513" s="88" t="s">
        <v>312</v>
      </c>
      <c r="AB513" s="55" t="s">
        <v>81</v>
      </c>
      <c r="AC513" s="88">
        <f t="shared" si="202"/>
        <v>-0.30642933049946869</v>
      </c>
      <c r="AD513" s="88" cm="1">
        <f t="array" ref="AD513">_xlfn.IFS(
AND(L513="marginal_effect",M513="level"),N513*AN513/BF513,
AND(L513="marginal_effect",M513="sd (Y)"),N513*BH513*AN513/BF513,
AND(L513="marginal_effect",M513="sd (X)"),N513/AQ513*AN513/BF513,
AND(L513="semi_elasticity",M513="level"),N513*AN513,
AND(L513="semi_elasticity",M513="sd (Y)"),N513*AN513*BH513,
AND(L513="semi_elasticity",M513="sd (X)"),N513*AN513/AQ513,
AND(L513="level-log",M513="level"),N513/BF513,
AND(L513="level-log",M513="sd (X)"),N513/BF513/AQ513,
AND(L513="level-log",M513="sd (Y)"),N513/BF513*BH513,
AND(L513="elasticity",M513="level"),N513,
AND(L513="elasticity",M513="sd (X)"),N513/AQ513,
AND(L513="elasticity",M513="sd (Y)"),N513*BH513,
AND(L513="marginal_effect",M513="percent_of_mean"),N513*AN513/BF513/10)</f>
        <v>-0.30642933049946869</v>
      </c>
      <c r="AE513" s="56">
        <f t="shared" si="191"/>
        <v>1</v>
      </c>
      <c r="AF513" s="88">
        <f t="shared" ref="AF513:AF523" si="207">O513/BF513</f>
        <v>2.3485653560042508E-2</v>
      </c>
      <c r="AG513" s="88" cm="1">
        <f t="array" ref="AG513">_xlfn.IFS(
AND(L513="marginal_effect",M513="level"),O513*AN513/BF513,
AND(L513="marginal_effect",M513="sd (Y)"),O513*BH513*AN513/BF513,
AND(L513="marginal_effect",M513="sd (X)"),O513/AQ513*AN513/BF513,
AND(L513="semi_elasticity",M513="level"),O513*AN513,
AND(L513="semi_elasticity",M513="sd (Y)"),O513*AN513*BH513,
AND(L513="semi_elasticity",M513="sd (X)"),O513*AN513/AQ513,
AND(L513="level-log",M513="level"),O513/BF513,
AND(L513="level-log",M513="sd (X)"),O513/BF513/AQ513,
AND(L513="level-log",M513="sd (Y)"),O513/BF513*BH513,
AND(L513="elasticity",M513="level"),O513,
AND(L513="elasticity",M513="sd (X)"),O513/AQ513,
AND(L513="elasticity",M513="sd (Y)"),O513*BH513,
AND(L513="marginal_effect",M513="percent_of_mean"),O513*AN513/BF513/10)</f>
        <v>2.3485653560042508E-2</v>
      </c>
      <c r="AH513" s="56">
        <f t="shared" si="192"/>
        <v>1</v>
      </c>
      <c r="AI513" s="88">
        <f t="shared" si="203"/>
        <v>-0.30642933049946869</v>
      </c>
      <c r="AJ513" s="55">
        <v>0</v>
      </c>
      <c r="AK513" s="55">
        <f t="shared" ref="AK513:AK523" si="208">IF(P513=(AC513/AF513),1,0)</f>
        <v>1</v>
      </c>
      <c r="AL513" s="55" t="s">
        <v>735</v>
      </c>
      <c r="AM513" s="76" t="s">
        <v>1411</v>
      </c>
      <c r="AN513" s="76">
        <v>4.5960000000000001</v>
      </c>
      <c r="AO513" s="76">
        <v>1</v>
      </c>
      <c r="AP513" s="76">
        <f t="shared" si="197"/>
        <v>4.5960000000000001</v>
      </c>
      <c r="AQ513" s="76">
        <v>0.48299999999999998</v>
      </c>
      <c r="AR513" s="76">
        <v>2.89</v>
      </c>
      <c r="AS513" s="76">
        <v>6.1840000000000002</v>
      </c>
      <c r="AT513" s="55" t="s">
        <v>83</v>
      </c>
      <c r="AU513" s="55" t="s">
        <v>109</v>
      </c>
      <c r="AV513" s="55" t="s">
        <v>133</v>
      </c>
      <c r="AW513" s="55" t="s">
        <v>85</v>
      </c>
      <c r="AX513" s="55" t="s">
        <v>86</v>
      </c>
      <c r="AY513" s="55">
        <v>0</v>
      </c>
      <c r="AZ513" s="55">
        <v>0</v>
      </c>
      <c r="BA513" s="55" t="s">
        <v>734</v>
      </c>
      <c r="BB513" s="55" t="s">
        <v>88</v>
      </c>
      <c r="BC513" s="55" t="s">
        <v>89</v>
      </c>
      <c r="BD513" s="55" t="s">
        <v>114</v>
      </c>
      <c r="BE513" s="55" t="s">
        <v>1169</v>
      </c>
      <c r="BF513" s="55">
        <v>18.82</v>
      </c>
      <c r="BG513" s="55">
        <v>1</v>
      </c>
      <c r="BH513" s="55">
        <v>16.25</v>
      </c>
      <c r="BI513" s="55">
        <v>-218.25</v>
      </c>
      <c r="BJ513" s="55">
        <v>370.012</v>
      </c>
      <c r="BK513" s="55" t="s">
        <v>91</v>
      </c>
      <c r="BL513" s="55" t="s">
        <v>84</v>
      </c>
      <c r="BM513" s="55">
        <v>1</v>
      </c>
      <c r="BN513" s="55" t="s">
        <v>539</v>
      </c>
      <c r="BO513" s="55" t="s">
        <v>1175</v>
      </c>
      <c r="BP513" s="55" t="s">
        <v>1176</v>
      </c>
      <c r="BQ513" s="55" t="s">
        <v>117</v>
      </c>
      <c r="BR513" s="55" t="s">
        <v>93</v>
      </c>
      <c r="BS513" s="55">
        <v>26.151</v>
      </c>
      <c r="BT513" s="55">
        <v>0</v>
      </c>
      <c r="BU513" s="55">
        <v>2014</v>
      </c>
      <c r="BV513" s="55">
        <v>2019</v>
      </c>
      <c r="BW513" s="55" t="s">
        <v>736</v>
      </c>
      <c r="BX513" s="55" t="s">
        <v>95</v>
      </c>
      <c r="BY513" s="55" t="s">
        <v>748</v>
      </c>
      <c r="BZ513" s="55">
        <v>1</v>
      </c>
      <c r="CA513" s="55">
        <v>1</v>
      </c>
      <c r="CB513" s="55" t="s">
        <v>1211</v>
      </c>
      <c r="CC513" s="55" t="s">
        <v>1181</v>
      </c>
      <c r="CD513" s="55">
        <v>1</v>
      </c>
      <c r="CE513" s="55" t="s">
        <v>1182</v>
      </c>
      <c r="CF513" s="55">
        <v>0</v>
      </c>
      <c r="CG513" s="55" t="s">
        <v>97</v>
      </c>
      <c r="CH513" s="55">
        <v>1</v>
      </c>
      <c r="CI513" s="55" t="s">
        <v>509</v>
      </c>
      <c r="CJ513" s="55" t="s">
        <v>98</v>
      </c>
      <c r="CK513" s="55">
        <v>61</v>
      </c>
      <c r="CL513" s="55">
        <v>0</v>
      </c>
      <c r="CM513" s="55">
        <v>0</v>
      </c>
      <c r="CN513" s="55" t="s">
        <v>99</v>
      </c>
      <c r="CO513" s="55" t="s">
        <v>947</v>
      </c>
      <c r="CP513" s="55" t="s">
        <v>100</v>
      </c>
      <c r="CQ513" s="55" t="s">
        <v>126</v>
      </c>
      <c r="CR513" s="57">
        <v>46226</v>
      </c>
      <c r="CT513" s="55" t="s">
        <v>785</v>
      </c>
    </row>
    <row r="514" spans="1:98" s="55" customFormat="1" x14ac:dyDescent="0.35">
      <c r="A514" s="54" t="s">
        <v>1170</v>
      </c>
      <c r="B514" s="54" t="s">
        <v>1229</v>
      </c>
      <c r="C514" s="55" t="s">
        <v>1171</v>
      </c>
      <c r="D514" s="55">
        <v>2023</v>
      </c>
      <c r="E514" s="54" t="s">
        <v>1172</v>
      </c>
      <c r="F514" s="54" t="s">
        <v>1173</v>
      </c>
      <c r="G514" s="55" t="s">
        <v>78</v>
      </c>
      <c r="H514" s="55">
        <v>1</v>
      </c>
      <c r="I514" s="55" t="s">
        <v>290</v>
      </c>
      <c r="J514" s="55" t="s">
        <v>1174</v>
      </c>
      <c r="K514" s="55">
        <v>12</v>
      </c>
      <c r="L514" s="55" t="s">
        <v>1179</v>
      </c>
      <c r="M514" s="55" t="s">
        <v>380</v>
      </c>
      <c r="N514" s="55">
        <v>-4.3609999999999998</v>
      </c>
      <c r="O514" s="55">
        <v>1.573</v>
      </c>
      <c r="P514" s="88">
        <f t="shared" si="204"/>
        <v>-2.7724094087730449</v>
      </c>
      <c r="Q514" s="55" t="s">
        <v>312</v>
      </c>
      <c r="R514" s="88">
        <f t="shared" si="205"/>
        <v>-7.4440799999999996</v>
      </c>
      <c r="S514" s="88">
        <f t="shared" si="206"/>
        <v>-1.2779199999999999</v>
      </c>
      <c r="T514" s="55">
        <v>1</v>
      </c>
      <c r="U514" s="55">
        <v>21519</v>
      </c>
      <c r="V514" s="55">
        <v>1</v>
      </c>
      <c r="W514" s="55">
        <v>1</v>
      </c>
      <c r="X514" s="55">
        <f t="shared" si="201"/>
        <v>21518</v>
      </c>
      <c r="Y514" s="88">
        <f t="shared" ref="Y514:Y523" si="209">P514/(P514^2 + X514)^(1/2)</f>
        <v>-1.8896390755556509E-2</v>
      </c>
      <c r="Z514" s="88">
        <f t="shared" ref="Z514:Z523" si="210">((1-Y514^2)/X514)^(1/2)</f>
        <v>6.815873115911579E-3</v>
      </c>
      <c r="AA514" s="88">
        <f t="shared" ref="AA514:AA523" si="211">-Y514</f>
        <v>1.8896390755556509E-2</v>
      </c>
      <c r="AB514" s="55" t="s">
        <v>81</v>
      </c>
      <c r="AC514" s="88">
        <f t="shared" si="202"/>
        <v>-0.23172157279489902</v>
      </c>
      <c r="AD514" s="88" cm="1">
        <f t="array" ref="AD514">_xlfn.IFS(
AND(L514="marginal_effect",M514="level"),N514*AN514/BF514,
AND(L514="marginal_effect",M514="sd (Y)"),N514*BH514*AN514/BF514,
AND(L514="marginal_effect",M514="sd (X)"),N514/AQ514*AN514/BF514,
AND(L514="semi_elasticity",M514="level"),N514*AN514,
AND(L514="semi_elasticity",M514="sd (Y)"),N514*AN514*BH514,
AND(L514="semi_elasticity",M514="sd (X)"),N514*AN514/AQ514,
AND(L514="level-log",M514="level"),N514/BF514,
AND(L514="level-log",M514="sd (X)"),N514/BF514/AQ514,
AND(L514="level-log",M514="sd (Y)"),N514/BF514*BH514,
AND(L514="elasticity",M514="level"),N514,
AND(L514="elasticity",M514="sd (X)"),N514/AQ514,
AND(L514="elasticity",M514="sd (Y)"),N514*BH514,
AND(L514="marginal_effect",M514="percent_of_mean"),N514*AN514/BF514/10)</f>
        <v>-0.23172157279489902</v>
      </c>
      <c r="AE514" s="56">
        <f t="shared" si="191"/>
        <v>1</v>
      </c>
      <c r="AF514" s="88">
        <f t="shared" si="207"/>
        <v>8.3581296493092455E-2</v>
      </c>
      <c r="AG514" s="88" cm="1">
        <f t="array" ref="AG514">_xlfn.IFS(
AND(L514="marginal_effect",M514="level"),O514*AN514/BF514,
AND(L514="marginal_effect",M514="sd (Y)"),O514*BH514*AN514/BF514,
AND(L514="marginal_effect",M514="sd (X)"),O514/AQ514*AN514/BF514,
AND(L514="semi_elasticity",M514="level"),O514*AN514,
AND(L514="semi_elasticity",M514="sd (Y)"),O514*AN514*BH514,
AND(L514="semi_elasticity",M514="sd (X)"),O514*AN514/AQ514,
AND(L514="level-log",M514="level"),O514/BF514,
AND(L514="level-log",M514="sd (X)"),O514/BF514/AQ514,
AND(L514="level-log",M514="sd (Y)"),O514/BF514*BH514,
AND(L514="elasticity",M514="level"),O514,
AND(L514="elasticity",M514="sd (X)"),O514/AQ514,
AND(L514="elasticity",M514="sd (Y)"),O514*BH514,
AND(L514="marginal_effect",M514="percent_of_mean"),O514*AN514/BF514/10)</f>
        <v>8.3581296493092455E-2</v>
      </c>
      <c r="AH514" s="56">
        <f t="shared" si="192"/>
        <v>1</v>
      </c>
      <c r="AI514" s="88">
        <f t="shared" si="203"/>
        <v>-0.23172157279489902</v>
      </c>
      <c r="AJ514" s="55">
        <v>0</v>
      </c>
      <c r="AK514" s="55">
        <f t="shared" si="208"/>
        <v>1</v>
      </c>
      <c r="AL514" s="55" t="s">
        <v>735</v>
      </c>
      <c r="AM514" s="76" t="s">
        <v>1411</v>
      </c>
      <c r="AN514" s="76">
        <v>4.5960000000000001</v>
      </c>
      <c r="AO514" s="76">
        <v>0</v>
      </c>
      <c r="AP514" s="76">
        <f t="shared" si="197"/>
        <v>4.5960000000000001</v>
      </c>
      <c r="AQ514" s="76">
        <v>0.48299999999999998</v>
      </c>
      <c r="AR514" s="76">
        <v>2.89</v>
      </c>
      <c r="AS514" s="76">
        <v>6.1840000000000002</v>
      </c>
      <c r="AT514" s="55" t="s">
        <v>83</v>
      </c>
      <c r="AU514" s="55" t="s">
        <v>109</v>
      </c>
      <c r="AV514" s="55" t="s">
        <v>133</v>
      </c>
      <c r="AW514" s="55" t="s">
        <v>85</v>
      </c>
      <c r="AX514" s="55" t="s">
        <v>86</v>
      </c>
      <c r="AY514" s="55">
        <v>0</v>
      </c>
      <c r="AZ514" s="55">
        <v>0</v>
      </c>
      <c r="BA514" s="55" t="s">
        <v>734</v>
      </c>
      <c r="BB514" s="55" t="s">
        <v>88</v>
      </c>
      <c r="BC514" s="55" t="s">
        <v>89</v>
      </c>
      <c r="BD514" s="55" t="s">
        <v>114</v>
      </c>
      <c r="BE514" s="55" t="s">
        <v>1169</v>
      </c>
      <c r="BF514" s="55">
        <v>18.82</v>
      </c>
      <c r="BG514" s="55">
        <v>0</v>
      </c>
      <c r="BH514" s="55">
        <v>16.25</v>
      </c>
      <c r="BI514" s="55">
        <v>-218.25</v>
      </c>
      <c r="BJ514" s="55">
        <v>370.012</v>
      </c>
      <c r="BK514" s="55" t="s">
        <v>91</v>
      </c>
      <c r="BL514" s="55" t="s">
        <v>84</v>
      </c>
      <c r="BM514" s="55">
        <v>1</v>
      </c>
      <c r="BN514" s="55" t="s">
        <v>539</v>
      </c>
      <c r="BO514" s="55" t="s">
        <v>1175</v>
      </c>
      <c r="BP514" s="55" t="s">
        <v>1176</v>
      </c>
      <c r="BQ514" s="55" t="s">
        <v>117</v>
      </c>
      <c r="BR514" s="55" t="s">
        <v>93</v>
      </c>
      <c r="BS514" s="55">
        <v>26.151</v>
      </c>
      <c r="BT514" s="55">
        <v>0</v>
      </c>
      <c r="BU514" s="55">
        <v>2014</v>
      </c>
      <c r="BV514" s="55">
        <v>2019</v>
      </c>
      <c r="BW514" s="55" t="s">
        <v>736</v>
      </c>
      <c r="BX514" s="55" t="s">
        <v>95</v>
      </c>
      <c r="BY514" s="55" t="s">
        <v>748</v>
      </c>
      <c r="BZ514" s="55">
        <v>1</v>
      </c>
      <c r="CA514" s="55">
        <v>1</v>
      </c>
      <c r="CB514" s="55" t="s">
        <v>1235</v>
      </c>
      <c r="CC514" s="55" t="s">
        <v>1177</v>
      </c>
      <c r="CD514" s="55">
        <v>0</v>
      </c>
      <c r="CE514" s="55" t="s">
        <v>97</v>
      </c>
      <c r="CF514" s="55">
        <v>0</v>
      </c>
      <c r="CG514" s="55" t="s">
        <v>97</v>
      </c>
      <c r="CH514" s="55">
        <v>1</v>
      </c>
      <c r="CI514" s="55" t="s">
        <v>509</v>
      </c>
      <c r="CJ514" s="55" t="s">
        <v>98</v>
      </c>
      <c r="CK514" s="55">
        <v>61</v>
      </c>
      <c r="CL514" s="55">
        <v>0</v>
      </c>
      <c r="CM514" s="55">
        <v>0</v>
      </c>
      <c r="CN514" s="55" t="s">
        <v>124</v>
      </c>
      <c r="CO514" s="55" t="s">
        <v>97</v>
      </c>
      <c r="CP514" s="55" t="s">
        <v>100</v>
      </c>
      <c r="CQ514" s="55" t="s">
        <v>126</v>
      </c>
      <c r="CR514" s="57">
        <v>46226</v>
      </c>
      <c r="CT514" s="55" t="s">
        <v>1223</v>
      </c>
    </row>
    <row r="515" spans="1:98" s="55" customFormat="1" x14ac:dyDescent="0.35">
      <c r="A515" s="54" t="s">
        <v>1170</v>
      </c>
      <c r="B515" s="54" t="s">
        <v>1230</v>
      </c>
      <c r="C515" s="55" t="s">
        <v>1171</v>
      </c>
      <c r="D515" s="55">
        <v>2023</v>
      </c>
      <c r="E515" s="54" t="s">
        <v>1172</v>
      </c>
      <c r="F515" s="54" t="s">
        <v>1173</v>
      </c>
      <c r="G515" s="55" t="s">
        <v>78</v>
      </c>
      <c r="H515" s="55">
        <v>1</v>
      </c>
      <c r="I515" s="55" t="s">
        <v>290</v>
      </c>
      <c r="J515" s="55" t="s">
        <v>1174</v>
      </c>
      <c r="K515" s="55">
        <v>12</v>
      </c>
      <c r="L515" s="55" t="s">
        <v>1179</v>
      </c>
      <c r="M515" s="55" t="s">
        <v>380</v>
      </c>
      <c r="N515" s="55">
        <v>-3.9630000000000001</v>
      </c>
      <c r="O515" s="55">
        <v>1.5660000000000001</v>
      </c>
      <c r="P515" s="88">
        <f t="shared" si="204"/>
        <v>-2.5306513409961684</v>
      </c>
      <c r="Q515" s="55" t="s">
        <v>312</v>
      </c>
      <c r="R515" s="88">
        <f t="shared" si="205"/>
        <v>-7.0323600000000006</v>
      </c>
      <c r="S515" s="88">
        <f t="shared" si="206"/>
        <v>-0.89363999999999999</v>
      </c>
      <c r="T515" s="55">
        <v>1</v>
      </c>
      <c r="U515" s="55">
        <v>21519</v>
      </c>
      <c r="V515" s="55">
        <v>1</v>
      </c>
      <c r="W515" s="55">
        <v>1</v>
      </c>
      <c r="X515" s="55">
        <f t="shared" si="201"/>
        <v>21518</v>
      </c>
      <c r="Y515" s="88">
        <f t="shared" si="209"/>
        <v>-1.7249112122179815E-2</v>
      </c>
      <c r="Z515" s="88">
        <f t="shared" si="210"/>
        <v>6.8160760997561425E-3</v>
      </c>
      <c r="AA515" s="88">
        <f t="shared" si="211"/>
        <v>1.7249112122179815E-2</v>
      </c>
      <c r="AB515" s="55" t="s">
        <v>81</v>
      </c>
      <c r="AC515" s="88">
        <f t="shared" si="202"/>
        <v>-0.21057385759829969</v>
      </c>
      <c r="AD515" s="88" cm="1">
        <f t="array" ref="AD515">_xlfn.IFS(
AND(L515="marginal_effect",M515="level"),N515*AN515/BF515,
AND(L515="marginal_effect",M515="sd (Y)"),N515*BH515*AN515/BF515,
AND(L515="marginal_effect",M515="sd (X)"),N515/AQ515*AN515/BF515,
AND(L515="semi_elasticity",M515="level"),N515*AN515,
AND(L515="semi_elasticity",M515="sd (Y)"),N515*AN515*BH515,
AND(L515="semi_elasticity",M515="sd (X)"),N515*AN515/AQ515,
AND(L515="level-log",M515="level"),N515/BF515,
AND(L515="level-log",M515="sd (X)"),N515/BF515/AQ515,
AND(L515="level-log",M515="sd (Y)"),N515/BF515*BH515,
AND(L515="elasticity",M515="level"),N515,
AND(L515="elasticity",M515="sd (X)"),N515/AQ515,
AND(L515="elasticity",M515="sd (Y)"),N515*BH515,
AND(L515="marginal_effect",M515="percent_of_mean"),N515*AN515/BF515/10)</f>
        <v>-0.21057385759829969</v>
      </c>
      <c r="AE515" s="56">
        <f t="shared" si="191"/>
        <v>1</v>
      </c>
      <c r="AF515" s="88">
        <f t="shared" si="207"/>
        <v>8.3209351753453772E-2</v>
      </c>
      <c r="AG515" s="88" cm="1">
        <f t="array" ref="AG515">_xlfn.IFS(
AND(L515="marginal_effect",M515="level"),O515*AN515/BF515,
AND(L515="marginal_effect",M515="sd (Y)"),O515*BH515*AN515/BF515,
AND(L515="marginal_effect",M515="sd (X)"),O515/AQ515*AN515/BF515,
AND(L515="semi_elasticity",M515="level"),O515*AN515,
AND(L515="semi_elasticity",M515="sd (Y)"),O515*AN515*BH515,
AND(L515="semi_elasticity",M515="sd (X)"),O515*AN515/AQ515,
AND(L515="level-log",M515="level"),O515/BF515,
AND(L515="level-log",M515="sd (X)"),O515/BF515/AQ515,
AND(L515="level-log",M515="sd (Y)"),O515/BF515*BH515,
AND(L515="elasticity",M515="level"),O515,
AND(L515="elasticity",M515="sd (X)"),O515/AQ515,
AND(L515="elasticity",M515="sd (Y)"),O515*BH515,
AND(L515="marginal_effect",M515="percent_of_mean"),O515*AN515/BF515/10)</f>
        <v>8.3209351753453772E-2</v>
      </c>
      <c r="AH515" s="56">
        <f t="shared" si="192"/>
        <v>1</v>
      </c>
      <c r="AI515" s="88">
        <f t="shared" si="203"/>
        <v>-0.21057385759829969</v>
      </c>
      <c r="AJ515" s="55">
        <v>0</v>
      </c>
      <c r="AK515" s="55">
        <f t="shared" si="208"/>
        <v>1</v>
      </c>
      <c r="AL515" s="55" t="s">
        <v>735</v>
      </c>
      <c r="AM515" s="76" t="s">
        <v>1411</v>
      </c>
      <c r="AN515" s="76">
        <v>4.5960000000000001</v>
      </c>
      <c r="AO515" s="76">
        <v>0</v>
      </c>
      <c r="AP515" s="76">
        <f t="shared" si="197"/>
        <v>4.5960000000000001</v>
      </c>
      <c r="AQ515" s="76">
        <v>0.48299999999999998</v>
      </c>
      <c r="AR515" s="76">
        <v>2.89</v>
      </c>
      <c r="AS515" s="76">
        <v>6.1840000000000002</v>
      </c>
      <c r="AT515" s="55" t="s">
        <v>83</v>
      </c>
      <c r="AU515" s="55" t="s">
        <v>109</v>
      </c>
      <c r="AV515" s="55" t="s">
        <v>133</v>
      </c>
      <c r="AW515" s="55" t="s">
        <v>85</v>
      </c>
      <c r="AX515" s="55" t="s">
        <v>86</v>
      </c>
      <c r="AY515" s="55">
        <v>0</v>
      </c>
      <c r="AZ515" s="55">
        <v>0</v>
      </c>
      <c r="BA515" s="55" t="s">
        <v>734</v>
      </c>
      <c r="BB515" s="55" t="s">
        <v>88</v>
      </c>
      <c r="BC515" s="55" t="s">
        <v>89</v>
      </c>
      <c r="BD515" s="55" t="s">
        <v>114</v>
      </c>
      <c r="BE515" s="55" t="s">
        <v>1169</v>
      </c>
      <c r="BF515" s="55">
        <v>18.82</v>
      </c>
      <c r="BG515" s="55">
        <v>0</v>
      </c>
      <c r="BH515" s="55">
        <v>16.25</v>
      </c>
      <c r="BI515" s="55">
        <v>-218.25</v>
      </c>
      <c r="BJ515" s="55">
        <v>370.012</v>
      </c>
      <c r="BK515" s="55" t="s">
        <v>91</v>
      </c>
      <c r="BL515" s="55" t="s">
        <v>84</v>
      </c>
      <c r="BM515" s="55">
        <v>1</v>
      </c>
      <c r="BN515" s="55" t="s">
        <v>539</v>
      </c>
      <c r="BO515" s="55" t="s">
        <v>1175</v>
      </c>
      <c r="BP515" s="55" t="s">
        <v>1176</v>
      </c>
      <c r="BQ515" s="55" t="s">
        <v>117</v>
      </c>
      <c r="BR515" s="55" t="s">
        <v>93</v>
      </c>
      <c r="BS515" s="55">
        <v>26.151</v>
      </c>
      <c r="BT515" s="55">
        <v>0</v>
      </c>
      <c r="BU515" s="55">
        <v>2014</v>
      </c>
      <c r="BV515" s="55">
        <v>2019</v>
      </c>
      <c r="BW515" s="55" t="s">
        <v>736</v>
      </c>
      <c r="BX515" s="55" t="s">
        <v>95</v>
      </c>
      <c r="BY515" s="55" t="s">
        <v>748</v>
      </c>
      <c r="BZ515" s="55">
        <v>1</v>
      </c>
      <c r="CA515" s="55">
        <v>1</v>
      </c>
      <c r="CB515" s="55" t="s">
        <v>1235</v>
      </c>
      <c r="CC515" s="55" t="s">
        <v>1181</v>
      </c>
      <c r="CD515" s="55">
        <v>0</v>
      </c>
      <c r="CE515" s="55" t="s">
        <v>97</v>
      </c>
      <c r="CF515" s="55">
        <v>0</v>
      </c>
      <c r="CG515" s="55" t="s">
        <v>97</v>
      </c>
      <c r="CH515" s="55">
        <v>1</v>
      </c>
      <c r="CI515" s="55" t="s">
        <v>509</v>
      </c>
      <c r="CJ515" s="55" t="s">
        <v>98</v>
      </c>
      <c r="CK515" s="55">
        <v>61</v>
      </c>
      <c r="CL515" s="55">
        <v>0</v>
      </c>
      <c r="CM515" s="55">
        <v>0</v>
      </c>
      <c r="CN515" s="55" t="s">
        <v>124</v>
      </c>
      <c r="CO515" s="55" t="s">
        <v>97</v>
      </c>
      <c r="CP515" s="55" t="s">
        <v>100</v>
      </c>
      <c r="CQ515" s="55" t="s">
        <v>126</v>
      </c>
      <c r="CR515" s="57">
        <v>46226</v>
      </c>
      <c r="CT515" s="55" t="s">
        <v>1224</v>
      </c>
    </row>
    <row r="516" spans="1:98" s="55" customFormat="1" x14ac:dyDescent="0.35">
      <c r="A516" s="54" t="s">
        <v>1170</v>
      </c>
      <c r="B516" s="54" t="s">
        <v>1231</v>
      </c>
      <c r="C516" s="55" t="s">
        <v>1171</v>
      </c>
      <c r="D516" s="55">
        <v>2023</v>
      </c>
      <c r="E516" s="54" t="s">
        <v>1172</v>
      </c>
      <c r="F516" s="54" t="s">
        <v>1173</v>
      </c>
      <c r="G516" s="55" t="s">
        <v>78</v>
      </c>
      <c r="H516" s="55">
        <v>1</v>
      </c>
      <c r="I516" s="55" t="s">
        <v>290</v>
      </c>
      <c r="J516" s="55" t="s">
        <v>1174</v>
      </c>
      <c r="K516" s="55">
        <v>12</v>
      </c>
      <c r="L516" s="55" t="s">
        <v>1179</v>
      </c>
      <c r="M516" s="55" t="s">
        <v>380</v>
      </c>
      <c r="N516" s="55">
        <v>-4</v>
      </c>
      <c r="O516" s="55">
        <v>1.6080000000000001</v>
      </c>
      <c r="P516" s="88">
        <f t="shared" si="204"/>
        <v>-2.4875621890547261</v>
      </c>
      <c r="Q516" s="55" t="s">
        <v>312</v>
      </c>
      <c r="R516" s="88">
        <f t="shared" si="205"/>
        <v>-7.1516800000000007</v>
      </c>
      <c r="S516" s="88">
        <f t="shared" si="206"/>
        <v>-0.84831999999999974</v>
      </c>
      <c r="T516" s="55">
        <v>1</v>
      </c>
      <c r="U516" s="55">
        <v>21519</v>
      </c>
      <c r="V516" s="55">
        <v>6</v>
      </c>
      <c r="W516" s="55">
        <v>1</v>
      </c>
      <c r="X516" s="55">
        <f t="shared" si="201"/>
        <v>21513</v>
      </c>
      <c r="Y516" s="88">
        <f t="shared" si="209"/>
        <v>-1.6957468046919503E-2</v>
      </c>
      <c r="Z516" s="88">
        <f t="shared" si="210"/>
        <v>6.8169021548616397E-3</v>
      </c>
      <c r="AA516" s="88">
        <f t="shared" si="211"/>
        <v>1.6957468046919503E-2</v>
      </c>
      <c r="AB516" s="55" t="s">
        <v>81</v>
      </c>
      <c r="AC516" s="88">
        <f t="shared" si="202"/>
        <v>-0.21253985122210414</v>
      </c>
      <c r="AD516" s="88" cm="1">
        <f t="array" ref="AD516">_xlfn.IFS(
AND(L516="marginal_effect",M516="level"),N516*AN516/BF516,
AND(L516="marginal_effect",M516="sd (Y)"),N516*BH516*AN516/BF516,
AND(L516="marginal_effect",M516="sd (X)"),N516/AQ516*AN516/BF516,
AND(L516="semi_elasticity",M516="level"),N516*AN516,
AND(L516="semi_elasticity",M516="sd (Y)"),N516*AN516*BH516,
AND(L516="semi_elasticity",M516="sd (X)"),N516*AN516/AQ516,
AND(L516="level-log",M516="level"),N516/BF516,
AND(L516="level-log",M516="sd (X)"),N516/BF516/AQ516,
AND(L516="level-log",M516="sd (Y)"),N516/BF516*BH516,
AND(L516="elasticity",M516="level"),N516,
AND(L516="elasticity",M516="sd (X)"),N516/AQ516,
AND(L516="elasticity",M516="sd (Y)"),N516*BH516,
AND(L516="marginal_effect",M516="percent_of_mean"),N516*AN516/BF516/10)</f>
        <v>-0.21253985122210414</v>
      </c>
      <c r="AE516" s="56">
        <f t="shared" si="191"/>
        <v>1</v>
      </c>
      <c r="AF516" s="88">
        <f t="shared" si="207"/>
        <v>8.5441020191285869E-2</v>
      </c>
      <c r="AG516" s="88" cm="1">
        <f t="array" ref="AG516">_xlfn.IFS(
AND(L516="marginal_effect",M516="level"),O516*AN516/BF516,
AND(L516="marginal_effect",M516="sd (Y)"),O516*BH516*AN516/BF516,
AND(L516="marginal_effect",M516="sd (X)"),O516/AQ516*AN516/BF516,
AND(L516="semi_elasticity",M516="level"),O516*AN516,
AND(L516="semi_elasticity",M516="sd (Y)"),O516*AN516*BH516,
AND(L516="semi_elasticity",M516="sd (X)"),O516*AN516/AQ516,
AND(L516="level-log",M516="level"),O516/BF516,
AND(L516="level-log",M516="sd (X)"),O516/BF516/AQ516,
AND(L516="level-log",M516="sd (Y)"),O516/BF516*BH516,
AND(L516="elasticity",M516="level"),O516,
AND(L516="elasticity",M516="sd (X)"),O516/AQ516,
AND(L516="elasticity",M516="sd (Y)"),O516*BH516,
AND(L516="marginal_effect",M516="percent_of_mean"),O516*AN516/BF516/10)</f>
        <v>8.5441020191285869E-2</v>
      </c>
      <c r="AH516" s="56">
        <f t="shared" si="192"/>
        <v>1</v>
      </c>
      <c r="AI516" s="88">
        <f t="shared" si="203"/>
        <v>-0.21253985122210414</v>
      </c>
      <c r="AJ516" s="55">
        <v>0</v>
      </c>
      <c r="AK516" s="55">
        <f t="shared" si="208"/>
        <v>1</v>
      </c>
      <c r="AL516" s="55" t="s">
        <v>735</v>
      </c>
      <c r="AM516" s="76" t="s">
        <v>1411</v>
      </c>
      <c r="AN516" s="76">
        <v>4.5960000000000001</v>
      </c>
      <c r="AO516" s="76">
        <v>0</v>
      </c>
      <c r="AP516" s="76">
        <f t="shared" si="197"/>
        <v>4.5960000000000001</v>
      </c>
      <c r="AQ516" s="76">
        <v>0.48299999999999998</v>
      </c>
      <c r="AR516" s="76">
        <v>2.89</v>
      </c>
      <c r="AS516" s="76">
        <v>6.1840000000000002</v>
      </c>
      <c r="AT516" s="55" t="s">
        <v>83</v>
      </c>
      <c r="AU516" s="55" t="s">
        <v>109</v>
      </c>
      <c r="AV516" s="55" t="s">
        <v>133</v>
      </c>
      <c r="AW516" s="55" t="s">
        <v>85</v>
      </c>
      <c r="AX516" s="55" t="s">
        <v>86</v>
      </c>
      <c r="AY516" s="55">
        <v>0</v>
      </c>
      <c r="AZ516" s="55">
        <v>0</v>
      </c>
      <c r="BA516" s="55" t="s">
        <v>734</v>
      </c>
      <c r="BB516" s="55" t="s">
        <v>88</v>
      </c>
      <c r="BC516" s="55" t="s">
        <v>89</v>
      </c>
      <c r="BD516" s="55" t="s">
        <v>114</v>
      </c>
      <c r="BE516" s="55" t="s">
        <v>1169</v>
      </c>
      <c r="BF516" s="55">
        <v>18.82</v>
      </c>
      <c r="BG516" s="55">
        <v>0</v>
      </c>
      <c r="BH516" s="55">
        <v>16.25</v>
      </c>
      <c r="BI516" s="55">
        <v>-218.25</v>
      </c>
      <c r="BJ516" s="55">
        <v>370.012</v>
      </c>
      <c r="BK516" s="55" t="s">
        <v>91</v>
      </c>
      <c r="BL516" s="55" t="s">
        <v>84</v>
      </c>
      <c r="BM516" s="55">
        <v>1</v>
      </c>
      <c r="BN516" s="55" t="s">
        <v>539</v>
      </c>
      <c r="BO516" s="55" t="s">
        <v>1175</v>
      </c>
      <c r="BP516" s="55" t="s">
        <v>1176</v>
      </c>
      <c r="BQ516" s="55" t="s">
        <v>117</v>
      </c>
      <c r="BR516" s="55" t="s">
        <v>93</v>
      </c>
      <c r="BS516" s="55">
        <v>26.151</v>
      </c>
      <c r="BT516" s="55">
        <v>0</v>
      </c>
      <c r="BU516" s="55">
        <v>2014</v>
      </c>
      <c r="BV516" s="55">
        <v>2019</v>
      </c>
      <c r="BW516" s="55" t="s">
        <v>736</v>
      </c>
      <c r="BX516" s="55" t="s">
        <v>95</v>
      </c>
      <c r="BY516" s="55" t="s">
        <v>748</v>
      </c>
      <c r="BZ516" s="55">
        <v>1</v>
      </c>
      <c r="CA516" s="55">
        <v>1</v>
      </c>
      <c r="CB516" s="55" t="s">
        <v>1235</v>
      </c>
      <c r="CC516" s="55" t="s">
        <v>1177</v>
      </c>
      <c r="CD516" s="55">
        <v>0</v>
      </c>
      <c r="CE516" s="55" t="s">
        <v>97</v>
      </c>
      <c r="CF516" s="55">
        <v>0</v>
      </c>
      <c r="CG516" s="55" t="s">
        <v>97</v>
      </c>
      <c r="CH516" s="55">
        <v>1</v>
      </c>
      <c r="CI516" s="55" t="s">
        <v>509</v>
      </c>
      <c r="CJ516" s="55" t="s">
        <v>98</v>
      </c>
      <c r="CK516" s="55">
        <v>61</v>
      </c>
      <c r="CL516" s="55">
        <v>0</v>
      </c>
      <c r="CM516" s="55">
        <v>0</v>
      </c>
      <c r="CN516" s="55" t="s">
        <v>124</v>
      </c>
      <c r="CO516" s="55" t="s">
        <v>97</v>
      </c>
      <c r="CP516" s="55" t="s">
        <v>100</v>
      </c>
      <c r="CQ516" s="55" t="s">
        <v>126</v>
      </c>
      <c r="CR516" s="57">
        <v>46226</v>
      </c>
      <c r="CT516" s="55" t="s">
        <v>1225</v>
      </c>
    </row>
    <row r="517" spans="1:98" s="55" customFormat="1" x14ac:dyDescent="0.35">
      <c r="A517" s="54" t="s">
        <v>1170</v>
      </c>
      <c r="B517" s="54" t="s">
        <v>1232</v>
      </c>
      <c r="C517" s="55" t="s">
        <v>1171</v>
      </c>
      <c r="D517" s="55">
        <v>2023</v>
      </c>
      <c r="E517" s="54" t="s">
        <v>1172</v>
      </c>
      <c r="F517" s="54" t="s">
        <v>1173</v>
      </c>
      <c r="G517" s="55" t="s">
        <v>78</v>
      </c>
      <c r="H517" s="55">
        <v>1</v>
      </c>
      <c r="I517" s="55" t="s">
        <v>290</v>
      </c>
      <c r="J517" s="55" t="s">
        <v>1174</v>
      </c>
      <c r="K517" s="55">
        <v>12</v>
      </c>
      <c r="L517" s="55" t="s">
        <v>1179</v>
      </c>
      <c r="M517" s="55" t="s">
        <v>380</v>
      </c>
      <c r="N517" s="55">
        <v>-3.5659999999999998</v>
      </c>
      <c r="O517" s="55">
        <v>1.6080000000000001</v>
      </c>
      <c r="P517" s="88">
        <f t="shared" si="204"/>
        <v>-2.2176616915422884</v>
      </c>
      <c r="Q517" s="55" t="s">
        <v>312</v>
      </c>
      <c r="R517" s="88">
        <f t="shared" si="205"/>
        <v>-6.7176799999999997</v>
      </c>
      <c r="S517" s="88">
        <f t="shared" si="206"/>
        <v>-0.41431999999999958</v>
      </c>
      <c r="T517" s="55">
        <v>1</v>
      </c>
      <c r="U517" s="55">
        <v>21519</v>
      </c>
      <c r="V517" s="55">
        <v>6</v>
      </c>
      <c r="W517" s="55">
        <v>1</v>
      </c>
      <c r="X517" s="55">
        <f t="shared" si="201"/>
        <v>21513</v>
      </c>
      <c r="Y517" s="88">
        <f t="shared" si="209"/>
        <v>-1.5118028861216971E-2</v>
      </c>
      <c r="Z517" s="88">
        <f t="shared" si="210"/>
        <v>6.817103311507821E-3</v>
      </c>
      <c r="AA517" s="88">
        <f t="shared" si="211"/>
        <v>1.5118028861216971E-2</v>
      </c>
      <c r="AB517" s="55" t="s">
        <v>81</v>
      </c>
      <c r="AC517" s="88">
        <f t="shared" si="202"/>
        <v>-0.18947927736450584</v>
      </c>
      <c r="AD517" s="88" cm="1">
        <f t="array" ref="AD517">_xlfn.IFS(
AND(L517="marginal_effect",M517="level"),N517*AN517/BF517,
AND(L517="marginal_effect",M517="sd (Y)"),N517*BH517*AN517/BF517,
AND(L517="marginal_effect",M517="sd (X)"),N517/AQ517*AN517/BF517,
AND(L517="semi_elasticity",M517="level"),N517*AN517,
AND(L517="semi_elasticity",M517="sd (Y)"),N517*AN517*BH517,
AND(L517="semi_elasticity",M517="sd (X)"),N517*AN517/AQ517,
AND(L517="level-log",M517="level"),N517/BF517,
AND(L517="level-log",M517="sd (X)"),N517/BF517/AQ517,
AND(L517="level-log",M517="sd (Y)"),N517/BF517*BH517,
AND(L517="elasticity",M517="level"),N517,
AND(L517="elasticity",M517="sd (X)"),N517/AQ517,
AND(L517="elasticity",M517="sd (Y)"),N517*BH517,
AND(L517="marginal_effect",M517="percent_of_mean"),N517*AN517/BF517/10)</f>
        <v>-0.18947927736450584</v>
      </c>
      <c r="AE517" s="56">
        <f t="shared" si="191"/>
        <v>1</v>
      </c>
      <c r="AF517" s="88">
        <f t="shared" si="207"/>
        <v>8.5441020191285869E-2</v>
      </c>
      <c r="AG517" s="88" cm="1">
        <f t="array" ref="AG517">_xlfn.IFS(
AND(L517="marginal_effect",M517="level"),O517*AN517/BF517,
AND(L517="marginal_effect",M517="sd (Y)"),O517*BH517*AN517/BF517,
AND(L517="marginal_effect",M517="sd (X)"),O517/AQ517*AN517/BF517,
AND(L517="semi_elasticity",M517="level"),O517*AN517,
AND(L517="semi_elasticity",M517="sd (Y)"),O517*AN517*BH517,
AND(L517="semi_elasticity",M517="sd (X)"),O517*AN517/AQ517,
AND(L517="level-log",M517="level"),O517/BF517,
AND(L517="level-log",M517="sd (X)"),O517/BF517/AQ517,
AND(L517="level-log",M517="sd (Y)"),O517/BF517*BH517,
AND(L517="elasticity",M517="level"),O517,
AND(L517="elasticity",M517="sd (X)"),O517/AQ517,
AND(L517="elasticity",M517="sd (Y)"),O517*BH517,
AND(L517="marginal_effect",M517="percent_of_mean"),O517*AN517/BF517/10)</f>
        <v>8.5441020191285869E-2</v>
      </c>
      <c r="AH517" s="56">
        <f t="shared" si="192"/>
        <v>1</v>
      </c>
      <c r="AI517" s="88">
        <f t="shared" si="203"/>
        <v>-0.18947927736450584</v>
      </c>
      <c r="AJ517" s="55">
        <v>0</v>
      </c>
      <c r="AK517" s="55">
        <f t="shared" si="208"/>
        <v>1</v>
      </c>
      <c r="AL517" s="55" t="s">
        <v>735</v>
      </c>
      <c r="AM517" s="76" t="s">
        <v>1411</v>
      </c>
      <c r="AN517" s="76">
        <v>4.5960000000000001</v>
      </c>
      <c r="AO517" s="76">
        <v>0</v>
      </c>
      <c r="AP517" s="76">
        <f t="shared" si="197"/>
        <v>4.5960000000000001</v>
      </c>
      <c r="AQ517" s="76">
        <v>0.48299999999999998</v>
      </c>
      <c r="AR517" s="76">
        <v>2.89</v>
      </c>
      <c r="AS517" s="76">
        <v>6.1840000000000002</v>
      </c>
      <c r="AT517" s="55" t="s">
        <v>83</v>
      </c>
      <c r="AU517" s="55" t="s">
        <v>109</v>
      </c>
      <c r="AV517" s="55" t="s">
        <v>133</v>
      </c>
      <c r="AW517" s="55" t="s">
        <v>85</v>
      </c>
      <c r="AX517" s="55" t="s">
        <v>86</v>
      </c>
      <c r="AY517" s="55">
        <v>0</v>
      </c>
      <c r="AZ517" s="55">
        <v>0</v>
      </c>
      <c r="BA517" s="55" t="s">
        <v>734</v>
      </c>
      <c r="BB517" s="55" t="s">
        <v>88</v>
      </c>
      <c r="BC517" s="55" t="s">
        <v>89</v>
      </c>
      <c r="BD517" s="55" t="s">
        <v>114</v>
      </c>
      <c r="BE517" s="55" t="s">
        <v>1169</v>
      </c>
      <c r="BF517" s="55">
        <v>18.82</v>
      </c>
      <c r="BG517" s="55">
        <v>0</v>
      </c>
      <c r="BH517" s="55">
        <v>16.25</v>
      </c>
      <c r="BI517" s="55">
        <v>-218.25</v>
      </c>
      <c r="BJ517" s="55">
        <v>370.012</v>
      </c>
      <c r="BK517" s="55" t="s">
        <v>91</v>
      </c>
      <c r="BL517" s="55" t="s">
        <v>84</v>
      </c>
      <c r="BM517" s="55">
        <v>1</v>
      </c>
      <c r="BN517" s="55" t="s">
        <v>539</v>
      </c>
      <c r="BO517" s="55" t="s">
        <v>1175</v>
      </c>
      <c r="BP517" s="55" t="s">
        <v>1176</v>
      </c>
      <c r="BQ517" s="55" t="s">
        <v>117</v>
      </c>
      <c r="BR517" s="55" t="s">
        <v>93</v>
      </c>
      <c r="BS517" s="55">
        <v>26.151</v>
      </c>
      <c r="BT517" s="55">
        <v>0</v>
      </c>
      <c r="BU517" s="55">
        <v>2014</v>
      </c>
      <c r="BV517" s="55">
        <v>2019</v>
      </c>
      <c r="BW517" s="55" t="s">
        <v>736</v>
      </c>
      <c r="BX517" s="55" t="s">
        <v>95</v>
      </c>
      <c r="BY517" s="55" t="s">
        <v>748</v>
      </c>
      <c r="BZ517" s="55">
        <v>1</v>
      </c>
      <c r="CA517" s="55">
        <v>1</v>
      </c>
      <c r="CB517" s="55" t="s">
        <v>1235</v>
      </c>
      <c r="CC517" s="55" t="s">
        <v>1181</v>
      </c>
      <c r="CD517" s="55">
        <v>0</v>
      </c>
      <c r="CE517" s="55" t="s">
        <v>97</v>
      </c>
      <c r="CF517" s="55">
        <v>0</v>
      </c>
      <c r="CG517" s="55" t="s">
        <v>97</v>
      </c>
      <c r="CH517" s="55">
        <v>1</v>
      </c>
      <c r="CI517" s="55" t="s">
        <v>509</v>
      </c>
      <c r="CJ517" s="55" t="s">
        <v>98</v>
      </c>
      <c r="CK517" s="55">
        <v>61</v>
      </c>
      <c r="CL517" s="55">
        <v>0</v>
      </c>
      <c r="CM517" s="55">
        <v>0</v>
      </c>
      <c r="CN517" s="55" t="s">
        <v>124</v>
      </c>
      <c r="CO517" s="55" t="s">
        <v>97</v>
      </c>
      <c r="CP517" s="55" t="s">
        <v>100</v>
      </c>
      <c r="CQ517" s="55" t="s">
        <v>126</v>
      </c>
      <c r="CR517" s="57">
        <v>46226</v>
      </c>
      <c r="CT517" s="55" t="s">
        <v>1226</v>
      </c>
    </row>
    <row r="518" spans="1:98" s="55" customFormat="1" x14ac:dyDescent="0.35">
      <c r="A518" s="54" t="s">
        <v>1170</v>
      </c>
      <c r="B518" s="54" t="s">
        <v>1233</v>
      </c>
      <c r="C518" s="55" t="s">
        <v>1171</v>
      </c>
      <c r="D518" s="55">
        <v>2023</v>
      </c>
      <c r="E518" s="54" t="s">
        <v>1172</v>
      </c>
      <c r="F518" s="54" t="s">
        <v>1173</v>
      </c>
      <c r="G518" s="55" t="s">
        <v>78</v>
      </c>
      <c r="H518" s="55">
        <v>1</v>
      </c>
      <c r="I518" s="55" t="s">
        <v>290</v>
      </c>
      <c r="J518" s="55" t="s">
        <v>1174</v>
      </c>
      <c r="K518" s="55">
        <v>12</v>
      </c>
      <c r="L518" s="55" t="s">
        <v>1179</v>
      </c>
      <c r="M518" s="55" t="s">
        <v>380</v>
      </c>
      <c r="N518" s="55">
        <v>-3.7719999999999998</v>
      </c>
      <c r="O518" s="55">
        <v>2.0209999999999999</v>
      </c>
      <c r="P518" s="88">
        <f t="shared" si="204"/>
        <v>-1.8664027709054922</v>
      </c>
      <c r="Q518" s="55" t="s">
        <v>312</v>
      </c>
      <c r="R518" s="88">
        <f t="shared" si="205"/>
        <v>-7.7331599999999998</v>
      </c>
      <c r="S518" s="88">
        <f t="shared" si="206"/>
        <v>0.18915999999999977</v>
      </c>
      <c r="T518" s="55">
        <v>1</v>
      </c>
      <c r="U518" s="55">
        <v>21519</v>
      </c>
      <c r="V518" s="55">
        <v>10</v>
      </c>
      <c r="W518" s="55">
        <v>1</v>
      </c>
      <c r="X518" s="55">
        <f t="shared" si="201"/>
        <v>21509</v>
      </c>
      <c r="Y518" s="88">
        <f t="shared" si="209"/>
        <v>-1.272506753276432E-2</v>
      </c>
      <c r="Z518" s="88">
        <f t="shared" si="210"/>
        <v>6.8179643382069695E-3</v>
      </c>
      <c r="AA518" s="88">
        <f t="shared" si="211"/>
        <v>1.272506753276432E-2</v>
      </c>
      <c r="AB518" s="55" t="s">
        <v>81</v>
      </c>
      <c r="AC518" s="88">
        <f t="shared" si="202"/>
        <v>-0.20042507970244419</v>
      </c>
      <c r="AD518" s="88" cm="1">
        <f t="array" ref="AD518">_xlfn.IFS(
AND(L518="marginal_effect",M518="level"),N518*AN518/BF518,
AND(L518="marginal_effect",M518="sd (Y)"),N518*BH518*AN518/BF518,
AND(L518="marginal_effect",M518="sd (X)"),N518/AQ518*AN518/BF518,
AND(L518="semi_elasticity",M518="level"),N518*AN518,
AND(L518="semi_elasticity",M518="sd (Y)"),N518*AN518*BH518,
AND(L518="semi_elasticity",M518="sd (X)"),N518*AN518/AQ518,
AND(L518="level-log",M518="level"),N518/BF518,
AND(L518="level-log",M518="sd (X)"),N518/BF518/AQ518,
AND(L518="level-log",M518="sd (Y)"),N518/BF518*BH518,
AND(L518="elasticity",M518="level"),N518,
AND(L518="elasticity",M518="sd (X)"),N518/AQ518,
AND(L518="elasticity",M518="sd (Y)"),N518*BH518,
AND(L518="marginal_effect",M518="percent_of_mean"),N518*AN518/BF518/10)</f>
        <v>-0.20042507970244419</v>
      </c>
      <c r="AE518" s="56">
        <f t="shared" si="191"/>
        <v>1</v>
      </c>
      <c r="AF518" s="88">
        <f t="shared" si="207"/>
        <v>0.10738575982996812</v>
      </c>
      <c r="AG518" s="88" cm="1">
        <f t="array" ref="AG518">_xlfn.IFS(
AND(L518="marginal_effect",M518="level"),O518*AN518/BF518,
AND(L518="marginal_effect",M518="sd (Y)"),O518*BH518*AN518/BF518,
AND(L518="marginal_effect",M518="sd (X)"),O518/AQ518*AN518/BF518,
AND(L518="semi_elasticity",M518="level"),O518*AN518,
AND(L518="semi_elasticity",M518="sd (Y)"),O518*AN518*BH518,
AND(L518="semi_elasticity",M518="sd (X)"),O518*AN518/AQ518,
AND(L518="level-log",M518="level"),O518/BF518,
AND(L518="level-log",M518="sd (X)"),O518/BF518/AQ518,
AND(L518="level-log",M518="sd (Y)"),O518/BF518*BH518,
AND(L518="elasticity",M518="level"),O518,
AND(L518="elasticity",M518="sd (X)"),O518/AQ518,
AND(L518="elasticity",M518="sd (Y)"),O518*BH518,
AND(L518="marginal_effect",M518="percent_of_mean"),O518*AN518/BF518/10)</f>
        <v>0.10738575982996812</v>
      </c>
      <c r="AH518" s="56">
        <f t="shared" si="192"/>
        <v>1</v>
      </c>
      <c r="AI518" s="88">
        <f t="shared" si="203"/>
        <v>-0.20042507970244419</v>
      </c>
      <c r="AJ518" s="55">
        <v>0</v>
      </c>
      <c r="AK518" s="55">
        <f t="shared" si="208"/>
        <v>1</v>
      </c>
      <c r="AL518" s="55" t="s">
        <v>735</v>
      </c>
      <c r="AM518" s="76" t="s">
        <v>1411</v>
      </c>
      <c r="AN518" s="76">
        <v>4.5960000000000001</v>
      </c>
      <c r="AO518" s="76">
        <v>0</v>
      </c>
      <c r="AP518" s="76">
        <f t="shared" si="197"/>
        <v>4.5960000000000001</v>
      </c>
      <c r="AQ518" s="76">
        <v>0.48299999999999998</v>
      </c>
      <c r="AR518" s="76">
        <v>2.89</v>
      </c>
      <c r="AS518" s="76">
        <v>6.1840000000000002</v>
      </c>
      <c r="AT518" s="55" t="s">
        <v>83</v>
      </c>
      <c r="AU518" s="55" t="s">
        <v>109</v>
      </c>
      <c r="AV518" s="55" t="s">
        <v>133</v>
      </c>
      <c r="AW518" s="55" t="s">
        <v>85</v>
      </c>
      <c r="AX518" s="55" t="s">
        <v>86</v>
      </c>
      <c r="AY518" s="55">
        <v>0</v>
      </c>
      <c r="AZ518" s="55">
        <v>0</v>
      </c>
      <c r="BA518" s="55" t="s">
        <v>734</v>
      </c>
      <c r="BB518" s="55" t="s">
        <v>88</v>
      </c>
      <c r="BC518" s="55" t="s">
        <v>89</v>
      </c>
      <c r="BD518" s="55" t="s">
        <v>114</v>
      </c>
      <c r="BE518" s="55" t="s">
        <v>1169</v>
      </c>
      <c r="BF518" s="55">
        <v>18.82</v>
      </c>
      <c r="BG518" s="55">
        <v>0</v>
      </c>
      <c r="BH518" s="55">
        <v>16.25</v>
      </c>
      <c r="BI518" s="55">
        <v>-218.25</v>
      </c>
      <c r="BJ518" s="55">
        <v>370.012</v>
      </c>
      <c r="BK518" s="55" t="s">
        <v>91</v>
      </c>
      <c r="BL518" s="55" t="s">
        <v>84</v>
      </c>
      <c r="BM518" s="55">
        <v>1</v>
      </c>
      <c r="BN518" s="55" t="s">
        <v>539</v>
      </c>
      <c r="BO518" s="55" t="s">
        <v>1175</v>
      </c>
      <c r="BP518" s="55" t="s">
        <v>1176</v>
      </c>
      <c r="BQ518" s="55" t="s">
        <v>117</v>
      </c>
      <c r="BR518" s="55" t="s">
        <v>93</v>
      </c>
      <c r="BS518" s="55">
        <v>26.151</v>
      </c>
      <c r="BT518" s="55">
        <v>0</v>
      </c>
      <c r="BU518" s="55">
        <v>2014</v>
      </c>
      <c r="BV518" s="55">
        <v>2019</v>
      </c>
      <c r="BW518" s="55" t="s">
        <v>736</v>
      </c>
      <c r="BX518" s="55" t="s">
        <v>95</v>
      </c>
      <c r="BY518" s="55" t="s">
        <v>748</v>
      </c>
      <c r="BZ518" s="55">
        <v>1</v>
      </c>
      <c r="CA518" s="55">
        <v>1</v>
      </c>
      <c r="CB518" s="55" t="s">
        <v>1235</v>
      </c>
      <c r="CC518" s="55" t="s">
        <v>1177</v>
      </c>
      <c r="CD518" s="55">
        <v>1</v>
      </c>
      <c r="CE518" s="55" t="s">
        <v>1182</v>
      </c>
      <c r="CF518" s="55">
        <v>0</v>
      </c>
      <c r="CG518" s="55" t="s">
        <v>97</v>
      </c>
      <c r="CH518" s="55">
        <v>1</v>
      </c>
      <c r="CI518" s="55" t="s">
        <v>509</v>
      </c>
      <c r="CJ518" s="55" t="s">
        <v>98</v>
      </c>
      <c r="CK518" s="55">
        <v>61</v>
      </c>
      <c r="CL518" s="55">
        <v>0</v>
      </c>
      <c r="CM518" s="55">
        <v>0</v>
      </c>
      <c r="CN518" s="55" t="s">
        <v>124</v>
      </c>
      <c r="CO518" s="55" t="s">
        <v>97</v>
      </c>
      <c r="CP518" s="55" t="s">
        <v>100</v>
      </c>
      <c r="CQ518" s="55" t="s">
        <v>126</v>
      </c>
      <c r="CR518" s="57">
        <v>46226</v>
      </c>
      <c r="CT518" s="55" t="s">
        <v>1227</v>
      </c>
    </row>
    <row r="519" spans="1:98" s="55" customFormat="1" x14ac:dyDescent="0.35">
      <c r="A519" s="54" t="s">
        <v>1170</v>
      </c>
      <c r="B519" s="54" t="s">
        <v>1234</v>
      </c>
      <c r="C519" s="55" t="s">
        <v>1171</v>
      </c>
      <c r="D519" s="55">
        <v>2023</v>
      </c>
      <c r="E519" s="54" t="s">
        <v>1172</v>
      </c>
      <c r="F519" s="54" t="s">
        <v>1173</v>
      </c>
      <c r="G519" s="55" t="s">
        <v>78</v>
      </c>
      <c r="H519" s="55">
        <v>1</v>
      </c>
      <c r="I519" s="55" t="s">
        <v>290</v>
      </c>
      <c r="J519" s="55" t="s">
        <v>1174</v>
      </c>
      <c r="K519" s="55">
        <v>12</v>
      </c>
      <c r="L519" s="55" t="s">
        <v>1179</v>
      </c>
      <c r="M519" s="55" t="s">
        <v>380</v>
      </c>
      <c r="N519" s="55">
        <v>-3.302</v>
      </c>
      <c r="O519" s="55">
        <v>1.9359999999999999</v>
      </c>
      <c r="P519" s="88">
        <f t="shared" si="204"/>
        <v>-1.7055785123966942</v>
      </c>
      <c r="Q519" s="55" t="s">
        <v>312</v>
      </c>
      <c r="R519" s="88">
        <f t="shared" si="205"/>
        <v>-7.0965600000000002</v>
      </c>
      <c r="S519" s="88">
        <f t="shared" si="206"/>
        <v>0.49255999999999966</v>
      </c>
      <c r="T519" s="55">
        <v>1</v>
      </c>
      <c r="U519" s="55">
        <v>21519</v>
      </c>
      <c r="V519" s="55">
        <v>10</v>
      </c>
      <c r="W519" s="55">
        <v>1</v>
      </c>
      <c r="X519" s="55">
        <f t="shared" si="201"/>
        <v>21509</v>
      </c>
      <c r="Y519" s="88">
        <f t="shared" si="209"/>
        <v>-1.1628728739161574E-2</v>
      </c>
      <c r="Z519" s="88">
        <f t="shared" si="210"/>
        <v>6.8180553722037573E-3</v>
      </c>
      <c r="AA519" s="88">
        <f t="shared" si="211"/>
        <v>1.1628728739161574E-2</v>
      </c>
      <c r="AB519" s="55" t="s">
        <v>81</v>
      </c>
      <c r="AC519" s="88">
        <f t="shared" si="202"/>
        <v>-0.17545164718384698</v>
      </c>
      <c r="AD519" s="88" cm="1">
        <f t="array" ref="AD519">_xlfn.IFS(
AND(L519="marginal_effect",M519="level"),N519*AN519/BF519,
AND(L519="marginal_effect",M519="sd (Y)"),N519*BH519*AN519/BF519,
AND(L519="marginal_effect",M519="sd (X)"),N519/AQ519*AN519/BF519,
AND(L519="semi_elasticity",M519="level"),N519*AN519,
AND(L519="semi_elasticity",M519="sd (Y)"),N519*AN519*BH519,
AND(L519="semi_elasticity",M519="sd (X)"),N519*AN519/AQ519,
AND(L519="level-log",M519="level"),N519/BF519,
AND(L519="level-log",M519="sd (X)"),N519/BF519/AQ519,
AND(L519="level-log",M519="sd (Y)"),N519/BF519*BH519,
AND(L519="elasticity",M519="level"),N519,
AND(L519="elasticity",M519="sd (X)"),N519/AQ519,
AND(L519="elasticity",M519="sd (Y)"),N519*BH519,
AND(L519="marginal_effect",M519="percent_of_mean"),N519*AN519/BF519/10)</f>
        <v>-0.17545164718384698</v>
      </c>
      <c r="AE519" s="56">
        <f t="shared" si="191"/>
        <v>1</v>
      </c>
      <c r="AF519" s="88">
        <f t="shared" si="207"/>
        <v>0.1028692879914984</v>
      </c>
      <c r="AG519" s="88" cm="1">
        <f t="array" ref="AG519">_xlfn.IFS(
AND(L519="marginal_effect",M519="level"),O519*AN519/BF519,
AND(L519="marginal_effect",M519="sd (Y)"),O519*BH519*AN519/BF519,
AND(L519="marginal_effect",M519="sd (X)"),O519/AQ519*AN519/BF519,
AND(L519="semi_elasticity",M519="level"),O519*AN519,
AND(L519="semi_elasticity",M519="sd (Y)"),O519*AN519*BH519,
AND(L519="semi_elasticity",M519="sd (X)"),O519*AN519/AQ519,
AND(L519="level-log",M519="level"),O519/BF519,
AND(L519="level-log",M519="sd (X)"),O519/BF519/AQ519,
AND(L519="level-log",M519="sd (Y)"),O519/BF519*BH519,
AND(L519="elasticity",M519="level"),O519,
AND(L519="elasticity",M519="sd (X)"),O519/AQ519,
AND(L519="elasticity",M519="sd (Y)"),O519*BH519,
AND(L519="marginal_effect",M519="percent_of_mean"),O519*AN519/BF519/10)</f>
        <v>0.1028692879914984</v>
      </c>
      <c r="AH519" s="56">
        <f t="shared" si="192"/>
        <v>1</v>
      </c>
      <c r="AI519" s="88">
        <f t="shared" si="203"/>
        <v>-0.17545164718384698</v>
      </c>
      <c r="AJ519" s="55">
        <v>0</v>
      </c>
      <c r="AK519" s="55">
        <f t="shared" si="208"/>
        <v>1</v>
      </c>
      <c r="AL519" s="55" t="s">
        <v>735</v>
      </c>
      <c r="AM519" s="76" t="s">
        <v>1411</v>
      </c>
      <c r="AN519" s="76">
        <v>4.5960000000000001</v>
      </c>
      <c r="AO519" s="76">
        <v>0</v>
      </c>
      <c r="AP519" s="76">
        <f t="shared" si="197"/>
        <v>4.5960000000000001</v>
      </c>
      <c r="AQ519" s="76">
        <v>0.48299999999999998</v>
      </c>
      <c r="AR519" s="76">
        <v>2.89</v>
      </c>
      <c r="AS519" s="76">
        <v>6.1840000000000002</v>
      </c>
      <c r="AT519" s="55" t="s">
        <v>83</v>
      </c>
      <c r="AU519" s="55" t="s">
        <v>109</v>
      </c>
      <c r="AV519" s="55" t="s">
        <v>133</v>
      </c>
      <c r="AW519" s="55" t="s">
        <v>85</v>
      </c>
      <c r="AX519" s="55" t="s">
        <v>86</v>
      </c>
      <c r="AY519" s="55">
        <v>0</v>
      </c>
      <c r="AZ519" s="55">
        <v>0</v>
      </c>
      <c r="BA519" s="55" t="s">
        <v>734</v>
      </c>
      <c r="BB519" s="55" t="s">
        <v>88</v>
      </c>
      <c r="BC519" s="55" t="s">
        <v>89</v>
      </c>
      <c r="BD519" s="55" t="s">
        <v>114</v>
      </c>
      <c r="BE519" s="55" t="s">
        <v>1169</v>
      </c>
      <c r="BF519" s="55">
        <v>18.82</v>
      </c>
      <c r="BG519" s="55">
        <v>0</v>
      </c>
      <c r="BH519" s="55">
        <v>16.25</v>
      </c>
      <c r="BI519" s="55">
        <v>-218.25</v>
      </c>
      <c r="BJ519" s="55">
        <v>370.012</v>
      </c>
      <c r="BK519" s="55" t="s">
        <v>91</v>
      </c>
      <c r="BL519" s="55" t="s">
        <v>84</v>
      </c>
      <c r="BM519" s="55">
        <v>1</v>
      </c>
      <c r="BN519" s="55" t="s">
        <v>539</v>
      </c>
      <c r="BO519" s="55" t="s">
        <v>1175</v>
      </c>
      <c r="BP519" s="55" t="s">
        <v>1176</v>
      </c>
      <c r="BQ519" s="55" t="s">
        <v>117</v>
      </c>
      <c r="BR519" s="55" t="s">
        <v>93</v>
      </c>
      <c r="BS519" s="55">
        <v>26.151</v>
      </c>
      <c r="BT519" s="55">
        <v>0</v>
      </c>
      <c r="BU519" s="55">
        <v>2014</v>
      </c>
      <c r="BV519" s="55">
        <v>2019</v>
      </c>
      <c r="BW519" s="55" t="s">
        <v>736</v>
      </c>
      <c r="BX519" s="55" t="s">
        <v>95</v>
      </c>
      <c r="BY519" s="55" t="s">
        <v>748</v>
      </c>
      <c r="BZ519" s="55">
        <v>1</v>
      </c>
      <c r="CA519" s="55">
        <v>1</v>
      </c>
      <c r="CB519" s="55" t="s">
        <v>1235</v>
      </c>
      <c r="CC519" s="55" t="s">
        <v>1181</v>
      </c>
      <c r="CD519" s="55">
        <v>1</v>
      </c>
      <c r="CE519" s="55" t="s">
        <v>1182</v>
      </c>
      <c r="CF519" s="55">
        <v>0</v>
      </c>
      <c r="CG519" s="55" t="s">
        <v>97</v>
      </c>
      <c r="CH519" s="55">
        <v>1</v>
      </c>
      <c r="CI519" s="55" t="s">
        <v>509</v>
      </c>
      <c r="CJ519" s="55" t="s">
        <v>98</v>
      </c>
      <c r="CK519" s="55">
        <v>61</v>
      </c>
      <c r="CL519" s="55">
        <v>0</v>
      </c>
      <c r="CM519" s="55">
        <v>0</v>
      </c>
      <c r="CN519" s="55" t="s">
        <v>124</v>
      </c>
      <c r="CO519" s="55" t="s">
        <v>97</v>
      </c>
      <c r="CP519" s="55" t="s">
        <v>100</v>
      </c>
      <c r="CQ519" s="55" t="s">
        <v>126</v>
      </c>
      <c r="CR519" s="57">
        <v>46226</v>
      </c>
      <c r="CT519" s="55" t="s">
        <v>1228</v>
      </c>
    </row>
    <row r="520" spans="1:98" s="55" customFormat="1" x14ac:dyDescent="0.35">
      <c r="A520" s="54" t="s">
        <v>1170</v>
      </c>
      <c r="B520" s="54" t="s">
        <v>1236</v>
      </c>
      <c r="C520" s="55" t="s">
        <v>1171</v>
      </c>
      <c r="D520" s="55">
        <v>2023</v>
      </c>
      <c r="E520" s="54" t="s">
        <v>1172</v>
      </c>
      <c r="F520" s="54" t="s">
        <v>1173</v>
      </c>
      <c r="G520" s="55" t="s">
        <v>78</v>
      </c>
      <c r="H520" s="55">
        <v>1</v>
      </c>
      <c r="I520" s="55" t="s">
        <v>290</v>
      </c>
      <c r="J520" s="55" t="s">
        <v>1174</v>
      </c>
      <c r="K520" s="55">
        <v>12</v>
      </c>
      <c r="L520" s="55" t="s">
        <v>1179</v>
      </c>
      <c r="M520" s="55" t="s">
        <v>380</v>
      </c>
      <c r="N520" s="55">
        <v>-4.6130000000000004</v>
      </c>
      <c r="O520" s="55">
        <v>2.14</v>
      </c>
      <c r="P520" s="88">
        <f t="shared" si="204"/>
        <v>-2.155607476635514</v>
      </c>
      <c r="Q520" s="55" t="s">
        <v>312</v>
      </c>
      <c r="R520" s="88">
        <f t="shared" si="205"/>
        <v>-8.8074000000000012</v>
      </c>
      <c r="S520" s="88">
        <f t="shared" si="206"/>
        <v>-0.41860000000000053</v>
      </c>
      <c r="T520" s="55">
        <v>1</v>
      </c>
      <c r="U520" s="55">
        <v>21519</v>
      </c>
      <c r="V520" s="55">
        <v>10</v>
      </c>
      <c r="W520" s="55">
        <v>1</v>
      </c>
      <c r="X520" s="55">
        <f t="shared" si="201"/>
        <v>21509</v>
      </c>
      <c r="Y520" s="88">
        <f t="shared" si="209"/>
        <v>-1.4696457588040989E-2</v>
      </c>
      <c r="Z520" s="88">
        <f t="shared" si="210"/>
        <v>6.8177800213326941E-3</v>
      </c>
      <c r="AA520" s="88">
        <f t="shared" si="211"/>
        <v>1.4696457588040989E-2</v>
      </c>
      <c r="AB520" s="55" t="s">
        <v>81</v>
      </c>
      <c r="AC520" s="88">
        <f t="shared" si="202"/>
        <v>-0.24511158342189163</v>
      </c>
      <c r="AD520" s="88" cm="1">
        <f t="array" ref="AD520">_xlfn.IFS(
AND(L520="marginal_effect",M520="level"),N520*AN520/BF520,
AND(L520="marginal_effect",M520="sd (Y)"),N520*BH520*AN520/BF520,
AND(L520="marginal_effect",M520="sd (X)"),N520/AQ520*AN520/BF520,
AND(L520="semi_elasticity",M520="level"),N520*AN520,
AND(L520="semi_elasticity",M520="sd (Y)"),N520*AN520*BH520,
AND(L520="semi_elasticity",M520="sd (X)"),N520*AN520/AQ520,
AND(L520="level-log",M520="level"),N520/BF520,
AND(L520="level-log",M520="sd (X)"),N520/BF520/AQ520,
AND(L520="level-log",M520="sd (Y)"),N520/BF520*BH520,
AND(L520="elasticity",M520="level"),N520,
AND(L520="elasticity",M520="sd (X)"),N520/AQ520,
AND(L520="elasticity",M520="sd (Y)"),N520*BH520,
AND(L520="marginal_effect",M520="percent_of_mean"),N520*AN520/BF520/10)</f>
        <v>-0.24511158342189163</v>
      </c>
      <c r="AE520" s="56">
        <f t="shared" si="191"/>
        <v>1</v>
      </c>
      <c r="AF520" s="88">
        <f t="shared" si="207"/>
        <v>0.11370882040382572</v>
      </c>
      <c r="AG520" s="88" cm="1">
        <f t="array" ref="AG520">_xlfn.IFS(
AND(L520="marginal_effect",M520="level"),O520*AN520/BF520,
AND(L520="marginal_effect",M520="sd (Y)"),O520*BH520*AN520/BF520,
AND(L520="marginal_effect",M520="sd (X)"),O520/AQ520*AN520/BF520,
AND(L520="semi_elasticity",M520="level"),O520*AN520,
AND(L520="semi_elasticity",M520="sd (Y)"),O520*AN520*BH520,
AND(L520="semi_elasticity",M520="sd (X)"),O520*AN520/AQ520,
AND(L520="level-log",M520="level"),O520/BF520,
AND(L520="level-log",M520="sd (X)"),O520/BF520/AQ520,
AND(L520="level-log",M520="sd (Y)"),O520/BF520*BH520,
AND(L520="elasticity",M520="level"),O520,
AND(L520="elasticity",M520="sd (X)"),O520/AQ520,
AND(L520="elasticity",M520="sd (Y)"),O520*BH520,
AND(L520="marginal_effect",M520="percent_of_mean"),O520*AN520/BF520/10)</f>
        <v>0.11370882040382572</v>
      </c>
      <c r="AH520" s="56">
        <f t="shared" si="192"/>
        <v>1</v>
      </c>
      <c r="AI520" s="88">
        <f t="shared" si="203"/>
        <v>-0.24511158342189163</v>
      </c>
      <c r="AJ520" s="55">
        <v>0</v>
      </c>
      <c r="AK520" s="55">
        <f t="shared" si="208"/>
        <v>1</v>
      </c>
      <c r="AL520" s="55" t="s">
        <v>735</v>
      </c>
      <c r="AM520" s="76" t="s">
        <v>1411</v>
      </c>
      <c r="AN520" s="76">
        <v>4.5960000000000001</v>
      </c>
      <c r="AO520" s="76">
        <v>0</v>
      </c>
      <c r="AP520" s="76">
        <f t="shared" si="197"/>
        <v>4.5960000000000001</v>
      </c>
      <c r="AQ520" s="76">
        <v>0.48299999999999998</v>
      </c>
      <c r="AR520" s="76">
        <v>2.89</v>
      </c>
      <c r="AS520" s="76">
        <v>6.1840000000000002</v>
      </c>
      <c r="AT520" s="55" t="s">
        <v>83</v>
      </c>
      <c r="AU520" s="55" t="s">
        <v>109</v>
      </c>
      <c r="AV520" s="55" t="s">
        <v>133</v>
      </c>
      <c r="AW520" s="55" t="s">
        <v>85</v>
      </c>
      <c r="AX520" s="55" t="s">
        <v>86</v>
      </c>
      <c r="AY520" s="55">
        <v>0</v>
      </c>
      <c r="AZ520" s="55">
        <v>0</v>
      </c>
      <c r="BA520" s="55" t="s">
        <v>734</v>
      </c>
      <c r="BB520" s="55" t="s">
        <v>88</v>
      </c>
      <c r="BC520" s="55" t="s">
        <v>89</v>
      </c>
      <c r="BD520" s="55" t="s">
        <v>114</v>
      </c>
      <c r="BE520" s="55" t="s">
        <v>1169</v>
      </c>
      <c r="BF520" s="55">
        <v>18.82</v>
      </c>
      <c r="BG520" s="55">
        <v>0</v>
      </c>
      <c r="BH520" s="55">
        <v>16.25</v>
      </c>
      <c r="BI520" s="55">
        <v>-218.25</v>
      </c>
      <c r="BJ520" s="55">
        <v>370.012</v>
      </c>
      <c r="BK520" s="55" t="s">
        <v>91</v>
      </c>
      <c r="BL520" s="55" t="s">
        <v>84</v>
      </c>
      <c r="BM520" s="55">
        <v>1</v>
      </c>
      <c r="BN520" s="55" t="s">
        <v>539</v>
      </c>
      <c r="BO520" s="55" t="s">
        <v>1175</v>
      </c>
      <c r="BP520" s="55" t="s">
        <v>1176</v>
      </c>
      <c r="BQ520" s="55" t="s">
        <v>117</v>
      </c>
      <c r="BR520" s="55" t="s">
        <v>93</v>
      </c>
      <c r="BS520" s="55">
        <v>26.151</v>
      </c>
      <c r="BT520" s="55">
        <v>0</v>
      </c>
      <c r="BU520" s="55">
        <v>2014</v>
      </c>
      <c r="BV520" s="55">
        <v>2019</v>
      </c>
      <c r="BW520" s="55" t="s">
        <v>736</v>
      </c>
      <c r="BX520" s="55" t="s">
        <v>95</v>
      </c>
      <c r="BY520" s="55" t="s">
        <v>748</v>
      </c>
      <c r="BZ520" s="55">
        <v>1</v>
      </c>
      <c r="CA520" s="55">
        <v>1</v>
      </c>
      <c r="CB520" s="55" t="s">
        <v>1235</v>
      </c>
      <c r="CC520" s="55" t="s">
        <v>1177</v>
      </c>
      <c r="CD520" s="55">
        <v>1</v>
      </c>
      <c r="CE520" s="55" t="s">
        <v>1182</v>
      </c>
      <c r="CF520" s="55">
        <v>0</v>
      </c>
      <c r="CG520" s="55" t="s">
        <v>97</v>
      </c>
      <c r="CH520" s="55">
        <v>1</v>
      </c>
      <c r="CI520" s="55" t="s">
        <v>509</v>
      </c>
      <c r="CJ520" s="55" t="s">
        <v>98</v>
      </c>
      <c r="CK520" s="55">
        <v>61</v>
      </c>
      <c r="CL520" s="55">
        <v>0</v>
      </c>
      <c r="CM520" s="55">
        <v>0</v>
      </c>
      <c r="CN520" s="55" t="s">
        <v>124</v>
      </c>
      <c r="CO520" s="55" t="s">
        <v>97</v>
      </c>
      <c r="CP520" s="55" t="s">
        <v>100</v>
      </c>
      <c r="CQ520" s="55" t="s">
        <v>126</v>
      </c>
      <c r="CR520" s="57">
        <v>46226</v>
      </c>
      <c r="CT520" s="55" t="s">
        <v>1240</v>
      </c>
    </row>
    <row r="521" spans="1:98" s="55" customFormat="1" x14ac:dyDescent="0.35">
      <c r="A521" s="54" t="s">
        <v>1170</v>
      </c>
      <c r="B521" s="54" t="s">
        <v>1237</v>
      </c>
      <c r="C521" s="55" t="s">
        <v>1171</v>
      </c>
      <c r="D521" s="55">
        <v>2023</v>
      </c>
      <c r="E521" s="54" t="s">
        <v>1172</v>
      </c>
      <c r="F521" s="54" t="s">
        <v>1173</v>
      </c>
      <c r="G521" s="55" t="s">
        <v>78</v>
      </c>
      <c r="H521" s="55">
        <v>1</v>
      </c>
      <c r="I521" s="55" t="s">
        <v>290</v>
      </c>
      <c r="J521" s="55" t="s">
        <v>1174</v>
      </c>
      <c r="K521" s="55">
        <v>12</v>
      </c>
      <c r="L521" s="55" t="s">
        <v>1179</v>
      </c>
      <c r="M521" s="55" t="s">
        <v>380</v>
      </c>
      <c r="N521" s="55">
        <v>-4.4539999999999997</v>
      </c>
      <c r="O521" s="55">
        <v>2.149</v>
      </c>
      <c r="P521" s="88">
        <f t="shared" si="204"/>
        <v>-2.0725919032107956</v>
      </c>
      <c r="Q521" s="55" t="s">
        <v>312</v>
      </c>
      <c r="R521" s="88">
        <f t="shared" si="205"/>
        <v>-8.6660399999999989</v>
      </c>
      <c r="S521" s="88">
        <f t="shared" si="206"/>
        <v>-0.24195999999999973</v>
      </c>
      <c r="T521" s="55">
        <v>1</v>
      </c>
      <c r="U521" s="55">
        <v>21519</v>
      </c>
      <c r="V521" s="55">
        <v>10</v>
      </c>
      <c r="W521" s="55">
        <v>1</v>
      </c>
      <c r="X521" s="55">
        <f t="shared" si="201"/>
        <v>21509</v>
      </c>
      <c r="Y521" s="88">
        <f t="shared" si="209"/>
        <v>-1.4130590944547257E-2</v>
      </c>
      <c r="Z521" s="88">
        <f t="shared" si="210"/>
        <v>6.8178356398365643E-3</v>
      </c>
      <c r="AA521" s="88">
        <f t="shared" si="211"/>
        <v>1.4130590944547257E-2</v>
      </c>
      <c r="AB521" s="55" t="s">
        <v>81</v>
      </c>
      <c r="AC521" s="88">
        <f t="shared" si="202"/>
        <v>-0.23666312433581294</v>
      </c>
      <c r="AD521" s="88" cm="1">
        <f t="array" ref="AD521">_xlfn.IFS(
AND(L521="marginal_effect",M521="level"),N521*AN521/BF521,
AND(L521="marginal_effect",M521="sd (Y)"),N521*BH521*AN521/BF521,
AND(L521="marginal_effect",M521="sd (X)"),N521/AQ521*AN521/BF521,
AND(L521="semi_elasticity",M521="level"),N521*AN521,
AND(L521="semi_elasticity",M521="sd (Y)"),N521*AN521*BH521,
AND(L521="semi_elasticity",M521="sd (X)"),N521*AN521/AQ521,
AND(L521="level-log",M521="level"),N521/BF521,
AND(L521="level-log",M521="sd (X)"),N521/BF521/AQ521,
AND(L521="level-log",M521="sd (Y)"),N521/BF521*BH521,
AND(L521="elasticity",M521="level"),N521,
AND(L521="elasticity",M521="sd (X)"),N521/AQ521,
AND(L521="elasticity",M521="sd (Y)"),N521*BH521,
AND(L521="marginal_effect",M521="percent_of_mean"),N521*AN521/BF521/10)</f>
        <v>-0.23666312433581294</v>
      </c>
      <c r="AE521" s="56">
        <f t="shared" si="191"/>
        <v>1</v>
      </c>
      <c r="AF521" s="88">
        <f t="shared" si="207"/>
        <v>0.11418703506907545</v>
      </c>
      <c r="AG521" s="88" cm="1">
        <f t="array" ref="AG521">_xlfn.IFS(
AND(L521="marginal_effect",M521="level"),O521*AN521/BF521,
AND(L521="marginal_effect",M521="sd (Y)"),O521*BH521*AN521/BF521,
AND(L521="marginal_effect",M521="sd (X)"),O521/AQ521*AN521/BF521,
AND(L521="semi_elasticity",M521="level"),O521*AN521,
AND(L521="semi_elasticity",M521="sd (Y)"),O521*AN521*BH521,
AND(L521="semi_elasticity",M521="sd (X)"),O521*AN521/AQ521,
AND(L521="level-log",M521="level"),O521/BF521,
AND(L521="level-log",M521="sd (X)"),O521/BF521/AQ521,
AND(L521="level-log",M521="sd (Y)"),O521/BF521*BH521,
AND(L521="elasticity",M521="level"),O521,
AND(L521="elasticity",M521="sd (X)"),O521/AQ521,
AND(L521="elasticity",M521="sd (Y)"),O521*BH521,
AND(L521="marginal_effect",M521="percent_of_mean"),O521*AN521/BF521/10)</f>
        <v>0.11418703506907545</v>
      </c>
      <c r="AH521" s="56">
        <f t="shared" si="192"/>
        <v>1</v>
      </c>
      <c r="AI521" s="88">
        <f t="shared" si="203"/>
        <v>-0.23666312433581294</v>
      </c>
      <c r="AJ521" s="55">
        <v>0</v>
      </c>
      <c r="AK521" s="55">
        <f t="shared" si="208"/>
        <v>1</v>
      </c>
      <c r="AL521" s="55" t="s">
        <v>735</v>
      </c>
      <c r="AM521" s="76" t="s">
        <v>1411</v>
      </c>
      <c r="AN521" s="76">
        <v>4.5960000000000001</v>
      </c>
      <c r="AO521" s="76">
        <v>0</v>
      </c>
      <c r="AP521" s="76">
        <f t="shared" si="197"/>
        <v>4.5960000000000001</v>
      </c>
      <c r="AQ521" s="76">
        <v>0.48299999999999998</v>
      </c>
      <c r="AR521" s="76">
        <v>2.89</v>
      </c>
      <c r="AS521" s="76">
        <v>6.1840000000000002</v>
      </c>
      <c r="AT521" s="55" t="s">
        <v>83</v>
      </c>
      <c r="AU521" s="55" t="s">
        <v>109</v>
      </c>
      <c r="AV521" s="55" t="s">
        <v>133</v>
      </c>
      <c r="AW521" s="55" t="s">
        <v>85</v>
      </c>
      <c r="AX521" s="55" t="s">
        <v>86</v>
      </c>
      <c r="AY521" s="55">
        <v>0</v>
      </c>
      <c r="AZ521" s="55">
        <v>0</v>
      </c>
      <c r="BA521" s="55" t="s">
        <v>734</v>
      </c>
      <c r="BB521" s="55" t="s">
        <v>88</v>
      </c>
      <c r="BC521" s="55" t="s">
        <v>89</v>
      </c>
      <c r="BD521" s="55" t="s">
        <v>114</v>
      </c>
      <c r="BE521" s="55" t="s">
        <v>1169</v>
      </c>
      <c r="BF521" s="55">
        <v>18.82</v>
      </c>
      <c r="BG521" s="55">
        <v>0</v>
      </c>
      <c r="BH521" s="55">
        <v>16.25</v>
      </c>
      <c r="BI521" s="55">
        <v>-218.25</v>
      </c>
      <c r="BJ521" s="55">
        <v>370.012</v>
      </c>
      <c r="BK521" s="55" t="s">
        <v>91</v>
      </c>
      <c r="BL521" s="55" t="s">
        <v>84</v>
      </c>
      <c r="BM521" s="55">
        <v>1</v>
      </c>
      <c r="BN521" s="55" t="s">
        <v>539</v>
      </c>
      <c r="BO521" s="55" t="s">
        <v>1175</v>
      </c>
      <c r="BP521" s="55" t="s">
        <v>1176</v>
      </c>
      <c r="BQ521" s="55" t="s">
        <v>117</v>
      </c>
      <c r="BR521" s="55" t="s">
        <v>93</v>
      </c>
      <c r="BS521" s="55">
        <v>26.151</v>
      </c>
      <c r="BT521" s="55">
        <v>0</v>
      </c>
      <c r="BU521" s="55">
        <v>2014</v>
      </c>
      <c r="BV521" s="55">
        <v>2019</v>
      </c>
      <c r="BW521" s="55" t="s">
        <v>736</v>
      </c>
      <c r="BX521" s="55" t="s">
        <v>95</v>
      </c>
      <c r="BY521" s="55" t="s">
        <v>748</v>
      </c>
      <c r="BZ521" s="55">
        <v>1</v>
      </c>
      <c r="CA521" s="55">
        <v>1</v>
      </c>
      <c r="CB521" s="55" t="s">
        <v>1235</v>
      </c>
      <c r="CC521" s="55" t="s">
        <v>1181</v>
      </c>
      <c r="CD521" s="55">
        <v>1</v>
      </c>
      <c r="CE521" s="55" t="s">
        <v>1182</v>
      </c>
      <c r="CF521" s="55">
        <v>0</v>
      </c>
      <c r="CG521" s="55" t="s">
        <v>97</v>
      </c>
      <c r="CH521" s="55">
        <v>1</v>
      </c>
      <c r="CI521" s="55" t="s">
        <v>509</v>
      </c>
      <c r="CJ521" s="55" t="s">
        <v>98</v>
      </c>
      <c r="CK521" s="55">
        <v>61</v>
      </c>
      <c r="CL521" s="55">
        <v>0</v>
      </c>
      <c r="CM521" s="55">
        <v>0</v>
      </c>
      <c r="CN521" s="55" t="s">
        <v>124</v>
      </c>
      <c r="CO521" s="55" t="s">
        <v>97</v>
      </c>
      <c r="CP521" s="55" t="s">
        <v>100</v>
      </c>
      <c r="CQ521" s="55" t="s">
        <v>126</v>
      </c>
      <c r="CR521" s="57">
        <v>46226</v>
      </c>
      <c r="CT521" s="55" t="s">
        <v>1241</v>
      </c>
    </row>
    <row r="522" spans="1:98" s="55" customFormat="1" x14ac:dyDescent="0.35">
      <c r="A522" s="54" t="s">
        <v>1170</v>
      </c>
      <c r="B522" s="54" t="s">
        <v>1238</v>
      </c>
      <c r="C522" s="55" t="s">
        <v>1171</v>
      </c>
      <c r="D522" s="55">
        <v>2023</v>
      </c>
      <c r="E522" s="54" t="s">
        <v>1172</v>
      </c>
      <c r="F522" s="54" t="s">
        <v>1173</v>
      </c>
      <c r="G522" s="55" t="s">
        <v>78</v>
      </c>
      <c r="H522" s="55">
        <v>1</v>
      </c>
      <c r="I522" s="55" t="s">
        <v>290</v>
      </c>
      <c r="J522" s="55" t="s">
        <v>1174</v>
      </c>
      <c r="K522" s="55">
        <v>12</v>
      </c>
      <c r="L522" s="55" t="s">
        <v>1179</v>
      </c>
      <c r="M522" s="55" t="s">
        <v>380</v>
      </c>
      <c r="N522" s="55">
        <v>-4.7549999999999999</v>
      </c>
      <c r="O522" s="55">
        <v>2.306</v>
      </c>
      <c r="P522" s="88">
        <f t="shared" si="204"/>
        <v>-2.062012142237641</v>
      </c>
      <c r="Q522" s="55" t="s">
        <v>312</v>
      </c>
      <c r="R522" s="88">
        <f t="shared" si="205"/>
        <v>-9.2747600000000006</v>
      </c>
      <c r="S522" s="88">
        <f t="shared" si="206"/>
        <v>-0.23524000000000012</v>
      </c>
      <c r="T522" s="55">
        <v>1</v>
      </c>
      <c r="U522" s="55">
        <v>21519</v>
      </c>
      <c r="V522" s="55">
        <v>10</v>
      </c>
      <c r="W522" s="55">
        <v>1</v>
      </c>
      <c r="X522" s="55">
        <f t="shared" si="201"/>
        <v>21509</v>
      </c>
      <c r="Y522" s="88">
        <f t="shared" si="209"/>
        <v>-1.4058474165723811E-2</v>
      </c>
      <c r="Z522" s="88">
        <f t="shared" si="210"/>
        <v>6.8178425712216838E-3</v>
      </c>
      <c r="AA522" s="88">
        <f t="shared" si="211"/>
        <v>1.4058474165723811E-2</v>
      </c>
      <c r="AB522" s="55" t="s">
        <v>81</v>
      </c>
      <c r="AC522" s="88">
        <f t="shared" si="202"/>
        <v>-0.25265674814027628</v>
      </c>
      <c r="AD522" s="88" cm="1">
        <f t="array" ref="AD522">_xlfn.IFS(
AND(L522="marginal_effect",M522="level"),N522*AN522/BF522,
AND(L522="marginal_effect",M522="sd (Y)"),N522*BH522*AN522/BF522,
AND(L522="marginal_effect",M522="sd (X)"),N522/AQ522*AN522/BF522,
AND(L522="semi_elasticity",M522="level"),N522*AN522,
AND(L522="semi_elasticity",M522="sd (Y)"),N522*AN522*BH522,
AND(L522="semi_elasticity",M522="sd (X)"),N522*AN522/AQ522,
AND(L522="level-log",M522="level"),N522/BF522,
AND(L522="level-log",M522="sd (X)"),N522/BF522/AQ522,
AND(L522="level-log",M522="sd (Y)"),N522/BF522*BH522,
AND(L522="elasticity",M522="level"),N522,
AND(L522="elasticity",M522="sd (X)"),N522/AQ522,
AND(L522="elasticity",M522="sd (Y)"),N522*BH522,
AND(L522="marginal_effect",M522="percent_of_mean"),N522*AN522/BF522/10)</f>
        <v>-0.25265674814027628</v>
      </c>
      <c r="AE522" s="56">
        <f t="shared" si="191"/>
        <v>1</v>
      </c>
      <c r="AF522" s="88">
        <f t="shared" si="207"/>
        <v>0.12252922422954304</v>
      </c>
      <c r="AG522" s="88" cm="1">
        <f t="array" ref="AG522">_xlfn.IFS(
AND(L522="marginal_effect",M522="level"),O522*AN522/BF522,
AND(L522="marginal_effect",M522="sd (Y)"),O522*BH522*AN522/BF522,
AND(L522="marginal_effect",M522="sd (X)"),O522/AQ522*AN522/BF522,
AND(L522="semi_elasticity",M522="level"),O522*AN522,
AND(L522="semi_elasticity",M522="sd (Y)"),O522*AN522*BH522,
AND(L522="semi_elasticity",M522="sd (X)"),O522*AN522/AQ522,
AND(L522="level-log",M522="level"),O522/BF522,
AND(L522="level-log",M522="sd (X)"),O522/BF522/AQ522,
AND(L522="level-log",M522="sd (Y)"),O522/BF522*BH522,
AND(L522="elasticity",M522="level"),O522,
AND(L522="elasticity",M522="sd (X)"),O522/AQ522,
AND(L522="elasticity",M522="sd (Y)"),O522*BH522,
AND(L522="marginal_effect",M522="percent_of_mean"),O522*AN522/BF522/10)</f>
        <v>0.12252922422954304</v>
      </c>
      <c r="AH522" s="56">
        <f t="shared" si="192"/>
        <v>1</v>
      </c>
      <c r="AI522" s="88">
        <f t="shared" si="203"/>
        <v>-0.25265674814027628</v>
      </c>
      <c r="AJ522" s="55">
        <v>0</v>
      </c>
      <c r="AK522" s="55">
        <f t="shared" si="208"/>
        <v>1</v>
      </c>
      <c r="AL522" s="55" t="s">
        <v>735</v>
      </c>
      <c r="AM522" s="76" t="s">
        <v>1411</v>
      </c>
      <c r="AN522" s="76">
        <v>4.5960000000000001</v>
      </c>
      <c r="AO522" s="76">
        <v>0</v>
      </c>
      <c r="AP522" s="76">
        <f t="shared" si="197"/>
        <v>4.5960000000000001</v>
      </c>
      <c r="AQ522" s="76">
        <v>0.48299999999999998</v>
      </c>
      <c r="AR522" s="76">
        <v>2.89</v>
      </c>
      <c r="AS522" s="76">
        <v>6.1840000000000002</v>
      </c>
      <c r="AT522" s="55" t="s">
        <v>83</v>
      </c>
      <c r="AU522" s="55" t="s">
        <v>109</v>
      </c>
      <c r="AV522" s="55" t="s">
        <v>133</v>
      </c>
      <c r="AW522" s="55" t="s">
        <v>85</v>
      </c>
      <c r="AX522" s="55" t="s">
        <v>86</v>
      </c>
      <c r="AY522" s="55">
        <v>0</v>
      </c>
      <c r="AZ522" s="55">
        <v>0</v>
      </c>
      <c r="BA522" s="55" t="s">
        <v>734</v>
      </c>
      <c r="BB522" s="55" t="s">
        <v>88</v>
      </c>
      <c r="BC522" s="55" t="s">
        <v>89</v>
      </c>
      <c r="BD522" s="55" t="s">
        <v>114</v>
      </c>
      <c r="BE522" s="55" t="s">
        <v>1169</v>
      </c>
      <c r="BF522" s="55">
        <v>18.82</v>
      </c>
      <c r="BG522" s="55">
        <v>0</v>
      </c>
      <c r="BH522" s="55">
        <v>16.25</v>
      </c>
      <c r="BI522" s="55">
        <v>-218.25</v>
      </c>
      <c r="BJ522" s="55">
        <v>370.012</v>
      </c>
      <c r="BK522" s="55" t="s">
        <v>91</v>
      </c>
      <c r="BL522" s="55" t="s">
        <v>84</v>
      </c>
      <c r="BM522" s="55">
        <v>1</v>
      </c>
      <c r="BN522" s="55" t="s">
        <v>539</v>
      </c>
      <c r="BO522" s="55" t="s">
        <v>1175</v>
      </c>
      <c r="BP522" s="55" t="s">
        <v>1176</v>
      </c>
      <c r="BQ522" s="55" t="s">
        <v>117</v>
      </c>
      <c r="BR522" s="55" t="s">
        <v>93</v>
      </c>
      <c r="BS522" s="55">
        <v>26.151</v>
      </c>
      <c r="BT522" s="55">
        <v>0</v>
      </c>
      <c r="BU522" s="55">
        <v>2014</v>
      </c>
      <c r="BV522" s="55">
        <v>2019</v>
      </c>
      <c r="BW522" s="55" t="s">
        <v>736</v>
      </c>
      <c r="BX522" s="55" t="s">
        <v>95</v>
      </c>
      <c r="BY522" s="55" t="s">
        <v>748</v>
      </c>
      <c r="BZ522" s="55">
        <v>1</v>
      </c>
      <c r="CA522" s="55">
        <v>1</v>
      </c>
      <c r="CB522" s="55" t="s">
        <v>1235</v>
      </c>
      <c r="CC522" s="55" t="s">
        <v>1177</v>
      </c>
      <c r="CD522" s="55">
        <v>1</v>
      </c>
      <c r="CE522" s="55" t="s">
        <v>1182</v>
      </c>
      <c r="CF522" s="55">
        <v>0</v>
      </c>
      <c r="CG522" s="55" t="s">
        <v>97</v>
      </c>
      <c r="CH522" s="55">
        <v>1</v>
      </c>
      <c r="CI522" s="55" t="s">
        <v>509</v>
      </c>
      <c r="CJ522" s="55" t="s">
        <v>98</v>
      </c>
      <c r="CK522" s="55">
        <v>61</v>
      </c>
      <c r="CL522" s="55">
        <v>0</v>
      </c>
      <c r="CM522" s="55">
        <v>0</v>
      </c>
      <c r="CN522" s="55" t="s">
        <v>124</v>
      </c>
      <c r="CO522" s="55" t="s">
        <v>97</v>
      </c>
      <c r="CP522" s="55" t="s">
        <v>100</v>
      </c>
      <c r="CQ522" s="55" t="s">
        <v>126</v>
      </c>
      <c r="CR522" s="57">
        <v>46226</v>
      </c>
      <c r="CT522" s="55" t="s">
        <v>1242</v>
      </c>
    </row>
    <row r="523" spans="1:98" s="55" customFormat="1" x14ac:dyDescent="0.35">
      <c r="A523" s="54" t="s">
        <v>1170</v>
      </c>
      <c r="B523" s="54" t="s">
        <v>1239</v>
      </c>
      <c r="C523" s="55" t="s">
        <v>1171</v>
      </c>
      <c r="D523" s="55">
        <v>2023</v>
      </c>
      <c r="E523" s="54" t="s">
        <v>1172</v>
      </c>
      <c r="F523" s="54" t="s">
        <v>1173</v>
      </c>
      <c r="G523" s="55" t="s">
        <v>78</v>
      </c>
      <c r="H523" s="55">
        <v>1</v>
      </c>
      <c r="I523" s="55" t="s">
        <v>290</v>
      </c>
      <c r="J523" s="55" t="s">
        <v>1174</v>
      </c>
      <c r="K523" s="55">
        <v>12</v>
      </c>
      <c r="L523" s="55" t="s">
        <v>1179</v>
      </c>
      <c r="M523" s="55" t="s">
        <v>380</v>
      </c>
      <c r="N523" s="55">
        <v>-4.6130000000000004</v>
      </c>
      <c r="O523" s="55">
        <v>2.3170000000000002</v>
      </c>
      <c r="P523" s="88">
        <f t="shared" si="204"/>
        <v>-1.9909365558912386</v>
      </c>
      <c r="Q523" s="55" t="s">
        <v>312</v>
      </c>
      <c r="R523" s="88">
        <f t="shared" si="205"/>
        <v>-9.154320000000002</v>
      </c>
      <c r="S523" s="88">
        <f t="shared" si="206"/>
        <v>-7.1679999999999744E-2</v>
      </c>
      <c r="T523" s="55">
        <v>1</v>
      </c>
      <c r="U523" s="55">
        <v>21519</v>
      </c>
      <c r="V523" s="55">
        <v>10</v>
      </c>
      <c r="W523" s="55">
        <v>1</v>
      </c>
      <c r="X523" s="55">
        <f t="shared" si="201"/>
        <v>21509</v>
      </c>
      <c r="Y523" s="88">
        <f t="shared" si="209"/>
        <v>-1.3573982886505598E-2</v>
      </c>
      <c r="Z523" s="88">
        <f t="shared" si="210"/>
        <v>6.8178882176530399E-3</v>
      </c>
      <c r="AA523" s="88">
        <f t="shared" si="211"/>
        <v>1.3573982886505598E-2</v>
      </c>
      <c r="AB523" s="55" t="s">
        <v>81</v>
      </c>
      <c r="AC523" s="88">
        <f t="shared" si="202"/>
        <v>-0.24511158342189163</v>
      </c>
      <c r="AD523" s="88" cm="1">
        <f t="array" ref="AD523">_xlfn.IFS(
AND(L523="marginal_effect",M523="level"),N523*AN523/BF523,
AND(L523="marginal_effect",M523="sd (Y)"),N523*BH523*AN523/BF523,
AND(L523="marginal_effect",M523="sd (X)"),N523/AQ523*AN523/BF523,
AND(L523="semi_elasticity",M523="level"),N523*AN523,
AND(L523="semi_elasticity",M523="sd (Y)"),N523*AN523*BH523,
AND(L523="semi_elasticity",M523="sd (X)"),N523*AN523/AQ523,
AND(L523="level-log",M523="level"),N523/BF523,
AND(L523="level-log",M523="sd (X)"),N523/BF523/AQ523,
AND(L523="level-log",M523="sd (Y)"),N523/BF523*BH523,
AND(L523="elasticity",M523="level"),N523,
AND(L523="elasticity",M523="sd (X)"),N523/AQ523,
AND(L523="elasticity",M523="sd (Y)"),N523*BH523,
AND(L523="marginal_effect",M523="percent_of_mean"),N523*AN523/BF523/10)</f>
        <v>-0.24511158342189163</v>
      </c>
      <c r="AE523" s="56">
        <f t="shared" si="191"/>
        <v>1</v>
      </c>
      <c r="AF523" s="88">
        <f t="shared" si="207"/>
        <v>0.12311370882040383</v>
      </c>
      <c r="AG523" s="88" cm="1">
        <f t="array" ref="AG523">_xlfn.IFS(
AND(L523="marginal_effect",M523="level"),O523*AN523/BF523,
AND(L523="marginal_effect",M523="sd (Y)"),O523*BH523*AN523/BF523,
AND(L523="marginal_effect",M523="sd (X)"),O523/AQ523*AN523/BF523,
AND(L523="semi_elasticity",M523="level"),O523*AN523,
AND(L523="semi_elasticity",M523="sd (Y)"),O523*AN523*BH523,
AND(L523="semi_elasticity",M523="sd (X)"),O523*AN523/AQ523,
AND(L523="level-log",M523="level"),O523/BF523,
AND(L523="level-log",M523="sd (X)"),O523/BF523/AQ523,
AND(L523="level-log",M523="sd (Y)"),O523/BF523*BH523,
AND(L523="elasticity",M523="level"),O523,
AND(L523="elasticity",M523="sd (X)"),O523/AQ523,
AND(L523="elasticity",M523="sd (Y)"),O523*BH523,
AND(L523="marginal_effect",M523="percent_of_mean"),O523*AN523/BF523/10)</f>
        <v>0.12311370882040383</v>
      </c>
      <c r="AH523" s="56">
        <f t="shared" si="192"/>
        <v>1</v>
      </c>
      <c r="AI523" s="88">
        <f t="shared" si="203"/>
        <v>-0.24511158342189163</v>
      </c>
      <c r="AJ523" s="55">
        <v>0</v>
      </c>
      <c r="AK523" s="55">
        <f t="shared" si="208"/>
        <v>1</v>
      </c>
      <c r="AL523" s="55" t="s">
        <v>735</v>
      </c>
      <c r="AM523" s="76" t="s">
        <v>1411</v>
      </c>
      <c r="AN523" s="76">
        <v>4.5960000000000001</v>
      </c>
      <c r="AO523" s="76">
        <v>0</v>
      </c>
      <c r="AP523" s="76">
        <f t="shared" si="197"/>
        <v>4.5960000000000001</v>
      </c>
      <c r="AQ523" s="76">
        <v>0.48299999999999998</v>
      </c>
      <c r="AR523" s="76">
        <v>2.89</v>
      </c>
      <c r="AS523" s="76">
        <v>6.1840000000000002</v>
      </c>
      <c r="AT523" s="55" t="s">
        <v>83</v>
      </c>
      <c r="AU523" s="55" t="s">
        <v>109</v>
      </c>
      <c r="AV523" s="55" t="s">
        <v>133</v>
      </c>
      <c r="AW523" s="55" t="s">
        <v>85</v>
      </c>
      <c r="AX523" s="55" t="s">
        <v>86</v>
      </c>
      <c r="AY523" s="55">
        <v>0</v>
      </c>
      <c r="AZ523" s="55">
        <v>0</v>
      </c>
      <c r="BA523" s="55" t="s">
        <v>734</v>
      </c>
      <c r="BB523" s="55" t="s">
        <v>88</v>
      </c>
      <c r="BC523" s="55" t="s">
        <v>89</v>
      </c>
      <c r="BD523" s="55" t="s">
        <v>114</v>
      </c>
      <c r="BE523" s="55" t="s">
        <v>1169</v>
      </c>
      <c r="BF523" s="55">
        <v>18.82</v>
      </c>
      <c r="BG523" s="55">
        <v>0</v>
      </c>
      <c r="BH523" s="55">
        <v>16.25</v>
      </c>
      <c r="BI523" s="55">
        <v>-218.25</v>
      </c>
      <c r="BJ523" s="55">
        <v>370.012</v>
      </c>
      <c r="BK523" s="55" t="s">
        <v>91</v>
      </c>
      <c r="BL523" s="55" t="s">
        <v>84</v>
      </c>
      <c r="BM523" s="55">
        <v>1</v>
      </c>
      <c r="BN523" s="55" t="s">
        <v>539</v>
      </c>
      <c r="BO523" s="55" t="s">
        <v>1175</v>
      </c>
      <c r="BP523" s="55" t="s">
        <v>1176</v>
      </c>
      <c r="BQ523" s="55" t="s">
        <v>117</v>
      </c>
      <c r="BR523" s="55" t="s">
        <v>93</v>
      </c>
      <c r="BS523" s="55">
        <v>26.151</v>
      </c>
      <c r="BT523" s="55">
        <v>0</v>
      </c>
      <c r="BU523" s="55">
        <v>2014</v>
      </c>
      <c r="BV523" s="55">
        <v>2019</v>
      </c>
      <c r="BW523" s="55" t="s">
        <v>736</v>
      </c>
      <c r="BX523" s="55" t="s">
        <v>95</v>
      </c>
      <c r="BY523" s="55" t="s">
        <v>748</v>
      </c>
      <c r="BZ523" s="55">
        <v>1</v>
      </c>
      <c r="CA523" s="55">
        <v>1</v>
      </c>
      <c r="CB523" s="55" t="s">
        <v>1235</v>
      </c>
      <c r="CC523" s="55" t="s">
        <v>1181</v>
      </c>
      <c r="CD523" s="55">
        <v>1</v>
      </c>
      <c r="CE523" s="55" t="s">
        <v>1182</v>
      </c>
      <c r="CF523" s="55">
        <v>0</v>
      </c>
      <c r="CG523" s="55" t="s">
        <v>97</v>
      </c>
      <c r="CH523" s="55">
        <v>1</v>
      </c>
      <c r="CI523" s="55" t="s">
        <v>509</v>
      </c>
      <c r="CJ523" s="55" t="s">
        <v>98</v>
      </c>
      <c r="CK523" s="55">
        <v>61</v>
      </c>
      <c r="CL523" s="55">
        <v>0</v>
      </c>
      <c r="CM523" s="55">
        <v>0</v>
      </c>
      <c r="CN523" s="55" t="s">
        <v>124</v>
      </c>
      <c r="CO523" s="55" t="s">
        <v>97</v>
      </c>
      <c r="CP523" s="55" t="s">
        <v>100</v>
      </c>
      <c r="CQ523" s="55" t="s">
        <v>126</v>
      </c>
      <c r="CR523" s="57">
        <v>46226</v>
      </c>
      <c r="CT523" s="55" t="s">
        <v>1243</v>
      </c>
    </row>
    <row r="524" spans="1:98" s="55" customFormat="1" x14ac:dyDescent="0.35">
      <c r="A524" s="54" t="s">
        <v>1170</v>
      </c>
      <c r="B524" s="54" t="s">
        <v>1245</v>
      </c>
      <c r="C524" s="55" t="s">
        <v>1171</v>
      </c>
      <c r="D524" s="55">
        <v>2023</v>
      </c>
      <c r="E524" s="54" t="s">
        <v>1172</v>
      </c>
      <c r="F524" s="54" t="s">
        <v>1173</v>
      </c>
      <c r="G524" s="55" t="s">
        <v>78</v>
      </c>
      <c r="H524" s="55">
        <v>1</v>
      </c>
      <c r="I524" s="55" t="s">
        <v>290</v>
      </c>
      <c r="J524" s="55" t="s">
        <v>1174</v>
      </c>
      <c r="K524" s="55">
        <v>12</v>
      </c>
      <c r="L524" s="55" t="s">
        <v>1179</v>
      </c>
      <c r="M524" s="55" t="s">
        <v>380</v>
      </c>
      <c r="N524" s="55">
        <f>-6.591+1.237</f>
        <v>-5.3540000000000001</v>
      </c>
      <c r="O524" s="55" t="s">
        <v>312</v>
      </c>
      <c r="P524" s="88" t="s">
        <v>312</v>
      </c>
      <c r="Q524" s="55" t="s">
        <v>312</v>
      </c>
      <c r="R524" s="88" t="s">
        <v>312</v>
      </c>
      <c r="S524" s="88" t="s">
        <v>312</v>
      </c>
      <c r="T524" s="55" t="s">
        <v>312</v>
      </c>
      <c r="U524" s="55">
        <v>21519</v>
      </c>
      <c r="V524" s="55">
        <v>10</v>
      </c>
      <c r="W524" s="55">
        <v>1</v>
      </c>
      <c r="X524" s="55">
        <f t="shared" si="201"/>
        <v>21509</v>
      </c>
      <c r="Y524" s="88" t="s">
        <v>312</v>
      </c>
      <c r="Z524" s="88" t="s">
        <v>312</v>
      </c>
      <c r="AA524" s="88" t="s">
        <v>312</v>
      </c>
      <c r="AB524" s="55" t="s">
        <v>312</v>
      </c>
      <c r="AC524" s="88">
        <f t="shared" si="202"/>
        <v>-0.28448459086078642</v>
      </c>
      <c r="AD524" s="88" cm="1">
        <f t="array" ref="AD524">_xlfn.IFS(
AND(L524="marginal_effect",M524="level"),N524*AN524/BF524,
AND(L524="marginal_effect",M524="sd (Y)"),N524*BH524*AN524/BF524,
AND(L524="marginal_effect",M524="sd (X)"),N524/AQ524*AN524/BF524,
AND(L524="semi_elasticity",M524="level"),N524*AN524,
AND(L524="semi_elasticity",M524="sd (Y)"),N524*AN524*BH524,
AND(L524="semi_elasticity",M524="sd (X)"),N524*AN524/AQ524,
AND(L524="level-log",M524="level"),N524/BF524,
AND(L524="level-log",M524="sd (X)"),N524/BF524/AQ524,
AND(L524="level-log",M524="sd (Y)"),N524/BF524*BH524,
AND(L524="elasticity",M524="level"),N524,
AND(L524="elasticity",M524="sd (X)"),N524/AQ524,
AND(L524="elasticity",M524="sd (Y)"),N524*BH524,
AND(L524="marginal_effect",M524="percent_of_mean"),N524*AN524/BF524/10)</f>
        <v>-0.28448459086078642</v>
      </c>
      <c r="AE524" s="56">
        <f t="shared" si="191"/>
        <v>1</v>
      </c>
      <c r="AF524" s="88" t="s">
        <v>312</v>
      </c>
      <c r="AG524" s="88" t="e" cm="1">
        <f t="array" ref="AG524">_xlfn.IFS(
AND(L524="marginal_effect",M524="level"),O524*AN524/BF524,
AND(L524="marginal_effect",M524="sd (Y)"),O524*BH524*AN524/BF524,
AND(L524="marginal_effect",M524="sd (X)"),O524/AQ524*AN524/BF524,
AND(L524="semi_elasticity",M524="level"),O524*AN524,
AND(L524="semi_elasticity",M524="sd (Y)"),O524*AN524*BH524,
AND(L524="semi_elasticity",M524="sd (X)"),O524*AN524/AQ524,
AND(L524="level-log",M524="level"),O524/BF524,
AND(L524="level-log",M524="sd (X)"),O524/BF524/AQ524,
AND(L524="level-log",M524="sd (Y)"),O524/BF524*BH524,
AND(L524="elasticity",M524="level"),O524,
AND(L524="elasticity",M524="sd (X)"),O524/AQ524,
AND(L524="elasticity",M524="sd (Y)"),O524*BH524,
AND(L524="marginal_effect",M524="percent_of_mean"),O524*AN524/BF524/10)</f>
        <v>#VALUE!</v>
      </c>
      <c r="AH524" s="56" t="e">
        <f t="shared" si="192"/>
        <v>#VALUE!</v>
      </c>
      <c r="AI524" s="88">
        <f t="shared" si="203"/>
        <v>-0.28448459086078642</v>
      </c>
      <c r="AJ524" s="55">
        <v>0</v>
      </c>
      <c r="AK524" s="55" t="s">
        <v>312</v>
      </c>
      <c r="AL524" s="55" t="s">
        <v>735</v>
      </c>
      <c r="AM524" s="76" t="s">
        <v>1411</v>
      </c>
      <c r="AN524" s="76">
        <v>4.5960000000000001</v>
      </c>
      <c r="AO524" s="76">
        <v>1</v>
      </c>
      <c r="AP524" s="76">
        <f t="shared" si="197"/>
        <v>4.5960000000000001</v>
      </c>
      <c r="AQ524" s="76">
        <v>0.48299999999999998</v>
      </c>
      <c r="AR524" s="76">
        <v>2.89</v>
      </c>
      <c r="AS524" s="76">
        <v>6.1840000000000002</v>
      </c>
      <c r="AT524" s="55" t="s">
        <v>83</v>
      </c>
      <c r="AU524" s="55" t="s">
        <v>109</v>
      </c>
      <c r="AV524" s="55" t="s">
        <v>133</v>
      </c>
      <c r="AW524" s="55" t="s">
        <v>85</v>
      </c>
      <c r="AX524" s="55" t="s">
        <v>86</v>
      </c>
      <c r="AY524" s="55">
        <v>0</v>
      </c>
      <c r="AZ524" s="55">
        <v>0</v>
      </c>
      <c r="BA524" s="55" t="s">
        <v>734</v>
      </c>
      <c r="BB524" s="55" t="s">
        <v>88</v>
      </c>
      <c r="BC524" s="55" t="s">
        <v>89</v>
      </c>
      <c r="BD524" s="55" t="s">
        <v>114</v>
      </c>
      <c r="BE524" s="55" t="s">
        <v>1169</v>
      </c>
      <c r="BF524" s="55">
        <v>18.82</v>
      </c>
      <c r="BG524" s="55">
        <v>1</v>
      </c>
      <c r="BH524" s="55">
        <v>16.25</v>
      </c>
      <c r="BI524" s="55">
        <v>-218.25</v>
      </c>
      <c r="BJ524" s="55">
        <v>370.012</v>
      </c>
      <c r="BK524" s="55" t="s">
        <v>91</v>
      </c>
      <c r="BL524" s="55" t="s">
        <v>84</v>
      </c>
      <c r="BM524" s="55">
        <v>1</v>
      </c>
      <c r="BN524" s="55" t="s">
        <v>539</v>
      </c>
      <c r="BO524" s="55" t="s">
        <v>1175</v>
      </c>
      <c r="BP524" s="55" t="s">
        <v>1176</v>
      </c>
      <c r="BQ524" s="55" t="s">
        <v>117</v>
      </c>
      <c r="BR524" s="55" t="s">
        <v>93</v>
      </c>
      <c r="BS524" s="55">
        <v>26.151</v>
      </c>
      <c r="BT524" s="55">
        <v>0</v>
      </c>
      <c r="BU524" s="55">
        <v>2014</v>
      </c>
      <c r="BV524" s="55">
        <v>2019</v>
      </c>
      <c r="BW524" s="55" t="s">
        <v>736</v>
      </c>
      <c r="BX524" s="55" t="s">
        <v>95</v>
      </c>
      <c r="BY524" s="55" t="s">
        <v>748</v>
      </c>
      <c r="BZ524" s="55">
        <v>1</v>
      </c>
      <c r="CA524" s="55">
        <v>1</v>
      </c>
      <c r="CB524" s="55" t="s">
        <v>1211</v>
      </c>
      <c r="CC524" s="55" t="s">
        <v>1177</v>
      </c>
      <c r="CD524" s="55">
        <v>1</v>
      </c>
      <c r="CE524" s="55" t="s">
        <v>1182</v>
      </c>
      <c r="CF524" s="55">
        <v>0</v>
      </c>
      <c r="CG524" s="55" t="s">
        <v>97</v>
      </c>
      <c r="CH524" s="55">
        <v>1</v>
      </c>
      <c r="CI524" s="55" t="s">
        <v>509</v>
      </c>
      <c r="CJ524" s="55" t="s">
        <v>98</v>
      </c>
      <c r="CK524" s="55">
        <v>61</v>
      </c>
      <c r="CL524" s="55">
        <v>0</v>
      </c>
      <c r="CM524" s="55">
        <v>0</v>
      </c>
      <c r="CN524" s="55" t="s">
        <v>124</v>
      </c>
      <c r="CO524" s="55" t="s">
        <v>940</v>
      </c>
      <c r="CP524" s="55" t="s">
        <v>100</v>
      </c>
      <c r="CQ524" s="55" t="s">
        <v>126</v>
      </c>
      <c r="CR524" s="57">
        <v>46226</v>
      </c>
      <c r="CT524" s="55" t="s">
        <v>707</v>
      </c>
    </row>
    <row r="525" spans="1:98" s="55" customFormat="1" x14ac:dyDescent="0.35">
      <c r="A525" s="54" t="s">
        <v>1170</v>
      </c>
      <c r="B525" s="54" t="s">
        <v>1246</v>
      </c>
      <c r="C525" s="55" t="s">
        <v>1171</v>
      </c>
      <c r="D525" s="55">
        <v>2023</v>
      </c>
      <c r="E525" s="54" t="s">
        <v>1172</v>
      </c>
      <c r="F525" s="54" t="s">
        <v>1173</v>
      </c>
      <c r="G525" s="55" t="s">
        <v>78</v>
      </c>
      <c r="H525" s="55">
        <v>1</v>
      </c>
      <c r="I525" s="55" t="s">
        <v>290</v>
      </c>
      <c r="J525" s="55" t="s">
        <v>1174</v>
      </c>
      <c r="K525" s="55">
        <v>12</v>
      </c>
      <c r="L525" s="55" t="s">
        <v>1179</v>
      </c>
      <c r="M525" s="55" t="s">
        <v>380</v>
      </c>
      <c r="N525" s="55">
        <v>-6.5910000000000002</v>
      </c>
      <c r="O525" s="55">
        <v>0.52500000000000002</v>
      </c>
      <c r="P525" s="88">
        <f>N525/O525</f>
        <v>-12.554285714285713</v>
      </c>
      <c r="Q525" s="55" t="s">
        <v>312</v>
      </c>
      <c r="R525" s="88">
        <f>N525-1.96*O525</f>
        <v>-7.62</v>
      </c>
      <c r="S525" s="88">
        <f>N525+1.96*O525</f>
        <v>-5.5620000000000003</v>
      </c>
      <c r="T525" s="55">
        <v>1</v>
      </c>
      <c r="U525" s="55">
        <v>21519</v>
      </c>
      <c r="V525" s="55">
        <v>10</v>
      </c>
      <c r="W525" s="55">
        <v>1</v>
      </c>
      <c r="X525" s="55">
        <f t="shared" si="201"/>
        <v>21509</v>
      </c>
      <c r="Y525" s="88" t="s">
        <v>312</v>
      </c>
      <c r="Z525" s="88" t="s">
        <v>312</v>
      </c>
      <c r="AA525" s="88" t="s">
        <v>312</v>
      </c>
      <c r="AB525" s="55" t="s">
        <v>81</v>
      </c>
      <c r="AC525" s="88">
        <f t="shared" si="202"/>
        <v>-0.35021253985122208</v>
      </c>
      <c r="AD525" s="88" cm="1">
        <f t="array" ref="AD525">_xlfn.IFS(
AND(L525="marginal_effect",M525="level"),N525*AN525/BF525,
AND(L525="marginal_effect",M525="sd (Y)"),N525*BH525*AN525/BF525,
AND(L525="marginal_effect",M525="sd (X)"),N525/AQ525*AN525/BF525,
AND(L525="semi_elasticity",M525="level"),N525*AN525,
AND(L525="semi_elasticity",M525="sd (Y)"),N525*AN525*BH525,
AND(L525="semi_elasticity",M525="sd (X)"),N525*AN525/AQ525,
AND(L525="level-log",M525="level"),N525/BF525,
AND(L525="level-log",M525="sd (X)"),N525/BF525/AQ525,
AND(L525="level-log",M525="sd (Y)"),N525/BF525*BH525,
AND(L525="elasticity",M525="level"),N525,
AND(L525="elasticity",M525="sd (X)"),N525/AQ525,
AND(L525="elasticity",M525="sd (Y)"),N525*BH525,
AND(L525="marginal_effect",M525="percent_of_mean"),N525*AN525/BF525/10)</f>
        <v>-0.35021253985122208</v>
      </c>
      <c r="AE525" s="56">
        <f t="shared" si="191"/>
        <v>1</v>
      </c>
      <c r="AF525" s="88">
        <f>O525/BF525</f>
        <v>2.789585547290117E-2</v>
      </c>
      <c r="AG525" s="88" cm="1">
        <f t="array" ref="AG525">_xlfn.IFS(
AND(L525="marginal_effect",M525="level"),O525*AN525/BF525,
AND(L525="marginal_effect",M525="sd (Y)"),O525*BH525*AN525/BF525,
AND(L525="marginal_effect",M525="sd (X)"),O525/AQ525*AN525/BF525,
AND(L525="semi_elasticity",M525="level"),O525*AN525,
AND(L525="semi_elasticity",M525="sd (Y)"),O525*AN525*BH525,
AND(L525="semi_elasticity",M525="sd (X)"),O525*AN525/AQ525,
AND(L525="level-log",M525="level"),O525/BF525,
AND(L525="level-log",M525="sd (X)"),O525/BF525/AQ525,
AND(L525="level-log",M525="sd (Y)"),O525/BF525*BH525,
AND(L525="elasticity",M525="level"),O525,
AND(L525="elasticity",M525="sd (X)"),O525/AQ525,
AND(L525="elasticity",M525="sd (Y)"),O525*BH525,
AND(L525="marginal_effect",M525="percent_of_mean"),O525*AN525/BF525/10)</f>
        <v>2.789585547290117E-2</v>
      </c>
      <c r="AH525" s="56">
        <f t="shared" si="192"/>
        <v>1</v>
      </c>
      <c r="AI525" s="88">
        <f t="shared" si="203"/>
        <v>-0.35021253985122208</v>
      </c>
      <c r="AJ525" s="55">
        <v>0</v>
      </c>
      <c r="AK525" s="55">
        <f>IF(P525=(AC525/AF525),1,0)</f>
        <v>1</v>
      </c>
      <c r="AL525" s="55" t="s">
        <v>735</v>
      </c>
      <c r="AM525" s="76" t="s">
        <v>1411</v>
      </c>
      <c r="AN525" s="76">
        <v>4.5960000000000001</v>
      </c>
      <c r="AO525" s="76">
        <v>1</v>
      </c>
      <c r="AP525" s="76">
        <f t="shared" si="197"/>
        <v>4.5960000000000001</v>
      </c>
      <c r="AQ525" s="76">
        <v>0.48299999999999998</v>
      </c>
      <c r="AR525" s="76">
        <v>2.89</v>
      </c>
      <c r="AS525" s="76">
        <v>6.1840000000000002</v>
      </c>
      <c r="AT525" s="55" t="s">
        <v>83</v>
      </c>
      <c r="AU525" s="55" t="s">
        <v>109</v>
      </c>
      <c r="AV525" s="55" t="s">
        <v>133</v>
      </c>
      <c r="AW525" s="55" t="s">
        <v>85</v>
      </c>
      <c r="AX525" s="55" t="s">
        <v>86</v>
      </c>
      <c r="AY525" s="55">
        <v>0</v>
      </c>
      <c r="AZ525" s="55">
        <v>0</v>
      </c>
      <c r="BA525" s="55" t="s">
        <v>734</v>
      </c>
      <c r="BB525" s="55" t="s">
        <v>88</v>
      </c>
      <c r="BC525" s="55" t="s">
        <v>89</v>
      </c>
      <c r="BD525" s="55" t="s">
        <v>114</v>
      </c>
      <c r="BE525" s="55" t="s">
        <v>1169</v>
      </c>
      <c r="BF525" s="55">
        <v>18.82</v>
      </c>
      <c r="BG525" s="55">
        <v>1</v>
      </c>
      <c r="BH525" s="55">
        <v>16.25</v>
      </c>
      <c r="BI525" s="55">
        <v>-218.25</v>
      </c>
      <c r="BJ525" s="55">
        <v>370.012</v>
      </c>
      <c r="BK525" s="55" t="s">
        <v>91</v>
      </c>
      <c r="BL525" s="55" t="s">
        <v>84</v>
      </c>
      <c r="BM525" s="55">
        <v>1</v>
      </c>
      <c r="BN525" s="55" t="s">
        <v>539</v>
      </c>
      <c r="BO525" s="55" t="s">
        <v>1175</v>
      </c>
      <c r="BP525" s="55" t="s">
        <v>1176</v>
      </c>
      <c r="BQ525" s="55" t="s">
        <v>117</v>
      </c>
      <c r="BR525" s="55" t="s">
        <v>93</v>
      </c>
      <c r="BS525" s="55">
        <v>26.151</v>
      </c>
      <c r="BT525" s="55">
        <v>0</v>
      </c>
      <c r="BU525" s="55">
        <v>2014</v>
      </c>
      <c r="BV525" s="55">
        <v>2019</v>
      </c>
      <c r="BW525" s="55" t="s">
        <v>736</v>
      </c>
      <c r="BX525" s="55" t="s">
        <v>95</v>
      </c>
      <c r="BY525" s="55" t="s">
        <v>748</v>
      </c>
      <c r="BZ525" s="55">
        <v>1</v>
      </c>
      <c r="CA525" s="55">
        <v>1</v>
      </c>
      <c r="CB525" s="55" t="s">
        <v>1211</v>
      </c>
      <c r="CC525" s="55" t="s">
        <v>1181</v>
      </c>
      <c r="CD525" s="55">
        <v>1</v>
      </c>
      <c r="CE525" s="55" t="s">
        <v>1182</v>
      </c>
      <c r="CF525" s="55">
        <v>0</v>
      </c>
      <c r="CG525" s="55" t="s">
        <v>97</v>
      </c>
      <c r="CH525" s="55">
        <v>1</v>
      </c>
      <c r="CI525" s="55" t="s">
        <v>509</v>
      </c>
      <c r="CJ525" s="55" t="s">
        <v>98</v>
      </c>
      <c r="CK525" s="55">
        <v>61</v>
      </c>
      <c r="CL525" s="55">
        <v>0</v>
      </c>
      <c r="CM525" s="55">
        <v>0</v>
      </c>
      <c r="CN525" s="55" t="s">
        <v>124</v>
      </c>
      <c r="CO525" s="55" t="s">
        <v>940</v>
      </c>
      <c r="CP525" s="55" t="s">
        <v>100</v>
      </c>
      <c r="CQ525" s="55" t="s">
        <v>126</v>
      </c>
      <c r="CR525" s="57">
        <v>46226</v>
      </c>
      <c r="CT525" s="55" t="s">
        <v>707</v>
      </c>
    </row>
    <row r="526" spans="1:98" s="55" customFormat="1" x14ac:dyDescent="0.35">
      <c r="A526" s="54" t="s">
        <v>1170</v>
      </c>
      <c r="B526" s="54" t="s">
        <v>1247</v>
      </c>
      <c r="C526" s="55" t="s">
        <v>1171</v>
      </c>
      <c r="D526" s="55">
        <v>2023</v>
      </c>
      <c r="E526" s="54" t="s">
        <v>1172</v>
      </c>
      <c r="F526" s="54" t="s">
        <v>1173</v>
      </c>
      <c r="G526" s="55" t="s">
        <v>78</v>
      </c>
      <c r="H526" s="55">
        <v>1</v>
      </c>
      <c r="I526" s="55" t="s">
        <v>290</v>
      </c>
      <c r="J526" s="55" t="s">
        <v>1174</v>
      </c>
      <c r="K526" s="55">
        <v>12</v>
      </c>
      <c r="L526" s="55" t="s">
        <v>1179</v>
      </c>
      <c r="M526" s="55" t="s">
        <v>380</v>
      </c>
      <c r="N526" s="55">
        <f>-6.084+1.141</f>
        <v>-4.9429999999999996</v>
      </c>
      <c r="O526" s="55" t="s">
        <v>312</v>
      </c>
      <c r="P526" s="88" t="s">
        <v>312</v>
      </c>
      <c r="Q526" s="55" t="s">
        <v>312</v>
      </c>
      <c r="R526" s="88" t="s">
        <v>312</v>
      </c>
      <c r="S526" s="88" t="s">
        <v>312</v>
      </c>
      <c r="T526" s="55" t="s">
        <v>312</v>
      </c>
      <c r="U526" s="55">
        <v>21519</v>
      </c>
      <c r="V526" s="55">
        <v>10</v>
      </c>
      <c r="W526" s="55">
        <v>1</v>
      </c>
      <c r="X526" s="55">
        <f t="shared" si="201"/>
        <v>21509</v>
      </c>
      <c r="Y526" s="88" t="s">
        <v>312</v>
      </c>
      <c r="Z526" s="88" t="s">
        <v>312</v>
      </c>
      <c r="AA526" s="88" t="s">
        <v>312</v>
      </c>
      <c r="AB526" s="55" t="s">
        <v>312</v>
      </c>
      <c r="AC526" s="88">
        <f t="shared" si="202"/>
        <v>-0.26264612114771518</v>
      </c>
      <c r="AD526" s="88" cm="1">
        <f t="array" ref="AD526">_xlfn.IFS(
AND(L526="marginal_effect",M526="level"),N526*AN526/BF526,
AND(L526="marginal_effect",M526="sd (Y)"),N526*BH526*AN526/BF526,
AND(L526="marginal_effect",M526="sd (X)"),N526/AQ526*AN526/BF526,
AND(L526="semi_elasticity",M526="level"),N526*AN526,
AND(L526="semi_elasticity",M526="sd (Y)"),N526*AN526*BH526,
AND(L526="semi_elasticity",M526="sd (X)"),N526*AN526/AQ526,
AND(L526="level-log",M526="level"),N526/BF526,
AND(L526="level-log",M526="sd (X)"),N526/BF526/AQ526,
AND(L526="level-log",M526="sd (Y)"),N526/BF526*BH526,
AND(L526="elasticity",M526="level"),N526,
AND(L526="elasticity",M526="sd (X)"),N526/AQ526,
AND(L526="elasticity",M526="sd (Y)"),N526*BH526,
AND(L526="marginal_effect",M526="percent_of_mean"),N526*AN526/BF526/10)</f>
        <v>-0.26264612114771518</v>
      </c>
      <c r="AE526" s="56">
        <f t="shared" si="191"/>
        <v>1</v>
      </c>
      <c r="AF526" s="88" t="s">
        <v>312</v>
      </c>
      <c r="AG526" s="88" t="e" cm="1">
        <f t="array" ref="AG526">_xlfn.IFS(
AND(L526="marginal_effect",M526="level"),O526*AN526/BF526,
AND(L526="marginal_effect",M526="sd (Y)"),O526*BH526*AN526/BF526,
AND(L526="marginal_effect",M526="sd (X)"),O526/AQ526*AN526/BF526,
AND(L526="semi_elasticity",M526="level"),O526*AN526,
AND(L526="semi_elasticity",M526="sd (Y)"),O526*AN526*BH526,
AND(L526="semi_elasticity",M526="sd (X)"),O526*AN526/AQ526,
AND(L526="level-log",M526="level"),O526/BF526,
AND(L526="level-log",M526="sd (X)"),O526/BF526/AQ526,
AND(L526="level-log",M526="sd (Y)"),O526/BF526*BH526,
AND(L526="elasticity",M526="level"),O526,
AND(L526="elasticity",M526="sd (X)"),O526/AQ526,
AND(L526="elasticity",M526="sd (Y)"),O526*BH526,
AND(L526="marginal_effect",M526="percent_of_mean"),O526*AN526/BF526/10)</f>
        <v>#VALUE!</v>
      </c>
      <c r="AH526" s="56" t="e">
        <f t="shared" si="192"/>
        <v>#VALUE!</v>
      </c>
      <c r="AI526" s="88">
        <f t="shared" si="203"/>
        <v>-0.26264612114771518</v>
      </c>
      <c r="AJ526" s="55">
        <v>0</v>
      </c>
      <c r="AK526" s="55" t="s">
        <v>312</v>
      </c>
      <c r="AL526" s="55" t="s">
        <v>735</v>
      </c>
      <c r="AM526" s="76" t="s">
        <v>1411</v>
      </c>
      <c r="AN526" s="76">
        <v>4.5960000000000001</v>
      </c>
      <c r="AO526" s="76">
        <v>1</v>
      </c>
      <c r="AP526" s="76">
        <f t="shared" si="197"/>
        <v>4.5960000000000001</v>
      </c>
      <c r="AQ526" s="76">
        <v>0.48299999999999998</v>
      </c>
      <c r="AR526" s="76">
        <v>2.89</v>
      </c>
      <c r="AS526" s="76">
        <v>6.1840000000000002</v>
      </c>
      <c r="AT526" s="55" t="s">
        <v>83</v>
      </c>
      <c r="AU526" s="55" t="s">
        <v>109</v>
      </c>
      <c r="AV526" s="55" t="s">
        <v>133</v>
      </c>
      <c r="AW526" s="55" t="s">
        <v>85</v>
      </c>
      <c r="AX526" s="55" t="s">
        <v>86</v>
      </c>
      <c r="AY526" s="55">
        <v>0</v>
      </c>
      <c r="AZ526" s="55">
        <v>0</v>
      </c>
      <c r="BA526" s="55" t="s">
        <v>734</v>
      </c>
      <c r="BB526" s="55" t="s">
        <v>88</v>
      </c>
      <c r="BC526" s="55" t="s">
        <v>89</v>
      </c>
      <c r="BD526" s="55" t="s">
        <v>114</v>
      </c>
      <c r="BE526" s="55" t="s">
        <v>1169</v>
      </c>
      <c r="BF526" s="55">
        <v>18.82</v>
      </c>
      <c r="BG526" s="55">
        <v>1</v>
      </c>
      <c r="BH526" s="55">
        <v>16.25</v>
      </c>
      <c r="BI526" s="55">
        <v>-218.25</v>
      </c>
      <c r="BJ526" s="55">
        <v>370.012</v>
      </c>
      <c r="BK526" s="55" t="s">
        <v>91</v>
      </c>
      <c r="BL526" s="55" t="s">
        <v>84</v>
      </c>
      <c r="BM526" s="55">
        <v>1</v>
      </c>
      <c r="BN526" s="55" t="s">
        <v>539</v>
      </c>
      <c r="BO526" s="55" t="s">
        <v>1175</v>
      </c>
      <c r="BP526" s="55" t="s">
        <v>1176</v>
      </c>
      <c r="BQ526" s="55" t="s">
        <v>117</v>
      </c>
      <c r="BR526" s="55" t="s">
        <v>93</v>
      </c>
      <c r="BS526" s="55">
        <v>26.151</v>
      </c>
      <c r="BT526" s="55">
        <v>0</v>
      </c>
      <c r="BU526" s="55">
        <v>2014</v>
      </c>
      <c r="BV526" s="55">
        <v>2019</v>
      </c>
      <c r="BW526" s="55" t="s">
        <v>736</v>
      </c>
      <c r="BX526" s="55" t="s">
        <v>95</v>
      </c>
      <c r="BY526" s="55" t="s">
        <v>748</v>
      </c>
      <c r="BZ526" s="55">
        <v>1</v>
      </c>
      <c r="CA526" s="55">
        <v>1</v>
      </c>
      <c r="CB526" s="55" t="s">
        <v>1211</v>
      </c>
      <c r="CC526" s="55" t="s">
        <v>1177</v>
      </c>
      <c r="CD526" s="55">
        <v>1</v>
      </c>
      <c r="CE526" s="55" t="s">
        <v>1182</v>
      </c>
      <c r="CF526" s="55">
        <v>0</v>
      </c>
      <c r="CG526" s="55" t="s">
        <v>97</v>
      </c>
      <c r="CH526" s="55">
        <v>1</v>
      </c>
      <c r="CI526" s="55" t="s">
        <v>509</v>
      </c>
      <c r="CJ526" s="55" t="s">
        <v>98</v>
      </c>
      <c r="CK526" s="55">
        <v>61</v>
      </c>
      <c r="CL526" s="55">
        <v>0</v>
      </c>
      <c r="CM526" s="55">
        <v>0</v>
      </c>
      <c r="CN526" s="55" t="s">
        <v>124</v>
      </c>
      <c r="CO526" s="55" t="s">
        <v>940</v>
      </c>
      <c r="CP526" s="55" t="s">
        <v>100</v>
      </c>
      <c r="CQ526" s="55" t="s">
        <v>126</v>
      </c>
      <c r="CR526" s="57">
        <v>46226</v>
      </c>
      <c r="CT526" s="55" t="s">
        <v>1257</v>
      </c>
    </row>
    <row r="527" spans="1:98" s="55" customFormat="1" x14ac:dyDescent="0.35">
      <c r="A527" s="54" t="s">
        <v>1170</v>
      </c>
      <c r="B527" s="54" t="s">
        <v>1248</v>
      </c>
      <c r="C527" s="55" t="s">
        <v>1171</v>
      </c>
      <c r="D527" s="55">
        <v>2023</v>
      </c>
      <c r="E527" s="54" t="s">
        <v>1172</v>
      </c>
      <c r="F527" s="54" t="s">
        <v>1173</v>
      </c>
      <c r="G527" s="55" t="s">
        <v>78</v>
      </c>
      <c r="H527" s="55">
        <v>1</v>
      </c>
      <c r="I527" s="55" t="s">
        <v>290</v>
      </c>
      <c r="J527" s="55" t="s">
        <v>1174</v>
      </c>
      <c r="K527" s="55">
        <v>12</v>
      </c>
      <c r="L527" s="55" t="s">
        <v>1179</v>
      </c>
      <c r="M527" s="55" t="s">
        <v>380</v>
      </c>
      <c r="N527" s="55">
        <v>-6.0839999999999996</v>
      </c>
      <c r="O527" s="55">
        <v>0.51500000000000001</v>
      </c>
      <c r="P527" s="88">
        <f>N527/O527</f>
        <v>-11.813592233009707</v>
      </c>
      <c r="Q527" s="55" t="s">
        <v>312</v>
      </c>
      <c r="R527" s="88">
        <f>N527-1.96*O527</f>
        <v>-7.0933999999999999</v>
      </c>
      <c r="S527" s="88">
        <f>N527+1.96*O527</f>
        <v>-5.0745999999999993</v>
      </c>
      <c r="T527" s="55">
        <v>1</v>
      </c>
      <c r="U527" s="55">
        <v>21519</v>
      </c>
      <c r="V527" s="55">
        <v>10</v>
      </c>
      <c r="W527" s="55">
        <v>1</v>
      </c>
      <c r="X527" s="55">
        <f t="shared" si="201"/>
        <v>21509</v>
      </c>
      <c r="Y527" s="88" t="s">
        <v>312</v>
      </c>
      <c r="Z527" s="88" t="s">
        <v>312</v>
      </c>
      <c r="AA527" s="88" t="s">
        <v>312</v>
      </c>
      <c r="AB527" s="55" t="s">
        <v>81</v>
      </c>
      <c r="AC527" s="88">
        <f t="shared" si="202"/>
        <v>-0.32327311370882039</v>
      </c>
      <c r="AD527" s="88" cm="1">
        <f t="array" ref="AD527">_xlfn.IFS(
AND(L527="marginal_effect",M527="level"),N527*AN527/BF527,
AND(L527="marginal_effect",M527="sd (Y)"),N527*BH527*AN527/BF527,
AND(L527="marginal_effect",M527="sd (X)"),N527/AQ527*AN527/BF527,
AND(L527="semi_elasticity",M527="level"),N527*AN527,
AND(L527="semi_elasticity",M527="sd (Y)"),N527*AN527*BH527,
AND(L527="semi_elasticity",M527="sd (X)"),N527*AN527/AQ527,
AND(L527="level-log",M527="level"),N527/BF527,
AND(L527="level-log",M527="sd (X)"),N527/BF527/AQ527,
AND(L527="level-log",M527="sd (Y)"),N527/BF527*BH527,
AND(L527="elasticity",M527="level"),N527,
AND(L527="elasticity",M527="sd (X)"),N527/AQ527,
AND(L527="elasticity",M527="sd (Y)"),N527*BH527,
AND(L527="marginal_effect",M527="percent_of_mean"),N527*AN527/BF527/10)</f>
        <v>-0.32327311370882039</v>
      </c>
      <c r="AE527" s="56">
        <f t="shared" ref="AE527:AE590" si="212">IF(AC527=AD527,1,0)</f>
        <v>1</v>
      </c>
      <c r="AF527" s="88">
        <f>O527/BF527</f>
        <v>2.7364505844845909E-2</v>
      </c>
      <c r="AG527" s="88" cm="1">
        <f t="array" ref="AG527">_xlfn.IFS(
AND(L527="marginal_effect",M527="level"),O527*AN527/BF527,
AND(L527="marginal_effect",M527="sd (Y)"),O527*BH527*AN527/BF527,
AND(L527="marginal_effect",M527="sd (X)"),O527/AQ527*AN527/BF527,
AND(L527="semi_elasticity",M527="level"),O527*AN527,
AND(L527="semi_elasticity",M527="sd (Y)"),O527*AN527*BH527,
AND(L527="semi_elasticity",M527="sd (X)"),O527*AN527/AQ527,
AND(L527="level-log",M527="level"),O527/BF527,
AND(L527="level-log",M527="sd (X)"),O527/BF527/AQ527,
AND(L527="level-log",M527="sd (Y)"),O527/BF527*BH527,
AND(L527="elasticity",M527="level"),O527,
AND(L527="elasticity",M527="sd (X)"),O527/AQ527,
AND(L527="elasticity",M527="sd (Y)"),O527*BH527,
AND(L527="marginal_effect",M527="percent_of_mean"),O527*AN527/BF527/10)</f>
        <v>2.7364505844845909E-2</v>
      </c>
      <c r="AH527" s="56">
        <f t="shared" ref="AH527:AH590" si="213">IF(AF527=AG527,1,0)</f>
        <v>1</v>
      </c>
      <c r="AI527" s="88">
        <f t="shared" si="203"/>
        <v>-0.32327311370882039</v>
      </c>
      <c r="AJ527" s="55">
        <v>0</v>
      </c>
      <c r="AK527" s="55">
        <f>IF(P527=(AC527/AF527),1,0)</f>
        <v>1</v>
      </c>
      <c r="AL527" s="55" t="s">
        <v>735</v>
      </c>
      <c r="AM527" s="76" t="s">
        <v>1411</v>
      </c>
      <c r="AN527" s="76">
        <v>4.5960000000000001</v>
      </c>
      <c r="AO527" s="76">
        <v>1</v>
      </c>
      <c r="AP527" s="76">
        <f t="shared" si="197"/>
        <v>4.5960000000000001</v>
      </c>
      <c r="AQ527" s="76">
        <v>0.48299999999999998</v>
      </c>
      <c r="AR527" s="76">
        <v>2.89</v>
      </c>
      <c r="AS527" s="76">
        <v>6.1840000000000002</v>
      </c>
      <c r="AT527" s="55" t="s">
        <v>83</v>
      </c>
      <c r="AU527" s="55" t="s">
        <v>109</v>
      </c>
      <c r="AV527" s="55" t="s">
        <v>133</v>
      </c>
      <c r="AW527" s="55" t="s">
        <v>85</v>
      </c>
      <c r="AX527" s="55" t="s">
        <v>86</v>
      </c>
      <c r="AY527" s="55">
        <v>0</v>
      </c>
      <c r="AZ527" s="55">
        <v>0</v>
      </c>
      <c r="BA527" s="55" t="s">
        <v>734</v>
      </c>
      <c r="BB527" s="55" t="s">
        <v>88</v>
      </c>
      <c r="BC527" s="55" t="s">
        <v>89</v>
      </c>
      <c r="BD527" s="55" t="s">
        <v>114</v>
      </c>
      <c r="BE527" s="55" t="s">
        <v>1169</v>
      </c>
      <c r="BF527" s="55">
        <v>18.82</v>
      </c>
      <c r="BG527" s="55">
        <v>1</v>
      </c>
      <c r="BH527" s="55">
        <v>16.25</v>
      </c>
      <c r="BI527" s="55">
        <v>-218.25</v>
      </c>
      <c r="BJ527" s="55">
        <v>370.012</v>
      </c>
      <c r="BK527" s="55" t="s">
        <v>91</v>
      </c>
      <c r="BL527" s="55" t="s">
        <v>84</v>
      </c>
      <c r="BM527" s="55">
        <v>1</v>
      </c>
      <c r="BN527" s="55" t="s">
        <v>539</v>
      </c>
      <c r="BO527" s="55" t="s">
        <v>1175</v>
      </c>
      <c r="BP527" s="55" t="s">
        <v>1176</v>
      </c>
      <c r="BQ527" s="55" t="s">
        <v>117</v>
      </c>
      <c r="BR527" s="55" t="s">
        <v>93</v>
      </c>
      <c r="BS527" s="55">
        <v>26.151</v>
      </c>
      <c r="BT527" s="55">
        <v>0</v>
      </c>
      <c r="BU527" s="55">
        <v>2014</v>
      </c>
      <c r="BV527" s="55">
        <v>2019</v>
      </c>
      <c r="BW527" s="55" t="s">
        <v>736</v>
      </c>
      <c r="BX527" s="55" t="s">
        <v>95</v>
      </c>
      <c r="BY527" s="55" t="s">
        <v>748</v>
      </c>
      <c r="BZ527" s="55">
        <v>1</v>
      </c>
      <c r="CA527" s="55">
        <v>1</v>
      </c>
      <c r="CB527" s="55" t="s">
        <v>1211</v>
      </c>
      <c r="CC527" s="55" t="s">
        <v>1181</v>
      </c>
      <c r="CD527" s="55">
        <v>1</v>
      </c>
      <c r="CE527" s="55" t="s">
        <v>1182</v>
      </c>
      <c r="CF527" s="55">
        <v>0</v>
      </c>
      <c r="CG527" s="55" t="s">
        <v>97</v>
      </c>
      <c r="CH527" s="55">
        <v>1</v>
      </c>
      <c r="CI527" s="55" t="s">
        <v>509</v>
      </c>
      <c r="CJ527" s="55" t="s">
        <v>98</v>
      </c>
      <c r="CK527" s="55">
        <v>61</v>
      </c>
      <c r="CL527" s="55">
        <v>0</v>
      </c>
      <c r="CM527" s="55">
        <v>0</v>
      </c>
      <c r="CN527" s="55" t="s">
        <v>124</v>
      </c>
      <c r="CO527" s="55" t="s">
        <v>940</v>
      </c>
      <c r="CP527" s="55" t="s">
        <v>100</v>
      </c>
      <c r="CQ527" s="55" t="s">
        <v>126</v>
      </c>
      <c r="CR527" s="57">
        <v>46226</v>
      </c>
      <c r="CT527" s="55" t="s">
        <v>1257</v>
      </c>
    </row>
    <row r="528" spans="1:98" s="55" customFormat="1" x14ac:dyDescent="0.35">
      <c r="A528" s="54" t="s">
        <v>1170</v>
      </c>
      <c r="B528" s="54" t="s">
        <v>1249</v>
      </c>
      <c r="C528" s="55" t="s">
        <v>1171</v>
      </c>
      <c r="D528" s="55">
        <v>2023</v>
      </c>
      <c r="E528" s="54" t="s">
        <v>1172</v>
      </c>
      <c r="F528" s="54" t="s">
        <v>1173</v>
      </c>
      <c r="G528" s="55" t="s">
        <v>78</v>
      </c>
      <c r="H528" s="55">
        <v>1</v>
      </c>
      <c r="I528" s="55" t="s">
        <v>290</v>
      </c>
      <c r="J528" s="55" t="s">
        <v>1174</v>
      </c>
      <c r="K528" s="55">
        <v>12</v>
      </c>
      <c r="L528" s="55" t="s">
        <v>1179</v>
      </c>
      <c r="M528" s="55" t="s">
        <v>380</v>
      </c>
      <c r="N528" s="55">
        <f>-5.944+1.111</f>
        <v>-4.8330000000000002</v>
      </c>
      <c r="O528" s="55" t="s">
        <v>312</v>
      </c>
      <c r="P528" s="88" t="s">
        <v>312</v>
      </c>
      <c r="Q528" s="55" t="s">
        <v>312</v>
      </c>
      <c r="R528" s="88" t="s">
        <v>312</v>
      </c>
      <c r="S528" s="88" t="s">
        <v>312</v>
      </c>
      <c r="T528" s="55" t="s">
        <v>312</v>
      </c>
      <c r="U528" s="55">
        <v>21519</v>
      </c>
      <c r="V528" s="55">
        <v>10</v>
      </c>
      <c r="W528" s="55">
        <v>1</v>
      </c>
      <c r="X528" s="55">
        <f t="shared" si="201"/>
        <v>21509</v>
      </c>
      <c r="Y528" s="88" t="s">
        <v>312</v>
      </c>
      <c r="Z528" s="88" t="s">
        <v>312</v>
      </c>
      <c r="AA528" s="88" t="s">
        <v>312</v>
      </c>
      <c r="AB528" s="55" t="s">
        <v>312</v>
      </c>
      <c r="AC528" s="88">
        <f t="shared" si="202"/>
        <v>-0.25680127523910734</v>
      </c>
      <c r="AD528" s="88" cm="1">
        <f t="array" ref="AD528">_xlfn.IFS(
AND(L528="marginal_effect",M528="level"),N528*AN528/BF528,
AND(L528="marginal_effect",M528="sd (Y)"),N528*BH528*AN528/BF528,
AND(L528="marginal_effect",M528="sd (X)"),N528/AQ528*AN528/BF528,
AND(L528="semi_elasticity",M528="level"),N528*AN528,
AND(L528="semi_elasticity",M528="sd (Y)"),N528*AN528*BH528,
AND(L528="semi_elasticity",M528="sd (X)"),N528*AN528/AQ528,
AND(L528="level-log",M528="level"),N528/BF528,
AND(L528="level-log",M528="sd (X)"),N528/BF528/AQ528,
AND(L528="level-log",M528="sd (Y)"),N528/BF528*BH528,
AND(L528="elasticity",M528="level"),N528,
AND(L528="elasticity",M528="sd (X)"),N528/AQ528,
AND(L528="elasticity",M528="sd (Y)"),N528*BH528,
AND(L528="marginal_effect",M528="percent_of_mean"),N528*AN528/BF528/10)</f>
        <v>-0.25680127523910734</v>
      </c>
      <c r="AE528" s="56">
        <f t="shared" si="212"/>
        <v>1</v>
      </c>
      <c r="AF528" s="88" t="s">
        <v>312</v>
      </c>
      <c r="AG528" s="88" t="e" cm="1">
        <f t="array" ref="AG528">_xlfn.IFS(
AND(L528="marginal_effect",M528="level"),O528*AN528/BF528,
AND(L528="marginal_effect",M528="sd (Y)"),O528*BH528*AN528/BF528,
AND(L528="marginal_effect",M528="sd (X)"),O528/AQ528*AN528/BF528,
AND(L528="semi_elasticity",M528="level"),O528*AN528,
AND(L528="semi_elasticity",M528="sd (Y)"),O528*AN528*BH528,
AND(L528="semi_elasticity",M528="sd (X)"),O528*AN528/AQ528,
AND(L528="level-log",M528="level"),O528/BF528,
AND(L528="level-log",M528="sd (X)"),O528/BF528/AQ528,
AND(L528="level-log",M528="sd (Y)"),O528/BF528*BH528,
AND(L528="elasticity",M528="level"),O528,
AND(L528="elasticity",M528="sd (X)"),O528/AQ528,
AND(L528="elasticity",M528="sd (Y)"),O528*BH528,
AND(L528="marginal_effect",M528="percent_of_mean"),O528*AN528/BF528/10)</f>
        <v>#VALUE!</v>
      </c>
      <c r="AH528" s="56" t="e">
        <f t="shared" si="213"/>
        <v>#VALUE!</v>
      </c>
      <c r="AI528" s="88">
        <f t="shared" si="203"/>
        <v>-0.25680127523910734</v>
      </c>
      <c r="AJ528" s="55">
        <v>0</v>
      </c>
      <c r="AK528" s="55" t="s">
        <v>312</v>
      </c>
      <c r="AL528" s="55" t="s">
        <v>735</v>
      </c>
      <c r="AM528" s="76" t="s">
        <v>1411</v>
      </c>
      <c r="AN528" s="76">
        <v>4.5960000000000001</v>
      </c>
      <c r="AO528" s="76">
        <v>1</v>
      </c>
      <c r="AP528" s="76">
        <f t="shared" si="197"/>
        <v>4.5960000000000001</v>
      </c>
      <c r="AQ528" s="76">
        <v>0.48299999999999998</v>
      </c>
      <c r="AR528" s="76">
        <v>2.89</v>
      </c>
      <c r="AS528" s="76">
        <v>6.1840000000000002</v>
      </c>
      <c r="AT528" s="55" t="s">
        <v>83</v>
      </c>
      <c r="AU528" s="55" t="s">
        <v>109</v>
      </c>
      <c r="AV528" s="55" t="s">
        <v>133</v>
      </c>
      <c r="AW528" s="55" t="s">
        <v>85</v>
      </c>
      <c r="AX528" s="55" t="s">
        <v>86</v>
      </c>
      <c r="AY528" s="55">
        <v>0</v>
      </c>
      <c r="AZ528" s="55">
        <v>0</v>
      </c>
      <c r="BA528" s="55" t="s">
        <v>734</v>
      </c>
      <c r="BB528" s="55" t="s">
        <v>88</v>
      </c>
      <c r="BC528" s="55" t="s">
        <v>89</v>
      </c>
      <c r="BD528" s="55" t="s">
        <v>114</v>
      </c>
      <c r="BE528" s="55" t="s">
        <v>1169</v>
      </c>
      <c r="BF528" s="55">
        <v>18.82</v>
      </c>
      <c r="BG528" s="55">
        <v>1</v>
      </c>
      <c r="BH528" s="55">
        <v>16.25</v>
      </c>
      <c r="BI528" s="55">
        <v>-218.25</v>
      </c>
      <c r="BJ528" s="55">
        <v>370.012</v>
      </c>
      <c r="BK528" s="55" t="s">
        <v>91</v>
      </c>
      <c r="BL528" s="55" t="s">
        <v>84</v>
      </c>
      <c r="BM528" s="55">
        <v>1</v>
      </c>
      <c r="BN528" s="55" t="s">
        <v>539</v>
      </c>
      <c r="BO528" s="55" t="s">
        <v>1175</v>
      </c>
      <c r="BP528" s="55" t="s">
        <v>1176</v>
      </c>
      <c r="BQ528" s="55" t="s">
        <v>117</v>
      </c>
      <c r="BR528" s="55" t="s">
        <v>93</v>
      </c>
      <c r="BS528" s="55">
        <v>26.151</v>
      </c>
      <c r="BT528" s="55">
        <v>0</v>
      </c>
      <c r="BU528" s="55">
        <v>2014</v>
      </c>
      <c r="BV528" s="55">
        <v>2019</v>
      </c>
      <c r="BW528" s="55" t="s">
        <v>736</v>
      </c>
      <c r="BX528" s="55" t="s">
        <v>95</v>
      </c>
      <c r="BY528" s="55" t="s">
        <v>748</v>
      </c>
      <c r="BZ528" s="55">
        <v>1</v>
      </c>
      <c r="CA528" s="55">
        <v>1</v>
      </c>
      <c r="CB528" s="55" t="s">
        <v>1211</v>
      </c>
      <c r="CC528" s="55" t="s">
        <v>1177</v>
      </c>
      <c r="CD528" s="55">
        <v>1</v>
      </c>
      <c r="CE528" s="55" t="s">
        <v>1182</v>
      </c>
      <c r="CF528" s="55">
        <v>0</v>
      </c>
      <c r="CG528" s="55" t="s">
        <v>97</v>
      </c>
      <c r="CH528" s="55">
        <v>1</v>
      </c>
      <c r="CI528" s="55" t="s">
        <v>509</v>
      </c>
      <c r="CJ528" s="55" t="s">
        <v>98</v>
      </c>
      <c r="CK528" s="55">
        <v>61</v>
      </c>
      <c r="CL528" s="55">
        <v>0</v>
      </c>
      <c r="CM528" s="55">
        <v>0</v>
      </c>
      <c r="CN528" s="55" t="s">
        <v>124</v>
      </c>
      <c r="CO528" s="55" t="s">
        <v>940</v>
      </c>
      <c r="CP528" s="55" t="s">
        <v>100</v>
      </c>
      <c r="CQ528" s="55" t="s">
        <v>126</v>
      </c>
      <c r="CR528" s="57">
        <v>46226</v>
      </c>
      <c r="CT528" s="55" t="s">
        <v>1259</v>
      </c>
    </row>
    <row r="529" spans="1:98" s="55" customFormat="1" x14ac:dyDescent="0.35">
      <c r="A529" s="54" t="s">
        <v>1170</v>
      </c>
      <c r="B529" s="54" t="s">
        <v>1250</v>
      </c>
      <c r="C529" s="55" t="s">
        <v>1171</v>
      </c>
      <c r="D529" s="55">
        <v>2023</v>
      </c>
      <c r="E529" s="54" t="s">
        <v>1172</v>
      </c>
      <c r="F529" s="54" t="s">
        <v>1173</v>
      </c>
      <c r="G529" s="55" t="s">
        <v>78</v>
      </c>
      <c r="H529" s="55">
        <v>1</v>
      </c>
      <c r="I529" s="55" t="s">
        <v>290</v>
      </c>
      <c r="J529" s="55" t="s">
        <v>1174</v>
      </c>
      <c r="K529" s="55">
        <v>12</v>
      </c>
      <c r="L529" s="55" t="s">
        <v>1179</v>
      </c>
      <c r="M529" s="55" t="s">
        <v>380</v>
      </c>
      <c r="N529" s="55">
        <v>-5.944</v>
      </c>
      <c r="O529" s="55">
        <v>0.51100000000000001</v>
      </c>
      <c r="P529" s="88">
        <f>N529/O529</f>
        <v>-11.632093933463796</v>
      </c>
      <c r="Q529" s="55" t="s">
        <v>312</v>
      </c>
      <c r="R529" s="88">
        <f>N529-1.96*O529</f>
        <v>-6.9455600000000004</v>
      </c>
      <c r="S529" s="88">
        <f>N529+1.96*O529</f>
        <v>-4.9424399999999995</v>
      </c>
      <c r="T529" s="55">
        <v>1</v>
      </c>
      <c r="U529" s="55">
        <v>21519</v>
      </c>
      <c r="V529" s="55">
        <v>10</v>
      </c>
      <c r="W529" s="55">
        <v>1</v>
      </c>
      <c r="X529" s="55">
        <f t="shared" si="201"/>
        <v>21509</v>
      </c>
      <c r="Y529" s="88" t="s">
        <v>312</v>
      </c>
      <c r="Z529" s="88" t="s">
        <v>312</v>
      </c>
      <c r="AA529" s="88" t="s">
        <v>312</v>
      </c>
      <c r="AB529" s="55" t="s">
        <v>81</v>
      </c>
      <c r="AC529" s="88">
        <f t="shared" si="202"/>
        <v>-0.31583421891604674</v>
      </c>
      <c r="AD529" s="88" cm="1">
        <f t="array" ref="AD529">_xlfn.IFS(
AND(L529="marginal_effect",M529="level"),N529*AN529/BF529,
AND(L529="marginal_effect",M529="sd (Y)"),N529*BH529*AN529/BF529,
AND(L529="marginal_effect",M529="sd (X)"),N529/AQ529*AN529/BF529,
AND(L529="semi_elasticity",M529="level"),N529*AN529,
AND(L529="semi_elasticity",M529="sd (Y)"),N529*AN529*BH529,
AND(L529="semi_elasticity",M529="sd (X)"),N529*AN529/AQ529,
AND(L529="level-log",M529="level"),N529/BF529,
AND(L529="level-log",M529="sd (X)"),N529/BF529/AQ529,
AND(L529="level-log",M529="sd (Y)"),N529/BF529*BH529,
AND(L529="elasticity",M529="level"),N529,
AND(L529="elasticity",M529="sd (X)"),N529/AQ529,
AND(L529="elasticity",M529="sd (Y)"),N529*BH529,
AND(L529="marginal_effect",M529="percent_of_mean"),N529*AN529/BF529/10)</f>
        <v>-0.31583421891604674</v>
      </c>
      <c r="AE529" s="56">
        <f t="shared" si="212"/>
        <v>1</v>
      </c>
      <c r="AF529" s="88">
        <f>O529/BF529</f>
        <v>2.7151965993623805E-2</v>
      </c>
      <c r="AG529" s="88" cm="1">
        <f t="array" ref="AG529">_xlfn.IFS(
AND(L529="marginal_effect",M529="level"),O529*AN529/BF529,
AND(L529="marginal_effect",M529="sd (Y)"),O529*BH529*AN529/BF529,
AND(L529="marginal_effect",M529="sd (X)"),O529/AQ529*AN529/BF529,
AND(L529="semi_elasticity",M529="level"),O529*AN529,
AND(L529="semi_elasticity",M529="sd (Y)"),O529*AN529*BH529,
AND(L529="semi_elasticity",M529="sd (X)"),O529*AN529/AQ529,
AND(L529="level-log",M529="level"),O529/BF529,
AND(L529="level-log",M529="sd (X)"),O529/BF529/AQ529,
AND(L529="level-log",M529="sd (Y)"),O529/BF529*BH529,
AND(L529="elasticity",M529="level"),O529,
AND(L529="elasticity",M529="sd (X)"),O529/AQ529,
AND(L529="elasticity",M529="sd (Y)"),O529*BH529,
AND(L529="marginal_effect",M529="percent_of_mean"),O529*AN529/BF529/10)</f>
        <v>2.7151965993623805E-2</v>
      </c>
      <c r="AH529" s="56">
        <f t="shared" si="213"/>
        <v>1</v>
      </c>
      <c r="AI529" s="88">
        <f t="shared" si="203"/>
        <v>-0.31583421891604674</v>
      </c>
      <c r="AJ529" s="55">
        <v>0</v>
      </c>
      <c r="AK529" s="55">
        <f>IF(P529=(AC529/AF529),1,0)</f>
        <v>1</v>
      </c>
      <c r="AL529" s="55" t="s">
        <v>735</v>
      </c>
      <c r="AM529" s="76" t="s">
        <v>1411</v>
      </c>
      <c r="AN529" s="76">
        <v>4.5960000000000001</v>
      </c>
      <c r="AO529" s="76">
        <v>1</v>
      </c>
      <c r="AP529" s="76">
        <f t="shared" si="197"/>
        <v>4.5960000000000001</v>
      </c>
      <c r="AQ529" s="76">
        <v>0.48299999999999998</v>
      </c>
      <c r="AR529" s="76">
        <v>2.89</v>
      </c>
      <c r="AS529" s="76">
        <v>6.1840000000000002</v>
      </c>
      <c r="AT529" s="55" t="s">
        <v>83</v>
      </c>
      <c r="AU529" s="55" t="s">
        <v>109</v>
      </c>
      <c r="AV529" s="55" t="s">
        <v>133</v>
      </c>
      <c r="AW529" s="55" t="s">
        <v>85</v>
      </c>
      <c r="AX529" s="55" t="s">
        <v>86</v>
      </c>
      <c r="AY529" s="55">
        <v>0</v>
      </c>
      <c r="AZ529" s="55">
        <v>0</v>
      </c>
      <c r="BA529" s="55" t="s">
        <v>734</v>
      </c>
      <c r="BB529" s="55" t="s">
        <v>88</v>
      </c>
      <c r="BC529" s="55" t="s">
        <v>89</v>
      </c>
      <c r="BD529" s="55" t="s">
        <v>114</v>
      </c>
      <c r="BE529" s="55" t="s">
        <v>1169</v>
      </c>
      <c r="BF529" s="55">
        <v>18.82</v>
      </c>
      <c r="BG529" s="55">
        <v>1</v>
      </c>
      <c r="BH529" s="55">
        <v>16.25</v>
      </c>
      <c r="BI529" s="55">
        <v>-218.25</v>
      </c>
      <c r="BJ529" s="55">
        <v>370.012</v>
      </c>
      <c r="BK529" s="55" t="s">
        <v>91</v>
      </c>
      <c r="BL529" s="55" t="s">
        <v>84</v>
      </c>
      <c r="BM529" s="55">
        <v>1</v>
      </c>
      <c r="BN529" s="55" t="s">
        <v>539</v>
      </c>
      <c r="BO529" s="55" t="s">
        <v>1175</v>
      </c>
      <c r="BP529" s="55" t="s">
        <v>1176</v>
      </c>
      <c r="BQ529" s="55" t="s">
        <v>117</v>
      </c>
      <c r="BR529" s="55" t="s">
        <v>93</v>
      </c>
      <c r="BS529" s="55">
        <v>26.151</v>
      </c>
      <c r="BT529" s="55">
        <v>0</v>
      </c>
      <c r="BU529" s="55">
        <v>2014</v>
      </c>
      <c r="BV529" s="55">
        <v>2019</v>
      </c>
      <c r="BW529" s="55" t="s">
        <v>736</v>
      </c>
      <c r="BX529" s="55" t="s">
        <v>95</v>
      </c>
      <c r="BY529" s="55" t="s">
        <v>748</v>
      </c>
      <c r="BZ529" s="55">
        <v>1</v>
      </c>
      <c r="CA529" s="55">
        <v>1</v>
      </c>
      <c r="CB529" s="55" t="s">
        <v>1211</v>
      </c>
      <c r="CC529" s="55" t="s">
        <v>1181</v>
      </c>
      <c r="CD529" s="55">
        <v>1</v>
      </c>
      <c r="CE529" s="55" t="s">
        <v>1182</v>
      </c>
      <c r="CF529" s="55">
        <v>0</v>
      </c>
      <c r="CG529" s="55" t="s">
        <v>97</v>
      </c>
      <c r="CH529" s="55">
        <v>1</v>
      </c>
      <c r="CI529" s="55" t="s">
        <v>509</v>
      </c>
      <c r="CJ529" s="55" t="s">
        <v>98</v>
      </c>
      <c r="CK529" s="55">
        <v>61</v>
      </c>
      <c r="CL529" s="55">
        <v>0</v>
      </c>
      <c r="CM529" s="55">
        <v>0</v>
      </c>
      <c r="CN529" s="55" t="s">
        <v>124</v>
      </c>
      <c r="CO529" s="55" t="s">
        <v>940</v>
      </c>
      <c r="CP529" s="55" t="s">
        <v>100</v>
      </c>
      <c r="CQ529" s="55" t="s">
        <v>126</v>
      </c>
      <c r="CR529" s="57">
        <v>46226</v>
      </c>
      <c r="CT529" s="55" t="s">
        <v>1259</v>
      </c>
    </row>
    <row r="530" spans="1:98" s="55" customFormat="1" x14ac:dyDescent="0.35">
      <c r="A530" s="54" t="s">
        <v>1170</v>
      </c>
      <c r="B530" s="54" t="s">
        <v>1251</v>
      </c>
      <c r="C530" s="55" t="s">
        <v>1171</v>
      </c>
      <c r="D530" s="55">
        <v>2023</v>
      </c>
      <c r="E530" s="54" t="s">
        <v>1172</v>
      </c>
      <c r="F530" s="54" t="s">
        <v>1173</v>
      </c>
      <c r="G530" s="55" t="s">
        <v>78</v>
      </c>
      <c r="H530" s="55">
        <v>1</v>
      </c>
      <c r="I530" s="55" t="s">
        <v>290</v>
      </c>
      <c r="J530" s="55" t="s">
        <v>1174</v>
      </c>
      <c r="K530" s="55">
        <v>12</v>
      </c>
      <c r="L530" s="55" t="s">
        <v>1179</v>
      </c>
      <c r="M530" s="55" t="s">
        <v>380</v>
      </c>
      <c r="N530" s="55">
        <f>-5.53+1.092</f>
        <v>-4.4380000000000006</v>
      </c>
      <c r="O530" s="55" t="s">
        <v>312</v>
      </c>
      <c r="P530" s="88" t="s">
        <v>312</v>
      </c>
      <c r="Q530" s="55" t="s">
        <v>312</v>
      </c>
      <c r="R530" s="88" t="s">
        <v>312</v>
      </c>
      <c r="S530" s="88" t="s">
        <v>312</v>
      </c>
      <c r="T530" s="55" t="s">
        <v>312</v>
      </c>
      <c r="U530" s="55">
        <v>21519</v>
      </c>
      <c r="V530" s="55">
        <v>10</v>
      </c>
      <c r="W530" s="55">
        <v>1</v>
      </c>
      <c r="X530" s="55">
        <f t="shared" si="201"/>
        <v>21509</v>
      </c>
      <c r="Y530" s="88" t="s">
        <v>312</v>
      </c>
      <c r="Z530" s="88" t="s">
        <v>312</v>
      </c>
      <c r="AA530" s="88" t="s">
        <v>312</v>
      </c>
      <c r="AB530" s="55" t="s">
        <v>312</v>
      </c>
      <c r="AC530" s="88">
        <f t="shared" si="202"/>
        <v>-0.23581296493092457</v>
      </c>
      <c r="AD530" s="88" cm="1">
        <f t="array" ref="AD530">_xlfn.IFS(
AND(L530="marginal_effect",M530="level"),N530*AN530/BF530,
AND(L530="marginal_effect",M530="sd (Y)"),N530*BH530*AN530/BF530,
AND(L530="marginal_effect",M530="sd (X)"),N530/AQ530*AN530/BF530,
AND(L530="semi_elasticity",M530="level"),N530*AN530,
AND(L530="semi_elasticity",M530="sd (Y)"),N530*AN530*BH530,
AND(L530="semi_elasticity",M530="sd (X)"),N530*AN530/AQ530,
AND(L530="level-log",M530="level"),N530/BF530,
AND(L530="level-log",M530="sd (X)"),N530/BF530/AQ530,
AND(L530="level-log",M530="sd (Y)"),N530/BF530*BH530,
AND(L530="elasticity",M530="level"),N530,
AND(L530="elasticity",M530="sd (X)"),N530/AQ530,
AND(L530="elasticity",M530="sd (Y)"),N530*BH530,
AND(L530="marginal_effect",M530="percent_of_mean"),N530*AN530/BF530/10)</f>
        <v>-0.23581296493092457</v>
      </c>
      <c r="AE530" s="56">
        <f t="shared" si="212"/>
        <v>1</v>
      </c>
      <c r="AF530" s="88" t="s">
        <v>312</v>
      </c>
      <c r="AG530" s="88" t="e" cm="1">
        <f t="array" ref="AG530">_xlfn.IFS(
AND(L530="marginal_effect",M530="level"),O530*AN530/BF530,
AND(L530="marginal_effect",M530="sd (Y)"),O530*BH530*AN530/BF530,
AND(L530="marginal_effect",M530="sd (X)"),O530/AQ530*AN530/BF530,
AND(L530="semi_elasticity",M530="level"),O530*AN530,
AND(L530="semi_elasticity",M530="sd (Y)"),O530*AN530*BH530,
AND(L530="semi_elasticity",M530="sd (X)"),O530*AN530/AQ530,
AND(L530="level-log",M530="level"),O530/BF530,
AND(L530="level-log",M530="sd (X)"),O530/BF530/AQ530,
AND(L530="level-log",M530="sd (Y)"),O530/BF530*BH530,
AND(L530="elasticity",M530="level"),O530,
AND(L530="elasticity",M530="sd (X)"),O530/AQ530,
AND(L530="elasticity",M530="sd (Y)"),O530*BH530,
AND(L530="marginal_effect",M530="percent_of_mean"),O530*AN530/BF530/10)</f>
        <v>#VALUE!</v>
      </c>
      <c r="AH530" s="56" t="e">
        <f t="shared" si="213"/>
        <v>#VALUE!</v>
      </c>
      <c r="AI530" s="88">
        <f t="shared" si="203"/>
        <v>-0.23581296493092457</v>
      </c>
      <c r="AJ530" s="55">
        <v>0</v>
      </c>
      <c r="AK530" s="55" t="s">
        <v>312</v>
      </c>
      <c r="AL530" s="55" t="s">
        <v>735</v>
      </c>
      <c r="AM530" s="76" t="s">
        <v>1411</v>
      </c>
      <c r="AN530" s="76">
        <v>4.5960000000000001</v>
      </c>
      <c r="AO530" s="76">
        <v>1</v>
      </c>
      <c r="AP530" s="76">
        <f t="shared" si="197"/>
        <v>4.5960000000000001</v>
      </c>
      <c r="AQ530" s="76">
        <v>0.48299999999999998</v>
      </c>
      <c r="AR530" s="76">
        <v>2.89</v>
      </c>
      <c r="AS530" s="76">
        <v>6.1840000000000002</v>
      </c>
      <c r="AT530" s="55" t="s">
        <v>83</v>
      </c>
      <c r="AU530" s="55" t="s">
        <v>109</v>
      </c>
      <c r="AV530" s="55" t="s">
        <v>133</v>
      </c>
      <c r="AW530" s="55" t="s">
        <v>85</v>
      </c>
      <c r="AX530" s="55" t="s">
        <v>86</v>
      </c>
      <c r="AY530" s="55">
        <v>0</v>
      </c>
      <c r="AZ530" s="55">
        <v>0</v>
      </c>
      <c r="BA530" s="55" t="s">
        <v>734</v>
      </c>
      <c r="BB530" s="55" t="s">
        <v>88</v>
      </c>
      <c r="BC530" s="55" t="s">
        <v>89</v>
      </c>
      <c r="BD530" s="55" t="s">
        <v>114</v>
      </c>
      <c r="BE530" s="55" t="s">
        <v>1169</v>
      </c>
      <c r="BF530" s="55">
        <v>18.82</v>
      </c>
      <c r="BG530" s="55">
        <v>1</v>
      </c>
      <c r="BH530" s="55">
        <v>16.25</v>
      </c>
      <c r="BI530" s="55">
        <v>-218.25</v>
      </c>
      <c r="BJ530" s="55">
        <v>370.012</v>
      </c>
      <c r="BK530" s="55" t="s">
        <v>91</v>
      </c>
      <c r="BL530" s="55" t="s">
        <v>84</v>
      </c>
      <c r="BM530" s="55">
        <v>1</v>
      </c>
      <c r="BN530" s="55" t="s">
        <v>539</v>
      </c>
      <c r="BO530" s="55" t="s">
        <v>1175</v>
      </c>
      <c r="BP530" s="55" t="s">
        <v>1176</v>
      </c>
      <c r="BQ530" s="55" t="s">
        <v>117</v>
      </c>
      <c r="BR530" s="55" t="s">
        <v>93</v>
      </c>
      <c r="BS530" s="55">
        <v>26.151</v>
      </c>
      <c r="BT530" s="55">
        <v>0</v>
      </c>
      <c r="BU530" s="55">
        <v>2014</v>
      </c>
      <c r="BV530" s="55">
        <v>2019</v>
      </c>
      <c r="BW530" s="55" t="s">
        <v>736</v>
      </c>
      <c r="BX530" s="55" t="s">
        <v>95</v>
      </c>
      <c r="BY530" s="55" t="s">
        <v>748</v>
      </c>
      <c r="BZ530" s="55">
        <v>1</v>
      </c>
      <c r="CA530" s="55">
        <v>1</v>
      </c>
      <c r="CB530" s="55" t="s">
        <v>1211</v>
      </c>
      <c r="CC530" s="55" t="s">
        <v>1177</v>
      </c>
      <c r="CD530" s="55">
        <v>1</v>
      </c>
      <c r="CE530" s="55" t="s">
        <v>1182</v>
      </c>
      <c r="CF530" s="55">
        <v>0</v>
      </c>
      <c r="CG530" s="55" t="s">
        <v>97</v>
      </c>
      <c r="CH530" s="55">
        <v>1</v>
      </c>
      <c r="CI530" s="55" t="s">
        <v>509</v>
      </c>
      <c r="CJ530" s="55" t="s">
        <v>98</v>
      </c>
      <c r="CK530" s="55">
        <v>61</v>
      </c>
      <c r="CL530" s="55">
        <v>0</v>
      </c>
      <c r="CM530" s="55">
        <v>0</v>
      </c>
      <c r="CN530" s="55" t="s">
        <v>124</v>
      </c>
      <c r="CO530" s="55" t="s">
        <v>940</v>
      </c>
      <c r="CP530" s="55" t="s">
        <v>100</v>
      </c>
      <c r="CQ530" s="55" t="s">
        <v>126</v>
      </c>
      <c r="CR530" s="57">
        <v>46226</v>
      </c>
      <c r="CT530" s="55" t="s">
        <v>1258</v>
      </c>
    </row>
    <row r="531" spans="1:98" s="55" customFormat="1" x14ac:dyDescent="0.35">
      <c r="A531" s="54" t="s">
        <v>1170</v>
      </c>
      <c r="B531" s="54" t="s">
        <v>1252</v>
      </c>
      <c r="C531" s="55" t="s">
        <v>1171</v>
      </c>
      <c r="D531" s="55">
        <v>2023</v>
      </c>
      <c r="E531" s="54" t="s">
        <v>1172</v>
      </c>
      <c r="F531" s="54" t="s">
        <v>1173</v>
      </c>
      <c r="G531" s="55" t="s">
        <v>78</v>
      </c>
      <c r="H531" s="55">
        <v>1</v>
      </c>
      <c r="I531" s="55" t="s">
        <v>290</v>
      </c>
      <c r="J531" s="55" t="s">
        <v>1174</v>
      </c>
      <c r="K531" s="55">
        <v>12</v>
      </c>
      <c r="L531" s="55" t="s">
        <v>1179</v>
      </c>
      <c r="M531" s="55" t="s">
        <v>380</v>
      </c>
      <c r="N531" s="55">
        <v>-5.53</v>
      </c>
      <c r="O531" s="55">
        <v>0.502</v>
      </c>
      <c r="P531" s="88">
        <f>N531/O531</f>
        <v>-11.01593625498008</v>
      </c>
      <c r="Q531" s="55" t="s">
        <v>312</v>
      </c>
      <c r="R531" s="88">
        <f>N531-1.96*O531</f>
        <v>-6.5139200000000006</v>
      </c>
      <c r="S531" s="88">
        <f>N531+1.96*O531</f>
        <v>-4.5460799999999999</v>
      </c>
      <c r="T531" s="55">
        <v>1</v>
      </c>
      <c r="U531" s="55">
        <v>21519</v>
      </c>
      <c r="V531" s="55">
        <v>10</v>
      </c>
      <c r="W531" s="55">
        <v>1</v>
      </c>
      <c r="X531" s="55">
        <f t="shared" si="201"/>
        <v>21509</v>
      </c>
      <c r="Y531" s="88" t="s">
        <v>312</v>
      </c>
      <c r="Z531" s="88" t="s">
        <v>312</v>
      </c>
      <c r="AA531" s="88" t="s">
        <v>312</v>
      </c>
      <c r="AB531" s="55" t="s">
        <v>81</v>
      </c>
      <c r="AC531" s="88">
        <f t="shared" si="202"/>
        <v>-0.29383634431455896</v>
      </c>
      <c r="AD531" s="88" cm="1">
        <f t="array" ref="AD531">_xlfn.IFS(
AND(L531="marginal_effect",M531="level"),N531*AN531/BF531,
AND(L531="marginal_effect",M531="sd (Y)"),N531*BH531*AN531/BF531,
AND(L531="marginal_effect",M531="sd (X)"),N531/AQ531*AN531/BF531,
AND(L531="semi_elasticity",M531="level"),N531*AN531,
AND(L531="semi_elasticity",M531="sd (Y)"),N531*AN531*BH531,
AND(L531="semi_elasticity",M531="sd (X)"),N531*AN531/AQ531,
AND(L531="level-log",M531="level"),N531/BF531,
AND(L531="level-log",M531="sd (X)"),N531/BF531/AQ531,
AND(L531="level-log",M531="sd (Y)"),N531/BF531*BH531,
AND(L531="elasticity",M531="level"),N531,
AND(L531="elasticity",M531="sd (X)"),N531/AQ531,
AND(L531="elasticity",M531="sd (Y)"),N531*BH531,
AND(L531="marginal_effect",M531="percent_of_mean"),N531*AN531/BF531/10)</f>
        <v>-0.29383634431455896</v>
      </c>
      <c r="AE531" s="56">
        <f t="shared" si="212"/>
        <v>1</v>
      </c>
      <c r="AF531" s="88">
        <f>O531/BF531</f>
        <v>2.667375132837407E-2</v>
      </c>
      <c r="AG531" s="88" cm="1">
        <f t="array" ref="AG531">_xlfn.IFS(
AND(L531="marginal_effect",M531="level"),O531*AN531/BF531,
AND(L531="marginal_effect",M531="sd (Y)"),O531*BH531*AN531/BF531,
AND(L531="marginal_effect",M531="sd (X)"),O531/AQ531*AN531/BF531,
AND(L531="semi_elasticity",M531="level"),O531*AN531,
AND(L531="semi_elasticity",M531="sd (Y)"),O531*AN531*BH531,
AND(L531="semi_elasticity",M531="sd (X)"),O531*AN531/AQ531,
AND(L531="level-log",M531="level"),O531/BF531,
AND(L531="level-log",M531="sd (X)"),O531/BF531/AQ531,
AND(L531="level-log",M531="sd (Y)"),O531/BF531*BH531,
AND(L531="elasticity",M531="level"),O531,
AND(L531="elasticity",M531="sd (X)"),O531/AQ531,
AND(L531="elasticity",M531="sd (Y)"),O531*BH531,
AND(L531="marginal_effect",M531="percent_of_mean"),O531*AN531/BF531/10)</f>
        <v>2.667375132837407E-2</v>
      </c>
      <c r="AH531" s="56">
        <f t="shared" si="213"/>
        <v>1</v>
      </c>
      <c r="AI531" s="88">
        <f t="shared" si="203"/>
        <v>-0.29383634431455896</v>
      </c>
      <c r="AJ531" s="55">
        <v>0</v>
      </c>
      <c r="AK531" s="55">
        <f>IF(P531=(AC531/AF531),1,0)</f>
        <v>1</v>
      </c>
      <c r="AL531" s="55" t="s">
        <v>735</v>
      </c>
      <c r="AM531" s="76" t="s">
        <v>1411</v>
      </c>
      <c r="AN531" s="76">
        <v>4.5960000000000001</v>
      </c>
      <c r="AO531" s="76">
        <v>1</v>
      </c>
      <c r="AP531" s="76">
        <f t="shared" si="197"/>
        <v>4.5960000000000001</v>
      </c>
      <c r="AQ531" s="76">
        <v>0.48299999999999998</v>
      </c>
      <c r="AR531" s="76">
        <v>2.89</v>
      </c>
      <c r="AS531" s="76">
        <v>6.1840000000000002</v>
      </c>
      <c r="AT531" s="55" t="s">
        <v>83</v>
      </c>
      <c r="AU531" s="55" t="s">
        <v>109</v>
      </c>
      <c r="AV531" s="55" t="s">
        <v>133</v>
      </c>
      <c r="AW531" s="55" t="s">
        <v>85</v>
      </c>
      <c r="AX531" s="55" t="s">
        <v>86</v>
      </c>
      <c r="AY531" s="55">
        <v>0</v>
      </c>
      <c r="AZ531" s="55">
        <v>0</v>
      </c>
      <c r="BA531" s="55" t="s">
        <v>734</v>
      </c>
      <c r="BB531" s="55" t="s">
        <v>88</v>
      </c>
      <c r="BC531" s="55" t="s">
        <v>89</v>
      </c>
      <c r="BD531" s="55" t="s">
        <v>114</v>
      </c>
      <c r="BE531" s="55" t="s">
        <v>1169</v>
      </c>
      <c r="BF531" s="55">
        <v>18.82</v>
      </c>
      <c r="BG531" s="55">
        <v>1</v>
      </c>
      <c r="BH531" s="55">
        <v>16.25</v>
      </c>
      <c r="BI531" s="55">
        <v>-218.25</v>
      </c>
      <c r="BJ531" s="55">
        <v>370.012</v>
      </c>
      <c r="BK531" s="55" t="s">
        <v>91</v>
      </c>
      <c r="BL531" s="55" t="s">
        <v>84</v>
      </c>
      <c r="BM531" s="55">
        <v>1</v>
      </c>
      <c r="BN531" s="55" t="s">
        <v>539</v>
      </c>
      <c r="BO531" s="55" t="s">
        <v>1175</v>
      </c>
      <c r="BP531" s="55" t="s">
        <v>1176</v>
      </c>
      <c r="BQ531" s="55" t="s">
        <v>117</v>
      </c>
      <c r="BR531" s="55" t="s">
        <v>93</v>
      </c>
      <c r="BS531" s="55">
        <v>26.151</v>
      </c>
      <c r="BT531" s="55">
        <v>0</v>
      </c>
      <c r="BU531" s="55">
        <v>2014</v>
      </c>
      <c r="BV531" s="55">
        <v>2019</v>
      </c>
      <c r="BW531" s="55" t="s">
        <v>736</v>
      </c>
      <c r="BX531" s="55" t="s">
        <v>95</v>
      </c>
      <c r="BY531" s="55" t="s">
        <v>748</v>
      </c>
      <c r="BZ531" s="55">
        <v>1</v>
      </c>
      <c r="CA531" s="55">
        <v>1</v>
      </c>
      <c r="CB531" s="55" t="s">
        <v>1211</v>
      </c>
      <c r="CC531" s="55" t="s">
        <v>1181</v>
      </c>
      <c r="CD531" s="55">
        <v>1</v>
      </c>
      <c r="CE531" s="55" t="s">
        <v>1182</v>
      </c>
      <c r="CF531" s="55">
        <v>0</v>
      </c>
      <c r="CG531" s="55" t="s">
        <v>97</v>
      </c>
      <c r="CH531" s="55">
        <v>1</v>
      </c>
      <c r="CI531" s="55" t="s">
        <v>509</v>
      </c>
      <c r="CJ531" s="55" t="s">
        <v>98</v>
      </c>
      <c r="CK531" s="55">
        <v>61</v>
      </c>
      <c r="CL531" s="55">
        <v>0</v>
      </c>
      <c r="CM531" s="55">
        <v>0</v>
      </c>
      <c r="CN531" s="55" t="s">
        <v>124</v>
      </c>
      <c r="CO531" s="55" t="s">
        <v>940</v>
      </c>
      <c r="CP531" s="55" t="s">
        <v>100</v>
      </c>
      <c r="CQ531" s="55" t="s">
        <v>126</v>
      </c>
      <c r="CR531" s="57">
        <v>46226</v>
      </c>
      <c r="CT531" s="55" t="s">
        <v>1258</v>
      </c>
    </row>
    <row r="532" spans="1:98" s="55" customFormat="1" x14ac:dyDescent="0.35">
      <c r="A532" s="54" t="s">
        <v>1170</v>
      </c>
      <c r="B532" s="54" t="s">
        <v>1253</v>
      </c>
      <c r="C532" s="55" t="s">
        <v>1171</v>
      </c>
      <c r="D532" s="55">
        <v>2023</v>
      </c>
      <c r="E532" s="54" t="s">
        <v>1172</v>
      </c>
      <c r="F532" s="54" t="s">
        <v>1173</v>
      </c>
      <c r="G532" s="55" t="s">
        <v>78</v>
      </c>
      <c r="H532" s="55">
        <v>1</v>
      </c>
      <c r="I532" s="55" t="s">
        <v>290</v>
      </c>
      <c r="J532" s="55" t="s">
        <v>1174</v>
      </c>
      <c r="K532" s="55">
        <v>12</v>
      </c>
      <c r="L532" s="55" t="s">
        <v>1179</v>
      </c>
      <c r="M532" s="55" t="s">
        <v>380</v>
      </c>
      <c r="N532" s="55">
        <v>-4.9459999999999997</v>
      </c>
      <c r="O532" s="55">
        <v>0.28100000000000003</v>
      </c>
      <c r="P532" s="88">
        <v>-3.0096649484536084</v>
      </c>
      <c r="Q532" s="55" t="s">
        <v>312</v>
      </c>
      <c r="R532" s="88">
        <v>-7.7129200000000004</v>
      </c>
      <c r="S532" s="88">
        <v>-1.6290800000000001</v>
      </c>
      <c r="T532" s="55">
        <v>1</v>
      </c>
      <c r="U532" s="55">
        <v>21519</v>
      </c>
      <c r="V532" s="55">
        <v>6</v>
      </c>
      <c r="W532" s="55">
        <v>1</v>
      </c>
      <c r="X532" s="55">
        <v>21513</v>
      </c>
      <c r="Y532" s="88">
        <v>-2.0515223411198266E-2</v>
      </c>
      <c r="Z532" s="88">
        <v>6.8164475988395862E-3</v>
      </c>
      <c r="AA532" s="88">
        <v>2.0515223411198266E-2</v>
      </c>
      <c r="AB532" s="55" t="s">
        <v>81</v>
      </c>
      <c r="AC532" s="88">
        <f t="shared" si="202"/>
        <v>-0.26280552603613178</v>
      </c>
      <c r="AD532" s="88" cm="1">
        <f t="array" ref="AD532">_xlfn.IFS(
AND(L532="marginal_effect",M532="level"),N532*AN532/BF532,
AND(L532="marginal_effect",M532="sd (Y)"),N532*BH532*AN532/BF532,
AND(L532="marginal_effect",M532="sd (X)"),N532/AQ532*AN532/BF532,
AND(L532="semi_elasticity",M532="level"),N532*AN532,
AND(L532="semi_elasticity",M532="sd (Y)"),N532*AN532*BH532,
AND(L532="semi_elasticity",M532="sd (X)"),N532*AN532/AQ532,
AND(L532="level-log",M532="level"),N532/BF532,
AND(L532="level-log",M532="sd (X)"),N532/BF532/AQ532,
AND(L532="level-log",M532="sd (Y)"),N532/BF532*BH532,
AND(L532="elasticity",M532="level"),N532,
AND(L532="elasticity",M532="sd (X)"),N532/AQ532,
AND(L532="elasticity",M532="sd (Y)"),N532*BH532,
AND(L532="marginal_effect",M532="percent_of_mean"),N532*AN532/BF532/10)</f>
        <v>-0.26280552603613178</v>
      </c>
      <c r="AE532" s="56">
        <f t="shared" si="212"/>
        <v>1</v>
      </c>
      <c r="AF532" s="88">
        <f>O532/BF532</f>
        <v>1.4930924548352818E-2</v>
      </c>
      <c r="AG532" s="88" cm="1">
        <f t="array" ref="AG532">_xlfn.IFS(
AND(L532="marginal_effect",M532="level"),O532*AN532/BF532,
AND(L532="marginal_effect",M532="sd (Y)"),O532*BH532*AN532/BF532,
AND(L532="marginal_effect",M532="sd (X)"),O532/AQ532*AN532/BF532,
AND(L532="semi_elasticity",M532="level"),O532*AN532,
AND(L532="semi_elasticity",M532="sd (Y)"),O532*AN532*BH532,
AND(L532="semi_elasticity",M532="sd (X)"),O532*AN532/AQ532,
AND(L532="level-log",M532="level"),O532/BF532,
AND(L532="level-log",M532="sd (X)"),O532/BF532/AQ532,
AND(L532="level-log",M532="sd (Y)"),O532/BF532*BH532,
AND(L532="elasticity",M532="level"),O532,
AND(L532="elasticity",M532="sd (X)"),O532/AQ532,
AND(L532="elasticity",M532="sd (Y)"),O532*BH532,
AND(L532="marginal_effect",M532="percent_of_mean"),O532*AN532/BF532/10)</f>
        <v>1.4930924548352818E-2</v>
      </c>
      <c r="AH532" s="56">
        <f t="shared" si="213"/>
        <v>1</v>
      </c>
      <c r="AI532" s="88">
        <v>-0.24819341126461211</v>
      </c>
      <c r="AJ532" s="55">
        <v>0</v>
      </c>
      <c r="AK532" s="55">
        <v>1</v>
      </c>
      <c r="AL532" s="55" t="s">
        <v>735</v>
      </c>
      <c r="AM532" s="76" t="s">
        <v>1411</v>
      </c>
      <c r="AN532" s="76">
        <v>4.5960000000000001</v>
      </c>
      <c r="AO532" s="76">
        <v>0</v>
      </c>
      <c r="AP532" s="76">
        <f t="shared" si="197"/>
        <v>4.5960000000000001</v>
      </c>
      <c r="AQ532" s="76">
        <v>0.48299999999999998</v>
      </c>
      <c r="AR532" s="76">
        <v>2.89</v>
      </c>
      <c r="AS532" s="76">
        <v>6.1840000000000002</v>
      </c>
      <c r="AT532" s="55" t="s">
        <v>83</v>
      </c>
      <c r="AU532" s="55" t="s">
        <v>109</v>
      </c>
      <c r="AV532" s="55" t="s">
        <v>133</v>
      </c>
      <c r="AW532" s="55" t="s">
        <v>85</v>
      </c>
      <c r="AX532" s="55" t="s">
        <v>86</v>
      </c>
      <c r="AY532" s="55">
        <v>0</v>
      </c>
      <c r="AZ532" s="55">
        <v>0</v>
      </c>
      <c r="BA532" s="55" t="s">
        <v>734</v>
      </c>
      <c r="BB532" s="55" t="s">
        <v>88</v>
      </c>
      <c r="BC532" s="55" t="s">
        <v>89</v>
      </c>
      <c r="BD532" s="55" t="s">
        <v>114</v>
      </c>
      <c r="BE532" s="55" t="s">
        <v>1169</v>
      </c>
      <c r="BF532" s="55">
        <v>18.82</v>
      </c>
      <c r="BG532" s="55">
        <v>0</v>
      </c>
      <c r="BH532" s="55">
        <v>16.25</v>
      </c>
      <c r="BI532" s="55">
        <v>-218.25</v>
      </c>
      <c r="BJ532" s="55">
        <v>370.012</v>
      </c>
      <c r="BK532" s="55" t="s">
        <v>91</v>
      </c>
      <c r="BL532" s="55" t="s">
        <v>84</v>
      </c>
      <c r="BM532" s="55">
        <v>1</v>
      </c>
      <c r="BN532" s="55" t="s">
        <v>539</v>
      </c>
      <c r="BO532" s="55" t="s">
        <v>1175</v>
      </c>
      <c r="BP532" s="55" t="s">
        <v>1176</v>
      </c>
      <c r="BQ532" s="55" t="s">
        <v>117</v>
      </c>
      <c r="BR532" s="55" t="s">
        <v>93</v>
      </c>
      <c r="BS532" s="55">
        <v>26.151</v>
      </c>
      <c r="BT532" s="55">
        <v>0</v>
      </c>
      <c r="BU532" s="55">
        <v>2014</v>
      </c>
      <c r="BV532" s="55">
        <v>2019</v>
      </c>
      <c r="BW532" s="55" t="s">
        <v>736</v>
      </c>
      <c r="BX532" s="55" t="s">
        <v>95</v>
      </c>
      <c r="BY532" s="55" t="s">
        <v>748</v>
      </c>
      <c r="BZ532" s="55">
        <v>1</v>
      </c>
      <c r="CA532" s="55">
        <v>1</v>
      </c>
      <c r="CB532" s="55" t="s">
        <v>1211</v>
      </c>
      <c r="CC532" s="55" t="s">
        <v>1256</v>
      </c>
      <c r="CD532" s="55">
        <v>0</v>
      </c>
      <c r="CE532" s="55" t="s">
        <v>97</v>
      </c>
      <c r="CF532" s="55">
        <v>0</v>
      </c>
      <c r="CG532" s="55" t="s">
        <v>97</v>
      </c>
      <c r="CH532" s="55">
        <v>1</v>
      </c>
      <c r="CI532" s="55" t="s">
        <v>509</v>
      </c>
      <c r="CJ532" s="55" t="s">
        <v>98</v>
      </c>
      <c r="CK532" s="55">
        <v>61</v>
      </c>
      <c r="CL532" s="55">
        <v>0</v>
      </c>
      <c r="CM532" s="55">
        <v>0</v>
      </c>
      <c r="CN532" s="55" t="s">
        <v>124</v>
      </c>
      <c r="CO532" s="55" t="s">
        <v>97</v>
      </c>
      <c r="CP532" s="55" t="s">
        <v>100</v>
      </c>
      <c r="CQ532" s="55" t="s">
        <v>126</v>
      </c>
      <c r="CR532" s="57">
        <v>46226</v>
      </c>
      <c r="CT532" s="55" t="s">
        <v>1260</v>
      </c>
    </row>
    <row r="533" spans="1:98" s="55" customFormat="1" x14ac:dyDescent="0.35">
      <c r="A533" s="54" t="s">
        <v>1170</v>
      </c>
      <c r="B533" s="54" t="s">
        <v>1254</v>
      </c>
      <c r="C533" s="55" t="s">
        <v>1171</v>
      </c>
      <c r="D533" s="55">
        <v>2023</v>
      </c>
      <c r="E533" s="54" t="s">
        <v>1172</v>
      </c>
      <c r="F533" s="54" t="s">
        <v>1173</v>
      </c>
      <c r="G533" s="55" t="s">
        <v>78</v>
      </c>
      <c r="H533" s="55">
        <v>1</v>
      </c>
      <c r="I533" s="55" t="s">
        <v>290</v>
      </c>
      <c r="J533" s="55" t="s">
        <v>1174</v>
      </c>
      <c r="K533" s="55">
        <v>12</v>
      </c>
      <c r="L533" s="55" t="s">
        <v>1179</v>
      </c>
      <c r="M533" s="55" t="s">
        <v>380</v>
      </c>
      <c r="N533" s="55">
        <v>-5.024</v>
      </c>
      <c r="O533" s="55">
        <v>0.28799999999999998</v>
      </c>
      <c r="P533" s="88">
        <v>-2.1992031872509963</v>
      </c>
      <c r="Q533" s="55" t="s">
        <v>312</v>
      </c>
      <c r="R533" s="88">
        <v>-8.35168</v>
      </c>
      <c r="S533" s="88">
        <v>-0.4803200000000003</v>
      </c>
      <c r="T533" s="55">
        <v>1</v>
      </c>
      <c r="U533" s="55">
        <v>21519</v>
      </c>
      <c r="V533" s="55">
        <v>10</v>
      </c>
      <c r="W533" s="55">
        <v>1</v>
      </c>
      <c r="X533" s="55">
        <v>21509</v>
      </c>
      <c r="Y533" s="88">
        <v>-1.4993617396092845E-2</v>
      </c>
      <c r="Z533" s="88">
        <v>6.8177499391654057E-3</v>
      </c>
      <c r="AA533" s="88">
        <v>1.4993617396092845E-2</v>
      </c>
      <c r="AB533" s="55" t="s">
        <v>81</v>
      </c>
      <c r="AC533" s="88">
        <f t="shared" si="202"/>
        <v>-0.26695005313496278</v>
      </c>
      <c r="AD533" s="88" cm="1">
        <f t="array" ref="AD533">_xlfn.IFS(
AND(L533="marginal_effect",M533="level"),N533*AN533/BF533,
AND(L533="marginal_effect",M533="sd (Y)"),N533*BH533*AN533/BF533,
AND(L533="marginal_effect",M533="sd (X)"),N533/AQ533*AN533/BF533,
AND(L533="semi_elasticity",M533="level"),N533*AN533,
AND(L533="semi_elasticity",M533="sd (Y)"),N533*AN533*BH533,
AND(L533="semi_elasticity",M533="sd (X)"),N533*AN533/AQ533,
AND(L533="level-log",M533="level"),N533/BF533,
AND(L533="level-log",M533="sd (X)"),N533/BF533/AQ533,
AND(L533="level-log",M533="sd (Y)"),N533/BF533*BH533,
AND(L533="elasticity",M533="level"),N533,
AND(L533="elasticity",M533="sd (X)"),N533/AQ533,
AND(L533="elasticity",M533="sd (Y)"),N533*BH533,
AND(L533="marginal_effect",M533="percent_of_mean"),N533*AN533/BF533/10)</f>
        <v>-0.26695005313496278</v>
      </c>
      <c r="AE533" s="56">
        <f t="shared" si="212"/>
        <v>1</v>
      </c>
      <c r="AF533" s="88">
        <f>O533/BF533</f>
        <v>1.5302869287991497E-2</v>
      </c>
      <c r="AG533" s="88" cm="1">
        <f t="array" ref="AG533">_xlfn.IFS(
AND(L533="marginal_effect",M533="level"),O533*AN533/BF533,
AND(L533="marginal_effect",M533="sd (Y)"),O533*BH533*AN533/BF533,
AND(L533="marginal_effect",M533="sd (X)"),O533/AQ533*AN533/BF533,
AND(L533="semi_elasticity",M533="level"),O533*AN533,
AND(L533="semi_elasticity",M533="sd (Y)"),O533*AN533*BH533,
AND(L533="semi_elasticity",M533="sd (X)"),O533*AN533/AQ533,
AND(L533="level-log",M533="level"),O533/BF533,
AND(L533="level-log",M533="sd (X)"),O533/BF533/AQ533,
AND(L533="level-log",M533="sd (Y)"),O533/BF533*BH533,
AND(L533="elasticity",M533="level"),O533,
AND(L533="elasticity",M533="sd (X)"),O533/AQ533,
AND(L533="elasticity",M533="sd (Y)"),O533*BH533,
AND(L533="marginal_effect",M533="percent_of_mean"),O533*AN533/BF533/10)</f>
        <v>1.5302869287991497E-2</v>
      </c>
      <c r="AH533" s="56">
        <f t="shared" si="213"/>
        <v>1</v>
      </c>
      <c r="AI533" s="88">
        <v>-0.234643995749203</v>
      </c>
      <c r="AJ533" s="55">
        <v>0</v>
      </c>
      <c r="AK533" s="55">
        <v>1</v>
      </c>
      <c r="AL533" s="55" t="s">
        <v>735</v>
      </c>
      <c r="AM533" s="76" t="s">
        <v>1411</v>
      </c>
      <c r="AN533" s="76">
        <v>4.5960000000000001</v>
      </c>
      <c r="AO533" s="76">
        <v>0</v>
      </c>
      <c r="AP533" s="76">
        <f t="shared" si="197"/>
        <v>4.5960000000000001</v>
      </c>
      <c r="AQ533" s="76">
        <v>0.48299999999999998</v>
      </c>
      <c r="AR533" s="76">
        <v>2.89</v>
      </c>
      <c r="AS533" s="76">
        <v>6.1840000000000002</v>
      </c>
      <c r="AT533" s="55" t="s">
        <v>83</v>
      </c>
      <c r="AU533" s="55" t="s">
        <v>109</v>
      </c>
      <c r="AV533" s="55" t="s">
        <v>133</v>
      </c>
      <c r="AW533" s="55" t="s">
        <v>85</v>
      </c>
      <c r="AX533" s="55" t="s">
        <v>86</v>
      </c>
      <c r="AY533" s="55">
        <v>0</v>
      </c>
      <c r="AZ533" s="55">
        <v>0</v>
      </c>
      <c r="BA533" s="55" t="s">
        <v>734</v>
      </c>
      <c r="BB533" s="55" t="s">
        <v>88</v>
      </c>
      <c r="BC533" s="55" t="s">
        <v>89</v>
      </c>
      <c r="BD533" s="55" t="s">
        <v>114</v>
      </c>
      <c r="BE533" s="55" t="s">
        <v>1169</v>
      </c>
      <c r="BF533" s="55">
        <v>18.82</v>
      </c>
      <c r="BG533" s="55">
        <v>0</v>
      </c>
      <c r="BH533" s="55">
        <v>16.25</v>
      </c>
      <c r="BI533" s="55">
        <v>-218.25</v>
      </c>
      <c r="BJ533" s="55">
        <v>370.012</v>
      </c>
      <c r="BK533" s="55" t="s">
        <v>91</v>
      </c>
      <c r="BL533" s="55" t="s">
        <v>84</v>
      </c>
      <c r="BM533" s="55">
        <v>1</v>
      </c>
      <c r="BN533" s="55" t="s">
        <v>539</v>
      </c>
      <c r="BO533" s="55" t="s">
        <v>1175</v>
      </c>
      <c r="BP533" s="55" t="s">
        <v>1176</v>
      </c>
      <c r="BQ533" s="55" t="s">
        <v>117</v>
      </c>
      <c r="BR533" s="55" t="s">
        <v>93</v>
      </c>
      <c r="BS533" s="55">
        <v>26.151</v>
      </c>
      <c r="BT533" s="55">
        <v>0</v>
      </c>
      <c r="BU533" s="55">
        <v>2014</v>
      </c>
      <c r="BV533" s="55">
        <v>2019</v>
      </c>
      <c r="BW533" s="55" t="s">
        <v>736</v>
      </c>
      <c r="BX533" s="55" t="s">
        <v>95</v>
      </c>
      <c r="BY533" s="55" t="s">
        <v>748</v>
      </c>
      <c r="BZ533" s="55">
        <v>1</v>
      </c>
      <c r="CA533" s="55">
        <v>1</v>
      </c>
      <c r="CB533" s="55" t="s">
        <v>1211</v>
      </c>
      <c r="CC533" s="55" t="s">
        <v>1256</v>
      </c>
      <c r="CD533" s="55">
        <v>1</v>
      </c>
      <c r="CE533" s="55" t="s">
        <v>1182</v>
      </c>
      <c r="CF533" s="55">
        <v>0</v>
      </c>
      <c r="CG533" s="55" t="s">
        <v>97</v>
      </c>
      <c r="CH533" s="55">
        <v>1</v>
      </c>
      <c r="CI533" s="55" t="s">
        <v>509</v>
      </c>
      <c r="CJ533" s="55" t="s">
        <v>98</v>
      </c>
      <c r="CK533" s="55">
        <v>61</v>
      </c>
      <c r="CL533" s="55">
        <v>0</v>
      </c>
      <c r="CM533" s="55">
        <v>0</v>
      </c>
      <c r="CN533" s="55" t="s">
        <v>124</v>
      </c>
      <c r="CO533" s="55" t="s">
        <v>97</v>
      </c>
      <c r="CP533" s="55" t="s">
        <v>100</v>
      </c>
      <c r="CQ533" s="55" t="s">
        <v>126</v>
      </c>
      <c r="CR533" s="57">
        <v>46226</v>
      </c>
      <c r="CT533" s="55" t="s">
        <v>1261</v>
      </c>
    </row>
    <row r="534" spans="1:98" s="55" customFormat="1" x14ac:dyDescent="0.35">
      <c r="A534" s="54" t="s">
        <v>1170</v>
      </c>
      <c r="B534" s="54" t="s">
        <v>1255</v>
      </c>
      <c r="C534" s="55" t="s">
        <v>1171</v>
      </c>
      <c r="D534" s="55">
        <v>2023</v>
      </c>
      <c r="E534" s="54" t="s">
        <v>1172</v>
      </c>
      <c r="F534" s="54" t="s">
        <v>1173</v>
      </c>
      <c r="G534" s="55" t="s">
        <v>78</v>
      </c>
      <c r="H534" s="55">
        <v>1</v>
      </c>
      <c r="I534" s="55" t="s">
        <v>290</v>
      </c>
      <c r="J534" s="55" t="s">
        <v>1174</v>
      </c>
      <c r="K534" s="55">
        <v>12</v>
      </c>
      <c r="L534" s="55" t="s">
        <v>1179</v>
      </c>
      <c r="M534" s="55" t="s">
        <v>380</v>
      </c>
      <c r="N534" s="55">
        <v>-5.024</v>
      </c>
      <c r="O534" s="55">
        <v>0.28799999999999998</v>
      </c>
      <c r="P534" s="88">
        <v>-2.0947890818858559</v>
      </c>
      <c r="Q534" s="55" t="s">
        <v>312</v>
      </c>
      <c r="R534" s="88">
        <v>-8.1704000000000008</v>
      </c>
      <c r="S534" s="88">
        <v>-0.27159999999999984</v>
      </c>
      <c r="T534" s="55">
        <v>1</v>
      </c>
      <c r="U534" s="55">
        <v>21519</v>
      </c>
      <c r="V534" s="55">
        <v>10</v>
      </c>
      <c r="W534" s="55">
        <v>1</v>
      </c>
      <c r="X534" s="55">
        <v>21509</v>
      </c>
      <c r="Y534" s="88">
        <v>-1.4281896955395787E-2</v>
      </c>
      <c r="Z534" s="88">
        <v>6.8178209820238134E-3</v>
      </c>
      <c r="AA534" s="88">
        <v>1.4281896955395787E-2</v>
      </c>
      <c r="AB534" s="55" t="s">
        <v>81</v>
      </c>
      <c r="AC534" s="88">
        <f t="shared" si="202"/>
        <v>-0.26695005313496278</v>
      </c>
      <c r="AD534" s="88" cm="1">
        <f t="array" ref="AD534">_xlfn.IFS(
AND(L534="marginal_effect",M534="level"),N534*AN534/BF534,
AND(L534="marginal_effect",M534="sd (Y)"),N534*BH534*AN534/BF534,
AND(L534="marginal_effect",M534="sd (X)"),N534/AQ534*AN534/BF534,
AND(L534="semi_elasticity",M534="level"),N534*AN534,
AND(L534="semi_elasticity",M534="sd (Y)"),N534*AN534*BH534,
AND(L534="semi_elasticity",M534="sd (X)"),N534*AN534/AQ534,
AND(L534="level-log",M534="level"),N534/BF534,
AND(L534="level-log",M534="sd (X)"),N534/BF534/AQ534,
AND(L534="level-log",M534="sd (Y)"),N534/BF534*BH534,
AND(L534="elasticity",M534="level"),N534,
AND(L534="elasticity",M534="sd (X)"),N534/AQ534,
AND(L534="elasticity",M534="sd (Y)"),N534*BH534,
AND(L534="marginal_effect",M534="percent_of_mean"),N534*AN534/BF534/10)</f>
        <v>-0.26695005313496278</v>
      </c>
      <c r="AE534" s="56">
        <f t="shared" si="212"/>
        <v>1</v>
      </c>
      <c r="AF534" s="88">
        <f>O534/BF534</f>
        <v>1.5302869287991497E-2</v>
      </c>
      <c r="AG534" s="88" cm="1">
        <f t="array" ref="AG534">_xlfn.IFS(
AND(L534="marginal_effect",M534="level"),O534*AN534/BF534,
AND(L534="marginal_effect",M534="sd (Y)"),O534*BH534*AN534/BF534,
AND(L534="marginal_effect",M534="sd (X)"),O534/AQ534*AN534/BF534,
AND(L534="semi_elasticity",M534="level"),O534*AN534,
AND(L534="semi_elasticity",M534="sd (Y)"),O534*AN534*BH534,
AND(L534="semi_elasticity",M534="sd (X)"),O534*AN534/AQ534,
AND(L534="level-log",M534="level"),O534/BF534,
AND(L534="level-log",M534="sd (X)"),O534/BF534/AQ534,
AND(L534="level-log",M534="sd (Y)"),O534/BF534*BH534,
AND(L534="elasticity",M534="level"),O534,
AND(L534="elasticity",M534="sd (X)"),O534/AQ534,
AND(L534="elasticity",M534="sd (Y)"),O534*BH534,
AND(L534="marginal_effect",M534="percent_of_mean"),O534*AN534/BF534/10)</f>
        <v>1.5302869287991497E-2</v>
      </c>
      <c r="AH534" s="56">
        <f t="shared" si="213"/>
        <v>1</v>
      </c>
      <c r="AI534" s="88">
        <v>-0.2242826780021254</v>
      </c>
      <c r="AJ534" s="55">
        <v>0</v>
      </c>
      <c r="AK534" s="55">
        <v>1</v>
      </c>
      <c r="AL534" s="55" t="s">
        <v>735</v>
      </c>
      <c r="AM534" s="76" t="s">
        <v>1411</v>
      </c>
      <c r="AN534" s="76">
        <v>4.5960000000000001</v>
      </c>
      <c r="AO534" s="76">
        <v>0</v>
      </c>
      <c r="AP534" s="76">
        <f t="shared" si="197"/>
        <v>4.5960000000000001</v>
      </c>
      <c r="AQ534" s="76">
        <v>0.48299999999999998</v>
      </c>
      <c r="AR534" s="76">
        <v>2.89</v>
      </c>
      <c r="AS534" s="76">
        <v>6.1840000000000002</v>
      </c>
      <c r="AT534" s="55" t="s">
        <v>83</v>
      </c>
      <c r="AU534" s="55" t="s">
        <v>109</v>
      </c>
      <c r="AV534" s="55" t="s">
        <v>133</v>
      </c>
      <c r="AW534" s="55" t="s">
        <v>85</v>
      </c>
      <c r="AX534" s="55" t="s">
        <v>86</v>
      </c>
      <c r="AY534" s="55">
        <v>0</v>
      </c>
      <c r="AZ534" s="55">
        <v>0</v>
      </c>
      <c r="BA534" s="55" t="s">
        <v>734</v>
      </c>
      <c r="BB534" s="55" t="s">
        <v>88</v>
      </c>
      <c r="BC534" s="55" t="s">
        <v>89</v>
      </c>
      <c r="BD534" s="55" t="s">
        <v>114</v>
      </c>
      <c r="BE534" s="55" t="s">
        <v>1169</v>
      </c>
      <c r="BF534" s="55">
        <v>18.82</v>
      </c>
      <c r="BG534" s="55">
        <v>0</v>
      </c>
      <c r="BH534" s="55">
        <v>16.25</v>
      </c>
      <c r="BI534" s="55">
        <v>-218.25</v>
      </c>
      <c r="BJ534" s="55">
        <v>370.012</v>
      </c>
      <c r="BK534" s="55" t="s">
        <v>91</v>
      </c>
      <c r="BL534" s="55" t="s">
        <v>84</v>
      </c>
      <c r="BM534" s="55">
        <v>1</v>
      </c>
      <c r="BN534" s="55" t="s">
        <v>539</v>
      </c>
      <c r="BO534" s="55" t="s">
        <v>1175</v>
      </c>
      <c r="BP534" s="55" t="s">
        <v>1176</v>
      </c>
      <c r="BQ534" s="55" t="s">
        <v>117</v>
      </c>
      <c r="BR534" s="55" t="s">
        <v>93</v>
      </c>
      <c r="BS534" s="55">
        <v>26.151</v>
      </c>
      <c r="BT534" s="55">
        <v>0</v>
      </c>
      <c r="BU534" s="55">
        <v>2014</v>
      </c>
      <c r="BV534" s="55">
        <v>2019</v>
      </c>
      <c r="BW534" s="55" t="s">
        <v>736</v>
      </c>
      <c r="BX534" s="55" t="s">
        <v>95</v>
      </c>
      <c r="BY534" s="55" t="s">
        <v>748</v>
      </c>
      <c r="BZ534" s="55">
        <v>1</v>
      </c>
      <c r="CA534" s="55">
        <v>1</v>
      </c>
      <c r="CB534" s="55" t="s">
        <v>1211</v>
      </c>
      <c r="CC534" s="55" t="s">
        <v>1256</v>
      </c>
      <c r="CD534" s="55">
        <v>1</v>
      </c>
      <c r="CE534" s="55" t="s">
        <v>1182</v>
      </c>
      <c r="CF534" s="55">
        <v>0</v>
      </c>
      <c r="CG534" s="55" t="s">
        <v>97</v>
      </c>
      <c r="CH534" s="55">
        <v>1</v>
      </c>
      <c r="CI534" s="55" t="s">
        <v>509</v>
      </c>
      <c r="CJ534" s="55" t="s">
        <v>98</v>
      </c>
      <c r="CK534" s="55">
        <v>61</v>
      </c>
      <c r="CL534" s="55">
        <v>0</v>
      </c>
      <c r="CM534" s="55">
        <v>0</v>
      </c>
      <c r="CN534" s="55" t="s">
        <v>124</v>
      </c>
      <c r="CO534" s="55" t="s">
        <v>97</v>
      </c>
      <c r="CP534" s="55" t="s">
        <v>100</v>
      </c>
      <c r="CQ534" s="55" t="s">
        <v>126</v>
      </c>
      <c r="CR534" s="57">
        <v>46226</v>
      </c>
      <c r="CT534" s="55" t="s">
        <v>1262</v>
      </c>
    </row>
    <row r="535" spans="1:98" s="71" customFormat="1" x14ac:dyDescent="0.35">
      <c r="A535" s="74" t="s">
        <v>1304</v>
      </c>
      <c r="B535" s="74" t="s">
        <v>1332</v>
      </c>
      <c r="C535" s="71" t="s">
        <v>1302</v>
      </c>
      <c r="D535" s="71">
        <v>2016</v>
      </c>
      <c r="E535" s="74" t="s">
        <v>1301</v>
      </c>
      <c r="F535" s="74" t="s">
        <v>1300</v>
      </c>
      <c r="G535" s="71" t="s">
        <v>102</v>
      </c>
      <c r="H535" s="71">
        <v>0</v>
      </c>
      <c r="I535" s="71" t="s">
        <v>390</v>
      </c>
      <c r="J535" s="71" t="s">
        <v>128</v>
      </c>
      <c r="K535" s="71">
        <v>208</v>
      </c>
      <c r="L535" s="71" t="s">
        <v>129</v>
      </c>
      <c r="M535" s="71" t="s">
        <v>380</v>
      </c>
      <c r="N535" s="71">
        <v>-1.6799999999999999E-2</v>
      </c>
      <c r="O535" s="71">
        <v>5.4999999999999997E-3</v>
      </c>
      <c r="P535" s="93">
        <f t="shared" ref="P535:P564" si="214">N535/O535</f>
        <v>-3.0545454545454547</v>
      </c>
      <c r="Q535" s="71" t="s">
        <v>312</v>
      </c>
      <c r="R535" s="93">
        <f t="shared" ref="R535:R564" si="215">N535-1.96*O535</f>
        <v>-2.758E-2</v>
      </c>
      <c r="S535" s="93">
        <f t="shared" ref="S535:S564" si="216">N535+1.96*O535</f>
        <v>-6.0199999999999993E-3</v>
      </c>
      <c r="T535" s="71">
        <v>1</v>
      </c>
      <c r="U535" s="71">
        <v>3722</v>
      </c>
      <c r="V535" s="71">
        <v>12</v>
      </c>
      <c r="W535" s="71">
        <v>1</v>
      </c>
      <c r="X535" s="71">
        <f t="shared" ref="X535:X560" si="217">U535-V535</f>
        <v>3710</v>
      </c>
      <c r="Y535" s="93">
        <f t="shared" ref="Y535:Y564" si="218">P535/(P535^2 + X535)^(1/2)</f>
        <v>-5.0085754586256602E-2</v>
      </c>
      <c r="Z535" s="93">
        <f t="shared" ref="Z535:Z564" si="219">((1-Y535^2)/X535)^(1/2)</f>
        <v>1.6397122037167342E-2</v>
      </c>
      <c r="AA535" s="93">
        <f t="shared" ref="AA535:AA549" si="220">Y535</f>
        <v>-5.0085754586256602E-2</v>
      </c>
      <c r="AB535" s="71" t="s">
        <v>81</v>
      </c>
      <c r="AC535" s="93">
        <f t="shared" ref="AC535:AC560" si="221">N535*AN535/BF535</f>
        <v>-7.7481599999999995</v>
      </c>
      <c r="AD535" s="93" cm="1">
        <f t="array" ref="AD535">_xlfn.IFS(
AND(L535="marginal_effect",M535="level"),N535*AN535/BF535,
AND(L535="marginal_effect",M535="sd (Y)"),N535*BH535*AN535/BF535,
AND(L535="marginal_effect",M535="sd (X)"),N535/AQ535*AN535/BF535,
AND(L535="semi_elasticity",M535="level"),N535*AN535,
AND(L535="semi_elasticity",M535="sd (Y)"),N535*AN535*BH535,
AND(L535="semi_elasticity",M535="sd (X)"),N535*AN535/AQ535,
AND(L535="level-log",M535="level"),N535/BF535,
AND(L535="level-log",M535="sd (X)"),N535/BF535/AQ535,
AND(L535="level-log",M535="sd (Y)"),N535/BF535*BH535,
AND(L535="elasticity",M535="level"),N535,
AND(L535="elasticity",M535="sd (X)"),N535/AQ535,
AND(L535="elasticity",M535="sd (Y)"),N535*BH535,
AND(L535="marginal_effect",M535="percent_of_mean"),N535*AN535/BF535/10)</f>
        <v>-7.7481599999999995</v>
      </c>
      <c r="AE535" s="49">
        <f t="shared" si="212"/>
        <v>1</v>
      </c>
      <c r="AF535" s="93">
        <f t="shared" ref="AF535:AF560" si="222">O535*AN535/BF535</f>
        <v>2.5366</v>
      </c>
      <c r="AG535" s="93" cm="1">
        <f t="array" ref="AG535">_xlfn.IFS(
AND(L535="marginal_effect",M535="level"),O535*AN535/BF535,
AND(L535="marginal_effect",M535="sd (Y)"),O535*BH535*AN535/BF535,
AND(L535="marginal_effect",M535="sd (X)"),O535/AQ535*AN535/BF535,
AND(L535="semi_elasticity",M535="level"),O535*AN535,
AND(L535="semi_elasticity",M535="sd (Y)"),O535*AN535*BH535,
AND(L535="semi_elasticity",M535="sd (X)"),O535*AN535/AQ535,
AND(L535="level-log",M535="level"),O535/BF535,
AND(L535="level-log",M535="sd (X)"),O535/BF535/AQ535,
AND(L535="level-log",M535="sd (Y)"),O535/BF535*BH535,
AND(L535="elasticity",M535="level"),O535,
AND(L535="elasticity",M535="sd (X)"),O535/AQ535,
AND(L535="elasticity",M535="sd (Y)"),O535*BH535,
AND(L535="marginal_effect",M535="percent_of_mean"),O535*AN535/BF535/10)</f>
        <v>2.5366</v>
      </c>
      <c r="AH535" s="49">
        <f t="shared" si="213"/>
        <v>1</v>
      </c>
      <c r="AI535" s="93">
        <f t="shared" ref="AI535:AI549" si="223">AC535</f>
        <v>-7.7481599999999995</v>
      </c>
      <c r="AJ535" s="71">
        <v>0</v>
      </c>
      <c r="AK535" s="71">
        <f t="shared" ref="AK535:AK564" si="224">IF(P535=(AC535/AF535),1,0)</f>
        <v>1</v>
      </c>
      <c r="AL535" s="71" t="s">
        <v>82</v>
      </c>
      <c r="AM535" s="71" t="s">
        <v>1333</v>
      </c>
      <c r="AN535" s="71">
        <v>11.53</v>
      </c>
      <c r="AO535" s="71">
        <v>0</v>
      </c>
      <c r="AP535" s="71">
        <f t="shared" si="197"/>
        <v>11.53</v>
      </c>
      <c r="AQ535" s="71">
        <v>6.97</v>
      </c>
      <c r="AR535" s="71" t="s">
        <v>312</v>
      </c>
      <c r="AS535" s="71">
        <v>75.86</v>
      </c>
      <c r="AT535" s="71" t="s">
        <v>83</v>
      </c>
      <c r="AU535" s="71" t="s">
        <v>109</v>
      </c>
      <c r="AV535" s="71" t="s">
        <v>133</v>
      </c>
      <c r="AW535" s="71" t="s">
        <v>85</v>
      </c>
      <c r="AX535" s="71" t="s">
        <v>86</v>
      </c>
      <c r="AY535" s="71">
        <v>0</v>
      </c>
      <c r="AZ535" s="71">
        <v>0</v>
      </c>
      <c r="BA535" s="71" t="s">
        <v>391</v>
      </c>
      <c r="BB535" s="71" t="s">
        <v>88</v>
      </c>
      <c r="BC535" s="71" t="s">
        <v>113</v>
      </c>
      <c r="BD535" s="71" t="s">
        <v>114</v>
      </c>
      <c r="BE535" s="71" t="s">
        <v>1315</v>
      </c>
      <c r="BF535" s="71">
        <v>2.5000000000000001E-2</v>
      </c>
      <c r="BG535" s="71">
        <v>0</v>
      </c>
      <c r="BH535" s="71">
        <v>1.28</v>
      </c>
      <c r="BI535" s="71" t="s">
        <v>312</v>
      </c>
      <c r="BJ535" s="71" t="s">
        <v>312</v>
      </c>
      <c r="BK535" s="71" t="s">
        <v>91</v>
      </c>
      <c r="BL535" s="71" t="s">
        <v>1298</v>
      </c>
      <c r="BM535" s="71">
        <v>1</v>
      </c>
      <c r="BN535" s="71" t="s">
        <v>428</v>
      </c>
      <c r="BO535" s="71" t="s">
        <v>1297</v>
      </c>
      <c r="BP535" s="71" t="s">
        <v>1296</v>
      </c>
      <c r="BQ535" s="71" t="s">
        <v>92</v>
      </c>
      <c r="BR535" s="71" t="s">
        <v>93</v>
      </c>
      <c r="BS535" s="71" t="s">
        <v>312</v>
      </c>
      <c r="BT535" s="71" t="s">
        <v>312</v>
      </c>
      <c r="BU535" s="73">
        <v>36526</v>
      </c>
      <c r="BV535" s="73">
        <v>41944</v>
      </c>
      <c r="BW535" s="71" t="s">
        <v>94</v>
      </c>
      <c r="BX535" s="71" t="s">
        <v>1295</v>
      </c>
      <c r="BY535" s="71" t="s">
        <v>96</v>
      </c>
      <c r="BZ535" s="71">
        <v>0</v>
      </c>
      <c r="CA535" s="71">
        <v>0</v>
      </c>
      <c r="CB535" s="71" t="s">
        <v>97</v>
      </c>
      <c r="CC535" s="71" t="s">
        <v>313</v>
      </c>
      <c r="CD535" s="71">
        <v>1</v>
      </c>
      <c r="CE535" s="71" t="s">
        <v>1294</v>
      </c>
      <c r="CF535" s="71">
        <v>1</v>
      </c>
      <c r="CG535" s="71" t="s">
        <v>597</v>
      </c>
      <c r="CH535" s="71" t="s">
        <v>312</v>
      </c>
      <c r="CI535" s="71" t="s">
        <v>1293</v>
      </c>
      <c r="CJ535" s="71" t="s">
        <v>98</v>
      </c>
      <c r="CK535" s="71">
        <v>26</v>
      </c>
      <c r="CL535" s="71">
        <v>1</v>
      </c>
      <c r="CM535" s="71">
        <v>1</v>
      </c>
      <c r="CN535" s="72" t="s">
        <v>99</v>
      </c>
      <c r="CO535" s="71" t="s">
        <v>97</v>
      </c>
      <c r="CP535" s="71" t="s">
        <v>100</v>
      </c>
      <c r="CQ535" s="71" t="s">
        <v>126</v>
      </c>
      <c r="CR535" s="72">
        <v>46227</v>
      </c>
      <c r="CT535" s="71" t="s">
        <v>543</v>
      </c>
    </row>
    <row r="536" spans="1:98" s="71" customFormat="1" x14ac:dyDescent="0.35">
      <c r="A536" s="74" t="s">
        <v>1304</v>
      </c>
      <c r="B536" s="74" t="s">
        <v>1331</v>
      </c>
      <c r="C536" s="71" t="s">
        <v>1302</v>
      </c>
      <c r="D536" s="71">
        <v>2016</v>
      </c>
      <c r="E536" s="74" t="s">
        <v>1301</v>
      </c>
      <c r="F536" s="74" t="s">
        <v>1300</v>
      </c>
      <c r="G536" s="71" t="s">
        <v>102</v>
      </c>
      <c r="H536" s="71">
        <v>0</v>
      </c>
      <c r="I536" s="71" t="s">
        <v>390</v>
      </c>
      <c r="J536" s="71" t="s">
        <v>128</v>
      </c>
      <c r="K536" s="71">
        <v>208</v>
      </c>
      <c r="L536" s="71" t="s">
        <v>129</v>
      </c>
      <c r="M536" s="71" t="s">
        <v>380</v>
      </c>
      <c r="N536" s="71">
        <v>-1.66E-2</v>
      </c>
      <c r="O536" s="71">
        <v>5.4999999999999997E-3</v>
      </c>
      <c r="P536" s="93">
        <f t="shared" si="214"/>
        <v>-3.0181818181818185</v>
      </c>
      <c r="Q536" s="71" t="s">
        <v>312</v>
      </c>
      <c r="R536" s="93">
        <f t="shared" si="215"/>
        <v>-2.7380000000000002E-2</v>
      </c>
      <c r="S536" s="93">
        <f t="shared" si="216"/>
        <v>-5.8200000000000005E-3</v>
      </c>
      <c r="T536" s="71">
        <v>1</v>
      </c>
      <c r="U536" s="71">
        <v>3722</v>
      </c>
      <c r="V536" s="71">
        <v>12</v>
      </c>
      <c r="W536" s="71">
        <v>1</v>
      </c>
      <c r="X536" s="71">
        <f t="shared" si="217"/>
        <v>3710</v>
      </c>
      <c r="Y536" s="93">
        <f t="shared" si="218"/>
        <v>-4.9490964829450534E-2</v>
      </c>
      <c r="Z536" s="93">
        <f t="shared" si="219"/>
        <v>1.6397608829034814E-2</v>
      </c>
      <c r="AA536" s="93">
        <f t="shared" si="220"/>
        <v>-4.9490964829450534E-2</v>
      </c>
      <c r="AB536" s="71" t="s">
        <v>81</v>
      </c>
      <c r="AC536" s="93">
        <f t="shared" si="221"/>
        <v>-7.6559199999999992</v>
      </c>
      <c r="AD536" s="93" cm="1">
        <f t="array" ref="AD536">_xlfn.IFS(
AND(L536="marginal_effect",M536="level"),N536*AN536/BF536,
AND(L536="marginal_effect",M536="sd (Y)"),N536*BH536*AN536/BF536,
AND(L536="marginal_effect",M536="sd (X)"),N536/AQ536*AN536/BF536,
AND(L536="semi_elasticity",M536="level"),N536*AN536,
AND(L536="semi_elasticity",M536="sd (Y)"),N536*AN536*BH536,
AND(L536="semi_elasticity",M536="sd (X)"),N536*AN536/AQ536,
AND(L536="level-log",M536="level"),N536/BF536,
AND(L536="level-log",M536="sd (X)"),N536/BF536/AQ536,
AND(L536="level-log",M536="sd (Y)"),N536/BF536*BH536,
AND(L536="elasticity",M536="level"),N536,
AND(L536="elasticity",M536="sd (X)"),N536/AQ536,
AND(L536="elasticity",M536="sd (Y)"),N536*BH536,
AND(L536="marginal_effect",M536="percent_of_mean"),N536*AN536/BF536/10)</f>
        <v>-7.6559199999999992</v>
      </c>
      <c r="AE536" s="49">
        <f t="shared" si="212"/>
        <v>1</v>
      </c>
      <c r="AF536" s="93">
        <f t="shared" si="222"/>
        <v>2.5366</v>
      </c>
      <c r="AG536" s="93" cm="1">
        <f t="array" ref="AG536">_xlfn.IFS(
AND(L536="marginal_effect",M536="level"),O536*AN536/BF536,
AND(L536="marginal_effect",M536="sd (Y)"),O536*BH536*AN536/BF536,
AND(L536="marginal_effect",M536="sd (X)"),O536/AQ536*AN536/BF536,
AND(L536="semi_elasticity",M536="level"),O536*AN536,
AND(L536="semi_elasticity",M536="sd (Y)"),O536*AN536*BH536,
AND(L536="semi_elasticity",M536="sd (X)"),O536*AN536/AQ536,
AND(L536="level-log",M536="level"),O536/BF536,
AND(L536="level-log",M536="sd (X)"),O536/BF536/AQ536,
AND(L536="level-log",M536="sd (Y)"),O536/BF536*BH536,
AND(L536="elasticity",M536="level"),O536,
AND(L536="elasticity",M536="sd (X)"),O536/AQ536,
AND(L536="elasticity",M536="sd (Y)"),O536*BH536,
AND(L536="marginal_effect",M536="percent_of_mean"),O536*AN536/BF536/10)</f>
        <v>2.5366</v>
      </c>
      <c r="AH536" s="49">
        <f t="shared" si="213"/>
        <v>1</v>
      </c>
      <c r="AI536" s="93">
        <f t="shared" si="223"/>
        <v>-7.6559199999999992</v>
      </c>
      <c r="AJ536" s="71">
        <v>0</v>
      </c>
      <c r="AK536" s="71">
        <f t="shared" si="224"/>
        <v>1</v>
      </c>
      <c r="AL536" s="71" t="s">
        <v>82</v>
      </c>
      <c r="AM536" s="71" t="s">
        <v>1333</v>
      </c>
      <c r="AN536" s="71">
        <v>11.53</v>
      </c>
      <c r="AO536" s="71">
        <v>0</v>
      </c>
      <c r="AP536" s="71">
        <f t="shared" si="197"/>
        <v>11.53</v>
      </c>
      <c r="AQ536" s="71">
        <v>6.97</v>
      </c>
      <c r="AR536" s="71" t="s">
        <v>312</v>
      </c>
      <c r="AS536" s="71">
        <v>75.86</v>
      </c>
      <c r="AT536" s="71" t="s">
        <v>83</v>
      </c>
      <c r="AU536" s="71" t="s">
        <v>109</v>
      </c>
      <c r="AV536" s="71" t="s">
        <v>133</v>
      </c>
      <c r="AW536" s="71" t="s">
        <v>85</v>
      </c>
      <c r="AX536" s="71" t="s">
        <v>86</v>
      </c>
      <c r="AY536" s="71">
        <v>0</v>
      </c>
      <c r="AZ536" s="71">
        <v>0</v>
      </c>
      <c r="BA536" s="71" t="s">
        <v>391</v>
      </c>
      <c r="BB536" s="71" t="s">
        <v>88</v>
      </c>
      <c r="BC536" s="71" t="s">
        <v>113</v>
      </c>
      <c r="BD536" s="71" t="s">
        <v>114</v>
      </c>
      <c r="BE536" s="71" t="s">
        <v>1315</v>
      </c>
      <c r="BF536" s="71">
        <v>2.5000000000000001E-2</v>
      </c>
      <c r="BG536" s="71">
        <v>0</v>
      </c>
      <c r="BH536" s="71">
        <v>1.28</v>
      </c>
      <c r="BI536" s="71" t="s">
        <v>312</v>
      </c>
      <c r="BJ536" s="71" t="s">
        <v>312</v>
      </c>
      <c r="BK536" s="71" t="s">
        <v>91</v>
      </c>
      <c r="BL536" s="71" t="s">
        <v>1298</v>
      </c>
      <c r="BM536" s="71">
        <v>1</v>
      </c>
      <c r="BN536" s="71" t="s">
        <v>428</v>
      </c>
      <c r="BO536" s="71" t="s">
        <v>1297</v>
      </c>
      <c r="BP536" s="71" t="s">
        <v>1296</v>
      </c>
      <c r="BQ536" s="71" t="s">
        <v>92</v>
      </c>
      <c r="BR536" s="71" t="s">
        <v>93</v>
      </c>
      <c r="BS536" s="71" t="s">
        <v>312</v>
      </c>
      <c r="BT536" s="71" t="s">
        <v>312</v>
      </c>
      <c r="BU536" s="73">
        <v>36526</v>
      </c>
      <c r="BV536" s="73">
        <v>41944</v>
      </c>
      <c r="BW536" s="71" t="s">
        <v>94</v>
      </c>
      <c r="BX536" s="71" t="s">
        <v>1295</v>
      </c>
      <c r="BY536" s="71" t="s">
        <v>96</v>
      </c>
      <c r="BZ536" s="71">
        <v>0</v>
      </c>
      <c r="CA536" s="71">
        <v>0</v>
      </c>
      <c r="CB536" s="71" t="s">
        <v>97</v>
      </c>
      <c r="CC536" s="71" t="s">
        <v>313</v>
      </c>
      <c r="CD536" s="71">
        <v>1</v>
      </c>
      <c r="CE536" s="71" t="s">
        <v>1294</v>
      </c>
      <c r="CF536" s="71">
        <v>1</v>
      </c>
      <c r="CG536" s="71" t="s">
        <v>597</v>
      </c>
      <c r="CH536" s="71" t="s">
        <v>312</v>
      </c>
      <c r="CI536" s="71" t="s">
        <v>1293</v>
      </c>
      <c r="CJ536" s="71" t="s">
        <v>98</v>
      </c>
      <c r="CK536" s="71">
        <v>26</v>
      </c>
      <c r="CL536" s="71">
        <v>0</v>
      </c>
      <c r="CM536" s="71">
        <v>0</v>
      </c>
      <c r="CN536" s="72" t="s">
        <v>99</v>
      </c>
      <c r="CO536" s="71" t="s">
        <v>97</v>
      </c>
      <c r="CP536" s="71" t="s">
        <v>100</v>
      </c>
      <c r="CQ536" s="71" t="s">
        <v>126</v>
      </c>
      <c r="CR536" s="72">
        <v>46227</v>
      </c>
      <c r="CT536" s="71" t="s">
        <v>549</v>
      </c>
    </row>
    <row r="537" spans="1:98" s="71" customFormat="1" x14ac:dyDescent="0.35">
      <c r="A537" s="74" t="s">
        <v>1304</v>
      </c>
      <c r="B537" s="74" t="s">
        <v>1330</v>
      </c>
      <c r="C537" s="71" t="s">
        <v>1302</v>
      </c>
      <c r="D537" s="71">
        <v>2016</v>
      </c>
      <c r="E537" s="74" t="s">
        <v>1301</v>
      </c>
      <c r="F537" s="74" t="s">
        <v>1300</v>
      </c>
      <c r="G537" s="71" t="s">
        <v>102</v>
      </c>
      <c r="H537" s="71">
        <v>0</v>
      </c>
      <c r="I537" s="71" t="s">
        <v>390</v>
      </c>
      <c r="J537" s="71" t="s">
        <v>128</v>
      </c>
      <c r="K537" s="71">
        <v>208</v>
      </c>
      <c r="L537" s="71" t="s">
        <v>129</v>
      </c>
      <c r="M537" s="71" t="s">
        <v>380</v>
      </c>
      <c r="N537" s="71">
        <v>-4.1999999999999997E-3</v>
      </c>
      <c r="O537" s="71">
        <v>4.7000000000000002E-3</v>
      </c>
      <c r="P537" s="93">
        <f t="shared" si="214"/>
        <v>-0.8936170212765957</v>
      </c>
      <c r="Q537" s="71" t="s">
        <v>312</v>
      </c>
      <c r="R537" s="93">
        <f t="shared" si="215"/>
        <v>-1.3412E-2</v>
      </c>
      <c r="S537" s="93">
        <f t="shared" si="216"/>
        <v>5.012E-3</v>
      </c>
      <c r="T537" s="71">
        <v>1</v>
      </c>
      <c r="U537" s="71">
        <v>3722</v>
      </c>
      <c r="V537" s="71">
        <v>12</v>
      </c>
      <c r="W537" s="71">
        <v>1</v>
      </c>
      <c r="X537" s="71">
        <f t="shared" si="217"/>
        <v>3710</v>
      </c>
      <c r="Y537" s="93">
        <f t="shared" si="218"/>
        <v>-1.4669582141279863E-2</v>
      </c>
      <c r="Z537" s="93">
        <f t="shared" si="219"/>
        <v>1.6415960967622704E-2</v>
      </c>
      <c r="AA537" s="93">
        <f t="shared" si="220"/>
        <v>-1.4669582141279863E-2</v>
      </c>
      <c r="AB537" s="71" t="s">
        <v>81</v>
      </c>
      <c r="AC537" s="93">
        <f t="shared" si="221"/>
        <v>-1.9370399999999999</v>
      </c>
      <c r="AD537" s="93" cm="1">
        <f t="array" ref="AD537">_xlfn.IFS(
AND(L537="marginal_effect",M537="level"),N537*AN537/BF537,
AND(L537="marginal_effect",M537="sd (Y)"),N537*BH537*AN537/BF537,
AND(L537="marginal_effect",M537="sd (X)"),N537/AQ537*AN537/BF537,
AND(L537="semi_elasticity",M537="level"),N537*AN537,
AND(L537="semi_elasticity",M537="sd (Y)"),N537*AN537*BH537,
AND(L537="semi_elasticity",M537="sd (X)"),N537*AN537/AQ537,
AND(L537="level-log",M537="level"),N537/BF537,
AND(L537="level-log",M537="sd (X)"),N537/BF537/AQ537,
AND(L537="level-log",M537="sd (Y)"),N537/BF537*BH537,
AND(L537="elasticity",M537="level"),N537,
AND(L537="elasticity",M537="sd (X)"),N537/AQ537,
AND(L537="elasticity",M537="sd (Y)"),N537*BH537,
AND(L537="marginal_effect",M537="percent_of_mean"),N537*AN537/BF537/10)</f>
        <v>-1.9370399999999999</v>
      </c>
      <c r="AE537" s="49">
        <f t="shared" si="212"/>
        <v>1</v>
      </c>
      <c r="AF537" s="93">
        <f t="shared" si="222"/>
        <v>2.1676399999999996</v>
      </c>
      <c r="AG537" s="93" cm="1">
        <f t="array" ref="AG537">_xlfn.IFS(
AND(L537="marginal_effect",M537="level"),O537*AN537/BF537,
AND(L537="marginal_effect",M537="sd (Y)"),O537*BH537*AN537/BF537,
AND(L537="marginal_effect",M537="sd (X)"),O537/AQ537*AN537/BF537,
AND(L537="semi_elasticity",M537="level"),O537*AN537,
AND(L537="semi_elasticity",M537="sd (Y)"),O537*AN537*BH537,
AND(L537="semi_elasticity",M537="sd (X)"),O537*AN537/AQ537,
AND(L537="level-log",M537="level"),O537/BF537,
AND(L537="level-log",M537="sd (X)"),O537/BF537/AQ537,
AND(L537="level-log",M537="sd (Y)"),O537/BF537*BH537,
AND(L537="elasticity",M537="level"),O537,
AND(L537="elasticity",M537="sd (X)"),O537/AQ537,
AND(L537="elasticity",M537="sd (Y)"),O537*BH537,
AND(L537="marginal_effect",M537="percent_of_mean"),O537*AN537/BF537/10)</f>
        <v>2.1676399999999996</v>
      </c>
      <c r="AH537" s="49">
        <f t="shared" si="213"/>
        <v>1</v>
      </c>
      <c r="AI537" s="93">
        <f t="shared" si="223"/>
        <v>-1.9370399999999999</v>
      </c>
      <c r="AJ537" s="71">
        <v>0</v>
      </c>
      <c r="AK537" s="71">
        <f t="shared" si="224"/>
        <v>1</v>
      </c>
      <c r="AL537" s="71" t="s">
        <v>82</v>
      </c>
      <c r="AM537" s="71" t="s">
        <v>1333</v>
      </c>
      <c r="AN537" s="71">
        <v>11.53</v>
      </c>
      <c r="AO537" s="71">
        <v>0</v>
      </c>
      <c r="AP537" s="71">
        <f t="shared" si="197"/>
        <v>11.53</v>
      </c>
      <c r="AQ537" s="71">
        <v>6.97</v>
      </c>
      <c r="AR537" s="71" t="s">
        <v>312</v>
      </c>
      <c r="AS537" s="71">
        <v>75.86</v>
      </c>
      <c r="AT537" s="71" t="s">
        <v>83</v>
      </c>
      <c r="AU537" s="71" t="s">
        <v>109</v>
      </c>
      <c r="AV537" s="71" t="s">
        <v>133</v>
      </c>
      <c r="AW537" s="71" t="s">
        <v>85</v>
      </c>
      <c r="AX537" s="71" t="s">
        <v>86</v>
      </c>
      <c r="AY537" s="71">
        <v>1</v>
      </c>
      <c r="AZ537" s="71">
        <v>1</v>
      </c>
      <c r="BA537" s="71" t="s">
        <v>391</v>
      </c>
      <c r="BB537" s="71" t="s">
        <v>88</v>
      </c>
      <c r="BC537" s="71" t="s">
        <v>113</v>
      </c>
      <c r="BD537" s="71" t="s">
        <v>114</v>
      </c>
      <c r="BE537" s="71" t="s">
        <v>1315</v>
      </c>
      <c r="BF537" s="71">
        <v>2.5000000000000001E-2</v>
      </c>
      <c r="BG537" s="71">
        <v>0</v>
      </c>
      <c r="BH537" s="71">
        <v>1.28</v>
      </c>
      <c r="BI537" s="71" t="s">
        <v>312</v>
      </c>
      <c r="BJ537" s="71" t="s">
        <v>312</v>
      </c>
      <c r="BK537" s="71" t="s">
        <v>91</v>
      </c>
      <c r="BL537" s="71" t="s">
        <v>1298</v>
      </c>
      <c r="BM537" s="71">
        <v>1</v>
      </c>
      <c r="BN537" s="71" t="s">
        <v>428</v>
      </c>
      <c r="BO537" s="71" t="s">
        <v>1297</v>
      </c>
      <c r="BP537" s="71" t="s">
        <v>1296</v>
      </c>
      <c r="BQ537" s="71" t="s">
        <v>92</v>
      </c>
      <c r="BR537" s="71" t="s">
        <v>93</v>
      </c>
      <c r="BS537" s="71" t="s">
        <v>312</v>
      </c>
      <c r="BT537" s="71" t="s">
        <v>312</v>
      </c>
      <c r="BU537" s="73">
        <v>36526</v>
      </c>
      <c r="BV537" s="73">
        <v>41944</v>
      </c>
      <c r="BW537" s="71" t="s">
        <v>94</v>
      </c>
      <c r="BX537" s="71" t="s">
        <v>1295</v>
      </c>
      <c r="BY537" s="71" t="s">
        <v>96</v>
      </c>
      <c r="BZ537" s="71">
        <v>0</v>
      </c>
      <c r="CA537" s="71">
        <v>0</v>
      </c>
      <c r="CB537" s="71" t="s">
        <v>97</v>
      </c>
      <c r="CC537" s="71" t="s">
        <v>313</v>
      </c>
      <c r="CD537" s="71">
        <v>1</v>
      </c>
      <c r="CE537" s="71" t="s">
        <v>1294</v>
      </c>
      <c r="CF537" s="71">
        <v>1</v>
      </c>
      <c r="CG537" s="71" t="s">
        <v>597</v>
      </c>
      <c r="CH537" s="71" t="s">
        <v>312</v>
      </c>
      <c r="CI537" s="71" t="s">
        <v>1293</v>
      </c>
      <c r="CJ537" s="71" t="s">
        <v>98</v>
      </c>
      <c r="CK537" s="71">
        <v>26</v>
      </c>
      <c r="CL537" s="71">
        <v>0</v>
      </c>
      <c r="CM537" s="71">
        <v>0</v>
      </c>
      <c r="CN537" s="72" t="s">
        <v>99</v>
      </c>
      <c r="CO537" s="71" t="s">
        <v>97</v>
      </c>
      <c r="CP537" s="71" t="s">
        <v>100</v>
      </c>
      <c r="CQ537" s="71" t="s">
        <v>126</v>
      </c>
      <c r="CR537" s="72">
        <v>46227</v>
      </c>
      <c r="CT537" s="71" t="s">
        <v>549</v>
      </c>
    </row>
    <row r="538" spans="1:98" s="71" customFormat="1" x14ac:dyDescent="0.35">
      <c r="A538" s="74" t="s">
        <v>1304</v>
      </c>
      <c r="B538" s="74" t="s">
        <v>1329</v>
      </c>
      <c r="C538" s="71" t="s">
        <v>1302</v>
      </c>
      <c r="D538" s="71">
        <v>2016</v>
      </c>
      <c r="E538" s="74" t="s">
        <v>1301</v>
      </c>
      <c r="F538" s="74" t="s">
        <v>1300</v>
      </c>
      <c r="G538" s="71" t="s">
        <v>102</v>
      </c>
      <c r="H538" s="71">
        <v>0</v>
      </c>
      <c r="I538" s="71" t="s">
        <v>390</v>
      </c>
      <c r="J538" s="71" t="s">
        <v>128</v>
      </c>
      <c r="K538" s="71">
        <v>208</v>
      </c>
      <c r="L538" s="71" t="s">
        <v>129</v>
      </c>
      <c r="M538" s="71" t="s">
        <v>380</v>
      </c>
      <c r="N538" s="71">
        <v>-1.7999999999999999E-2</v>
      </c>
      <c r="O538" s="71">
        <v>5.4000000000000003E-3</v>
      </c>
      <c r="P538" s="93">
        <f t="shared" si="214"/>
        <v>-3.333333333333333</v>
      </c>
      <c r="Q538" s="71" t="s">
        <v>312</v>
      </c>
      <c r="R538" s="93">
        <f t="shared" si="215"/>
        <v>-2.8583999999999998E-2</v>
      </c>
      <c r="S538" s="93">
        <f t="shared" si="216"/>
        <v>-7.415999999999999E-3</v>
      </c>
      <c r="T538" s="71">
        <v>1</v>
      </c>
      <c r="U538" s="71">
        <v>3722</v>
      </c>
      <c r="V538" s="71">
        <v>12</v>
      </c>
      <c r="W538" s="71">
        <v>1</v>
      </c>
      <c r="X538" s="71">
        <f t="shared" si="217"/>
        <v>3710</v>
      </c>
      <c r="Y538" s="93">
        <f t="shared" si="218"/>
        <v>-5.4643992899385159E-2</v>
      </c>
      <c r="Z538" s="93">
        <f t="shared" si="219"/>
        <v>1.6393197869815551E-2</v>
      </c>
      <c r="AA538" s="93">
        <f t="shared" si="220"/>
        <v>-5.4643992899385159E-2</v>
      </c>
      <c r="AB538" s="71" t="s">
        <v>81</v>
      </c>
      <c r="AC538" s="93">
        <f t="shared" si="221"/>
        <v>-8.3015999999999988</v>
      </c>
      <c r="AD538" s="93" cm="1">
        <f t="array" ref="AD538">_xlfn.IFS(
AND(L538="marginal_effect",M538="level"),N538*AN538/BF538,
AND(L538="marginal_effect",M538="sd (Y)"),N538*BH538*AN538/BF538,
AND(L538="marginal_effect",M538="sd (X)"),N538/AQ538*AN538/BF538,
AND(L538="semi_elasticity",M538="level"),N538*AN538,
AND(L538="semi_elasticity",M538="sd (Y)"),N538*AN538*BH538,
AND(L538="semi_elasticity",M538="sd (X)"),N538*AN538/AQ538,
AND(L538="level-log",M538="level"),N538/BF538,
AND(L538="level-log",M538="sd (X)"),N538/BF538/AQ538,
AND(L538="level-log",M538="sd (Y)"),N538/BF538*BH538,
AND(L538="elasticity",M538="level"),N538,
AND(L538="elasticity",M538="sd (X)"),N538/AQ538,
AND(L538="elasticity",M538="sd (Y)"),N538*BH538,
AND(L538="marginal_effect",M538="percent_of_mean"),N538*AN538/BF538/10)</f>
        <v>-8.3015999999999988</v>
      </c>
      <c r="AE538" s="49">
        <f t="shared" si="212"/>
        <v>1</v>
      </c>
      <c r="AF538" s="93">
        <f t="shared" si="222"/>
        <v>2.4904799999999998</v>
      </c>
      <c r="AG538" s="93" cm="1">
        <f t="array" ref="AG538">_xlfn.IFS(
AND(L538="marginal_effect",M538="level"),O538*AN538/BF538,
AND(L538="marginal_effect",M538="sd (Y)"),O538*BH538*AN538/BF538,
AND(L538="marginal_effect",M538="sd (X)"),O538/AQ538*AN538/BF538,
AND(L538="semi_elasticity",M538="level"),O538*AN538,
AND(L538="semi_elasticity",M538="sd (Y)"),O538*AN538*BH538,
AND(L538="semi_elasticity",M538="sd (X)"),O538*AN538/AQ538,
AND(L538="level-log",M538="level"),O538/BF538,
AND(L538="level-log",M538="sd (X)"),O538/BF538/AQ538,
AND(L538="level-log",M538="sd (Y)"),O538/BF538*BH538,
AND(L538="elasticity",M538="level"),O538,
AND(L538="elasticity",M538="sd (X)"),O538/AQ538,
AND(L538="elasticity",M538="sd (Y)"),O538*BH538,
AND(L538="marginal_effect",M538="percent_of_mean"),O538*AN538/BF538/10)</f>
        <v>2.4904799999999998</v>
      </c>
      <c r="AH538" s="49">
        <f t="shared" si="213"/>
        <v>1</v>
      </c>
      <c r="AI538" s="93">
        <f t="shared" si="223"/>
        <v>-8.3015999999999988</v>
      </c>
      <c r="AJ538" s="71">
        <v>0</v>
      </c>
      <c r="AK538" s="71">
        <f t="shared" si="224"/>
        <v>1</v>
      </c>
      <c r="AL538" s="71" t="s">
        <v>82</v>
      </c>
      <c r="AM538" s="71" t="s">
        <v>1333</v>
      </c>
      <c r="AN538" s="71">
        <v>11.53</v>
      </c>
      <c r="AO538" s="71">
        <v>0</v>
      </c>
      <c r="AP538" s="71">
        <f t="shared" si="197"/>
        <v>11.53</v>
      </c>
      <c r="AQ538" s="71">
        <v>6.97</v>
      </c>
      <c r="AR538" s="71" t="s">
        <v>312</v>
      </c>
      <c r="AS538" s="71">
        <v>75.86</v>
      </c>
      <c r="AT538" s="71" t="s">
        <v>83</v>
      </c>
      <c r="AU538" s="71" t="s">
        <v>109</v>
      </c>
      <c r="AV538" s="71" t="s">
        <v>133</v>
      </c>
      <c r="AW538" s="71" t="s">
        <v>85</v>
      </c>
      <c r="AX538" s="71" t="s">
        <v>86</v>
      </c>
      <c r="AY538" s="71">
        <v>0</v>
      </c>
      <c r="AZ538" s="71">
        <v>0</v>
      </c>
      <c r="BA538" s="71" t="s">
        <v>391</v>
      </c>
      <c r="BB538" s="71" t="s">
        <v>88</v>
      </c>
      <c r="BC538" s="71" t="s">
        <v>113</v>
      </c>
      <c r="BD538" s="71" t="s">
        <v>114</v>
      </c>
      <c r="BE538" s="71" t="s">
        <v>1315</v>
      </c>
      <c r="BF538" s="71">
        <v>2.5000000000000001E-2</v>
      </c>
      <c r="BG538" s="71">
        <v>0</v>
      </c>
      <c r="BH538" s="71">
        <v>1.28</v>
      </c>
      <c r="BI538" s="71" t="s">
        <v>312</v>
      </c>
      <c r="BJ538" s="71" t="s">
        <v>312</v>
      </c>
      <c r="BK538" s="71" t="s">
        <v>91</v>
      </c>
      <c r="BL538" s="71" t="s">
        <v>1298</v>
      </c>
      <c r="BM538" s="71">
        <v>1</v>
      </c>
      <c r="BN538" s="71" t="s">
        <v>428</v>
      </c>
      <c r="BO538" s="71" t="s">
        <v>1297</v>
      </c>
      <c r="BP538" s="71" t="s">
        <v>1296</v>
      </c>
      <c r="BQ538" s="71" t="s">
        <v>92</v>
      </c>
      <c r="BR538" s="71" t="s">
        <v>93</v>
      </c>
      <c r="BS538" s="71" t="s">
        <v>312</v>
      </c>
      <c r="BT538" s="71" t="s">
        <v>312</v>
      </c>
      <c r="BU538" s="73">
        <v>36526</v>
      </c>
      <c r="BV538" s="73">
        <v>41944</v>
      </c>
      <c r="BW538" s="71" t="s">
        <v>94</v>
      </c>
      <c r="BX538" s="71" t="s">
        <v>1295</v>
      </c>
      <c r="BY538" s="71" t="s">
        <v>96</v>
      </c>
      <c r="BZ538" s="71">
        <v>0</v>
      </c>
      <c r="CA538" s="71">
        <v>0</v>
      </c>
      <c r="CB538" s="71" t="s">
        <v>97</v>
      </c>
      <c r="CC538" s="71" t="s">
        <v>313</v>
      </c>
      <c r="CD538" s="71">
        <v>1</v>
      </c>
      <c r="CE538" s="71" t="s">
        <v>1294</v>
      </c>
      <c r="CF538" s="71">
        <v>1</v>
      </c>
      <c r="CG538" s="71" t="s">
        <v>597</v>
      </c>
      <c r="CH538" s="71" t="s">
        <v>312</v>
      </c>
      <c r="CI538" s="71" t="s">
        <v>1293</v>
      </c>
      <c r="CJ538" s="71" t="s">
        <v>98</v>
      </c>
      <c r="CK538" s="71">
        <v>26</v>
      </c>
      <c r="CL538" s="71">
        <v>0</v>
      </c>
      <c r="CM538" s="71">
        <v>0</v>
      </c>
      <c r="CN538" s="72" t="s">
        <v>99</v>
      </c>
      <c r="CO538" s="71" t="s">
        <v>97</v>
      </c>
      <c r="CP538" s="71" t="s">
        <v>100</v>
      </c>
      <c r="CQ538" s="71" t="s">
        <v>126</v>
      </c>
      <c r="CR538" s="72">
        <v>46227</v>
      </c>
      <c r="CT538" s="71" t="s">
        <v>550</v>
      </c>
    </row>
    <row r="539" spans="1:98" s="71" customFormat="1" x14ac:dyDescent="0.35">
      <c r="A539" s="74" t="s">
        <v>1304</v>
      </c>
      <c r="B539" s="74" t="s">
        <v>1328</v>
      </c>
      <c r="C539" s="71" t="s">
        <v>1302</v>
      </c>
      <c r="D539" s="71">
        <v>2016</v>
      </c>
      <c r="E539" s="74" t="s">
        <v>1301</v>
      </c>
      <c r="F539" s="74" t="s">
        <v>1300</v>
      </c>
      <c r="G539" s="71" t="s">
        <v>102</v>
      </c>
      <c r="H539" s="71">
        <v>0</v>
      </c>
      <c r="I539" s="71" t="s">
        <v>390</v>
      </c>
      <c r="J539" s="71" t="s">
        <v>128</v>
      </c>
      <c r="K539" s="71">
        <v>208</v>
      </c>
      <c r="L539" s="71" t="s">
        <v>129</v>
      </c>
      <c r="M539" s="71" t="s">
        <v>380</v>
      </c>
      <c r="N539" s="71">
        <v>-3.3E-3</v>
      </c>
      <c r="O539" s="71">
        <v>4.4000000000000003E-3</v>
      </c>
      <c r="P539" s="93">
        <f t="shared" si="214"/>
        <v>-0.75</v>
      </c>
      <c r="Q539" s="71" t="s">
        <v>312</v>
      </c>
      <c r="R539" s="93">
        <f t="shared" si="215"/>
        <v>-1.1924000000000001E-2</v>
      </c>
      <c r="S539" s="93">
        <f t="shared" si="216"/>
        <v>5.3239999999999997E-3</v>
      </c>
      <c r="T539" s="71">
        <v>1</v>
      </c>
      <c r="U539" s="71">
        <v>3722</v>
      </c>
      <c r="V539" s="71">
        <v>12</v>
      </c>
      <c r="W539" s="71">
        <v>1</v>
      </c>
      <c r="X539" s="71">
        <f t="shared" si="217"/>
        <v>3710</v>
      </c>
      <c r="Y539" s="93">
        <f t="shared" si="218"/>
        <v>-1.2312362339046468E-2</v>
      </c>
      <c r="Z539" s="93">
        <f t="shared" si="219"/>
        <v>1.6416483118728623E-2</v>
      </c>
      <c r="AA539" s="93">
        <f t="shared" si="220"/>
        <v>-1.2312362339046468E-2</v>
      </c>
      <c r="AB539" s="71" t="s">
        <v>81</v>
      </c>
      <c r="AC539" s="93">
        <f t="shared" si="221"/>
        <v>-1.52196</v>
      </c>
      <c r="AD539" s="93" cm="1">
        <f t="array" ref="AD539">_xlfn.IFS(
AND(L539="marginal_effect",M539="level"),N539*AN539/BF539,
AND(L539="marginal_effect",M539="sd (Y)"),N539*BH539*AN539/BF539,
AND(L539="marginal_effect",M539="sd (X)"),N539/AQ539*AN539/BF539,
AND(L539="semi_elasticity",M539="level"),N539*AN539,
AND(L539="semi_elasticity",M539="sd (Y)"),N539*AN539*BH539,
AND(L539="semi_elasticity",M539="sd (X)"),N539*AN539/AQ539,
AND(L539="level-log",M539="level"),N539/BF539,
AND(L539="level-log",M539="sd (X)"),N539/BF539/AQ539,
AND(L539="level-log",M539="sd (Y)"),N539/BF539*BH539,
AND(L539="elasticity",M539="level"),N539,
AND(L539="elasticity",M539="sd (X)"),N539/AQ539,
AND(L539="elasticity",M539="sd (Y)"),N539*BH539,
AND(L539="marginal_effect",M539="percent_of_mean"),N539*AN539/BF539/10)</f>
        <v>-1.52196</v>
      </c>
      <c r="AE539" s="49">
        <f t="shared" si="212"/>
        <v>1</v>
      </c>
      <c r="AF539" s="93">
        <f t="shared" si="222"/>
        <v>2.02928</v>
      </c>
      <c r="AG539" s="93" cm="1">
        <f t="array" ref="AG539">_xlfn.IFS(
AND(L539="marginal_effect",M539="level"),O539*AN539/BF539,
AND(L539="marginal_effect",M539="sd (Y)"),O539*BH539*AN539/BF539,
AND(L539="marginal_effect",M539="sd (X)"),O539/AQ539*AN539/BF539,
AND(L539="semi_elasticity",M539="level"),O539*AN539,
AND(L539="semi_elasticity",M539="sd (Y)"),O539*AN539*BH539,
AND(L539="semi_elasticity",M539="sd (X)"),O539*AN539/AQ539,
AND(L539="level-log",M539="level"),O539/BF539,
AND(L539="level-log",M539="sd (X)"),O539/BF539/AQ539,
AND(L539="level-log",M539="sd (Y)"),O539/BF539*BH539,
AND(L539="elasticity",M539="level"),O539,
AND(L539="elasticity",M539="sd (X)"),O539/AQ539,
AND(L539="elasticity",M539="sd (Y)"),O539*BH539,
AND(L539="marginal_effect",M539="percent_of_mean"),O539*AN539/BF539/10)</f>
        <v>2.02928</v>
      </c>
      <c r="AH539" s="49">
        <f t="shared" si="213"/>
        <v>1</v>
      </c>
      <c r="AI539" s="93">
        <f t="shared" si="223"/>
        <v>-1.52196</v>
      </c>
      <c r="AJ539" s="71">
        <v>0</v>
      </c>
      <c r="AK539" s="71">
        <f t="shared" si="224"/>
        <v>1</v>
      </c>
      <c r="AL539" s="71" t="s">
        <v>82</v>
      </c>
      <c r="AM539" s="71" t="s">
        <v>1333</v>
      </c>
      <c r="AN539" s="71">
        <v>11.53</v>
      </c>
      <c r="AO539" s="71">
        <v>0</v>
      </c>
      <c r="AP539" s="71">
        <f t="shared" si="197"/>
        <v>11.53</v>
      </c>
      <c r="AQ539" s="71">
        <v>6.97</v>
      </c>
      <c r="AR539" s="71" t="s">
        <v>312</v>
      </c>
      <c r="AS539" s="71">
        <v>75.86</v>
      </c>
      <c r="AT539" s="71" t="s">
        <v>83</v>
      </c>
      <c r="AU539" s="71" t="s">
        <v>109</v>
      </c>
      <c r="AV539" s="71" t="s">
        <v>133</v>
      </c>
      <c r="AW539" s="71" t="s">
        <v>85</v>
      </c>
      <c r="AX539" s="71" t="s">
        <v>86</v>
      </c>
      <c r="AY539" s="71">
        <v>1</v>
      </c>
      <c r="AZ539" s="71">
        <v>1</v>
      </c>
      <c r="BA539" s="71" t="s">
        <v>391</v>
      </c>
      <c r="BB539" s="71" t="s">
        <v>88</v>
      </c>
      <c r="BC539" s="71" t="s">
        <v>113</v>
      </c>
      <c r="BD539" s="71" t="s">
        <v>114</v>
      </c>
      <c r="BE539" s="71" t="s">
        <v>1315</v>
      </c>
      <c r="BF539" s="71">
        <v>2.5000000000000001E-2</v>
      </c>
      <c r="BG539" s="71">
        <v>0</v>
      </c>
      <c r="BH539" s="71">
        <v>1.28</v>
      </c>
      <c r="BI539" s="71" t="s">
        <v>312</v>
      </c>
      <c r="BJ539" s="71" t="s">
        <v>312</v>
      </c>
      <c r="BK539" s="71" t="s">
        <v>91</v>
      </c>
      <c r="BL539" s="71" t="s">
        <v>1298</v>
      </c>
      <c r="BM539" s="71">
        <v>1</v>
      </c>
      <c r="BN539" s="71" t="s">
        <v>428</v>
      </c>
      <c r="BO539" s="71" t="s">
        <v>1297</v>
      </c>
      <c r="BP539" s="71" t="s">
        <v>1296</v>
      </c>
      <c r="BQ539" s="71" t="s">
        <v>92</v>
      </c>
      <c r="BR539" s="71" t="s">
        <v>93</v>
      </c>
      <c r="BS539" s="71" t="s">
        <v>312</v>
      </c>
      <c r="BT539" s="71" t="s">
        <v>312</v>
      </c>
      <c r="BU539" s="73">
        <v>36526</v>
      </c>
      <c r="BV539" s="73">
        <v>41944</v>
      </c>
      <c r="BW539" s="71" t="s">
        <v>94</v>
      </c>
      <c r="BX539" s="71" t="s">
        <v>1295</v>
      </c>
      <c r="BY539" s="71" t="s">
        <v>96</v>
      </c>
      <c r="BZ539" s="71">
        <v>0</v>
      </c>
      <c r="CA539" s="71">
        <v>0</v>
      </c>
      <c r="CB539" s="71" t="s">
        <v>97</v>
      </c>
      <c r="CC539" s="71" t="s">
        <v>313</v>
      </c>
      <c r="CD539" s="71">
        <v>1</v>
      </c>
      <c r="CE539" s="71" t="s">
        <v>1294</v>
      </c>
      <c r="CF539" s="71">
        <v>1</v>
      </c>
      <c r="CG539" s="71" t="s">
        <v>597</v>
      </c>
      <c r="CH539" s="71" t="s">
        <v>312</v>
      </c>
      <c r="CI539" s="71" t="s">
        <v>1293</v>
      </c>
      <c r="CJ539" s="71" t="s">
        <v>98</v>
      </c>
      <c r="CK539" s="71">
        <v>26</v>
      </c>
      <c r="CL539" s="71">
        <v>0</v>
      </c>
      <c r="CM539" s="71">
        <v>0</v>
      </c>
      <c r="CN539" s="72" t="s">
        <v>99</v>
      </c>
      <c r="CO539" s="71" t="s">
        <v>97</v>
      </c>
      <c r="CP539" s="71" t="s">
        <v>100</v>
      </c>
      <c r="CQ539" s="71" t="s">
        <v>126</v>
      </c>
      <c r="CR539" s="72">
        <v>46227</v>
      </c>
      <c r="CT539" s="71" t="s">
        <v>550</v>
      </c>
    </row>
    <row r="540" spans="1:98" s="71" customFormat="1" x14ac:dyDescent="0.35">
      <c r="A540" s="74" t="s">
        <v>1304</v>
      </c>
      <c r="B540" s="74" t="s">
        <v>1327</v>
      </c>
      <c r="C540" s="71" t="s">
        <v>1302</v>
      </c>
      <c r="D540" s="71">
        <v>2016</v>
      </c>
      <c r="E540" s="74" t="s">
        <v>1301</v>
      </c>
      <c r="F540" s="74" t="s">
        <v>1300</v>
      </c>
      <c r="G540" s="71" t="s">
        <v>102</v>
      </c>
      <c r="H540" s="71">
        <v>0</v>
      </c>
      <c r="I540" s="71" t="s">
        <v>390</v>
      </c>
      <c r="J540" s="71" t="s">
        <v>128</v>
      </c>
      <c r="K540" s="71">
        <v>208</v>
      </c>
      <c r="L540" s="71" t="s">
        <v>129</v>
      </c>
      <c r="M540" s="71" t="s">
        <v>380</v>
      </c>
      <c r="N540" s="71">
        <v>-4.4000000000000003E-3</v>
      </c>
      <c r="O540" s="71">
        <v>5.3E-3</v>
      </c>
      <c r="P540" s="93">
        <f t="shared" si="214"/>
        <v>-0.83018867924528306</v>
      </c>
      <c r="Q540" s="71" t="s">
        <v>312</v>
      </c>
      <c r="R540" s="93">
        <f t="shared" si="215"/>
        <v>-1.4787999999999999E-2</v>
      </c>
      <c r="S540" s="93">
        <f t="shared" si="216"/>
        <v>5.9879999999999994E-3</v>
      </c>
      <c r="T540" s="71">
        <v>1</v>
      </c>
      <c r="U540" s="71">
        <v>3722</v>
      </c>
      <c r="V540" s="71">
        <v>12</v>
      </c>
      <c r="W540" s="71">
        <v>1</v>
      </c>
      <c r="X540" s="71">
        <f t="shared" si="217"/>
        <v>3710</v>
      </c>
      <c r="Y540" s="93">
        <f t="shared" si="218"/>
        <v>-1.3628545737287077E-2</v>
      </c>
      <c r="Z540" s="93">
        <f t="shared" si="219"/>
        <v>1.6416202819913978E-2</v>
      </c>
      <c r="AA540" s="93">
        <f t="shared" si="220"/>
        <v>-1.3628545737287077E-2</v>
      </c>
      <c r="AB540" s="71" t="s">
        <v>81</v>
      </c>
      <c r="AC540" s="93">
        <f t="shared" si="221"/>
        <v>-2.02928</v>
      </c>
      <c r="AD540" s="93" cm="1">
        <f t="array" ref="AD540">_xlfn.IFS(
AND(L540="marginal_effect",M540="level"),N540*AN540/BF540,
AND(L540="marginal_effect",M540="sd (Y)"),N540*BH540*AN540/BF540,
AND(L540="marginal_effect",M540="sd (X)"),N540/AQ540*AN540/BF540,
AND(L540="semi_elasticity",M540="level"),N540*AN540,
AND(L540="semi_elasticity",M540="sd (Y)"),N540*AN540*BH540,
AND(L540="semi_elasticity",M540="sd (X)"),N540*AN540/AQ540,
AND(L540="level-log",M540="level"),N540/BF540,
AND(L540="level-log",M540="sd (X)"),N540/BF540/AQ540,
AND(L540="level-log",M540="sd (Y)"),N540/BF540*BH540,
AND(L540="elasticity",M540="level"),N540,
AND(L540="elasticity",M540="sd (X)"),N540/AQ540,
AND(L540="elasticity",M540="sd (Y)"),N540*BH540,
AND(L540="marginal_effect",M540="percent_of_mean"),N540*AN540/BF540/10)</f>
        <v>-2.02928</v>
      </c>
      <c r="AE540" s="49">
        <f t="shared" si="212"/>
        <v>1</v>
      </c>
      <c r="AF540" s="93">
        <f t="shared" si="222"/>
        <v>2.4443599999999996</v>
      </c>
      <c r="AG540" s="93" cm="1">
        <f t="array" ref="AG540">_xlfn.IFS(
AND(L540="marginal_effect",M540="level"),O540*AN540/BF540,
AND(L540="marginal_effect",M540="sd (Y)"),O540*BH540*AN540/BF540,
AND(L540="marginal_effect",M540="sd (X)"),O540/AQ540*AN540/BF540,
AND(L540="semi_elasticity",M540="level"),O540*AN540,
AND(L540="semi_elasticity",M540="sd (Y)"),O540*AN540*BH540,
AND(L540="semi_elasticity",M540="sd (X)"),O540*AN540/AQ540,
AND(L540="level-log",M540="level"),O540/BF540,
AND(L540="level-log",M540="sd (X)"),O540/BF540/AQ540,
AND(L540="level-log",M540="sd (Y)"),O540/BF540*BH540,
AND(L540="elasticity",M540="level"),O540,
AND(L540="elasticity",M540="sd (X)"),O540/AQ540,
AND(L540="elasticity",M540="sd (Y)"),O540*BH540,
AND(L540="marginal_effect",M540="percent_of_mean"),O540*AN540/BF540/10)</f>
        <v>2.4443599999999996</v>
      </c>
      <c r="AH540" s="49">
        <f t="shared" si="213"/>
        <v>1</v>
      </c>
      <c r="AI540" s="93">
        <f t="shared" si="223"/>
        <v>-2.02928</v>
      </c>
      <c r="AJ540" s="71">
        <v>0</v>
      </c>
      <c r="AK540" s="71">
        <f t="shared" si="224"/>
        <v>1</v>
      </c>
      <c r="AL540" s="71" t="s">
        <v>82</v>
      </c>
      <c r="AM540" s="71" t="s">
        <v>1333</v>
      </c>
      <c r="AN540" s="71">
        <v>11.53</v>
      </c>
      <c r="AO540" s="71">
        <v>0</v>
      </c>
      <c r="AP540" s="71">
        <f t="shared" si="197"/>
        <v>11.53</v>
      </c>
      <c r="AQ540" s="71">
        <v>6.97</v>
      </c>
      <c r="AR540" s="71" t="s">
        <v>312</v>
      </c>
      <c r="AS540" s="71">
        <v>75.86</v>
      </c>
      <c r="AT540" s="71" t="s">
        <v>83</v>
      </c>
      <c r="AU540" s="71" t="s">
        <v>109</v>
      </c>
      <c r="AV540" s="71" t="s">
        <v>133</v>
      </c>
      <c r="AW540" s="71" t="s">
        <v>85</v>
      </c>
      <c r="AX540" s="71" t="s">
        <v>86</v>
      </c>
      <c r="AY540" s="71">
        <v>2</v>
      </c>
      <c r="AZ540" s="71">
        <v>2</v>
      </c>
      <c r="BA540" s="71" t="s">
        <v>391</v>
      </c>
      <c r="BB540" s="71" t="s">
        <v>88</v>
      </c>
      <c r="BC540" s="71" t="s">
        <v>113</v>
      </c>
      <c r="BD540" s="71" t="s">
        <v>114</v>
      </c>
      <c r="BE540" s="71" t="s">
        <v>1315</v>
      </c>
      <c r="BF540" s="71">
        <v>2.5000000000000001E-2</v>
      </c>
      <c r="BG540" s="71">
        <v>0</v>
      </c>
      <c r="BH540" s="71">
        <v>1.28</v>
      </c>
      <c r="BI540" s="71" t="s">
        <v>312</v>
      </c>
      <c r="BJ540" s="71" t="s">
        <v>312</v>
      </c>
      <c r="BK540" s="71" t="s">
        <v>91</v>
      </c>
      <c r="BL540" s="71" t="s">
        <v>1298</v>
      </c>
      <c r="BM540" s="71">
        <v>1</v>
      </c>
      <c r="BN540" s="71" t="s">
        <v>428</v>
      </c>
      <c r="BO540" s="71" t="s">
        <v>1297</v>
      </c>
      <c r="BP540" s="71" t="s">
        <v>1296</v>
      </c>
      <c r="BQ540" s="71" t="s">
        <v>92</v>
      </c>
      <c r="BR540" s="71" t="s">
        <v>93</v>
      </c>
      <c r="BS540" s="71" t="s">
        <v>312</v>
      </c>
      <c r="BT540" s="71" t="s">
        <v>312</v>
      </c>
      <c r="BU540" s="73">
        <v>36526</v>
      </c>
      <c r="BV540" s="73">
        <v>41944</v>
      </c>
      <c r="BW540" s="71" t="s">
        <v>94</v>
      </c>
      <c r="BX540" s="71" t="s">
        <v>1295</v>
      </c>
      <c r="BY540" s="71" t="s">
        <v>96</v>
      </c>
      <c r="BZ540" s="71">
        <v>0</v>
      </c>
      <c r="CA540" s="71">
        <v>0</v>
      </c>
      <c r="CB540" s="71" t="s">
        <v>97</v>
      </c>
      <c r="CC540" s="71" t="s">
        <v>313</v>
      </c>
      <c r="CD540" s="71">
        <v>1</v>
      </c>
      <c r="CE540" s="71" t="s">
        <v>1294</v>
      </c>
      <c r="CF540" s="71">
        <v>1</v>
      </c>
      <c r="CG540" s="71" t="s">
        <v>597</v>
      </c>
      <c r="CH540" s="71" t="s">
        <v>312</v>
      </c>
      <c r="CI540" s="71" t="s">
        <v>1293</v>
      </c>
      <c r="CJ540" s="71" t="s">
        <v>98</v>
      </c>
      <c r="CK540" s="71">
        <v>26</v>
      </c>
      <c r="CL540" s="71">
        <v>0</v>
      </c>
      <c r="CM540" s="71">
        <v>0</v>
      </c>
      <c r="CN540" s="72" t="s">
        <v>99</v>
      </c>
      <c r="CO540" s="71" t="s">
        <v>97</v>
      </c>
      <c r="CP540" s="71" t="s">
        <v>100</v>
      </c>
      <c r="CQ540" s="71" t="s">
        <v>126</v>
      </c>
      <c r="CR540" s="72">
        <v>46227</v>
      </c>
      <c r="CT540" s="71" t="s">
        <v>550</v>
      </c>
    </row>
    <row r="541" spans="1:98" s="71" customFormat="1" x14ac:dyDescent="0.35">
      <c r="A541" s="74" t="s">
        <v>1304</v>
      </c>
      <c r="B541" s="74" t="s">
        <v>1326</v>
      </c>
      <c r="C541" s="71" t="s">
        <v>1302</v>
      </c>
      <c r="D541" s="71">
        <v>2016</v>
      </c>
      <c r="E541" s="74" t="s">
        <v>1301</v>
      </c>
      <c r="F541" s="74" t="s">
        <v>1300</v>
      </c>
      <c r="G541" s="71" t="s">
        <v>102</v>
      </c>
      <c r="H541" s="71">
        <v>0</v>
      </c>
      <c r="I541" s="71" t="s">
        <v>390</v>
      </c>
      <c r="J541" s="71" t="s">
        <v>128</v>
      </c>
      <c r="K541" s="71">
        <v>208</v>
      </c>
      <c r="L541" s="71" t="s">
        <v>129</v>
      </c>
      <c r="M541" s="71" t="s">
        <v>380</v>
      </c>
      <c r="N541" s="71">
        <v>-1.7399999999999999E-2</v>
      </c>
      <c r="O541" s="71">
        <v>5.4999999999999997E-3</v>
      </c>
      <c r="P541" s="93">
        <f t="shared" si="214"/>
        <v>-3.1636363636363636</v>
      </c>
      <c r="Q541" s="71" t="s">
        <v>312</v>
      </c>
      <c r="R541" s="93">
        <f t="shared" si="215"/>
        <v>-2.8179999999999997E-2</v>
      </c>
      <c r="S541" s="93">
        <f t="shared" si="216"/>
        <v>-6.6199999999999991E-3</v>
      </c>
      <c r="T541" s="71">
        <v>1</v>
      </c>
      <c r="U541" s="71">
        <v>3722</v>
      </c>
      <c r="V541" s="71">
        <v>12</v>
      </c>
      <c r="W541" s="71">
        <v>1</v>
      </c>
      <c r="X541" s="71">
        <f t="shared" si="217"/>
        <v>3710</v>
      </c>
      <c r="Y541" s="93">
        <f t="shared" si="218"/>
        <v>-5.1869801635034588E-2</v>
      </c>
      <c r="Z541" s="93">
        <f t="shared" si="219"/>
        <v>1.6395626953602888E-2</v>
      </c>
      <c r="AA541" s="93">
        <f t="shared" si="220"/>
        <v>-5.1869801635034588E-2</v>
      </c>
      <c r="AB541" s="71" t="s">
        <v>81</v>
      </c>
      <c r="AC541" s="93">
        <f t="shared" si="221"/>
        <v>-8.0248799999999978</v>
      </c>
      <c r="AD541" s="93" cm="1">
        <f t="array" ref="AD541">_xlfn.IFS(
AND(L541="marginal_effect",M541="level"),N541*AN541/BF541,
AND(L541="marginal_effect",M541="sd (Y)"),N541*BH541*AN541/BF541,
AND(L541="marginal_effect",M541="sd (X)"),N541/AQ541*AN541/BF541,
AND(L541="semi_elasticity",M541="level"),N541*AN541,
AND(L541="semi_elasticity",M541="sd (Y)"),N541*AN541*BH541,
AND(L541="semi_elasticity",M541="sd (X)"),N541*AN541/AQ541,
AND(L541="level-log",M541="level"),N541/BF541,
AND(L541="level-log",M541="sd (X)"),N541/BF541/AQ541,
AND(L541="level-log",M541="sd (Y)"),N541/BF541*BH541,
AND(L541="elasticity",M541="level"),N541,
AND(L541="elasticity",M541="sd (X)"),N541/AQ541,
AND(L541="elasticity",M541="sd (Y)"),N541*BH541,
AND(L541="marginal_effect",M541="percent_of_mean"),N541*AN541/BF541/10)</f>
        <v>-8.0248799999999978</v>
      </c>
      <c r="AE541" s="49">
        <f t="shared" si="212"/>
        <v>1</v>
      </c>
      <c r="AF541" s="93">
        <f t="shared" si="222"/>
        <v>2.5366</v>
      </c>
      <c r="AG541" s="93" cm="1">
        <f t="array" ref="AG541">_xlfn.IFS(
AND(L541="marginal_effect",M541="level"),O541*AN541/BF541,
AND(L541="marginal_effect",M541="sd (Y)"),O541*BH541*AN541/BF541,
AND(L541="marginal_effect",M541="sd (X)"),O541/AQ541*AN541/BF541,
AND(L541="semi_elasticity",M541="level"),O541*AN541,
AND(L541="semi_elasticity",M541="sd (Y)"),O541*AN541*BH541,
AND(L541="semi_elasticity",M541="sd (X)"),O541*AN541/AQ541,
AND(L541="level-log",M541="level"),O541/BF541,
AND(L541="level-log",M541="sd (X)"),O541/BF541/AQ541,
AND(L541="level-log",M541="sd (Y)"),O541/BF541*BH541,
AND(L541="elasticity",M541="level"),O541,
AND(L541="elasticity",M541="sd (X)"),O541/AQ541,
AND(L541="elasticity",M541="sd (Y)"),O541*BH541,
AND(L541="marginal_effect",M541="percent_of_mean"),O541*AN541/BF541/10)</f>
        <v>2.5366</v>
      </c>
      <c r="AH541" s="49">
        <f t="shared" si="213"/>
        <v>1</v>
      </c>
      <c r="AI541" s="93">
        <f t="shared" si="223"/>
        <v>-8.0248799999999978</v>
      </c>
      <c r="AJ541" s="71">
        <v>0</v>
      </c>
      <c r="AK541" s="71">
        <f t="shared" si="224"/>
        <v>1</v>
      </c>
      <c r="AL541" s="71" t="s">
        <v>82</v>
      </c>
      <c r="AM541" s="71" t="s">
        <v>1333</v>
      </c>
      <c r="AN541" s="71">
        <v>11.53</v>
      </c>
      <c r="AO541" s="71">
        <v>0</v>
      </c>
      <c r="AP541" s="71">
        <f t="shared" si="197"/>
        <v>11.53</v>
      </c>
      <c r="AQ541" s="71">
        <v>6.97</v>
      </c>
      <c r="AR541" s="71" t="s">
        <v>312</v>
      </c>
      <c r="AS541" s="71">
        <v>75.86</v>
      </c>
      <c r="AT541" s="71" t="s">
        <v>83</v>
      </c>
      <c r="AU541" s="71" t="s">
        <v>109</v>
      </c>
      <c r="AV541" s="71" t="s">
        <v>133</v>
      </c>
      <c r="AW541" s="71" t="s">
        <v>85</v>
      </c>
      <c r="AX541" s="71" t="s">
        <v>86</v>
      </c>
      <c r="AY541" s="71">
        <v>0</v>
      </c>
      <c r="AZ541" s="71">
        <v>0</v>
      </c>
      <c r="BA541" s="71" t="s">
        <v>391</v>
      </c>
      <c r="BB541" s="71" t="s">
        <v>88</v>
      </c>
      <c r="BC541" s="71" t="s">
        <v>113</v>
      </c>
      <c r="BD541" s="71" t="s">
        <v>114</v>
      </c>
      <c r="BE541" s="71" t="s">
        <v>1315</v>
      </c>
      <c r="BF541" s="71">
        <v>2.5000000000000001E-2</v>
      </c>
      <c r="BG541" s="71">
        <v>0</v>
      </c>
      <c r="BH541" s="71">
        <v>1.28</v>
      </c>
      <c r="BI541" s="71" t="s">
        <v>312</v>
      </c>
      <c r="BJ541" s="71" t="s">
        <v>312</v>
      </c>
      <c r="BK541" s="71" t="s">
        <v>91</v>
      </c>
      <c r="BL541" s="71" t="s">
        <v>1298</v>
      </c>
      <c r="BM541" s="71">
        <v>1</v>
      </c>
      <c r="BN541" s="71" t="s">
        <v>428</v>
      </c>
      <c r="BO541" s="71" t="s">
        <v>1297</v>
      </c>
      <c r="BP541" s="71" t="s">
        <v>1296</v>
      </c>
      <c r="BQ541" s="71" t="s">
        <v>92</v>
      </c>
      <c r="BR541" s="71" t="s">
        <v>93</v>
      </c>
      <c r="BS541" s="71" t="s">
        <v>312</v>
      </c>
      <c r="BT541" s="71" t="s">
        <v>312</v>
      </c>
      <c r="BU541" s="73">
        <v>36526</v>
      </c>
      <c r="BV541" s="73">
        <v>41944</v>
      </c>
      <c r="BW541" s="71" t="s">
        <v>94</v>
      </c>
      <c r="BX541" s="71" t="s">
        <v>1295</v>
      </c>
      <c r="BY541" s="71" t="s">
        <v>96</v>
      </c>
      <c r="BZ541" s="71">
        <v>0</v>
      </c>
      <c r="CA541" s="71">
        <v>0</v>
      </c>
      <c r="CB541" s="71" t="s">
        <v>97</v>
      </c>
      <c r="CC541" s="71" t="s">
        <v>313</v>
      </c>
      <c r="CD541" s="71">
        <v>1</v>
      </c>
      <c r="CE541" s="71" t="s">
        <v>1294</v>
      </c>
      <c r="CF541" s="71">
        <v>1</v>
      </c>
      <c r="CG541" s="71" t="s">
        <v>597</v>
      </c>
      <c r="CH541" s="71" t="s">
        <v>312</v>
      </c>
      <c r="CI541" s="71" t="s">
        <v>1293</v>
      </c>
      <c r="CJ541" s="71" t="s">
        <v>98</v>
      </c>
      <c r="CK541" s="71">
        <v>26</v>
      </c>
      <c r="CL541" s="71">
        <v>0</v>
      </c>
      <c r="CM541" s="71">
        <v>0</v>
      </c>
      <c r="CN541" s="72" t="s">
        <v>99</v>
      </c>
      <c r="CO541" s="71" t="s">
        <v>97</v>
      </c>
      <c r="CP541" s="71" t="s">
        <v>100</v>
      </c>
      <c r="CQ541" s="71" t="s">
        <v>126</v>
      </c>
      <c r="CR541" s="72">
        <v>46227</v>
      </c>
      <c r="CT541" s="71" t="s">
        <v>551</v>
      </c>
    </row>
    <row r="542" spans="1:98" s="71" customFormat="1" x14ac:dyDescent="0.35">
      <c r="A542" s="74" t="s">
        <v>1304</v>
      </c>
      <c r="B542" s="74" t="s">
        <v>1325</v>
      </c>
      <c r="C542" s="71" t="s">
        <v>1302</v>
      </c>
      <c r="D542" s="71">
        <v>2016</v>
      </c>
      <c r="E542" s="74" t="s">
        <v>1301</v>
      </c>
      <c r="F542" s="74" t="s">
        <v>1300</v>
      </c>
      <c r="G542" s="71" t="s">
        <v>102</v>
      </c>
      <c r="H542" s="71">
        <v>0</v>
      </c>
      <c r="I542" s="71" t="s">
        <v>390</v>
      </c>
      <c r="J542" s="71" t="s">
        <v>128</v>
      </c>
      <c r="K542" s="71">
        <v>208</v>
      </c>
      <c r="L542" s="71" t="s">
        <v>129</v>
      </c>
      <c r="M542" s="71" t="s">
        <v>380</v>
      </c>
      <c r="N542" s="71">
        <v>2.8E-3</v>
      </c>
      <c r="O542" s="71">
        <v>4.4999999999999997E-3</v>
      </c>
      <c r="P542" s="93">
        <f t="shared" si="214"/>
        <v>0.62222222222222223</v>
      </c>
      <c r="Q542" s="71" t="s">
        <v>312</v>
      </c>
      <c r="R542" s="93">
        <f t="shared" si="215"/>
        <v>-6.0199999999999993E-3</v>
      </c>
      <c r="S542" s="93">
        <f t="shared" si="216"/>
        <v>1.162E-2</v>
      </c>
      <c r="T542" s="71">
        <v>1</v>
      </c>
      <c r="U542" s="71">
        <v>3722</v>
      </c>
      <c r="V542" s="71">
        <v>12</v>
      </c>
      <c r="W542" s="71">
        <v>1</v>
      </c>
      <c r="X542" s="71">
        <f t="shared" si="217"/>
        <v>3710</v>
      </c>
      <c r="Y542" s="93">
        <f t="shared" si="218"/>
        <v>1.0214941959300183E-2</v>
      </c>
      <c r="Z542" s="93">
        <f t="shared" si="219"/>
        <v>1.6416871006018151E-2</v>
      </c>
      <c r="AA542" s="93">
        <f t="shared" si="220"/>
        <v>1.0214941959300183E-2</v>
      </c>
      <c r="AB542" s="71" t="s">
        <v>81</v>
      </c>
      <c r="AC542" s="93">
        <f t="shared" si="221"/>
        <v>1.2913599999999998</v>
      </c>
      <c r="AD542" s="93" cm="1">
        <f t="array" ref="AD542">_xlfn.IFS(
AND(L542="marginal_effect",M542="level"),N542*AN542/BF542,
AND(L542="marginal_effect",M542="sd (Y)"),N542*BH542*AN542/BF542,
AND(L542="marginal_effect",M542="sd (X)"),N542/AQ542*AN542/BF542,
AND(L542="semi_elasticity",M542="level"),N542*AN542,
AND(L542="semi_elasticity",M542="sd (Y)"),N542*AN542*BH542,
AND(L542="semi_elasticity",M542="sd (X)"),N542*AN542/AQ542,
AND(L542="level-log",M542="level"),N542/BF542,
AND(L542="level-log",M542="sd (X)"),N542/BF542/AQ542,
AND(L542="level-log",M542="sd (Y)"),N542/BF542*BH542,
AND(L542="elasticity",M542="level"),N542,
AND(L542="elasticity",M542="sd (X)"),N542/AQ542,
AND(L542="elasticity",M542="sd (Y)"),N542*BH542,
AND(L542="marginal_effect",M542="percent_of_mean"),N542*AN542/BF542/10)</f>
        <v>1.2913599999999998</v>
      </c>
      <c r="AE542" s="49">
        <f t="shared" si="212"/>
        <v>1</v>
      </c>
      <c r="AF542" s="93">
        <f t="shared" si="222"/>
        <v>2.0753999999999997</v>
      </c>
      <c r="AG542" s="93" cm="1">
        <f t="array" ref="AG542">_xlfn.IFS(
AND(L542="marginal_effect",M542="level"),O542*AN542/BF542,
AND(L542="marginal_effect",M542="sd (Y)"),O542*BH542*AN542/BF542,
AND(L542="marginal_effect",M542="sd (X)"),O542/AQ542*AN542/BF542,
AND(L542="semi_elasticity",M542="level"),O542*AN542,
AND(L542="semi_elasticity",M542="sd (Y)"),O542*AN542*BH542,
AND(L542="semi_elasticity",M542="sd (X)"),O542*AN542/AQ542,
AND(L542="level-log",M542="level"),O542/BF542,
AND(L542="level-log",M542="sd (X)"),O542/BF542/AQ542,
AND(L542="level-log",M542="sd (Y)"),O542/BF542*BH542,
AND(L542="elasticity",M542="level"),O542,
AND(L542="elasticity",M542="sd (X)"),O542/AQ542,
AND(L542="elasticity",M542="sd (Y)"),O542*BH542,
AND(L542="marginal_effect",M542="percent_of_mean"),O542*AN542/BF542/10)</f>
        <v>2.0753999999999997</v>
      </c>
      <c r="AH542" s="49">
        <f t="shared" si="213"/>
        <v>1</v>
      </c>
      <c r="AI542" s="93">
        <f t="shared" si="223"/>
        <v>1.2913599999999998</v>
      </c>
      <c r="AJ542" s="71">
        <v>0</v>
      </c>
      <c r="AK542" s="71">
        <f t="shared" si="224"/>
        <v>1</v>
      </c>
      <c r="AL542" s="71" t="s">
        <v>82</v>
      </c>
      <c r="AM542" s="71" t="s">
        <v>1333</v>
      </c>
      <c r="AN542" s="71">
        <v>11.53</v>
      </c>
      <c r="AO542" s="71">
        <v>0</v>
      </c>
      <c r="AP542" s="71">
        <f t="shared" si="197"/>
        <v>11.53</v>
      </c>
      <c r="AQ542" s="71">
        <v>6.97</v>
      </c>
      <c r="AR542" s="71" t="s">
        <v>312</v>
      </c>
      <c r="AS542" s="71">
        <v>75.86</v>
      </c>
      <c r="AT542" s="71" t="s">
        <v>83</v>
      </c>
      <c r="AU542" s="71" t="s">
        <v>109</v>
      </c>
      <c r="AV542" s="71" t="s">
        <v>133</v>
      </c>
      <c r="AW542" s="71" t="s">
        <v>85</v>
      </c>
      <c r="AX542" s="71" t="s">
        <v>86</v>
      </c>
      <c r="AY542" s="71">
        <v>-1</v>
      </c>
      <c r="AZ542" s="71">
        <v>-1</v>
      </c>
      <c r="BA542" s="71" t="s">
        <v>391</v>
      </c>
      <c r="BB542" s="71" t="s">
        <v>88</v>
      </c>
      <c r="BC542" s="71" t="s">
        <v>113</v>
      </c>
      <c r="BD542" s="71" t="s">
        <v>114</v>
      </c>
      <c r="BE542" s="71" t="s">
        <v>1315</v>
      </c>
      <c r="BF542" s="71">
        <v>2.5000000000000001E-2</v>
      </c>
      <c r="BG542" s="71">
        <v>0</v>
      </c>
      <c r="BH542" s="71">
        <v>1.28</v>
      </c>
      <c r="BI542" s="71" t="s">
        <v>312</v>
      </c>
      <c r="BJ542" s="71" t="s">
        <v>312</v>
      </c>
      <c r="BK542" s="71" t="s">
        <v>91</v>
      </c>
      <c r="BL542" s="71" t="s">
        <v>1298</v>
      </c>
      <c r="BM542" s="71">
        <v>1</v>
      </c>
      <c r="BN542" s="71" t="s">
        <v>428</v>
      </c>
      <c r="BO542" s="71" t="s">
        <v>1297</v>
      </c>
      <c r="BP542" s="71" t="s">
        <v>1296</v>
      </c>
      <c r="BQ542" s="71" t="s">
        <v>92</v>
      </c>
      <c r="BR542" s="71" t="s">
        <v>93</v>
      </c>
      <c r="BS542" s="71" t="s">
        <v>312</v>
      </c>
      <c r="BT542" s="71" t="s">
        <v>312</v>
      </c>
      <c r="BU542" s="73">
        <v>36526</v>
      </c>
      <c r="BV542" s="73">
        <v>41944</v>
      </c>
      <c r="BW542" s="71" t="s">
        <v>94</v>
      </c>
      <c r="BX542" s="71" t="s">
        <v>1295</v>
      </c>
      <c r="BY542" s="71" t="s">
        <v>96</v>
      </c>
      <c r="BZ542" s="71">
        <v>0</v>
      </c>
      <c r="CA542" s="71">
        <v>0</v>
      </c>
      <c r="CB542" s="71" t="s">
        <v>97</v>
      </c>
      <c r="CC542" s="71" t="s">
        <v>313</v>
      </c>
      <c r="CD542" s="71">
        <v>1</v>
      </c>
      <c r="CE542" s="71" t="s">
        <v>1294</v>
      </c>
      <c r="CF542" s="71">
        <v>1</v>
      </c>
      <c r="CG542" s="71" t="s">
        <v>597</v>
      </c>
      <c r="CH542" s="71" t="s">
        <v>312</v>
      </c>
      <c r="CI542" s="71" t="s">
        <v>1293</v>
      </c>
      <c r="CJ542" s="71" t="s">
        <v>98</v>
      </c>
      <c r="CK542" s="71">
        <v>26</v>
      </c>
      <c r="CL542" s="71">
        <v>0</v>
      </c>
      <c r="CM542" s="71">
        <v>0</v>
      </c>
      <c r="CN542" s="72" t="s">
        <v>99</v>
      </c>
      <c r="CO542" s="71" t="s">
        <v>97</v>
      </c>
      <c r="CP542" s="71" t="s">
        <v>100</v>
      </c>
      <c r="CQ542" s="71" t="s">
        <v>126</v>
      </c>
      <c r="CR542" s="72">
        <v>46227</v>
      </c>
      <c r="CT542" s="71" t="s">
        <v>551</v>
      </c>
    </row>
    <row r="543" spans="1:98" s="71" customFormat="1" x14ac:dyDescent="0.35">
      <c r="A543" s="74" t="s">
        <v>1304</v>
      </c>
      <c r="B543" s="74" t="s">
        <v>1324</v>
      </c>
      <c r="C543" s="71" t="s">
        <v>1302</v>
      </c>
      <c r="D543" s="71">
        <v>2016</v>
      </c>
      <c r="E543" s="74" t="s">
        <v>1301</v>
      </c>
      <c r="F543" s="74" t="s">
        <v>1300</v>
      </c>
      <c r="G543" s="71" t="s">
        <v>102</v>
      </c>
      <c r="H543" s="71">
        <v>0</v>
      </c>
      <c r="I543" s="71" t="s">
        <v>390</v>
      </c>
      <c r="J543" s="71" t="s">
        <v>128</v>
      </c>
      <c r="K543" s="71">
        <v>208</v>
      </c>
      <c r="L543" s="71" t="s">
        <v>129</v>
      </c>
      <c r="M543" s="71" t="s">
        <v>380</v>
      </c>
      <c r="N543" s="71">
        <v>-1.78E-2</v>
      </c>
      <c r="O543" s="71">
        <v>5.4999999999999997E-3</v>
      </c>
      <c r="P543" s="93">
        <f t="shared" si="214"/>
        <v>-3.2363636363636363</v>
      </c>
      <c r="Q543" s="71" t="s">
        <v>312</v>
      </c>
      <c r="R543" s="93">
        <f t="shared" si="215"/>
        <v>-2.8580000000000001E-2</v>
      </c>
      <c r="S543" s="93">
        <f t="shared" si="216"/>
        <v>-7.0200000000000002E-3</v>
      </c>
      <c r="T543" s="71">
        <v>1</v>
      </c>
      <c r="U543" s="71">
        <v>3722</v>
      </c>
      <c r="V543" s="71">
        <v>12</v>
      </c>
      <c r="W543" s="71">
        <v>1</v>
      </c>
      <c r="X543" s="71">
        <f t="shared" si="217"/>
        <v>3710</v>
      </c>
      <c r="Y543" s="93">
        <f t="shared" si="218"/>
        <v>-5.3058891557174047E-2</v>
      </c>
      <c r="Z543" s="93">
        <f t="shared" si="219"/>
        <v>1.6394601323845914E-2</v>
      </c>
      <c r="AA543" s="93">
        <f t="shared" si="220"/>
        <v>-5.3058891557174047E-2</v>
      </c>
      <c r="AB543" s="71" t="s">
        <v>81</v>
      </c>
      <c r="AC543" s="93">
        <f t="shared" si="221"/>
        <v>-8.2093600000000002</v>
      </c>
      <c r="AD543" s="93" cm="1">
        <f t="array" ref="AD543">_xlfn.IFS(
AND(L543="marginal_effect",M543="level"),N543*AN543/BF543,
AND(L543="marginal_effect",M543="sd (Y)"),N543*BH543*AN543/BF543,
AND(L543="marginal_effect",M543="sd (X)"),N543/AQ543*AN543/BF543,
AND(L543="semi_elasticity",M543="level"),N543*AN543,
AND(L543="semi_elasticity",M543="sd (Y)"),N543*AN543*BH543,
AND(L543="semi_elasticity",M543="sd (X)"),N543*AN543/AQ543,
AND(L543="level-log",M543="level"),N543/BF543,
AND(L543="level-log",M543="sd (X)"),N543/BF543/AQ543,
AND(L543="level-log",M543="sd (Y)"),N543/BF543*BH543,
AND(L543="elasticity",M543="level"),N543,
AND(L543="elasticity",M543="sd (X)"),N543/AQ543,
AND(L543="elasticity",M543="sd (Y)"),N543*BH543,
AND(L543="marginal_effect",M543="percent_of_mean"),N543*AN543/BF543/10)</f>
        <v>-8.2093600000000002</v>
      </c>
      <c r="AE543" s="49">
        <f t="shared" si="212"/>
        <v>1</v>
      </c>
      <c r="AF543" s="93">
        <f t="shared" si="222"/>
        <v>2.5366</v>
      </c>
      <c r="AG543" s="93" cm="1">
        <f t="array" ref="AG543">_xlfn.IFS(
AND(L543="marginal_effect",M543="level"),O543*AN543/BF543,
AND(L543="marginal_effect",M543="sd (Y)"),O543*BH543*AN543/BF543,
AND(L543="marginal_effect",M543="sd (X)"),O543/AQ543*AN543/BF543,
AND(L543="semi_elasticity",M543="level"),O543*AN543,
AND(L543="semi_elasticity",M543="sd (Y)"),O543*AN543*BH543,
AND(L543="semi_elasticity",M543="sd (X)"),O543*AN543/AQ543,
AND(L543="level-log",M543="level"),O543/BF543,
AND(L543="level-log",M543="sd (X)"),O543/BF543/AQ543,
AND(L543="level-log",M543="sd (Y)"),O543/BF543*BH543,
AND(L543="elasticity",M543="level"),O543,
AND(L543="elasticity",M543="sd (X)"),O543/AQ543,
AND(L543="elasticity",M543="sd (Y)"),O543*BH543,
AND(L543="marginal_effect",M543="percent_of_mean"),O543*AN543/BF543/10)</f>
        <v>2.5366</v>
      </c>
      <c r="AH543" s="49">
        <f t="shared" si="213"/>
        <v>1</v>
      </c>
      <c r="AI543" s="93">
        <f t="shared" si="223"/>
        <v>-8.2093600000000002</v>
      </c>
      <c r="AJ543" s="71">
        <v>0</v>
      </c>
      <c r="AK543" s="71">
        <f t="shared" si="224"/>
        <v>1</v>
      </c>
      <c r="AL543" s="71" t="s">
        <v>82</v>
      </c>
      <c r="AM543" s="71" t="s">
        <v>1333</v>
      </c>
      <c r="AN543" s="71">
        <v>11.53</v>
      </c>
      <c r="AO543" s="71">
        <v>0</v>
      </c>
      <c r="AP543" s="71">
        <f t="shared" ref="AP543:AP578" si="225">AN543</f>
        <v>11.53</v>
      </c>
      <c r="AQ543" s="71">
        <v>6.97</v>
      </c>
      <c r="AR543" s="71" t="s">
        <v>312</v>
      </c>
      <c r="AS543" s="71">
        <v>75.86</v>
      </c>
      <c r="AT543" s="71" t="s">
        <v>83</v>
      </c>
      <c r="AU543" s="71" t="s">
        <v>109</v>
      </c>
      <c r="AV543" s="71" t="s">
        <v>133</v>
      </c>
      <c r="AW543" s="71" t="s">
        <v>85</v>
      </c>
      <c r="AX543" s="71" t="s">
        <v>86</v>
      </c>
      <c r="AY543" s="71">
        <v>0</v>
      </c>
      <c r="AZ543" s="71">
        <v>0</v>
      </c>
      <c r="BA543" s="71" t="s">
        <v>391</v>
      </c>
      <c r="BB543" s="71" t="s">
        <v>88</v>
      </c>
      <c r="BC543" s="71" t="s">
        <v>113</v>
      </c>
      <c r="BD543" s="71" t="s">
        <v>114</v>
      </c>
      <c r="BE543" s="71" t="s">
        <v>1315</v>
      </c>
      <c r="BF543" s="71">
        <v>2.5000000000000001E-2</v>
      </c>
      <c r="BG543" s="71">
        <v>0</v>
      </c>
      <c r="BH543" s="71">
        <v>1.28</v>
      </c>
      <c r="BI543" s="71" t="s">
        <v>312</v>
      </c>
      <c r="BJ543" s="71" t="s">
        <v>312</v>
      </c>
      <c r="BK543" s="71" t="s">
        <v>91</v>
      </c>
      <c r="BL543" s="71" t="s">
        <v>1298</v>
      </c>
      <c r="BM543" s="71">
        <v>1</v>
      </c>
      <c r="BN543" s="71" t="s">
        <v>428</v>
      </c>
      <c r="BO543" s="71" t="s">
        <v>1297</v>
      </c>
      <c r="BP543" s="71" t="s">
        <v>1296</v>
      </c>
      <c r="BQ543" s="71" t="s">
        <v>92</v>
      </c>
      <c r="BR543" s="71" t="s">
        <v>93</v>
      </c>
      <c r="BS543" s="71" t="s">
        <v>312</v>
      </c>
      <c r="BT543" s="71" t="s">
        <v>312</v>
      </c>
      <c r="BU543" s="73">
        <v>36526</v>
      </c>
      <c r="BV543" s="73">
        <v>41944</v>
      </c>
      <c r="BW543" s="71" t="s">
        <v>94</v>
      </c>
      <c r="BX543" s="71" t="s">
        <v>1295</v>
      </c>
      <c r="BY543" s="71" t="s">
        <v>96</v>
      </c>
      <c r="BZ543" s="71">
        <v>0</v>
      </c>
      <c r="CA543" s="71">
        <v>0</v>
      </c>
      <c r="CB543" s="71" t="s">
        <v>97</v>
      </c>
      <c r="CC543" s="71" t="s">
        <v>313</v>
      </c>
      <c r="CD543" s="71">
        <v>1</v>
      </c>
      <c r="CE543" s="71" t="s">
        <v>1294</v>
      </c>
      <c r="CF543" s="71">
        <v>1</v>
      </c>
      <c r="CG543" s="71" t="s">
        <v>597</v>
      </c>
      <c r="CH543" s="71" t="s">
        <v>312</v>
      </c>
      <c r="CI543" s="71" t="s">
        <v>1293</v>
      </c>
      <c r="CJ543" s="71" t="s">
        <v>98</v>
      </c>
      <c r="CK543" s="71">
        <v>26</v>
      </c>
      <c r="CL543" s="71">
        <v>0</v>
      </c>
      <c r="CM543" s="71">
        <v>0</v>
      </c>
      <c r="CN543" s="72" t="s">
        <v>99</v>
      </c>
      <c r="CO543" s="71" t="s">
        <v>97</v>
      </c>
      <c r="CP543" s="71" t="s">
        <v>100</v>
      </c>
      <c r="CQ543" s="71" t="s">
        <v>126</v>
      </c>
      <c r="CR543" s="72">
        <v>46227</v>
      </c>
      <c r="CT543" s="71" t="s">
        <v>552</v>
      </c>
    </row>
    <row r="544" spans="1:98" s="71" customFormat="1" x14ac:dyDescent="0.35">
      <c r="A544" s="74" t="s">
        <v>1304</v>
      </c>
      <c r="B544" s="74" t="s">
        <v>1323</v>
      </c>
      <c r="C544" s="71" t="s">
        <v>1302</v>
      </c>
      <c r="D544" s="71">
        <v>2016</v>
      </c>
      <c r="E544" s="74" t="s">
        <v>1301</v>
      </c>
      <c r="F544" s="74" t="s">
        <v>1300</v>
      </c>
      <c r="G544" s="71" t="s">
        <v>102</v>
      </c>
      <c r="H544" s="71">
        <v>0</v>
      </c>
      <c r="I544" s="71" t="s">
        <v>390</v>
      </c>
      <c r="J544" s="71" t="s">
        <v>128</v>
      </c>
      <c r="K544" s="71">
        <v>208</v>
      </c>
      <c r="L544" s="71" t="s">
        <v>129</v>
      </c>
      <c r="M544" s="71" t="s">
        <v>380</v>
      </c>
      <c r="N544" s="71">
        <v>3.3E-3</v>
      </c>
      <c r="O544" s="71">
        <v>4.5999999999999999E-3</v>
      </c>
      <c r="P544" s="93">
        <f t="shared" si="214"/>
        <v>0.71739130434782605</v>
      </c>
      <c r="Q544" s="71" t="s">
        <v>312</v>
      </c>
      <c r="R544" s="93">
        <f t="shared" si="215"/>
        <v>-5.7159999999999997E-3</v>
      </c>
      <c r="S544" s="93">
        <f t="shared" si="216"/>
        <v>1.2316000000000001E-2</v>
      </c>
      <c r="T544" s="71">
        <v>1</v>
      </c>
      <c r="U544" s="71">
        <v>3722</v>
      </c>
      <c r="V544" s="71">
        <v>12</v>
      </c>
      <c r="W544" s="71">
        <v>1</v>
      </c>
      <c r="X544" s="71">
        <f t="shared" si="217"/>
        <v>3710</v>
      </c>
      <c r="Y544" s="93">
        <f t="shared" si="218"/>
        <v>1.1777118173757621E-2</v>
      </c>
      <c r="Z544" s="93">
        <f t="shared" si="219"/>
        <v>1.6416588969480318E-2</v>
      </c>
      <c r="AA544" s="93">
        <f t="shared" si="220"/>
        <v>1.1777118173757621E-2</v>
      </c>
      <c r="AB544" s="71" t="s">
        <v>81</v>
      </c>
      <c r="AC544" s="93">
        <f t="shared" si="221"/>
        <v>1.52196</v>
      </c>
      <c r="AD544" s="93" cm="1">
        <f t="array" ref="AD544">_xlfn.IFS(
AND(L544="marginal_effect",M544="level"),N544*AN544/BF544,
AND(L544="marginal_effect",M544="sd (Y)"),N544*BH544*AN544/BF544,
AND(L544="marginal_effect",M544="sd (X)"),N544/AQ544*AN544/BF544,
AND(L544="semi_elasticity",M544="level"),N544*AN544,
AND(L544="semi_elasticity",M544="sd (Y)"),N544*AN544*BH544,
AND(L544="semi_elasticity",M544="sd (X)"),N544*AN544/AQ544,
AND(L544="level-log",M544="level"),N544/BF544,
AND(L544="level-log",M544="sd (X)"),N544/BF544/AQ544,
AND(L544="level-log",M544="sd (Y)"),N544/BF544*BH544,
AND(L544="elasticity",M544="level"),N544,
AND(L544="elasticity",M544="sd (X)"),N544/AQ544,
AND(L544="elasticity",M544="sd (Y)"),N544*BH544,
AND(L544="marginal_effect",M544="percent_of_mean"),N544*AN544/BF544/10)</f>
        <v>1.52196</v>
      </c>
      <c r="AE544" s="49">
        <f t="shared" si="212"/>
        <v>1</v>
      </c>
      <c r="AF544" s="93">
        <f t="shared" si="222"/>
        <v>2.1215199999999999</v>
      </c>
      <c r="AG544" s="93" cm="1">
        <f t="array" ref="AG544">_xlfn.IFS(
AND(L544="marginal_effect",M544="level"),O544*AN544/BF544,
AND(L544="marginal_effect",M544="sd (Y)"),O544*BH544*AN544/BF544,
AND(L544="marginal_effect",M544="sd (X)"),O544/AQ544*AN544/BF544,
AND(L544="semi_elasticity",M544="level"),O544*AN544,
AND(L544="semi_elasticity",M544="sd (Y)"),O544*AN544*BH544,
AND(L544="semi_elasticity",M544="sd (X)"),O544*AN544/AQ544,
AND(L544="level-log",M544="level"),O544/BF544,
AND(L544="level-log",M544="sd (X)"),O544/BF544/AQ544,
AND(L544="level-log",M544="sd (Y)"),O544/BF544*BH544,
AND(L544="elasticity",M544="level"),O544,
AND(L544="elasticity",M544="sd (X)"),O544/AQ544,
AND(L544="elasticity",M544="sd (Y)"),O544*BH544,
AND(L544="marginal_effect",M544="percent_of_mean"),O544*AN544/BF544/10)</f>
        <v>2.1215199999999999</v>
      </c>
      <c r="AH544" s="49">
        <f t="shared" si="213"/>
        <v>1</v>
      </c>
      <c r="AI544" s="93">
        <f t="shared" si="223"/>
        <v>1.52196</v>
      </c>
      <c r="AJ544" s="71">
        <v>0</v>
      </c>
      <c r="AK544" s="71">
        <f t="shared" si="224"/>
        <v>1</v>
      </c>
      <c r="AL544" s="71" t="s">
        <v>82</v>
      </c>
      <c r="AM544" s="71" t="s">
        <v>1333</v>
      </c>
      <c r="AN544" s="71">
        <v>11.53</v>
      </c>
      <c r="AO544" s="71">
        <v>0</v>
      </c>
      <c r="AP544" s="71">
        <f t="shared" si="225"/>
        <v>11.53</v>
      </c>
      <c r="AQ544" s="71">
        <v>6.97</v>
      </c>
      <c r="AR544" s="71" t="s">
        <v>312</v>
      </c>
      <c r="AS544" s="71">
        <v>75.86</v>
      </c>
      <c r="AT544" s="71" t="s">
        <v>83</v>
      </c>
      <c r="AU544" s="71" t="s">
        <v>109</v>
      </c>
      <c r="AV544" s="71" t="s">
        <v>133</v>
      </c>
      <c r="AW544" s="71" t="s">
        <v>85</v>
      </c>
      <c r="AX544" s="71" t="s">
        <v>86</v>
      </c>
      <c r="AY544" s="71">
        <v>-1</v>
      </c>
      <c r="AZ544" s="71">
        <v>-1</v>
      </c>
      <c r="BA544" s="71" t="s">
        <v>391</v>
      </c>
      <c r="BB544" s="71" t="s">
        <v>88</v>
      </c>
      <c r="BC544" s="71" t="s">
        <v>113</v>
      </c>
      <c r="BD544" s="71" t="s">
        <v>114</v>
      </c>
      <c r="BE544" s="71" t="s">
        <v>1315</v>
      </c>
      <c r="BF544" s="71">
        <v>2.5000000000000001E-2</v>
      </c>
      <c r="BG544" s="71">
        <v>0</v>
      </c>
      <c r="BH544" s="71">
        <v>1.28</v>
      </c>
      <c r="BI544" s="71" t="s">
        <v>312</v>
      </c>
      <c r="BJ544" s="71" t="s">
        <v>312</v>
      </c>
      <c r="BK544" s="71" t="s">
        <v>91</v>
      </c>
      <c r="BL544" s="71" t="s">
        <v>1298</v>
      </c>
      <c r="BM544" s="71">
        <v>1</v>
      </c>
      <c r="BN544" s="71" t="s">
        <v>428</v>
      </c>
      <c r="BO544" s="71" t="s">
        <v>1297</v>
      </c>
      <c r="BP544" s="71" t="s">
        <v>1296</v>
      </c>
      <c r="BQ544" s="71" t="s">
        <v>92</v>
      </c>
      <c r="BR544" s="71" t="s">
        <v>93</v>
      </c>
      <c r="BS544" s="71" t="s">
        <v>312</v>
      </c>
      <c r="BT544" s="71" t="s">
        <v>312</v>
      </c>
      <c r="BU544" s="73">
        <v>36526</v>
      </c>
      <c r="BV544" s="73">
        <v>41944</v>
      </c>
      <c r="BW544" s="71" t="s">
        <v>94</v>
      </c>
      <c r="BX544" s="71" t="s">
        <v>1295</v>
      </c>
      <c r="BY544" s="71" t="s">
        <v>96</v>
      </c>
      <c r="BZ544" s="71">
        <v>0</v>
      </c>
      <c r="CA544" s="71">
        <v>0</v>
      </c>
      <c r="CB544" s="71" t="s">
        <v>97</v>
      </c>
      <c r="CC544" s="71" t="s">
        <v>313</v>
      </c>
      <c r="CD544" s="71">
        <v>1</v>
      </c>
      <c r="CE544" s="71" t="s">
        <v>1294</v>
      </c>
      <c r="CF544" s="71">
        <v>1</v>
      </c>
      <c r="CG544" s="71" t="s">
        <v>597</v>
      </c>
      <c r="CH544" s="71" t="s">
        <v>312</v>
      </c>
      <c r="CI544" s="71" t="s">
        <v>1293</v>
      </c>
      <c r="CJ544" s="71" t="s">
        <v>98</v>
      </c>
      <c r="CK544" s="71">
        <v>26</v>
      </c>
      <c r="CL544" s="71">
        <v>0</v>
      </c>
      <c r="CM544" s="71">
        <v>0</v>
      </c>
      <c r="CN544" s="72" t="s">
        <v>99</v>
      </c>
      <c r="CO544" s="71" t="s">
        <v>97</v>
      </c>
      <c r="CP544" s="71" t="s">
        <v>100</v>
      </c>
      <c r="CQ544" s="71" t="s">
        <v>126</v>
      </c>
      <c r="CR544" s="72">
        <v>46227</v>
      </c>
      <c r="CT544" s="71" t="s">
        <v>552</v>
      </c>
    </row>
    <row r="545" spans="1:98" s="71" customFormat="1" x14ac:dyDescent="0.35">
      <c r="A545" s="74" t="s">
        <v>1304</v>
      </c>
      <c r="B545" s="74" t="s">
        <v>1322</v>
      </c>
      <c r="C545" s="71" t="s">
        <v>1302</v>
      </c>
      <c r="D545" s="71">
        <v>2016</v>
      </c>
      <c r="E545" s="74" t="s">
        <v>1301</v>
      </c>
      <c r="F545" s="74" t="s">
        <v>1300</v>
      </c>
      <c r="G545" s="71" t="s">
        <v>102</v>
      </c>
      <c r="H545" s="71">
        <v>0</v>
      </c>
      <c r="I545" s="71" t="s">
        <v>390</v>
      </c>
      <c r="J545" s="71" t="s">
        <v>128</v>
      </c>
      <c r="K545" s="71">
        <v>208</v>
      </c>
      <c r="L545" s="71" t="s">
        <v>129</v>
      </c>
      <c r="M545" s="71" t="s">
        <v>380</v>
      </c>
      <c r="N545" s="71">
        <v>-2.0999999999999999E-3</v>
      </c>
      <c r="O545" s="71">
        <v>4.3E-3</v>
      </c>
      <c r="P545" s="93">
        <f t="shared" si="214"/>
        <v>-0.48837209302325579</v>
      </c>
      <c r="Q545" s="71" t="s">
        <v>312</v>
      </c>
      <c r="R545" s="93">
        <f t="shared" si="215"/>
        <v>-1.0527999999999999E-2</v>
      </c>
      <c r="S545" s="93">
        <f t="shared" si="216"/>
        <v>6.3280000000000003E-3</v>
      </c>
      <c r="T545" s="71">
        <v>1</v>
      </c>
      <c r="U545" s="71">
        <v>3722</v>
      </c>
      <c r="V545" s="71">
        <v>12</v>
      </c>
      <c r="W545" s="71">
        <v>1</v>
      </c>
      <c r="X545" s="71">
        <f t="shared" si="217"/>
        <v>3710</v>
      </c>
      <c r="Y545" s="93">
        <f t="shared" si="218"/>
        <v>-8.0177022665832067E-3</v>
      </c>
      <c r="Z545" s="93">
        <f t="shared" si="219"/>
        <v>1.6417199879194187E-2</v>
      </c>
      <c r="AA545" s="93">
        <f t="shared" si="220"/>
        <v>-8.0177022665832067E-3</v>
      </c>
      <c r="AB545" s="71" t="s">
        <v>81</v>
      </c>
      <c r="AC545" s="93">
        <f t="shared" si="221"/>
        <v>-0.96851999999999994</v>
      </c>
      <c r="AD545" s="93" cm="1">
        <f t="array" ref="AD545">_xlfn.IFS(
AND(L545="marginal_effect",M545="level"),N545*AN545/BF545,
AND(L545="marginal_effect",M545="sd (Y)"),N545*BH545*AN545/BF545,
AND(L545="marginal_effect",M545="sd (X)"),N545/AQ545*AN545/BF545,
AND(L545="semi_elasticity",M545="level"),N545*AN545,
AND(L545="semi_elasticity",M545="sd (Y)"),N545*AN545*BH545,
AND(L545="semi_elasticity",M545="sd (X)"),N545*AN545/AQ545,
AND(L545="level-log",M545="level"),N545/BF545,
AND(L545="level-log",M545="sd (X)"),N545/BF545/AQ545,
AND(L545="level-log",M545="sd (Y)"),N545/BF545*BH545,
AND(L545="elasticity",M545="level"),N545,
AND(L545="elasticity",M545="sd (X)"),N545/AQ545,
AND(L545="elasticity",M545="sd (Y)"),N545*BH545,
AND(L545="marginal_effect",M545="percent_of_mean"),N545*AN545/BF545/10)</f>
        <v>-0.96851999999999994</v>
      </c>
      <c r="AE545" s="49">
        <f t="shared" si="212"/>
        <v>1</v>
      </c>
      <c r="AF545" s="93">
        <f t="shared" si="222"/>
        <v>1.9831599999999998</v>
      </c>
      <c r="AG545" s="93" cm="1">
        <f t="array" ref="AG545">_xlfn.IFS(
AND(L545="marginal_effect",M545="level"),O545*AN545/BF545,
AND(L545="marginal_effect",M545="sd (Y)"),O545*BH545*AN545/BF545,
AND(L545="marginal_effect",M545="sd (X)"),O545/AQ545*AN545/BF545,
AND(L545="semi_elasticity",M545="level"),O545*AN545,
AND(L545="semi_elasticity",M545="sd (Y)"),O545*AN545*BH545,
AND(L545="semi_elasticity",M545="sd (X)"),O545*AN545/AQ545,
AND(L545="level-log",M545="level"),O545/BF545,
AND(L545="level-log",M545="sd (X)"),O545/BF545/AQ545,
AND(L545="level-log",M545="sd (Y)"),O545/BF545*BH545,
AND(L545="elasticity",M545="level"),O545,
AND(L545="elasticity",M545="sd (X)"),O545/AQ545,
AND(L545="elasticity",M545="sd (Y)"),O545*BH545,
AND(L545="marginal_effect",M545="percent_of_mean"),O545*AN545/BF545/10)</f>
        <v>1.9831599999999998</v>
      </c>
      <c r="AH545" s="49">
        <f t="shared" si="213"/>
        <v>1</v>
      </c>
      <c r="AI545" s="93">
        <f t="shared" si="223"/>
        <v>-0.96851999999999994</v>
      </c>
      <c r="AJ545" s="71">
        <v>0</v>
      </c>
      <c r="AK545" s="71">
        <f t="shared" si="224"/>
        <v>1</v>
      </c>
      <c r="AL545" s="71" t="s">
        <v>82</v>
      </c>
      <c r="AM545" s="71" t="s">
        <v>1333</v>
      </c>
      <c r="AN545" s="71">
        <v>11.53</v>
      </c>
      <c r="AO545" s="71">
        <v>0</v>
      </c>
      <c r="AP545" s="71">
        <f t="shared" si="225"/>
        <v>11.53</v>
      </c>
      <c r="AQ545" s="71">
        <v>6.97</v>
      </c>
      <c r="AR545" s="71" t="s">
        <v>312</v>
      </c>
      <c r="AS545" s="71">
        <v>75.86</v>
      </c>
      <c r="AT545" s="71" t="s">
        <v>83</v>
      </c>
      <c r="AU545" s="71" t="s">
        <v>109</v>
      </c>
      <c r="AV545" s="71" t="s">
        <v>133</v>
      </c>
      <c r="AW545" s="71" t="s">
        <v>85</v>
      </c>
      <c r="AX545" s="71" t="s">
        <v>86</v>
      </c>
      <c r="AY545" s="71">
        <v>-2</v>
      </c>
      <c r="AZ545" s="71">
        <v>-2</v>
      </c>
      <c r="BA545" s="71" t="s">
        <v>391</v>
      </c>
      <c r="BB545" s="71" t="s">
        <v>88</v>
      </c>
      <c r="BC545" s="71" t="s">
        <v>113</v>
      </c>
      <c r="BD545" s="71" t="s">
        <v>114</v>
      </c>
      <c r="BE545" s="71" t="s">
        <v>1315</v>
      </c>
      <c r="BF545" s="71">
        <v>2.5000000000000001E-2</v>
      </c>
      <c r="BG545" s="71">
        <v>0</v>
      </c>
      <c r="BH545" s="71">
        <v>1.28</v>
      </c>
      <c r="BI545" s="71" t="s">
        <v>312</v>
      </c>
      <c r="BJ545" s="71" t="s">
        <v>312</v>
      </c>
      <c r="BK545" s="71" t="s">
        <v>91</v>
      </c>
      <c r="BL545" s="71" t="s">
        <v>1298</v>
      </c>
      <c r="BM545" s="71">
        <v>1</v>
      </c>
      <c r="BN545" s="71" t="s">
        <v>428</v>
      </c>
      <c r="BO545" s="71" t="s">
        <v>1297</v>
      </c>
      <c r="BP545" s="71" t="s">
        <v>1296</v>
      </c>
      <c r="BQ545" s="71" t="s">
        <v>92</v>
      </c>
      <c r="BR545" s="71" t="s">
        <v>93</v>
      </c>
      <c r="BS545" s="71" t="s">
        <v>312</v>
      </c>
      <c r="BT545" s="71" t="s">
        <v>312</v>
      </c>
      <c r="BU545" s="73">
        <v>36526</v>
      </c>
      <c r="BV545" s="73">
        <v>41944</v>
      </c>
      <c r="BW545" s="71" t="s">
        <v>94</v>
      </c>
      <c r="BX545" s="71" t="s">
        <v>1295</v>
      </c>
      <c r="BY545" s="71" t="s">
        <v>96</v>
      </c>
      <c r="BZ545" s="71">
        <v>0</v>
      </c>
      <c r="CA545" s="71">
        <v>0</v>
      </c>
      <c r="CB545" s="71" t="s">
        <v>97</v>
      </c>
      <c r="CC545" s="71" t="s">
        <v>313</v>
      </c>
      <c r="CD545" s="71">
        <v>1</v>
      </c>
      <c r="CE545" s="71" t="s">
        <v>1294</v>
      </c>
      <c r="CF545" s="71">
        <v>1</v>
      </c>
      <c r="CG545" s="71" t="s">
        <v>597</v>
      </c>
      <c r="CH545" s="71" t="s">
        <v>312</v>
      </c>
      <c r="CI545" s="71" t="s">
        <v>1293</v>
      </c>
      <c r="CJ545" s="71" t="s">
        <v>98</v>
      </c>
      <c r="CK545" s="71">
        <v>26</v>
      </c>
      <c r="CL545" s="71">
        <v>0</v>
      </c>
      <c r="CM545" s="71">
        <v>0</v>
      </c>
      <c r="CN545" s="72" t="s">
        <v>99</v>
      </c>
      <c r="CO545" s="71" t="s">
        <v>97</v>
      </c>
      <c r="CP545" s="71" t="s">
        <v>100</v>
      </c>
      <c r="CQ545" s="71" t="s">
        <v>126</v>
      </c>
      <c r="CR545" s="72">
        <v>46227</v>
      </c>
      <c r="CT545" s="71" t="s">
        <v>552</v>
      </c>
    </row>
    <row r="546" spans="1:98" s="71" customFormat="1" x14ac:dyDescent="0.35">
      <c r="A546" s="74" t="s">
        <v>1304</v>
      </c>
      <c r="B546" s="74" t="s">
        <v>1321</v>
      </c>
      <c r="C546" s="71" t="s">
        <v>1302</v>
      </c>
      <c r="D546" s="71">
        <v>2016</v>
      </c>
      <c r="E546" s="74" t="s">
        <v>1301</v>
      </c>
      <c r="F546" s="74" t="s">
        <v>1300</v>
      </c>
      <c r="G546" s="71" t="s">
        <v>102</v>
      </c>
      <c r="H546" s="71">
        <v>0</v>
      </c>
      <c r="I546" s="71" t="s">
        <v>390</v>
      </c>
      <c r="J546" s="71" t="s">
        <v>128</v>
      </c>
      <c r="K546" s="71">
        <v>208</v>
      </c>
      <c r="L546" s="71" t="s">
        <v>129</v>
      </c>
      <c r="M546" s="71" t="s">
        <v>380</v>
      </c>
      <c r="N546" s="71">
        <v>-1.78E-2</v>
      </c>
      <c r="O546" s="71">
        <v>5.1000000000000004E-3</v>
      </c>
      <c r="P546" s="93">
        <f t="shared" si="214"/>
        <v>-3.4901960784313721</v>
      </c>
      <c r="Q546" s="71" t="s">
        <v>312</v>
      </c>
      <c r="R546" s="93">
        <f t="shared" si="215"/>
        <v>-2.7796000000000001E-2</v>
      </c>
      <c r="S546" s="93">
        <f t="shared" si="216"/>
        <v>-7.8040000000000002E-3</v>
      </c>
      <c r="T546" s="71">
        <v>1</v>
      </c>
      <c r="U546" s="71">
        <v>3722</v>
      </c>
      <c r="V546" s="71">
        <v>6</v>
      </c>
      <c r="W546" s="71">
        <v>1</v>
      </c>
      <c r="X546" s="71">
        <f t="shared" si="217"/>
        <v>3716</v>
      </c>
      <c r="Y546" s="93">
        <f t="shared" si="218"/>
        <v>-5.7161195660761374E-2</v>
      </c>
      <c r="Z546" s="93">
        <f t="shared" si="219"/>
        <v>1.6377645947746239E-2</v>
      </c>
      <c r="AA546" s="93">
        <f t="shared" si="220"/>
        <v>-5.7161195660761374E-2</v>
      </c>
      <c r="AB546" s="71" t="s">
        <v>81</v>
      </c>
      <c r="AC546" s="93">
        <f t="shared" si="221"/>
        <v>-8.2093600000000002</v>
      </c>
      <c r="AD546" s="93" cm="1">
        <f t="array" ref="AD546">_xlfn.IFS(
AND(L546="marginal_effect",M546="level"),N546*AN546/BF546,
AND(L546="marginal_effect",M546="sd (Y)"),N546*BH546*AN546/BF546,
AND(L546="marginal_effect",M546="sd (X)"),N546/AQ546*AN546/BF546,
AND(L546="semi_elasticity",M546="level"),N546*AN546,
AND(L546="semi_elasticity",M546="sd (Y)"),N546*AN546*BH546,
AND(L546="semi_elasticity",M546="sd (X)"),N546*AN546/AQ546,
AND(L546="level-log",M546="level"),N546/BF546,
AND(L546="level-log",M546="sd (X)"),N546/BF546/AQ546,
AND(L546="level-log",M546="sd (Y)"),N546/BF546*BH546,
AND(L546="elasticity",M546="level"),N546,
AND(L546="elasticity",M546="sd (X)"),N546/AQ546,
AND(L546="elasticity",M546="sd (Y)"),N546*BH546,
AND(L546="marginal_effect",M546="percent_of_mean"),N546*AN546/BF546/10)</f>
        <v>-8.2093600000000002</v>
      </c>
      <c r="AE546" s="49">
        <f t="shared" si="212"/>
        <v>1</v>
      </c>
      <c r="AF546" s="93">
        <f t="shared" si="222"/>
        <v>2.3521199999999998</v>
      </c>
      <c r="AG546" s="93" cm="1">
        <f t="array" ref="AG546">_xlfn.IFS(
AND(L546="marginal_effect",M546="level"),O546*AN546/BF546,
AND(L546="marginal_effect",M546="sd (Y)"),O546*BH546*AN546/BF546,
AND(L546="marginal_effect",M546="sd (X)"),O546/AQ546*AN546/BF546,
AND(L546="semi_elasticity",M546="level"),O546*AN546,
AND(L546="semi_elasticity",M546="sd (Y)"),O546*AN546*BH546,
AND(L546="semi_elasticity",M546="sd (X)"),O546*AN546/AQ546,
AND(L546="level-log",M546="level"),O546/BF546,
AND(L546="level-log",M546="sd (X)"),O546/BF546/AQ546,
AND(L546="level-log",M546="sd (Y)"),O546/BF546*BH546,
AND(L546="elasticity",M546="level"),O546,
AND(L546="elasticity",M546="sd (X)"),O546/AQ546,
AND(L546="elasticity",M546="sd (Y)"),O546*BH546,
AND(L546="marginal_effect",M546="percent_of_mean"),O546*AN546/BF546/10)</f>
        <v>2.3521199999999998</v>
      </c>
      <c r="AH546" s="49">
        <f t="shared" si="213"/>
        <v>1</v>
      </c>
      <c r="AI546" s="93">
        <f t="shared" si="223"/>
        <v>-8.2093600000000002</v>
      </c>
      <c r="AJ546" s="71">
        <v>0</v>
      </c>
      <c r="AK546" s="71">
        <f t="shared" si="224"/>
        <v>1</v>
      </c>
      <c r="AL546" s="71" t="s">
        <v>82</v>
      </c>
      <c r="AM546" s="71" t="s">
        <v>1333</v>
      </c>
      <c r="AN546" s="71">
        <v>11.53</v>
      </c>
      <c r="AO546" s="71">
        <v>0</v>
      </c>
      <c r="AP546" s="71">
        <f t="shared" si="225"/>
        <v>11.53</v>
      </c>
      <c r="AQ546" s="71">
        <v>6.97</v>
      </c>
      <c r="AR546" s="71" t="s">
        <v>312</v>
      </c>
      <c r="AS546" s="71">
        <v>75.86</v>
      </c>
      <c r="AT546" s="71" t="s">
        <v>83</v>
      </c>
      <c r="AU546" s="71" t="s">
        <v>109</v>
      </c>
      <c r="AV546" s="71" t="s">
        <v>133</v>
      </c>
      <c r="AW546" s="71" t="s">
        <v>85</v>
      </c>
      <c r="AX546" s="71" t="s">
        <v>86</v>
      </c>
      <c r="AY546" s="71">
        <v>0</v>
      </c>
      <c r="AZ546" s="71">
        <v>0</v>
      </c>
      <c r="BA546" s="71" t="s">
        <v>391</v>
      </c>
      <c r="BB546" s="71" t="s">
        <v>88</v>
      </c>
      <c r="BC546" s="71" t="s">
        <v>113</v>
      </c>
      <c r="BD546" s="71" t="s">
        <v>114</v>
      </c>
      <c r="BE546" s="71" t="s">
        <v>1315</v>
      </c>
      <c r="BF546" s="71">
        <v>2.5000000000000001E-2</v>
      </c>
      <c r="BG546" s="71">
        <v>0</v>
      </c>
      <c r="BH546" s="71">
        <v>1.28</v>
      </c>
      <c r="BI546" s="71" t="s">
        <v>312</v>
      </c>
      <c r="BJ546" s="71" t="s">
        <v>312</v>
      </c>
      <c r="BK546" s="71" t="s">
        <v>91</v>
      </c>
      <c r="BL546" s="71" t="s">
        <v>1298</v>
      </c>
      <c r="BM546" s="71">
        <v>1</v>
      </c>
      <c r="BN546" s="71" t="s">
        <v>428</v>
      </c>
      <c r="BO546" s="71" t="s">
        <v>1297</v>
      </c>
      <c r="BP546" s="71" t="s">
        <v>1296</v>
      </c>
      <c r="BQ546" s="71" t="s">
        <v>92</v>
      </c>
      <c r="BR546" s="71" t="s">
        <v>93</v>
      </c>
      <c r="BS546" s="71" t="s">
        <v>312</v>
      </c>
      <c r="BT546" s="71" t="s">
        <v>312</v>
      </c>
      <c r="BU546" s="73">
        <v>36526</v>
      </c>
      <c r="BV546" s="73">
        <v>41944</v>
      </c>
      <c r="BW546" s="71" t="s">
        <v>94</v>
      </c>
      <c r="BX546" s="71" t="s">
        <v>1295</v>
      </c>
      <c r="BY546" s="71" t="s">
        <v>96</v>
      </c>
      <c r="BZ546" s="71">
        <v>0</v>
      </c>
      <c r="CA546" s="71">
        <v>0</v>
      </c>
      <c r="CB546" s="71" t="s">
        <v>97</v>
      </c>
      <c r="CC546" s="71" t="s">
        <v>313</v>
      </c>
      <c r="CD546" s="71">
        <v>0</v>
      </c>
      <c r="CE546" s="71" t="s">
        <v>97</v>
      </c>
      <c r="CF546" s="71">
        <v>1</v>
      </c>
      <c r="CG546" s="71" t="s">
        <v>597</v>
      </c>
      <c r="CH546" s="71" t="s">
        <v>312</v>
      </c>
      <c r="CI546" s="71" t="s">
        <v>1293</v>
      </c>
      <c r="CJ546" s="71" t="s">
        <v>98</v>
      </c>
      <c r="CK546" s="71">
        <v>26</v>
      </c>
      <c r="CL546" s="71">
        <v>0</v>
      </c>
      <c r="CM546" s="71">
        <v>0</v>
      </c>
      <c r="CN546" s="72" t="s">
        <v>124</v>
      </c>
      <c r="CO546" s="71" t="s">
        <v>97</v>
      </c>
      <c r="CP546" s="71" t="s">
        <v>100</v>
      </c>
      <c r="CQ546" s="71" t="s">
        <v>126</v>
      </c>
      <c r="CR546" s="72">
        <v>46227</v>
      </c>
      <c r="CT546" s="71" t="s">
        <v>437</v>
      </c>
    </row>
    <row r="547" spans="1:98" s="71" customFormat="1" x14ac:dyDescent="0.35">
      <c r="A547" s="74" t="s">
        <v>1304</v>
      </c>
      <c r="B547" s="74" t="s">
        <v>1320</v>
      </c>
      <c r="C547" s="71" t="s">
        <v>1302</v>
      </c>
      <c r="D547" s="71">
        <v>2016</v>
      </c>
      <c r="E547" s="74" t="s">
        <v>1301</v>
      </c>
      <c r="F547" s="74" t="s">
        <v>1300</v>
      </c>
      <c r="G547" s="71" t="s">
        <v>102</v>
      </c>
      <c r="H547" s="71">
        <v>0</v>
      </c>
      <c r="I547" s="71" t="s">
        <v>390</v>
      </c>
      <c r="J547" s="71" t="s">
        <v>128</v>
      </c>
      <c r="K547" s="71">
        <v>208</v>
      </c>
      <c r="L547" s="71" t="s">
        <v>129</v>
      </c>
      <c r="M547" s="71" t="s">
        <v>380</v>
      </c>
      <c r="N547" s="71">
        <v>-1.4200000000000001E-2</v>
      </c>
      <c r="O547" s="71">
        <v>7.4999999999999997E-3</v>
      </c>
      <c r="P547" s="93">
        <f t="shared" si="214"/>
        <v>-1.8933333333333335</v>
      </c>
      <c r="Q547" s="71" t="s">
        <v>312</v>
      </c>
      <c r="R547" s="93">
        <f t="shared" si="215"/>
        <v>-2.8900000000000002E-2</v>
      </c>
      <c r="S547" s="93">
        <f t="shared" si="216"/>
        <v>4.9999999999999871E-4</v>
      </c>
      <c r="T547" s="71">
        <v>1</v>
      </c>
      <c r="U547" s="71">
        <v>2492</v>
      </c>
      <c r="V547" s="71">
        <v>11</v>
      </c>
      <c r="W547" s="71">
        <v>1</v>
      </c>
      <c r="X547" s="71">
        <f t="shared" si="217"/>
        <v>2481</v>
      </c>
      <c r="Y547" s="93">
        <f t="shared" si="218"/>
        <v>-3.7983954475061678E-2</v>
      </c>
      <c r="Z547" s="93">
        <f t="shared" si="219"/>
        <v>2.0061947786124124E-2</v>
      </c>
      <c r="AA547" s="93">
        <f t="shared" si="220"/>
        <v>-3.7983954475061678E-2</v>
      </c>
      <c r="AB547" s="71" t="s">
        <v>81</v>
      </c>
      <c r="AC547" s="93">
        <f t="shared" si="221"/>
        <v>-6.5490399999999998</v>
      </c>
      <c r="AD547" s="93" cm="1">
        <f t="array" ref="AD547">_xlfn.IFS(
AND(L547="marginal_effect",M547="level"),N547*AN547/BF547,
AND(L547="marginal_effect",M547="sd (Y)"),N547*BH547*AN547/BF547,
AND(L547="marginal_effect",M547="sd (X)"),N547/AQ547*AN547/BF547,
AND(L547="semi_elasticity",M547="level"),N547*AN547,
AND(L547="semi_elasticity",M547="sd (Y)"),N547*AN547*BH547,
AND(L547="semi_elasticity",M547="sd (X)"),N547*AN547/AQ547,
AND(L547="level-log",M547="level"),N547/BF547,
AND(L547="level-log",M547="sd (X)"),N547/BF547/AQ547,
AND(L547="level-log",M547="sd (Y)"),N547/BF547*BH547,
AND(L547="elasticity",M547="level"),N547,
AND(L547="elasticity",M547="sd (X)"),N547/AQ547,
AND(L547="elasticity",M547="sd (Y)"),N547*BH547,
AND(L547="marginal_effect",M547="percent_of_mean"),N547*AN547/BF547/10)</f>
        <v>-6.5490399999999998</v>
      </c>
      <c r="AE547" s="49">
        <f t="shared" si="212"/>
        <v>1</v>
      </c>
      <c r="AF547" s="93">
        <f t="shared" si="222"/>
        <v>3.4589999999999996</v>
      </c>
      <c r="AG547" s="93" cm="1">
        <f t="array" ref="AG547">_xlfn.IFS(
AND(L547="marginal_effect",M547="level"),O547*AN547/BF547,
AND(L547="marginal_effect",M547="sd (Y)"),O547*BH547*AN547/BF547,
AND(L547="marginal_effect",M547="sd (X)"),O547/AQ547*AN547/BF547,
AND(L547="semi_elasticity",M547="level"),O547*AN547,
AND(L547="semi_elasticity",M547="sd (Y)"),O547*AN547*BH547,
AND(L547="semi_elasticity",M547="sd (X)"),O547*AN547/AQ547,
AND(L547="level-log",M547="level"),O547/BF547,
AND(L547="level-log",M547="sd (X)"),O547/BF547/AQ547,
AND(L547="level-log",M547="sd (Y)"),O547/BF547*BH547,
AND(L547="elasticity",M547="level"),O547,
AND(L547="elasticity",M547="sd (X)"),O547/AQ547,
AND(L547="elasticity",M547="sd (Y)"),O547*BH547,
AND(L547="marginal_effect",M547="percent_of_mean"),O547*AN547/BF547/10)</f>
        <v>3.4589999999999996</v>
      </c>
      <c r="AH547" s="49">
        <f t="shared" si="213"/>
        <v>1</v>
      </c>
      <c r="AI547" s="93">
        <f t="shared" si="223"/>
        <v>-6.5490399999999998</v>
      </c>
      <c r="AJ547" s="71">
        <v>0</v>
      </c>
      <c r="AK547" s="71">
        <f t="shared" si="224"/>
        <v>1</v>
      </c>
      <c r="AL547" s="71" t="s">
        <v>82</v>
      </c>
      <c r="AM547" s="71" t="s">
        <v>1333</v>
      </c>
      <c r="AN547" s="71">
        <v>11.53</v>
      </c>
      <c r="AO547" s="71">
        <v>0</v>
      </c>
      <c r="AP547" s="71">
        <f t="shared" si="225"/>
        <v>11.53</v>
      </c>
      <c r="AQ547" s="71">
        <v>6.97</v>
      </c>
      <c r="AR547" s="71" t="s">
        <v>312</v>
      </c>
      <c r="AS547" s="71">
        <v>75.86</v>
      </c>
      <c r="AT547" s="71" t="s">
        <v>83</v>
      </c>
      <c r="AU547" s="71" t="s">
        <v>109</v>
      </c>
      <c r="AV547" s="71" t="s">
        <v>133</v>
      </c>
      <c r="AW547" s="71" t="s">
        <v>85</v>
      </c>
      <c r="AX547" s="71" t="s">
        <v>86</v>
      </c>
      <c r="AY547" s="71">
        <v>0</v>
      </c>
      <c r="AZ547" s="71">
        <v>0</v>
      </c>
      <c r="BA547" s="71" t="s">
        <v>391</v>
      </c>
      <c r="BB547" s="71" t="s">
        <v>88</v>
      </c>
      <c r="BC547" s="71" t="s">
        <v>113</v>
      </c>
      <c r="BD547" s="71" t="s">
        <v>114</v>
      </c>
      <c r="BE547" s="71" t="s">
        <v>1315</v>
      </c>
      <c r="BF547" s="71">
        <v>2.5000000000000001E-2</v>
      </c>
      <c r="BG547" s="71">
        <v>0</v>
      </c>
      <c r="BH547" s="71">
        <v>1.28</v>
      </c>
      <c r="BI547" s="71" t="s">
        <v>312</v>
      </c>
      <c r="BJ547" s="71" t="s">
        <v>312</v>
      </c>
      <c r="BK547" s="71" t="s">
        <v>91</v>
      </c>
      <c r="BL547" s="71" t="s">
        <v>1298</v>
      </c>
      <c r="BM547" s="71">
        <v>1</v>
      </c>
      <c r="BN547" s="71" t="s">
        <v>428</v>
      </c>
      <c r="BO547" s="71" t="s">
        <v>1297</v>
      </c>
      <c r="BP547" s="71" t="s">
        <v>1296</v>
      </c>
      <c r="BQ547" s="71" t="s">
        <v>92</v>
      </c>
      <c r="BR547" s="71" t="s">
        <v>93</v>
      </c>
      <c r="BS547" s="71" t="s">
        <v>312</v>
      </c>
      <c r="BT547" s="71" t="s">
        <v>312</v>
      </c>
      <c r="BU547" s="73">
        <v>36526</v>
      </c>
      <c r="BV547" s="73">
        <v>41944</v>
      </c>
      <c r="BW547" s="71" t="s">
        <v>94</v>
      </c>
      <c r="BX547" s="71" t="s">
        <v>1295</v>
      </c>
      <c r="BY547" s="71" t="s">
        <v>96</v>
      </c>
      <c r="BZ547" s="71">
        <v>0</v>
      </c>
      <c r="CA547" s="71">
        <v>0</v>
      </c>
      <c r="CB547" s="71" t="s">
        <v>97</v>
      </c>
      <c r="CC547" s="71" t="s">
        <v>313</v>
      </c>
      <c r="CD547" s="71">
        <v>1</v>
      </c>
      <c r="CE547" s="71" t="s">
        <v>1319</v>
      </c>
      <c r="CF547" s="71">
        <v>1</v>
      </c>
      <c r="CG547" s="71" t="s">
        <v>597</v>
      </c>
      <c r="CH547" s="71" t="s">
        <v>312</v>
      </c>
      <c r="CI547" s="71" t="s">
        <v>1293</v>
      </c>
      <c r="CJ547" s="71" t="s">
        <v>98</v>
      </c>
      <c r="CK547" s="71">
        <v>26</v>
      </c>
      <c r="CL547" s="71">
        <v>0</v>
      </c>
      <c r="CM547" s="71">
        <v>0</v>
      </c>
      <c r="CN547" s="72" t="s">
        <v>124</v>
      </c>
      <c r="CO547" s="71" t="s">
        <v>1318</v>
      </c>
      <c r="CP547" s="71" t="s">
        <v>100</v>
      </c>
      <c r="CQ547" s="71" t="s">
        <v>126</v>
      </c>
      <c r="CR547" s="72">
        <v>46227</v>
      </c>
      <c r="CT547" s="71" t="s">
        <v>438</v>
      </c>
    </row>
    <row r="548" spans="1:98" s="71" customFormat="1" x14ac:dyDescent="0.35">
      <c r="A548" s="74" t="s">
        <v>1304</v>
      </c>
      <c r="B548" s="74" t="s">
        <v>1317</v>
      </c>
      <c r="C548" s="71" t="s">
        <v>1302</v>
      </c>
      <c r="D548" s="71">
        <v>2016</v>
      </c>
      <c r="E548" s="74" t="s">
        <v>1301</v>
      </c>
      <c r="F548" s="74" t="s">
        <v>1300</v>
      </c>
      <c r="G548" s="71" t="s">
        <v>102</v>
      </c>
      <c r="H548" s="71">
        <v>0</v>
      </c>
      <c r="I548" s="71" t="s">
        <v>390</v>
      </c>
      <c r="J548" s="71" t="s">
        <v>128</v>
      </c>
      <c r="K548" s="71">
        <v>208</v>
      </c>
      <c r="L548" s="71" t="s">
        <v>129</v>
      </c>
      <c r="M548" s="71" t="s">
        <v>380</v>
      </c>
      <c r="N548" s="71">
        <v>-1.4E-2</v>
      </c>
      <c r="O548" s="71">
        <v>5.3E-3</v>
      </c>
      <c r="P548" s="93">
        <f t="shared" si="214"/>
        <v>-2.641509433962264</v>
      </c>
      <c r="Q548" s="71" t="s">
        <v>312</v>
      </c>
      <c r="R548" s="93">
        <f t="shared" si="215"/>
        <v>-2.4388E-2</v>
      </c>
      <c r="S548" s="93">
        <f t="shared" si="216"/>
        <v>-3.6120000000000006E-3</v>
      </c>
      <c r="T548" s="71">
        <v>1</v>
      </c>
      <c r="U548" s="71">
        <v>3722</v>
      </c>
      <c r="V548" s="71">
        <v>12</v>
      </c>
      <c r="W548" s="71">
        <v>1</v>
      </c>
      <c r="X548" s="71">
        <f t="shared" si="217"/>
        <v>3710</v>
      </c>
      <c r="Y548" s="93">
        <f t="shared" si="218"/>
        <v>-4.332685799932965E-2</v>
      </c>
      <c r="Z548" s="93">
        <f t="shared" si="219"/>
        <v>1.640231052831765E-2</v>
      </c>
      <c r="AA548" s="93">
        <f t="shared" si="220"/>
        <v>-4.332685799932965E-2</v>
      </c>
      <c r="AB548" s="71" t="s">
        <v>81</v>
      </c>
      <c r="AC548" s="93">
        <f t="shared" si="221"/>
        <v>-6.4568000000000003</v>
      </c>
      <c r="AD548" s="93" cm="1">
        <f t="array" ref="AD548">_xlfn.IFS(
AND(L548="marginal_effect",M548="level"),N548*AN548/BF548,
AND(L548="marginal_effect",M548="sd (Y)"),N548*BH548*AN548/BF548,
AND(L548="marginal_effect",M548="sd (X)"),N548/AQ548*AN548/BF548,
AND(L548="semi_elasticity",M548="level"),N548*AN548,
AND(L548="semi_elasticity",M548="sd (Y)"),N548*AN548*BH548,
AND(L548="semi_elasticity",M548="sd (X)"),N548*AN548/AQ548,
AND(L548="level-log",M548="level"),N548/BF548,
AND(L548="level-log",M548="sd (X)"),N548/BF548/AQ548,
AND(L548="level-log",M548="sd (Y)"),N548/BF548*BH548,
AND(L548="elasticity",M548="level"),N548,
AND(L548="elasticity",M548="sd (X)"),N548/AQ548,
AND(L548="elasticity",M548="sd (Y)"),N548*BH548,
AND(L548="marginal_effect",M548="percent_of_mean"),N548*AN548/BF548/10)</f>
        <v>-6.4568000000000003</v>
      </c>
      <c r="AE548" s="49">
        <f t="shared" si="212"/>
        <v>1</v>
      </c>
      <c r="AF548" s="93">
        <f t="shared" si="222"/>
        <v>2.4443599999999996</v>
      </c>
      <c r="AG548" s="93" cm="1">
        <f t="array" ref="AG548">_xlfn.IFS(
AND(L548="marginal_effect",M548="level"),O548*AN548/BF548,
AND(L548="marginal_effect",M548="sd (Y)"),O548*BH548*AN548/BF548,
AND(L548="marginal_effect",M548="sd (X)"),O548/AQ548*AN548/BF548,
AND(L548="semi_elasticity",M548="level"),O548*AN548,
AND(L548="semi_elasticity",M548="sd (Y)"),O548*AN548*BH548,
AND(L548="semi_elasticity",M548="sd (X)"),O548*AN548/AQ548,
AND(L548="level-log",M548="level"),O548/BF548,
AND(L548="level-log",M548="sd (X)"),O548/BF548/AQ548,
AND(L548="level-log",M548="sd (Y)"),O548/BF548*BH548,
AND(L548="elasticity",M548="level"),O548,
AND(L548="elasticity",M548="sd (X)"),O548/AQ548,
AND(L548="elasticity",M548="sd (Y)"),O548*BH548,
AND(L548="marginal_effect",M548="percent_of_mean"),O548*AN548/BF548/10)</f>
        <v>2.4443599999999996</v>
      </c>
      <c r="AH548" s="49">
        <f t="shared" si="213"/>
        <v>1</v>
      </c>
      <c r="AI548" s="93">
        <f t="shared" si="223"/>
        <v>-6.4568000000000003</v>
      </c>
      <c r="AJ548" s="71">
        <v>0</v>
      </c>
      <c r="AK548" s="71">
        <f t="shared" si="224"/>
        <v>1</v>
      </c>
      <c r="AL548" s="71" t="s">
        <v>82</v>
      </c>
      <c r="AM548" s="71" t="s">
        <v>1333</v>
      </c>
      <c r="AN548" s="71">
        <v>11.53</v>
      </c>
      <c r="AO548" s="71">
        <v>0</v>
      </c>
      <c r="AP548" s="71">
        <f t="shared" si="225"/>
        <v>11.53</v>
      </c>
      <c r="AQ548" s="71">
        <v>6.97</v>
      </c>
      <c r="AR548" s="71" t="s">
        <v>312</v>
      </c>
      <c r="AS548" s="71">
        <v>75.86</v>
      </c>
      <c r="AT548" s="71" t="s">
        <v>83</v>
      </c>
      <c r="AU548" s="71" t="s">
        <v>109</v>
      </c>
      <c r="AV548" s="71" t="s">
        <v>133</v>
      </c>
      <c r="AW548" s="71" t="s">
        <v>85</v>
      </c>
      <c r="AX548" s="71" t="s">
        <v>86</v>
      </c>
      <c r="AY548" s="71">
        <v>0</v>
      </c>
      <c r="AZ548" s="71">
        <v>0</v>
      </c>
      <c r="BA548" s="71" t="s">
        <v>391</v>
      </c>
      <c r="BB548" s="71" t="s">
        <v>88</v>
      </c>
      <c r="BC548" s="71" t="s">
        <v>113</v>
      </c>
      <c r="BD548" s="71" t="s">
        <v>114</v>
      </c>
      <c r="BE548" s="71" t="s">
        <v>1315</v>
      </c>
      <c r="BF548" s="71">
        <v>2.5000000000000001E-2</v>
      </c>
      <c r="BG548" s="71">
        <v>0</v>
      </c>
      <c r="BH548" s="71">
        <v>1.28</v>
      </c>
      <c r="BI548" s="71" t="s">
        <v>312</v>
      </c>
      <c r="BJ548" s="71" t="s">
        <v>312</v>
      </c>
      <c r="BK548" s="71" t="s">
        <v>91</v>
      </c>
      <c r="BL548" s="71" t="s">
        <v>1298</v>
      </c>
      <c r="BM548" s="71">
        <v>1</v>
      </c>
      <c r="BN548" s="71" t="s">
        <v>428</v>
      </c>
      <c r="BO548" s="71" t="s">
        <v>1297</v>
      </c>
      <c r="BP548" s="71" t="s">
        <v>1296</v>
      </c>
      <c r="BQ548" s="71" t="s">
        <v>92</v>
      </c>
      <c r="BR548" s="71" t="s">
        <v>93</v>
      </c>
      <c r="BS548" s="71" t="s">
        <v>312</v>
      </c>
      <c r="BT548" s="71" t="s">
        <v>312</v>
      </c>
      <c r="BU548" s="73">
        <v>36526</v>
      </c>
      <c r="BV548" s="73">
        <v>41944</v>
      </c>
      <c r="BW548" s="71" t="s">
        <v>94</v>
      </c>
      <c r="BX548" s="71" t="s">
        <v>1295</v>
      </c>
      <c r="BY548" s="71" t="s">
        <v>96</v>
      </c>
      <c r="BZ548" s="71">
        <v>0</v>
      </c>
      <c r="CA548" s="71">
        <v>0</v>
      </c>
      <c r="CB548" s="71" t="s">
        <v>97</v>
      </c>
      <c r="CC548" s="71" t="s">
        <v>313</v>
      </c>
      <c r="CD548" s="71">
        <v>1</v>
      </c>
      <c r="CE548" s="71" t="s">
        <v>1294</v>
      </c>
      <c r="CF548" s="71">
        <v>0</v>
      </c>
      <c r="CG548" s="71" t="s">
        <v>97</v>
      </c>
      <c r="CH548" s="71" t="s">
        <v>312</v>
      </c>
      <c r="CI548" s="71" t="s">
        <v>1293</v>
      </c>
      <c r="CJ548" s="71" t="s">
        <v>98</v>
      </c>
      <c r="CK548" s="71">
        <v>26</v>
      </c>
      <c r="CL548" s="71">
        <v>0</v>
      </c>
      <c r="CM548" s="71">
        <v>0</v>
      </c>
      <c r="CN548" s="72" t="s">
        <v>124</v>
      </c>
      <c r="CO548" s="71" t="s">
        <v>97</v>
      </c>
      <c r="CP548" s="71" t="s">
        <v>100</v>
      </c>
      <c r="CQ548" s="71" t="s">
        <v>126</v>
      </c>
      <c r="CR548" s="72">
        <v>46227</v>
      </c>
      <c r="CT548" s="71" t="s">
        <v>439</v>
      </c>
    </row>
    <row r="549" spans="1:98" s="71" customFormat="1" x14ac:dyDescent="0.35">
      <c r="A549" s="74" t="s">
        <v>1304</v>
      </c>
      <c r="B549" s="74" t="s">
        <v>1316</v>
      </c>
      <c r="C549" s="71" t="s">
        <v>1302</v>
      </c>
      <c r="D549" s="71">
        <v>2016</v>
      </c>
      <c r="E549" s="74" t="s">
        <v>1301</v>
      </c>
      <c r="F549" s="74" t="s">
        <v>1300</v>
      </c>
      <c r="G549" s="71" t="s">
        <v>102</v>
      </c>
      <c r="H549" s="71">
        <v>0</v>
      </c>
      <c r="I549" s="71" t="s">
        <v>390</v>
      </c>
      <c r="J549" s="71" t="s">
        <v>128</v>
      </c>
      <c r="K549" s="71">
        <v>208</v>
      </c>
      <c r="L549" s="71" t="s">
        <v>129</v>
      </c>
      <c r="M549" s="71" t="s">
        <v>380</v>
      </c>
      <c r="N549" s="71">
        <v>-1.67E-2</v>
      </c>
      <c r="O549" s="71">
        <v>5.4999999999999997E-3</v>
      </c>
      <c r="P549" s="93">
        <f t="shared" si="214"/>
        <v>-3.0363636363636366</v>
      </c>
      <c r="Q549" s="71" t="s">
        <v>312</v>
      </c>
      <c r="R549" s="93">
        <f t="shared" si="215"/>
        <v>-2.7479999999999997E-2</v>
      </c>
      <c r="S549" s="93">
        <f t="shared" si="216"/>
        <v>-5.9199999999999999E-3</v>
      </c>
      <c r="T549" s="71">
        <v>1</v>
      </c>
      <c r="U549" s="71">
        <v>3722</v>
      </c>
      <c r="V549" s="71">
        <v>12</v>
      </c>
      <c r="W549" s="71">
        <v>1</v>
      </c>
      <c r="X549" s="71">
        <f t="shared" si="217"/>
        <v>3710</v>
      </c>
      <c r="Y549" s="93">
        <f t="shared" si="218"/>
        <v>-4.978836632946964E-2</v>
      </c>
      <c r="Z549" s="93">
        <f t="shared" si="219"/>
        <v>1.6397366156412158E-2</v>
      </c>
      <c r="AA549" s="93">
        <f t="shared" si="220"/>
        <v>-4.978836632946964E-2</v>
      </c>
      <c r="AB549" s="71" t="s">
        <v>81</v>
      </c>
      <c r="AC549" s="93">
        <f t="shared" si="221"/>
        <v>-7.7020399999999984</v>
      </c>
      <c r="AD549" s="93" cm="1">
        <f t="array" ref="AD549">_xlfn.IFS(
AND(L549="marginal_effect",M549="level"),N549*AN549/BF549,
AND(L549="marginal_effect",M549="sd (Y)"),N549*BH549*AN549/BF549,
AND(L549="marginal_effect",M549="sd (X)"),N549/AQ549*AN549/BF549,
AND(L549="semi_elasticity",M549="level"),N549*AN549,
AND(L549="semi_elasticity",M549="sd (Y)"),N549*AN549*BH549,
AND(L549="semi_elasticity",M549="sd (X)"),N549*AN549/AQ549,
AND(L549="level-log",M549="level"),N549/BF549,
AND(L549="level-log",M549="sd (X)"),N549/BF549/AQ549,
AND(L549="level-log",M549="sd (Y)"),N549/BF549*BH549,
AND(L549="elasticity",M549="level"),N549,
AND(L549="elasticity",M549="sd (X)"),N549/AQ549,
AND(L549="elasticity",M549="sd (Y)"),N549*BH549,
AND(L549="marginal_effect",M549="percent_of_mean"),N549*AN549/BF549/10)</f>
        <v>-7.7020399999999984</v>
      </c>
      <c r="AE549" s="49">
        <f t="shared" si="212"/>
        <v>1</v>
      </c>
      <c r="AF549" s="93">
        <f t="shared" si="222"/>
        <v>2.5366</v>
      </c>
      <c r="AG549" s="93" cm="1">
        <f t="array" ref="AG549">_xlfn.IFS(
AND(L549="marginal_effect",M549="level"),O549*AN549/BF549,
AND(L549="marginal_effect",M549="sd (Y)"),O549*BH549*AN549/BF549,
AND(L549="marginal_effect",M549="sd (X)"),O549/AQ549*AN549/BF549,
AND(L549="semi_elasticity",M549="level"),O549*AN549,
AND(L549="semi_elasticity",M549="sd (Y)"),O549*AN549*BH549,
AND(L549="semi_elasticity",M549="sd (X)"),O549*AN549/AQ549,
AND(L549="level-log",M549="level"),O549/BF549,
AND(L549="level-log",M549="sd (X)"),O549/BF549/AQ549,
AND(L549="level-log",M549="sd (Y)"),O549/BF549*BH549,
AND(L549="elasticity",M549="level"),O549,
AND(L549="elasticity",M549="sd (X)"),O549/AQ549,
AND(L549="elasticity",M549="sd (Y)"),O549*BH549,
AND(L549="marginal_effect",M549="percent_of_mean"),O549*AN549/BF549/10)</f>
        <v>2.5366</v>
      </c>
      <c r="AH549" s="49">
        <f t="shared" si="213"/>
        <v>1</v>
      </c>
      <c r="AI549" s="93">
        <f t="shared" si="223"/>
        <v>-7.7020399999999984</v>
      </c>
      <c r="AJ549" s="71">
        <v>0</v>
      </c>
      <c r="AK549" s="71">
        <f t="shared" si="224"/>
        <v>1</v>
      </c>
      <c r="AL549" s="71" t="s">
        <v>82</v>
      </c>
      <c r="AM549" s="71" t="s">
        <v>1333</v>
      </c>
      <c r="AN549" s="71">
        <v>11.53</v>
      </c>
      <c r="AO549" s="71">
        <v>0</v>
      </c>
      <c r="AP549" s="71">
        <f t="shared" si="225"/>
        <v>11.53</v>
      </c>
      <c r="AQ549" s="71">
        <v>6.97</v>
      </c>
      <c r="AR549" s="71" t="s">
        <v>312</v>
      </c>
      <c r="AS549" s="71">
        <v>75.86</v>
      </c>
      <c r="AT549" s="71" t="s">
        <v>83</v>
      </c>
      <c r="AU549" s="71" t="s">
        <v>109</v>
      </c>
      <c r="AV549" s="71" t="s">
        <v>133</v>
      </c>
      <c r="AW549" s="71" t="s">
        <v>85</v>
      </c>
      <c r="AX549" s="71" t="s">
        <v>86</v>
      </c>
      <c r="AY549" s="71">
        <v>0</v>
      </c>
      <c r="AZ549" s="71">
        <v>0</v>
      </c>
      <c r="BA549" s="71" t="s">
        <v>391</v>
      </c>
      <c r="BB549" s="71" t="s">
        <v>88</v>
      </c>
      <c r="BC549" s="71" t="s">
        <v>113</v>
      </c>
      <c r="BD549" s="71" t="s">
        <v>114</v>
      </c>
      <c r="BE549" s="71" t="s">
        <v>1315</v>
      </c>
      <c r="BF549" s="71">
        <v>2.5000000000000001E-2</v>
      </c>
      <c r="BG549" s="71">
        <v>0</v>
      </c>
      <c r="BH549" s="71">
        <v>1.28</v>
      </c>
      <c r="BI549" s="71" t="s">
        <v>312</v>
      </c>
      <c r="BJ549" s="71" t="s">
        <v>312</v>
      </c>
      <c r="BK549" s="71" t="s">
        <v>91</v>
      </c>
      <c r="BL549" s="71" t="s">
        <v>1298</v>
      </c>
      <c r="BM549" s="71">
        <v>1</v>
      </c>
      <c r="BN549" s="71" t="s">
        <v>428</v>
      </c>
      <c r="BO549" s="71" t="s">
        <v>1297</v>
      </c>
      <c r="BP549" s="71" t="s">
        <v>1296</v>
      </c>
      <c r="BQ549" s="71" t="s">
        <v>92</v>
      </c>
      <c r="BR549" s="71" t="s">
        <v>93</v>
      </c>
      <c r="BS549" s="71" t="s">
        <v>312</v>
      </c>
      <c r="BT549" s="71" t="s">
        <v>312</v>
      </c>
      <c r="BU549" s="73">
        <v>36526</v>
      </c>
      <c r="BV549" s="73">
        <v>41944</v>
      </c>
      <c r="BW549" s="71" t="s">
        <v>94</v>
      </c>
      <c r="BX549" s="71" t="s">
        <v>1295</v>
      </c>
      <c r="BY549" s="71" t="s">
        <v>96</v>
      </c>
      <c r="BZ549" s="71">
        <v>0</v>
      </c>
      <c r="CA549" s="71">
        <v>0</v>
      </c>
      <c r="CB549" s="71" t="s">
        <v>97</v>
      </c>
      <c r="CC549" s="71" t="s">
        <v>313</v>
      </c>
      <c r="CD549" s="71">
        <v>1</v>
      </c>
      <c r="CE549" s="71" t="s">
        <v>1294</v>
      </c>
      <c r="CF549" s="71">
        <v>1</v>
      </c>
      <c r="CG549" s="71" t="s">
        <v>597</v>
      </c>
      <c r="CH549" s="71" t="s">
        <v>312</v>
      </c>
      <c r="CI549" s="71" t="s">
        <v>1293</v>
      </c>
      <c r="CJ549" s="71" t="s">
        <v>98</v>
      </c>
      <c r="CK549" s="71">
        <v>26</v>
      </c>
      <c r="CL549" s="71">
        <v>0</v>
      </c>
      <c r="CM549" s="71">
        <v>0</v>
      </c>
      <c r="CN549" s="72" t="s">
        <v>124</v>
      </c>
      <c r="CO549" s="71" t="s">
        <v>97</v>
      </c>
      <c r="CP549" s="71" t="s">
        <v>100</v>
      </c>
      <c r="CQ549" s="71" t="s">
        <v>126</v>
      </c>
      <c r="CR549" s="72">
        <v>46227</v>
      </c>
      <c r="CT549" s="71" t="s">
        <v>440</v>
      </c>
    </row>
    <row r="550" spans="1:98" s="71" customFormat="1" x14ac:dyDescent="0.35">
      <c r="A550" s="74" t="s">
        <v>1304</v>
      </c>
      <c r="B550" s="74" t="s">
        <v>1314</v>
      </c>
      <c r="C550" s="71" t="s">
        <v>1302</v>
      </c>
      <c r="D550" s="71">
        <v>2016</v>
      </c>
      <c r="E550" s="74" t="s">
        <v>1301</v>
      </c>
      <c r="F550" s="74" t="s">
        <v>1300</v>
      </c>
      <c r="G550" s="71" t="s">
        <v>102</v>
      </c>
      <c r="H550" s="71">
        <v>0</v>
      </c>
      <c r="I550" s="71" t="s">
        <v>390</v>
      </c>
      <c r="J550" s="71" t="s">
        <v>128</v>
      </c>
      <c r="K550" s="71">
        <v>208</v>
      </c>
      <c r="L550" s="71" t="s">
        <v>129</v>
      </c>
      <c r="M550" s="71" t="s">
        <v>380</v>
      </c>
      <c r="N550" s="71">
        <v>1.9800000000000002E-2</v>
      </c>
      <c r="O550" s="71">
        <v>5.5999999999999999E-3</v>
      </c>
      <c r="P550" s="93">
        <f t="shared" si="214"/>
        <v>3.535714285714286</v>
      </c>
      <c r="Q550" s="71" t="s">
        <v>312</v>
      </c>
      <c r="R550" s="93">
        <f t="shared" si="215"/>
        <v>8.824000000000002E-3</v>
      </c>
      <c r="S550" s="93">
        <f t="shared" si="216"/>
        <v>3.0776000000000001E-2</v>
      </c>
      <c r="T550" s="71">
        <v>1</v>
      </c>
      <c r="U550" s="71">
        <v>3722</v>
      </c>
      <c r="V550" s="71">
        <v>12</v>
      </c>
      <c r="W550" s="71">
        <v>1</v>
      </c>
      <c r="X550" s="71">
        <f t="shared" si="217"/>
        <v>3710</v>
      </c>
      <c r="Y550" s="93">
        <f t="shared" si="218"/>
        <v>5.7950840023344281E-2</v>
      </c>
      <c r="Z550" s="93">
        <f t="shared" si="219"/>
        <v>1.6390136572258986E-2</v>
      </c>
      <c r="AA550" s="93">
        <f t="shared" ref="AA550:AA564" si="226">-Y550</f>
        <v>-5.7950840023344281E-2</v>
      </c>
      <c r="AB550" s="71" t="s">
        <v>81</v>
      </c>
      <c r="AC550" s="93">
        <f t="shared" si="221"/>
        <v>1.0758435438265787E-2</v>
      </c>
      <c r="AD550" s="93" cm="1">
        <f t="array" ref="AD550">_xlfn.IFS(
AND(L550="marginal_effect",M550="level"),N550*AN550/BF550,
AND(L550="marginal_effect",M550="sd (Y)"),N550*BH550*AN550/BF550,
AND(L550="marginal_effect",M550="sd (X)"),N550/AQ550*AN550/BF550,
AND(L550="semi_elasticity",M550="level"),N550*AN550,
AND(L550="semi_elasticity",M550="sd (Y)"),N550*AN550*BH550,
AND(L550="semi_elasticity",M550="sd (X)"),N550*AN550/AQ550,
AND(L550="level-log",M550="level"),N550/BF550,
AND(L550="level-log",M550="sd (X)"),N550/BF550/AQ550,
AND(L550="level-log",M550="sd (Y)"),N550/BF550*BH550,
AND(L550="elasticity",M550="level"),N550,
AND(L550="elasticity",M550="sd (X)"),N550/AQ550,
AND(L550="elasticity",M550="sd (Y)"),N550*BH550,
AND(L550="marginal_effect",M550="percent_of_mean"),N550*AN550/BF550/10)</f>
        <v>1.0758435438265787E-2</v>
      </c>
      <c r="AE550" s="49">
        <f t="shared" si="212"/>
        <v>1</v>
      </c>
      <c r="AF550" s="93">
        <f t="shared" si="222"/>
        <v>3.0427898209236569E-3</v>
      </c>
      <c r="AG550" s="93" cm="1">
        <f t="array" ref="AG550">_xlfn.IFS(
AND(L550="marginal_effect",M550="level"),O550*AN550/BF550,
AND(L550="marginal_effect",M550="sd (Y)"),O550*BH550*AN550/BF550,
AND(L550="marginal_effect",M550="sd (X)"),O550/AQ550*AN550/BF550,
AND(L550="semi_elasticity",M550="level"),O550*AN550,
AND(L550="semi_elasticity",M550="sd (Y)"),O550*AN550*BH550,
AND(L550="semi_elasticity",M550="sd (X)"),O550*AN550/AQ550,
AND(L550="level-log",M550="level"),O550/BF550,
AND(L550="level-log",M550="sd (X)"),O550/BF550/AQ550,
AND(L550="level-log",M550="sd (Y)"),O550/BF550*BH550,
AND(L550="elasticity",M550="level"),O550,
AND(L550="elasticity",M550="sd (X)"),O550/AQ550,
AND(L550="elasticity",M550="sd (Y)"),O550*BH550,
AND(L550="marginal_effect",M550="percent_of_mean"),O550*AN550/BF550/10)</f>
        <v>3.0427898209236569E-3</v>
      </c>
      <c r="AH550" s="49">
        <f t="shared" si="213"/>
        <v>1</v>
      </c>
      <c r="AI550" s="93">
        <f t="shared" ref="AI550:AI581" si="227">-AC550</f>
        <v>-1.0758435438265787E-2</v>
      </c>
      <c r="AJ550" s="71">
        <v>0</v>
      </c>
      <c r="AK550" s="71">
        <f t="shared" si="224"/>
        <v>1</v>
      </c>
      <c r="AL550" s="71" t="s">
        <v>82</v>
      </c>
      <c r="AM550" s="71" t="s">
        <v>1333</v>
      </c>
      <c r="AN550" s="71">
        <v>11.53</v>
      </c>
      <c r="AO550" s="71">
        <v>0</v>
      </c>
      <c r="AP550" s="71">
        <f t="shared" si="225"/>
        <v>11.53</v>
      </c>
      <c r="AQ550" s="71">
        <v>6.97</v>
      </c>
      <c r="AR550" s="71" t="s">
        <v>312</v>
      </c>
      <c r="AS550" s="71">
        <v>75.86</v>
      </c>
      <c r="AT550" s="71" t="s">
        <v>83</v>
      </c>
      <c r="AU550" s="71" t="s">
        <v>109</v>
      </c>
      <c r="AV550" s="71" t="s">
        <v>133</v>
      </c>
      <c r="AW550" s="71" t="s">
        <v>85</v>
      </c>
      <c r="AX550" s="71" t="s">
        <v>86</v>
      </c>
      <c r="AY550" s="71">
        <v>0</v>
      </c>
      <c r="AZ550" s="71">
        <v>0</v>
      </c>
      <c r="BA550" s="71" t="s">
        <v>391</v>
      </c>
      <c r="BB550" s="71" t="s">
        <v>88</v>
      </c>
      <c r="BC550" s="71" t="s">
        <v>113</v>
      </c>
      <c r="BD550" s="71" t="s">
        <v>114</v>
      </c>
      <c r="BE550" s="71" t="s">
        <v>1299</v>
      </c>
      <c r="BF550" s="71">
        <v>21.22</v>
      </c>
      <c r="BG550" s="71">
        <v>0</v>
      </c>
      <c r="BH550" s="71">
        <v>9.0399999999999991</v>
      </c>
      <c r="BI550" s="71" t="s">
        <v>312</v>
      </c>
      <c r="BJ550" s="71" t="s">
        <v>312</v>
      </c>
      <c r="BK550" s="71" t="s">
        <v>91</v>
      </c>
      <c r="BL550" s="71" t="s">
        <v>1298</v>
      </c>
      <c r="BM550" s="71">
        <v>1</v>
      </c>
      <c r="BN550" s="71" t="s">
        <v>428</v>
      </c>
      <c r="BO550" s="71" t="s">
        <v>1297</v>
      </c>
      <c r="BP550" s="71" t="s">
        <v>1296</v>
      </c>
      <c r="BQ550" s="71" t="s">
        <v>92</v>
      </c>
      <c r="BR550" s="71" t="s">
        <v>93</v>
      </c>
      <c r="BS550" s="71" t="s">
        <v>312</v>
      </c>
      <c r="BT550" s="71" t="s">
        <v>312</v>
      </c>
      <c r="BU550" s="73">
        <v>36526</v>
      </c>
      <c r="BV550" s="73">
        <v>41944</v>
      </c>
      <c r="BW550" s="71" t="s">
        <v>94</v>
      </c>
      <c r="BX550" s="71" t="s">
        <v>1295</v>
      </c>
      <c r="BY550" s="71" t="s">
        <v>96</v>
      </c>
      <c r="BZ550" s="71">
        <v>0</v>
      </c>
      <c r="CA550" s="71">
        <v>0</v>
      </c>
      <c r="CB550" s="71" t="s">
        <v>97</v>
      </c>
      <c r="CC550" s="71" t="s">
        <v>313</v>
      </c>
      <c r="CD550" s="71">
        <v>1</v>
      </c>
      <c r="CE550" s="71" t="s">
        <v>1294</v>
      </c>
      <c r="CF550" s="71">
        <v>1</v>
      </c>
      <c r="CG550" s="71" t="s">
        <v>597</v>
      </c>
      <c r="CH550" s="71" t="s">
        <v>312</v>
      </c>
      <c r="CI550" s="71" t="s">
        <v>1293</v>
      </c>
      <c r="CJ550" s="71" t="s">
        <v>98</v>
      </c>
      <c r="CK550" s="71">
        <v>26</v>
      </c>
      <c r="CL550" s="71">
        <v>0</v>
      </c>
      <c r="CM550" s="71">
        <v>1</v>
      </c>
      <c r="CN550" s="72" t="s">
        <v>99</v>
      </c>
      <c r="CO550" s="71" t="s">
        <v>97</v>
      </c>
      <c r="CP550" s="71" t="s">
        <v>100</v>
      </c>
      <c r="CQ550" s="71" t="s">
        <v>126</v>
      </c>
      <c r="CR550" s="72">
        <v>46227</v>
      </c>
      <c r="CT550" s="71" t="s">
        <v>704</v>
      </c>
    </row>
    <row r="551" spans="1:98" s="71" customFormat="1" x14ac:dyDescent="0.35">
      <c r="A551" s="74" t="s">
        <v>1304</v>
      </c>
      <c r="B551" s="74" t="s">
        <v>1313</v>
      </c>
      <c r="C551" s="71" t="s">
        <v>1302</v>
      </c>
      <c r="D551" s="71">
        <v>2016</v>
      </c>
      <c r="E551" s="74" t="s">
        <v>1301</v>
      </c>
      <c r="F551" s="74" t="s">
        <v>1300</v>
      </c>
      <c r="G551" s="71" t="s">
        <v>102</v>
      </c>
      <c r="H551" s="71">
        <v>0</v>
      </c>
      <c r="I551" s="71" t="s">
        <v>390</v>
      </c>
      <c r="J551" s="71" t="s">
        <v>128</v>
      </c>
      <c r="K551" s="71">
        <v>208</v>
      </c>
      <c r="L551" s="71" t="s">
        <v>129</v>
      </c>
      <c r="M551" s="71" t="s">
        <v>380</v>
      </c>
      <c r="N551" s="71">
        <v>2.0199999999999999E-2</v>
      </c>
      <c r="O551" s="71">
        <v>5.7000000000000002E-3</v>
      </c>
      <c r="P551" s="93">
        <f t="shared" si="214"/>
        <v>3.5438596491228069</v>
      </c>
      <c r="Q551" s="71" t="s">
        <v>312</v>
      </c>
      <c r="R551" s="93">
        <f t="shared" si="215"/>
        <v>9.0279999999999996E-3</v>
      </c>
      <c r="S551" s="93">
        <f t="shared" si="216"/>
        <v>3.1371999999999997E-2</v>
      </c>
      <c r="T551" s="71">
        <v>1</v>
      </c>
      <c r="U551" s="71">
        <v>3722</v>
      </c>
      <c r="V551" s="71">
        <v>12</v>
      </c>
      <c r="W551" s="71">
        <v>1</v>
      </c>
      <c r="X551" s="71">
        <f t="shared" si="217"/>
        <v>3710</v>
      </c>
      <c r="Y551" s="93">
        <f t="shared" si="218"/>
        <v>5.8083893751588428E-2</v>
      </c>
      <c r="Z551" s="93">
        <f t="shared" si="219"/>
        <v>1.6390009622972976E-2</v>
      </c>
      <c r="AA551" s="93">
        <f t="shared" si="226"/>
        <v>-5.8083893751588428E-2</v>
      </c>
      <c r="AB551" s="71" t="s">
        <v>81</v>
      </c>
      <c r="AC551" s="93">
        <f t="shared" si="221"/>
        <v>1.0975777568331763E-2</v>
      </c>
      <c r="AD551" s="93" cm="1">
        <f t="array" ref="AD551">_xlfn.IFS(
AND(L551="marginal_effect",M551="level"),N551*AN551/BF551,
AND(L551="marginal_effect",M551="sd (Y)"),N551*BH551*AN551/BF551,
AND(L551="marginal_effect",M551="sd (X)"),N551/AQ551*AN551/BF551,
AND(L551="semi_elasticity",M551="level"),N551*AN551,
AND(L551="semi_elasticity",M551="sd (Y)"),N551*AN551*BH551,
AND(L551="semi_elasticity",M551="sd (X)"),N551*AN551/AQ551,
AND(L551="level-log",M551="level"),N551/BF551,
AND(L551="level-log",M551="sd (X)"),N551/BF551/AQ551,
AND(L551="level-log",M551="sd (Y)"),N551/BF551*BH551,
AND(L551="elasticity",M551="level"),N551,
AND(L551="elasticity",M551="sd (X)"),N551/AQ551,
AND(L551="elasticity",M551="sd (Y)"),N551*BH551,
AND(L551="marginal_effect",M551="percent_of_mean"),N551*AN551/BF551/10)</f>
        <v>1.0975777568331763E-2</v>
      </c>
      <c r="AE551" s="49">
        <f t="shared" si="212"/>
        <v>1</v>
      </c>
      <c r="AF551" s="93">
        <f t="shared" si="222"/>
        <v>3.0971253534401509E-3</v>
      </c>
      <c r="AG551" s="93" cm="1">
        <f t="array" ref="AG551">_xlfn.IFS(
AND(L551="marginal_effect",M551="level"),O551*AN551/BF551,
AND(L551="marginal_effect",M551="sd (Y)"),O551*BH551*AN551/BF551,
AND(L551="marginal_effect",M551="sd (X)"),O551/AQ551*AN551/BF551,
AND(L551="semi_elasticity",M551="level"),O551*AN551,
AND(L551="semi_elasticity",M551="sd (Y)"),O551*AN551*BH551,
AND(L551="semi_elasticity",M551="sd (X)"),O551*AN551/AQ551,
AND(L551="level-log",M551="level"),O551/BF551,
AND(L551="level-log",M551="sd (X)"),O551/BF551/AQ551,
AND(L551="level-log",M551="sd (Y)"),O551/BF551*BH551,
AND(L551="elasticity",M551="level"),O551,
AND(L551="elasticity",M551="sd (X)"),O551/AQ551,
AND(L551="elasticity",M551="sd (Y)"),O551*BH551,
AND(L551="marginal_effect",M551="percent_of_mean"),O551*AN551/BF551/10)</f>
        <v>3.0971253534401509E-3</v>
      </c>
      <c r="AH551" s="49">
        <f t="shared" si="213"/>
        <v>1</v>
      </c>
      <c r="AI551" s="93">
        <f t="shared" si="227"/>
        <v>-1.0975777568331763E-2</v>
      </c>
      <c r="AJ551" s="71">
        <v>0</v>
      </c>
      <c r="AK551" s="71">
        <f t="shared" si="224"/>
        <v>1</v>
      </c>
      <c r="AL551" s="71" t="s">
        <v>82</v>
      </c>
      <c r="AM551" s="71" t="s">
        <v>1333</v>
      </c>
      <c r="AN551" s="71">
        <v>11.53</v>
      </c>
      <c r="AO551" s="71">
        <v>0</v>
      </c>
      <c r="AP551" s="71">
        <f t="shared" si="225"/>
        <v>11.53</v>
      </c>
      <c r="AQ551" s="71">
        <v>6.97</v>
      </c>
      <c r="AR551" s="71" t="s">
        <v>312</v>
      </c>
      <c r="AS551" s="71">
        <v>75.86</v>
      </c>
      <c r="AT551" s="71" t="s">
        <v>83</v>
      </c>
      <c r="AU551" s="71" t="s">
        <v>109</v>
      </c>
      <c r="AV551" s="71" t="s">
        <v>133</v>
      </c>
      <c r="AW551" s="71" t="s">
        <v>85</v>
      </c>
      <c r="AX551" s="71" t="s">
        <v>86</v>
      </c>
      <c r="AY551" s="71">
        <v>0</v>
      </c>
      <c r="AZ551" s="71">
        <v>0</v>
      </c>
      <c r="BA551" s="71" t="s">
        <v>391</v>
      </c>
      <c r="BB551" s="71" t="s">
        <v>88</v>
      </c>
      <c r="BC551" s="71" t="s">
        <v>113</v>
      </c>
      <c r="BD551" s="71" t="s">
        <v>114</v>
      </c>
      <c r="BE551" s="71" t="s">
        <v>1299</v>
      </c>
      <c r="BF551" s="71">
        <v>21.22</v>
      </c>
      <c r="BG551" s="71">
        <v>0</v>
      </c>
      <c r="BH551" s="71">
        <v>9.0399999999999991</v>
      </c>
      <c r="BI551" s="71" t="s">
        <v>312</v>
      </c>
      <c r="BJ551" s="71" t="s">
        <v>312</v>
      </c>
      <c r="BK551" s="71" t="s">
        <v>91</v>
      </c>
      <c r="BL551" s="71" t="s">
        <v>1298</v>
      </c>
      <c r="BM551" s="71">
        <v>1</v>
      </c>
      <c r="BN551" s="71" t="s">
        <v>428</v>
      </c>
      <c r="BO551" s="71" t="s">
        <v>1297</v>
      </c>
      <c r="BP551" s="71" t="s">
        <v>1296</v>
      </c>
      <c r="BQ551" s="71" t="s">
        <v>92</v>
      </c>
      <c r="BR551" s="71" t="s">
        <v>93</v>
      </c>
      <c r="BS551" s="71" t="s">
        <v>312</v>
      </c>
      <c r="BT551" s="71" t="s">
        <v>312</v>
      </c>
      <c r="BU551" s="73">
        <v>36526</v>
      </c>
      <c r="BV551" s="73">
        <v>41944</v>
      </c>
      <c r="BW551" s="71" t="s">
        <v>94</v>
      </c>
      <c r="BX551" s="71" t="s">
        <v>1295</v>
      </c>
      <c r="BY551" s="71" t="s">
        <v>96</v>
      </c>
      <c r="BZ551" s="71">
        <v>0</v>
      </c>
      <c r="CA551" s="71">
        <v>0</v>
      </c>
      <c r="CB551" s="71" t="s">
        <v>97</v>
      </c>
      <c r="CC551" s="71" t="s">
        <v>313</v>
      </c>
      <c r="CD551" s="71">
        <v>1</v>
      </c>
      <c r="CE551" s="71" t="s">
        <v>1294</v>
      </c>
      <c r="CF551" s="71">
        <v>1</v>
      </c>
      <c r="CG551" s="71" t="s">
        <v>597</v>
      </c>
      <c r="CH551" s="71" t="s">
        <v>312</v>
      </c>
      <c r="CI551" s="71" t="s">
        <v>1293</v>
      </c>
      <c r="CJ551" s="71" t="s">
        <v>98</v>
      </c>
      <c r="CK551" s="71">
        <v>26</v>
      </c>
      <c r="CL551" s="71">
        <v>0</v>
      </c>
      <c r="CM551" s="71">
        <v>0</v>
      </c>
      <c r="CN551" s="72" t="s">
        <v>99</v>
      </c>
      <c r="CO551" s="71" t="s">
        <v>97</v>
      </c>
      <c r="CP551" s="71" t="s">
        <v>100</v>
      </c>
      <c r="CQ551" s="71" t="s">
        <v>126</v>
      </c>
      <c r="CR551" s="72">
        <v>46227</v>
      </c>
      <c r="CT551" s="71" t="s">
        <v>457</v>
      </c>
    </row>
    <row r="552" spans="1:98" s="71" customFormat="1" x14ac:dyDescent="0.35">
      <c r="A552" s="74" t="s">
        <v>1304</v>
      </c>
      <c r="B552" s="74" t="s">
        <v>1312</v>
      </c>
      <c r="C552" s="71" t="s">
        <v>1302</v>
      </c>
      <c r="D552" s="71">
        <v>2016</v>
      </c>
      <c r="E552" s="74" t="s">
        <v>1301</v>
      </c>
      <c r="F552" s="74" t="s">
        <v>1300</v>
      </c>
      <c r="G552" s="71" t="s">
        <v>102</v>
      </c>
      <c r="H552" s="71">
        <v>0</v>
      </c>
      <c r="I552" s="71" t="s">
        <v>390</v>
      </c>
      <c r="J552" s="71" t="s">
        <v>128</v>
      </c>
      <c r="K552" s="71">
        <v>208</v>
      </c>
      <c r="L552" s="71" t="s">
        <v>129</v>
      </c>
      <c r="M552" s="71" t="s">
        <v>380</v>
      </c>
      <c r="N552" s="71">
        <v>-7.4999999999999997E-3</v>
      </c>
      <c r="O552" s="71">
        <v>5.1000000000000004E-3</v>
      </c>
      <c r="P552" s="93">
        <f t="shared" si="214"/>
        <v>-1.4705882352941175</v>
      </c>
      <c r="Q552" s="71" t="s">
        <v>312</v>
      </c>
      <c r="R552" s="93">
        <f t="shared" si="215"/>
        <v>-1.7495999999999998E-2</v>
      </c>
      <c r="S552" s="93">
        <f t="shared" si="216"/>
        <v>2.496E-3</v>
      </c>
      <c r="T552" s="71">
        <v>1</v>
      </c>
      <c r="U552" s="71">
        <v>3722</v>
      </c>
      <c r="V552" s="71">
        <v>12</v>
      </c>
      <c r="W552" s="71">
        <v>1</v>
      </c>
      <c r="X552" s="71">
        <f t="shared" si="217"/>
        <v>3710</v>
      </c>
      <c r="Y552" s="93">
        <f t="shared" si="218"/>
        <v>-2.4136683191607885E-2</v>
      </c>
      <c r="Z552" s="93">
        <f t="shared" si="219"/>
        <v>1.6412944570293363E-2</v>
      </c>
      <c r="AA552" s="93">
        <f t="shared" si="226"/>
        <v>2.4136683191607885E-2</v>
      </c>
      <c r="AB552" s="71" t="s">
        <v>81</v>
      </c>
      <c r="AC552" s="93">
        <f t="shared" si="221"/>
        <v>-4.0751649387370404E-3</v>
      </c>
      <c r="AD552" s="93" cm="1">
        <f t="array" ref="AD552">_xlfn.IFS(
AND(L552="marginal_effect",M552="level"),N552*AN552/BF552,
AND(L552="marginal_effect",M552="sd (Y)"),N552*BH552*AN552/BF552,
AND(L552="marginal_effect",M552="sd (X)"),N552/AQ552*AN552/BF552,
AND(L552="semi_elasticity",M552="level"),N552*AN552,
AND(L552="semi_elasticity",M552="sd (Y)"),N552*AN552*BH552,
AND(L552="semi_elasticity",M552="sd (X)"),N552*AN552/AQ552,
AND(L552="level-log",M552="level"),N552/BF552,
AND(L552="level-log",M552="sd (X)"),N552/BF552/AQ552,
AND(L552="level-log",M552="sd (Y)"),N552/BF552*BH552,
AND(L552="elasticity",M552="level"),N552,
AND(L552="elasticity",M552="sd (X)"),N552/AQ552,
AND(L552="elasticity",M552="sd (Y)"),N552*BH552,
AND(L552="marginal_effect",M552="percent_of_mean"),N552*AN552/BF552/10)</f>
        <v>-4.0751649387370404E-3</v>
      </c>
      <c r="AE552" s="49">
        <f t="shared" si="212"/>
        <v>1</v>
      </c>
      <c r="AF552" s="93">
        <f t="shared" si="222"/>
        <v>2.7711121583411879E-3</v>
      </c>
      <c r="AG552" s="93" cm="1">
        <f t="array" ref="AG552">_xlfn.IFS(
AND(L552="marginal_effect",M552="level"),O552*AN552/BF552,
AND(L552="marginal_effect",M552="sd (Y)"),O552*BH552*AN552/BF552,
AND(L552="marginal_effect",M552="sd (X)"),O552/AQ552*AN552/BF552,
AND(L552="semi_elasticity",M552="level"),O552*AN552,
AND(L552="semi_elasticity",M552="sd (Y)"),O552*AN552*BH552,
AND(L552="semi_elasticity",M552="sd (X)"),O552*AN552/AQ552,
AND(L552="level-log",M552="level"),O552/BF552,
AND(L552="level-log",M552="sd (X)"),O552/BF552/AQ552,
AND(L552="level-log",M552="sd (Y)"),O552/BF552*BH552,
AND(L552="elasticity",M552="level"),O552,
AND(L552="elasticity",M552="sd (X)"),O552/AQ552,
AND(L552="elasticity",M552="sd (Y)"),O552*BH552,
AND(L552="marginal_effect",M552="percent_of_mean"),O552*AN552/BF552/10)</f>
        <v>2.7711121583411879E-3</v>
      </c>
      <c r="AH552" s="49">
        <f t="shared" si="213"/>
        <v>1</v>
      </c>
      <c r="AI552" s="93">
        <f t="shared" si="227"/>
        <v>4.0751649387370404E-3</v>
      </c>
      <c r="AJ552" s="71">
        <v>0</v>
      </c>
      <c r="AK552" s="71">
        <f t="shared" si="224"/>
        <v>1</v>
      </c>
      <c r="AL552" s="71" t="s">
        <v>82</v>
      </c>
      <c r="AM552" s="71" t="s">
        <v>1333</v>
      </c>
      <c r="AN552" s="71">
        <v>11.53</v>
      </c>
      <c r="AO552" s="71">
        <v>0</v>
      </c>
      <c r="AP552" s="71">
        <f t="shared" si="225"/>
        <v>11.53</v>
      </c>
      <c r="AQ552" s="71">
        <v>6.97</v>
      </c>
      <c r="AR552" s="71" t="s">
        <v>312</v>
      </c>
      <c r="AS552" s="71">
        <v>75.86</v>
      </c>
      <c r="AT552" s="71" t="s">
        <v>83</v>
      </c>
      <c r="AU552" s="71" t="s">
        <v>109</v>
      </c>
      <c r="AV552" s="71" t="s">
        <v>133</v>
      </c>
      <c r="AW552" s="71" t="s">
        <v>85</v>
      </c>
      <c r="AX552" s="71" t="s">
        <v>86</v>
      </c>
      <c r="AY552" s="71">
        <v>1</v>
      </c>
      <c r="AZ552" s="71">
        <v>1</v>
      </c>
      <c r="BA552" s="71" t="s">
        <v>391</v>
      </c>
      <c r="BB552" s="71" t="s">
        <v>88</v>
      </c>
      <c r="BC552" s="71" t="s">
        <v>113</v>
      </c>
      <c r="BD552" s="71" t="s">
        <v>114</v>
      </c>
      <c r="BE552" s="71" t="s">
        <v>1299</v>
      </c>
      <c r="BF552" s="71">
        <v>21.22</v>
      </c>
      <c r="BG552" s="71">
        <v>0</v>
      </c>
      <c r="BH552" s="71">
        <v>9.0399999999999991</v>
      </c>
      <c r="BI552" s="71" t="s">
        <v>312</v>
      </c>
      <c r="BJ552" s="71" t="s">
        <v>312</v>
      </c>
      <c r="BK552" s="71" t="s">
        <v>91</v>
      </c>
      <c r="BL552" s="71" t="s">
        <v>1298</v>
      </c>
      <c r="BM552" s="71">
        <v>1</v>
      </c>
      <c r="BN552" s="71" t="s">
        <v>428</v>
      </c>
      <c r="BO552" s="71" t="s">
        <v>1297</v>
      </c>
      <c r="BP552" s="71" t="s">
        <v>1296</v>
      </c>
      <c r="BQ552" s="71" t="s">
        <v>92</v>
      </c>
      <c r="BR552" s="71" t="s">
        <v>93</v>
      </c>
      <c r="BS552" s="71" t="s">
        <v>312</v>
      </c>
      <c r="BT552" s="71" t="s">
        <v>312</v>
      </c>
      <c r="BU552" s="73">
        <v>36526</v>
      </c>
      <c r="BV552" s="73">
        <v>41944</v>
      </c>
      <c r="BW552" s="71" t="s">
        <v>94</v>
      </c>
      <c r="BX552" s="71" t="s">
        <v>1295</v>
      </c>
      <c r="BY552" s="71" t="s">
        <v>96</v>
      </c>
      <c r="BZ552" s="71">
        <v>0</v>
      </c>
      <c r="CA552" s="71">
        <v>0</v>
      </c>
      <c r="CB552" s="71" t="s">
        <v>97</v>
      </c>
      <c r="CC552" s="71" t="s">
        <v>313</v>
      </c>
      <c r="CD552" s="71">
        <v>1</v>
      </c>
      <c r="CE552" s="71" t="s">
        <v>1294</v>
      </c>
      <c r="CF552" s="71">
        <v>1</v>
      </c>
      <c r="CG552" s="71" t="s">
        <v>597</v>
      </c>
      <c r="CH552" s="71" t="s">
        <v>312</v>
      </c>
      <c r="CI552" s="71" t="s">
        <v>1293</v>
      </c>
      <c r="CJ552" s="71" t="s">
        <v>98</v>
      </c>
      <c r="CK552" s="71">
        <v>26</v>
      </c>
      <c r="CL552" s="71">
        <v>0</v>
      </c>
      <c r="CM552" s="71">
        <v>0</v>
      </c>
      <c r="CN552" s="72" t="s">
        <v>99</v>
      </c>
      <c r="CO552" s="71" t="s">
        <v>97</v>
      </c>
      <c r="CP552" s="71" t="s">
        <v>100</v>
      </c>
      <c r="CQ552" s="71" t="s">
        <v>126</v>
      </c>
      <c r="CR552" s="72">
        <v>46227</v>
      </c>
      <c r="CT552" s="71" t="s">
        <v>457</v>
      </c>
    </row>
    <row r="553" spans="1:98" s="71" customFormat="1" x14ac:dyDescent="0.35">
      <c r="A553" s="74" t="s">
        <v>1304</v>
      </c>
      <c r="B553" s="74" t="s">
        <v>1311</v>
      </c>
      <c r="C553" s="71" t="s">
        <v>1302</v>
      </c>
      <c r="D553" s="71">
        <v>2016</v>
      </c>
      <c r="E553" s="74" t="s">
        <v>1301</v>
      </c>
      <c r="F553" s="74" t="s">
        <v>1300</v>
      </c>
      <c r="G553" s="71" t="s">
        <v>102</v>
      </c>
      <c r="H553" s="71">
        <v>0</v>
      </c>
      <c r="I553" s="71" t="s">
        <v>390</v>
      </c>
      <c r="J553" s="71" t="s">
        <v>128</v>
      </c>
      <c r="K553" s="71">
        <v>208</v>
      </c>
      <c r="L553" s="71" t="s">
        <v>129</v>
      </c>
      <c r="M553" s="71" t="s">
        <v>380</v>
      </c>
      <c r="N553" s="71">
        <v>2.0899999999999998E-2</v>
      </c>
      <c r="O553" s="71">
        <v>5.7000000000000002E-3</v>
      </c>
      <c r="P553" s="93">
        <f t="shared" si="214"/>
        <v>3.6666666666666661</v>
      </c>
      <c r="Q553" s="71" t="s">
        <v>312</v>
      </c>
      <c r="R553" s="93">
        <f t="shared" si="215"/>
        <v>9.7279999999999988E-3</v>
      </c>
      <c r="S553" s="93">
        <f t="shared" si="216"/>
        <v>3.2071999999999996E-2</v>
      </c>
      <c r="T553" s="71">
        <v>1</v>
      </c>
      <c r="U553" s="71">
        <v>3722</v>
      </c>
      <c r="V553" s="71">
        <v>12</v>
      </c>
      <c r="W553" s="71">
        <v>1</v>
      </c>
      <c r="X553" s="71">
        <f t="shared" si="217"/>
        <v>3710</v>
      </c>
      <c r="Y553" s="93">
        <f t="shared" si="218"/>
        <v>6.0089555478207345E-2</v>
      </c>
      <c r="Z553" s="93">
        <f t="shared" si="219"/>
        <v>1.6388060584965641E-2</v>
      </c>
      <c r="AA553" s="93">
        <f t="shared" si="226"/>
        <v>-6.0089555478207345E-2</v>
      </c>
      <c r="AB553" s="71" t="s">
        <v>81</v>
      </c>
      <c r="AC553" s="93">
        <f t="shared" si="221"/>
        <v>1.1356126295947219E-2</v>
      </c>
      <c r="AD553" s="93" cm="1">
        <f t="array" ref="AD553">_xlfn.IFS(
AND(L553="marginal_effect",M553="level"),N553*AN553/BF553,
AND(L553="marginal_effect",M553="sd (Y)"),N553*BH553*AN553/BF553,
AND(L553="marginal_effect",M553="sd (X)"),N553/AQ553*AN553/BF553,
AND(L553="semi_elasticity",M553="level"),N553*AN553,
AND(L553="semi_elasticity",M553="sd (Y)"),N553*AN553*BH553,
AND(L553="semi_elasticity",M553="sd (X)"),N553*AN553/AQ553,
AND(L553="level-log",M553="level"),N553/BF553,
AND(L553="level-log",M553="sd (X)"),N553/BF553/AQ553,
AND(L553="level-log",M553="sd (Y)"),N553/BF553*BH553,
AND(L553="elasticity",M553="level"),N553,
AND(L553="elasticity",M553="sd (X)"),N553/AQ553,
AND(L553="elasticity",M553="sd (Y)"),N553*BH553,
AND(L553="marginal_effect",M553="percent_of_mean"),N553*AN553/BF553/10)</f>
        <v>1.1356126295947219E-2</v>
      </c>
      <c r="AE553" s="49">
        <f t="shared" si="212"/>
        <v>1</v>
      </c>
      <c r="AF553" s="93">
        <f t="shared" si="222"/>
        <v>3.0971253534401509E-3</v>
      </c>
      <c r="AG553" s="93" cm="1">
        <f t="array" ref="AG553">_xlfn.IFS(
AND(L553="marginal_effect",M553="level"),O553*AN553/BF553,
AND(L553="marginal_effect",M553="sd (Y)"),O553*BH553*AN553/BF553,
AND(L553="marginal_effect",M553="sd (X)"),O553/AQ553*AN553/BF553,
AND(L553="semi_elasticity",M553="level"),O553*AN553,
AND(L553="semi_elasticity",M553="sd (Y)"),O553*AN553*BH553,
AND(L553="semi_elasticity",M553="sd (X)"),O553*AN553/AQ553,
AND(L553="level-log",M553="level"),O553/BF553,
AND(L553="level-log",M553="sd (X)"),O553/BF553/AQ553,
AND(L553="level-log",M553="sd (Y)"),O553/BF553*BH553,
AND(L553="elasticity",M553="level"),O553,
AND(L553="elasticity",M553="sd (X)"),O553/AQ553,
AND(L553="elasticity",M553="sd (Y)"),O553*BH553,
AND(L553="marginal_effect",M553="percent_of_mean"),O553*AN553/BF553/10)</f>
        <v>3.0971253534401509E-3</v>
      </c>
      <c r="AH553" s="49">
        <f t="shared" si="213"/>
        <v>1</v>
      </c>
      <c r="AI553" s="93">
        <f t="shared" si="227"/>
        <v>-1.1356126295947219E-2</v>
      </c>
      <c r="AJ553" s="71">
        <v>0</v>
      </c>
      <c r="AK553" s="71">
        <f t="shared" si="224"/>
        <v>1</v>
      </c>
      <c r="AL553" s="71" t="s">
        <v>82</v>
      </c>
      <c r="AM553" s="71" t="s">
        <v>1333</v>
      </c>
      <c r="AN553" s="71">
        <v>11.53</v>
      </c>
      <c r="AO553" s="71">
        <v>0</v>
      </c>
      <c r="AP553" s="71">
        <f t="shared" si="225"/>
        <v>11.53</v>
      </c>
      <c r="AQ553" s="71">
        <v>6.97</v>
      </c>
      <c r="AR553" s="71" t="s">
        <v>312</v>
      </c>
      <c r="AS553" s="71">
        <v>75.86</v>
      </c>
      <c r="AT553" s="71" t="s">
        <v>83</v>
      </c>
      <c r="AU553" s="71" t="s">
        <v>109</v>
      </c>
      <c r="AV553" s="71" t="s">
        <v>133</v>
      </c>
      <c r="AW553" s="71" t="s">
        <v>85</v>
      </c>
      <c r="AX553" s="71" t="s">
        <v>86</v>
      </c>
      <c r="AY553" s="71">
        <v>0</v>
      </c>
      <c r="AZ553" s="71">
        <v>0</v>
      </c>
      <c r="BA553" s="71" t="s">
        <v>391</v>
      </c>
      <c r="BB553" s="71" t="s">
        <v>88</v>
      </c>
      <c r="BC553" s="71" t="s">
        <v>113</v>
      </c>
      <c r="BD553" s="71" t="s">
        <v>114</v>
      </c>
      <c r="BE553" s="71" t="s">
        <v>1299</v>
      </c>
      <c r="BF553" s="71">
        <v>21.22</v>
      </c>
      <c r="BG553" s="71">
        <v>0</v>
      </c>
      <c r="BH553" s="71">
        <v>9.0399999999999991</v>
      </c>
      <c r="BI553" s="71" t="s">
        <v>312</v>
      </c>
      <c r="BJ553" s="71" t="s">
        <v>312</v>
      </c>
      <c r="BK553" s="71" t="s">
        <v>91</v>
      </c>
      <c r="BL553" s="71" t="s">
        <v>1298</v>
      </c>
      <c r="BM553" s="71">
        <v>1</v>
      </c>
      <c r="BN553" s="71" t="s">
        <v>428</v>
      </c>
      <c r="BO553" s="71" t="s">
        <v>1297</v>
      </c>
      <c r="BP553" s="71" t="s">
        <v>1296</v>
      </c>
      <c r="BQ553" s="71" t="s">
        <v>92</v>
      </c>
      <c r="BR553" s="71" t="s">
        <v>93</v>
      </c>
      <c r="BS553" s="71" t="s">
        <v>312</v>
      </c>
      <c r="BT553" s="71" t="s">
        <v>312</v>
      </c>
      <c r="BU553" s="73">
        <v>36526</v>
      </c>
      <c r="BV553" s="73">
        <v>41944</v>
      </c>
      <c r="BW553" s="71" t="s">
        <v>94</v>
      </c>
      <c r="BX553" s="71" t="s">
        <v>1295</v>
      </c>
      <c r="BY553" s="71" t="s">
        <v>96</v>
      </c>
      <c r="BZ553" s="71">
        <v>0</v>
      </c>
      <c r="CA553" s="71">
        <v>0</v>
      </c>
      <c r="CB553" s="71" t="s">
        <v>97</v>
      </c>
      <c r="CC553" s="71" t="s">
        <v>313</v>
      </c>
      <c r="CD553" s="71">
        <v>1</v>
      </c>
      <c r="CE553" s="71" t="s">
        <v>1294</v>
      </c>
      <c r="CF553" s="71">
        <v>1</v>
      </c>
      <c r="CG553" s="71" t="s">
        <v>597</v>
      </c>
      <c r="CH553" s="71" t="s">
        <v>312</v>
      </c>
      <c r="CI553" s="71" t="s">
        <v>1293</v>
      </c>
      <c r="CJ553" s="71" t="s">
        <v>98</v>
      </c>
      <c r="CK553" s="71">
        <v>26</v>
      </c>
      <c r="CL553" s="71">
        <v>0</v>
      </c>
      <c r="CM553" s="71">
        <v>0</v>
      </c>
      <c r="CN553" s="72" t="s">
        <v>99</v>
      </c>
      <c r="CO553" s="71" t="s">
        <v>97</v>
      </c>
      <c r="CP553" s="71" t="s">
        <v>100</v>
      </c>
      <c r="CQ553" s="71" t="s">
        <v>126</v>
      </c>
      <c r="CR553" s="72">
        <v>46227</v>
      </c>
      <c r="CT553" s="71" t="s">
        <v>660</v>
      </c>
    </row>
    <row r="554" spans="1:98" s="71" customFormat="1" x14ac:dyDescent="0.35">
      <c r="A554" s="74" t="s">
        <v>1304</v>
      </c>
      <c r="B554" s="74" t="s">
        <v>1310</v>
      </c>
      <c r="C554" s="71" t="s">
        <v>1302</v>
      </c>
      <c r="D554" s="71">
        <v>2016</v>
      </c>
      <c r="E554" s="74" t="s">
        <v>1301</v>
      </c>
      <c r="F554" s="74" t="s">
        <v>1300</v>
      </c>
      <c r="G554" s="71" t="s">
        <v>102</v>
      </c>
      <c r="H554" s="71">
        <v>0</v>
      </c>
      <c r="I554" s="71" t="s">
        <v>390</v>
      </c>
      <c r="J554" s="71" t="s">
        <v>128</v>
      </c>
      <c r="K554" s="71">
        <v>208</v>
      </c>
      <c r="L554" s="71" t="s">
        <v>129</v>
      </c>
      <c r="M554" s="71" t="s">
        <v>380</v>
      </c>
      <c r="N554" s="71">
        <v>-7.9000000000000008E-3</v>
      </c>
      <c r="O554" s="71">
        <v>5.1000000000000004E-3</v>
      </c>
      <c r="P554" s="93">
        <f t="shared" si="214"/>
        <v>-1.5490196078431373</v>
      </c>
      <c r="Q554" s="71" t="s">
        <v>312</v>
      </c>
      <c r="R554" s="93">
        <f t="shared" si="215"/>
        <v>-1.7896000000000002E-2</v>
      </c>
      <c r="S554" s="93">
        <f t="shared" si="216"/>
        <v>2.0959999999999989E-3</v>
      </c>
      <c r="T554" s="71">
        <v>1</v>
      </c>
      <c r="U554" s="71">
        <v>3722</v>
      </c>
      <c r="V554" s="71">
        <v>12</v>
      </c>
      <c r="W554" s="71">
        <v>1</v>
      </c>
      <c r="X554" s="71">
        <f t="shared" si="217"/>
        <v>3710</v>
      </c>
      <c r="Y554" s="93">
        <f t="shared" si="218"/>
        <v>-2.5423161989550504E-2</v>
      </c>
      <c r="Z554" s="93">
        <f t="shared" si="219"/>
        <v>1.6412421031228804E-2</v>
      </c>
      <c r="AA554" s="93">
        <f t="shared" si="226"/>
        <v>2.5423161989550504E-2</v>
      </c>
      <c r="AB554" s="71" t="s">
        <v>81</v>
      </c>
      <c r="AC554" s="93">
        <f t="shared" si="221"/>
        <v>-4.2925070688030163E-3</v>
      </c>
      <c r="AD554" s="93" cm="1">
        <f t="array" ref="AD554">_xlfn.IFS(
AND(L554="marginal_effect",M554="level"),N554*AN554/BF554,
AND(L554="marginal_effect",M554="sd (Y)"),N554*BH554*AN554/BF554,
AND(L554="marginal_effect",M554="sd (X)"),N554/AQ554*AN554/BF554,
AND(L554="semi_elasticity",M554="level"),N554*AN554,
AND(L554="semi_elasticity",M554="sd (Y)"),N554*AN554*BH554,
AND(L554="semi_elasticity",M554="sd (X)"),N554*AN554/AQ554,
AND(L554="level-log",M554="level"),N554/BF554,
AND(L554="level-log",M554="sd (X)"),N554/BF554/AQ554,
AND(L554="level-log",M554="sd (Y)"),N554/BF554*BH554,
AND(L554="elasticity",M554="level"),N554,
AND(L554="elasticity",M554="sd (X)"),N554/AQ554,
AND(L554="elasticity",M554="sd (Y)"),N554*BH554,
AND(L554="marginal_effect",M554="percent_of_mean"),N554*AN554/BF554/10)</f>
        <v>-4.2925070688030163E-3</v>
      </c>
      <c r="AE554" s="49">
        <f t="shared" si="212"/>
        <v>1</v>
      </c>
      <c r="AF554" s="93">
        <f t="shared" si="222"/>
        <v>2.7711121583411879E-3</v>
      </c>
      <c r="AG554" s="93" cm="1">
        <f t="array" ref="AG554">_xlfn.IFS(
AND(L554="marginal_effect",M554="level"),O554*AN554/BF554,
AND(L554="marginal_effect",M554="sd (Y)"),O554*BH554*AN554/BF554,
AND(L554="marginal_effect",M554="sd (X)"),O554/AQ554*AN554/BF554,
AND(L554="semi_elasticity",M554="level"),O554*AN554,
AND(L554="semi_elasticity",M554="sd (Y)"),O554*AN554*BH554,
AND(L554="semi_elasticity",M554="sd (X)"),O554*AN554/AQ554,
AND(L554="level-log",M554="level"),O554/BF554,
AND(L554="level-log",M554="sd (X)"),O554/BF554/AQ554,
AND(L554="level-log",M554="sd (Y)"),O554/BF554*BH554,
AND(L554="elasticity",M554="level"),O554,
AND(L554="elasticity",M554="sd (X)"),O554/AQ554,
AND(L554="elasticity",M554="sd (Y)"),O554*BH554,
AND(L554="marginal_effect",M554="percent_of_mean"),O554*AN554/BF554/10)</f>
        <v>2.7711121583411879E-3</v>
      </c>
      <c r="AH554" s="49">
        <f t="shared" si="213"/>
        <v>1</v>
      </c>
      <c r="AI554" s="93">
        <f t="shared" si="227"/>
        <v>4.2925070688030163E-3</v>
      </c>
      <c r="AJ554" s="71">
        <v>0</v>
      </c>
      <c r="AK554" s="71">
        <f t="shared" si="224"/>
        <v>1</v>
      </c>
      <c r="AL554" s="71" t="s">
        <v>82</v>
      </c>
      <c r="AM554" s="71" t="s">
        <v>1333</v>
      </c>
      <c r="AN554" s="71">
        <v>11.53</v>
      </c>
      <c r="AO554" s="71">
        <v>0</v>
      </c>
      <c r="AP554" s="71">
        <f t="shared" si="225"/>
        <v>11.53</v>
      </c>
      <c r="AQ554" s="71">
        <v>6.97</v>
      </c>
      <c r="AR554" s="71" t="s">
        <v>312</v>
      </c>
      <c r="AS554" s="71">
        <v>75.86</v>
      </c>
      <c r="AT554" s="71" t="s">
        <v>83</v>
      </c>
      <c r="AU554" s="71" t="s">
        <v>109</v>
      </c>
      <c r="AV554" s="71" t="s">
        <v>133</v>
      </c>
      <c r="AW554" s="71" t="s">
        <v>85</v>
      </c>
      <c r="AX554" s="71" t="s">
        <v>86</v>
      </c>
      <c r="AY554" s="71">
        <v>1</v>
      </c>
      <c r="AZ554" s="71">
        <v>1</v>
      </c>
      <c r="BA554" s="71" t="s">
        <v>391</v>
      </c>
      <c r="BB554" s="71" t="s">
        <v>88</v>
      </c>
      <c r="BC554" s="71" t="s">
        <v>113</v>
      </c>
      <c r="BD554" s="71" t="s">
        <v>114</v>
      </c>
      <c r="BE554" s="71" t="s">
        <v>1299</v>
      </c>
      <c r="BF554" s="71">
        <v>21.22</v>
      </c>
      <c r="BG554" s="71">
        <v>0</v>
      </c>
      <c r="BH554" s="71">
        <v>9.0399999999999991</v>
      </c>
      <c r="BI554" s="71" t="s">
        <v>312</v>
      </c>
      <c r="BJ554" s="71" t="s">
        <v>312</v>
      </c>
      <c r="BK554" s="71" t="s">
        <v>91</v>
      </c>
      <c r="BL554" s="71" t="s">
        <v>1298</v>
      </c>
      <c r="BM554" s="71">
        <v>1</v>
      </c>
      <c r="BN554" s="71" t="s">
        <v>428</v>
      </c>
      <c r="BO554" s="71" t="s">
        <v>1297</v>
      </c>
      <c r="BP554" s="71" t="s">
        <v>1296</v>
      </c>
      <c r="BQ554" s="71" t="s">
        <v>92</v>
      </c>
      <c r="BR554" s="71" t="s">
        <v>93</v>
      </c>
      <c r="BS554" s="71" t="s">
        <v>312</v>
      </c>
      <c r="BT554" s="71" t="s">
        <v>312</v>
      </c>
      <c r="BU554" s="73">
        <v>36526</v>
      </c>
      <c r="BV554" s="73">
        <v>41944</v>
      </c>
      <c r="BW554" s="71" t="s">
        <v>94</v>
      </c>
      <c r="BX554" s="71" t="s">
        <v>1295</v>
      </c>
      <c r="BY554" s="71" t="s">
        <v>96</v>
      </c>
      <c r="BZ554" s="71">
        <v>0</v>
      </c>
      <c r="CA554" s="71">
        <v>0</v>
      </c>
      <c r="CB554" s="71" t="s">
        <v>97</v>
      </c>
      <c r="CC554" s="71" t="s">
        <v>313</v>
      </c>
      <c r="CD554" s="71">
        <v>1</v>
      </c>
      <c r="CE554" s="71" t="s">
        <v>1294</v>
      </c>
      <c r="CF554" s="71">
        <v>1</v>
      </c>
      <c r="CG554" s="71" t="s">
        <v>597</v>
      </c>
      <c r="CH554" s="71" t="s">
        <v>312</v>
      </c>
      <c r="CI554" s="71" t="s">
        <v>1293</v>
      </c>
      <c r="CJ554" s="71" t="s">
        <v>98</v>
      </c>
      <c r="CK554" s="71">
        <v>26</v>
      </c>
      <c r="CL554" s="71">
        <v>0</v>
      </c>
      <c r="CM554" s="71">
        <v>0</v>
      </c>
      <c r="CN554" s="72" t="s">
        <v>99</v>
      </c>
      <c r="CO554" s="71" t="s">
        <v>97</v>
      </c>
      <c r="CP554" s="71" t="s">
        <v>100</v>
      </c>
      <c r="CQ554" s="71" t="s">
        <v>126</v>
      </c>
      <c r="CR554" s="72">
        <v>46227</v>
      </c>
      <c r="CT554" s="71" t="s">
        <v>660</v>
      </c>
    </row>
    <row r="555" spans="1:98" s="71" customFormat="1" x14ac:dyDescent="0.35">
      <c r="A555" s="74" t="s">
        <v>1304</v>
      </c>
      <c r="B555" s="74" t="s">
        <v>1309</v>
      </c>
      <c r="C555" s="71" t="s">
        <v>1302</v>
      </c>
      <c r="D555" s="71">
        <v>2016</v>
      </c>
      <c r="E555" s="74" t="s">
        <v>1301</v>
      </c>
      <c r="F555" s="74" t="s">
        <v>1300</v>
      </c>
      <c r="G555" s="71" t="s">
        <v>102</v>
      </c>
      <c r="H555" s="71">
        <v>0</v>
      </c>
      <c r="I555" s="71" t="s">
        <v>390</v>
      </c>
      <c r="J555" s="71" t="s">
        <v>128</v>
      </c>
      <c r="K555" s="71">
        <v>208</v>
      </c>
      <c r="L555" s="71" t="s">
        <v>129</v>
      </c>
      <c r="M555" s="71" t="s">
        <v>380</v>
      </c>
      <c r="N555" s="71">
        <v>2.0999999999999999E-3</v>
      </c>
      <c r="O555" s="71">
        <v>5.1000000000000004E-3</v>
      </c>
      <c r="P555" s="93">
        <f t="shared" si="214"/>
        <v>0.41176470588235287</v>
      </c>
      <c r="Q555" s="71" t="s">
        <v>312</v>
      </c>
      <c r="R555" s="93">
        <f t="shared" si="215"/>
        <v>-7.8960000000000002E-3</v>
      </c>
      <c r="S555" s="93">
        <f t="shared" si="216"/>
        <v>1.2095999999999999E-2</v>
      </c>
      <c r="T555" s="71">
        <v>1</v>
      </c>
      <c r="U555" s="71">
        <v>3722</v>
      </c>
      <c r="V555" s="71">
        <v>12</v>
      </c>
      <c r="W555" s="71">
        <v>1</v>
      </c>
      <c r="X555" s="71">
        <f t="shared" si="217"/>
        <v>3710</v>
      </c>
      <c r="Y555" s="93">
        <f t="shared" si="218"/>
        <v>6.7600863001988573E-3</v>
      </c>
      <c r="Z555" s="93">
        <f t="shared" si="219"/>
        <v>1.6417352443340087E-2</v>
      </c>
      <c r="AA555" s="93">
        <f t="shared" si="226"/>
        <v>-6.7600863001988573E-3</v>
      </c>
      <c r="AB555" s="71" t="s">
        <v>81</v>
      </c>
      <c r="AC555" s="93">
        <f t="shared" si="221"/>
        <v>1.1410461828463712E-3</v>
      </c>
      <c r="AD555" s="93" cm="1">
        <f t="array" ref="AD555">_xlfn.IFS(
AND(L555="marginal_effect",M555="level"),N555*AN555/BF555,
AND(L555="marginal_effect",M555="sd (Y)"),N555*BH555*AN555/BF555,
AND(L555="marginal_effect",M555="sd (X)"),N555/AQ555*AN555/BF555,
AND(L555="semi_elasticity",M555="level"),N555*AN555,
AND(L555="semi_elasticity",M555="sd (Y)"),N555*AN555*BH555,
AND(L555="semi_elasticity",M555="sd (X)"),N555*AN555/AQ555,
AND(L555="level-log",M555="level"),N555/BF555,
AND(L555="level-log",M555="sd (X)"),N555/BF555/AQ555,
AND(L555="level-log",M555="sd (Y)"),N555/BF555*BH555,
AND(L555="elasticity",M555="level"),N555,
AND(L555="elasticity",M555="sd (X)"),N555/AQ555,
AND(L555="elasticity",M555="sd (Y)"),N555*BH555,
AND(L555="marginal_effect",M555="percent_of_mean"),N555*AN555/BF555/10)</f>
        <v>1.1410461828463712E-3</v>
      </c>
      <c r="AE555" s="49">
        <f t="shared" si="212"/>
        <v>1</v>
      </c>
      <c r="AF555" s="93">
        <f t="shared" si="222"/>
        <v>2.7711121583411879E-3</v>
      </c>
      <c r="AG555" s="93" cm="1">
        <f t="array" ref="AG555">_xlfn.IFS(
AND(L555="marginal_effect",M555="level"),O555*AN555/BF555,
AND(L555="marginal_effect",M555="sd (Y)"),O555*BH555*AN555/BF555,
AND(L555="marginal_effect",M555="sd (X)"),O555/AQ555*AN555/BF555,
AND(L555="semi_elasticity",M555="level"),O555*AN555,
AND(L555="semi_elasticity",M555="sd (Y)"),O555*AN555*BH555,
AND(L555="semi_elasticity",M555="sd (X)"),O555*AN555/AQ555,
AND(L555="level-log",M555="level"),O555/BF555,
AND(L555="level-log",M555="sd (X)"),O555/BF555/AQ555,
AND(L555="level-log",M555="sd (Y)"),O555/BF555*BH555,
AND(L555="elasticity",M555="level"),O555,
AND(L555="elasticity",M555="sd (X)"),O555/AQ555,
AND(L555="elasticity",M555="sd (Y)"),O555*BH555,
AND(L555="marginal_effect",M555="percent_of_mean"),O555*AN555/BF555/10)</f>
        <v>2.7711121583411879E-3</v>
      </c>
      <c r="AH555" s="49">
        <f t="shared" si="213"/>
        <v>1</v>
      </c>
      <c r="AI555" s="93">
        <f t="shared" si="227"/>
        <v>-1.1410461828463712E-3</v>
      </c>
      <c r="AJ555" s="71">
        <v>0</v>
      </c>
      <c r="AK555" s="71">
        <f t="shared" si="224"/>
        <v>1</v>
      </c>
      <c r="AL555" s="71" t="s">
        <v>82</v>
      </c>
      <c r="AM555" s="71" t="s">
        <v>1333</v>
      </c>
      <c r="AN555" s="71">
        <v>11.53</v>
      </c>
      <c r="AO555" s="71">
        <v>0</v>
      </c>
      <c r="AP555" s="71">
        <f t="shared" si="225"/>
        <v>11.53</v>
      </c>
      <c r="AQ555" s="71">
        <v>6.97</v>
      </c>
      <c r="AR555" s="71" t="s">
        <v>312</v>
      </c>
      <c r="AS555" s="71">
        <v>75.86</v>
      </c>
      <c r="AT555" s="71" t="s">
        <v>83</v>
      </c>
      <c r="AU555" s="71" t="s">
        <v>109</v>
      </c>
      <c r="AV555" s="71" t="s">
        <v>133</v>
      </c>
      <c r="AW555" s="71" t="s">
        <v>85</v>
      </c>
      <c r="AX555" s="71" t="s">
        <v>86</v>
      </c>
      <c r="AY555" s="71">
        <v>2</v>
      </c>
      <c r="AZ555" s="71">
        <v>2</v>
      </c>
      <c r="BA555" s="71" t="s">
        <v>391</v>
      </c>
      <c r="BB555" s="71" t="s">
        <v>88</v>
      </c>
      <c r="BC555" s="71" t="s">
        <v>113</v>
      </c>
      <c r="BD555" s="71" t="s">
        <v>114</v>
      </c>
      <c r="BE555" s="71" t="s">
        <v>1299</v>
      </c>
      <c r="BF555" s="71">
        <v>21.22</v>
      </c>
      <c r="BG555" s="71">
        <v>0</v>
      </c>
      <c r="BH555" s="71">
        <v>9.0399999999999991</v>
      </c>
      <c r="BI555" s="71" t="s">
        <v>312</v>
      </c>
      <c r="BJ555" s="71" t="s">
        <v>312</v>
      </c>
      <c r="BK555" s="71" t="s">
        <v>91</v>
      </c>
      <c r="BL555" s="71" t="s">
        <v>1298</v>
      </c>
      <c r="BM555" s="71">
        <v>1</v>
      </c>
      <c r="BN555" s="71" t="s">
        <v>428</v>
      </c>
      <c r="BO555" s="71" t="s">
        <v>1297</v>
      </c>
      <c r="BP555" s="71" t="s">
        <v>1296</v>
      </c>
      <c r="BQ555" s="71" t="s">
        <v>92</v>
      </c>
      <c r="BR555" s="71" t="s">
        <v>93</v>
      </c>
      <c r="BS555" s="71" t="s">
        <v>312</v>
      </c>
      <c r="BT555" s="71" t="s">
        <v>312</v>
      </c>
      <c r="BU555" s="73">
        <v>36526</v>
      </c>
      <c r="BV555" s="73">
        <v>41944</v>
      </c>
      <c r="BW555" s="71" t="s">
        <v>94</v>
      </c>
      <c r="BX555" s="71" t="s">
        <v>1295</v>
      </c>
      <c r="BY555" s="71" t="s">
        <v>96</v>
      </c>
      <c r="BZ555" s="71">
        <v>0</v>
      </c>
      <c r="CA555" s="71">
        <v>0</v>
      </c>
      <c r="CB555" s="71" t="s">
        <v>97</v>
      </c>
      <c r="CC555" s="71" t="s">
        <v>313</v>
      </c>
      <c r="CD555" s="71">
        <v>1</v>
      </c>
      <c r="CE555" s="71" t="s">
        <v>1294</v>
      </c>
      <c r="CF555" s="71">
        <v>1</v>
      </c>
      <c r="CG555" s="71" t="s">
        <v>597</v>
      </c>
      <c r="CH555" s="71" t="s">
        <v>312</v>
      </c>
      <c r="CI555" s="71" t="s">
        <v>1293</v>
      </c>
      <c r="CJ555" s="71" t="s">
        <v>98</v>
      </c>
      <c r="CK555" s="71">
        <v>26</v>
      </c>
      <c r="CL555" s="71">
        <v>0</v>
      </c>
      <c r="CM555" s="71">
        <v>0</v>
      </c>
      <c r="CN555" s="72" t="s">
        <v>99</v>
      </c>
      <c r="CO555" s="71" t="s">
        <v>97</v>
      </c>
      <c r="CP555" s="71" t="s">
        <v>100</v>
      </c>
      <c r="CQ555" s="71" t="s">
        <v>126</v>
      </c>
      <c r="CR555" s="72">
        <v>46227</v>
      </c>
      <c r="CT555" s="71" t="s">
        <v>660</v>
      </c>
    </row>
    <row r="556" spans="1:98" s="71" customFormat="1" x14ac:dyDescent="0.35">
      <c r="A556" s="74" t="s">
        <v>1304</v>
      </c>
      <c r="B556" s="74" t="s">
        <v>1308</v>
      </c>
      <c r="C556" s="71" t="s">
        <v>1302</v>
      </c>
      <c r="D556" s="71">
        <v>2016</v>
      </c>
      <c r="E556" s="74" t="s">
        <v>1301</v>
      </c>
      <c r="F556" s="74" t="s">
        <v>1300</v>
      </c>
      <c r="G556" s="71" t="s">
        <v>102</v>
      </c>
      <c r="H556" s="71">
        <v>0</v>
      </c>
      <c r="I556" s="71" t="s">
        <v>390</v>
      </c>
      <c r="J556" s="71" t="s">
        <v>128</v>
      </c>
      <c r="K556" s="71">
        <v>208</v>
      </c>
      <c r="L556" s="71" t="s">
        <v>129</v>
      </c>
      <c r="M556" s="71" t="s">
        <v>380</v>
      </c>
      <c r="N556" s="71">
        <v>2.07E-2</v>
      </c>
      <c r="O556" s="71">
        <v>5.5999999999999999E-3</v>
      </c>
      <c r="P556" s="93">
        <f t="shared" si="214"/>
        <v>3.6964285714285716</v>
      </c>
      <c r="Q556" s="71" t="s">
        <v>312</v>
      </c>
      <c r="R556" s="93">
        <f t="shared" si="215"/>
        <v>9.724E-3</v>
      </c>
      <c r="S556" s="93">
        <f t="shared" si="216"/>
        <v>3.1675999999999996E-2</v>
      </c>
      <c r="T556" s="71">
        <v>1</v>
      </c>
      <c r="U556" s="71">
        <v>3722</v>
      </c>
      <c r="V556" s="71">
        <v>12</v>
      </c>
      <c r="W556" s="71">
        <v>1</v>
      </c>
      <c r="X556" s="71">
        <f t="shared" si="217"/>
        <v>3710</v>
      </c>
      <c r="Y556" s="93">
        <f t="shared" si="218"/>
        <v>6.0575512846041846E-2</v>
      </c>
      <c r="Z556" s="93">
        <f t="shared" si="219"/>
        <v>1.638757835448475E-2</v>
      </c>
      <c r="AA556" s="93">
        <f t="shared" si="226"/>
        <v>-6.0575512846041846E-2</v>
      </c>
      <c r="AB556" s="71" t="s">
        <v>81</v>
      </c>
      <c r="AC556" s="93">
        <f t="shared" si="221"/>
        <v>1.1247455230914232E-2</v>
      </c>
      <c r="AD556" s="93" cm="1">
        <f t="array" ref="AD556">_xlfn.IFS(
AND(L556="marginal_effect",M556="level"),N556*AN556/BF556,
AND(L556="marginal_effect",M556="sd (Y)"),N556*BH556*AN556/BF556,
AND(L556="marginal_effect",M556="sd (X)"),N556/AQ556*AN556/BF556,
AND(L556="semi_elasticity",M556="level"),N556*AN556,
AND(L556="semi_elasticity",M556="sd (Y)"),N556*AN556*BH556,
AND(L556="semi_elasticity",M556="sd (X)"),N556*AN556/AQ556,
AND(L556="level-log",M556="level"),N556/BF556,
AND(L556="level-log",M556="sd (X)"),N556/BF556/AQ556,
AND(L556="level-log",M556="sd (Y)"),N556/BF556*BH556,
AND(L556="elasticity",M556="level"),N556,
AND(L556="elasticity",M556="sd (X)"),N556/AQ556,
AND(L556="elasticity",M556="sd (Y)"),N556*BH556,
AND(L556="marginal_effect",M556="percent_of_mean"),N556*AN556/BF556/10)</f>
        <v>1.1247455230914232E-2</v>
      </c>
      <c r="AE556" s="49">
        <f t="shared" si="212"/>
        <v>1</v>
      </c>
      <c r="AF556" s="93">
        <f t="shared" si="222"/>
        <v>3.0427898209236569E-3</v>
      </c>
      <c r="AG556" s="93" cm="1">
        <f t="array" ref="AG556">_xlfn.IFS(
AND(L556="marginal_effect",M556="level"),O556*AN556/BF556,
AND(L556="marginal_effect",M556="sd (Y)"),O556*BH556*AN556/BF556,
AND(L556="marginal_effect",M556="sd (X)"),O556/AQ556*AN556/BF556,
AND(L556="semi_elasticity",M556="level"),O556*AN556,
AND(L556="semi_elasticity",M556="sd (Y)"),O556*AN556*BH556,
AND(L556="semi_elasticity",M556="sd (X)"),O556*AN556/AQ556,
AND(L556="level-log",M556="level"),O556/BF556,
AND(L556="level-log",M556="sd (X)"),O556/BF556/AQ556,
AND(L556="level-log",M556="sd (Y)"),O556/BF556*BH556,
AND(L556="elasticity",M556="level"),O556,
AND(L556="elasticity",M556="sd (X)"),O556/AQ556,
AND(L556="elasticity",M556="sd (Y)"),O556*BH556,
AND(L556="marginal_effect",M556="percent_of_mean"),O556*AN556/BF556/10)</f>
        <v>3.0427898209236569E-3</v>
      </c>
      <c r="AH556" s="49">
        <f t="shared" si="213"/>
        <v>1</v>
      </c>
      <c r="AI556" s="93">
        <f t="shared" si="227"/>
        <v>-1.1247455230914232E-2</v>
      </c>
      <c r="AJ556" s="71">
        <v>0</v>
      </c>
      <c r="AK556" s="71">
        <f t="shared" si="224"/>
        <v>1</v>
      </c>
      <c r="AL556" s="71" t="s">
        <v>82</v>
      </c>
      <c r="AM556" s="71" t="s">
        <v>1333</v>
      </c>
      <c r="AN556" s="71">
        <v>11.53</v>
      </c>
      <c r="AO556" s="71">
        <v>0</v>
      </c>
      <c r="AP556" s="71">
        <f t="shared" si="225"/>
        <v>11.53</v>
      </c>
      <c r="AQ556" s="71">
        <v>6.97</v>
      </c>
      <c r="AR556" s="71" t="s">
        <v>312</v>
      </c>
      <c r="AS556" s="71">
        <v>75.86</v>
      </c>
      <c r="AT556" s="71" t="s">
        <v>83</v>
      </c>
      <c r="AU556" s="71" t="s">
        <v>109</v>
      </c>
      <c r="AV556" s="71" t="s">
        <v>133</v>
      </c>
      <c r="AW556" s="71" t="s">
        <v>85</v>
      </c>
      <c r="AX556" s="71" t="s">
        <v>86</v>
      </c>
      <c r="AY556" s="71">
        <v>0</v>
      </c>
      <c r="AZ556" s="71">
        <v>0</v>
      </c>
      <c r="BA556" s="71" t="s">
        <v>391</v>
      </c>
      <c r="BB556" s="71" t="s">
        <v>88</v>
      </c>
      <c r="BC556" s="71" t="s">
        <v>113</v>
      </c>
      <c r="BD556" s="71" t="s">
        <v>114</v>
      </c>
      <c r="BE556" s="71" t="s">
        <v>1299</v>
      </c>
      <c r="BF556" s="71">
        <v>21.22</v>
      </c>
      <c r="BG556" s="71">
        <v>0</v>
      </c>
      <c r="BH556" s="71">
        <v>9.0399999999999991</v>
      </c>
      <c r="BI556" s="71" t="s">
        <v>312</v>
      </c>
      <c r="BJ556" s="71" t="s">
        <v>312</v>
      </c>
      <c r="BK556" s="71" t="s">
        <v>91</v>
      </c>
      <c r="BL556" s="71" t="s">
        <v>1298</v>
      </c>
      <c r="BM556" s="71">
        <v>1</v>
      </c>
      <c r="BN556" s="71" t="s">
        <v>428</v>
      </c>
      <c r="BO556" s="71" t="s">
        <v>1297</v>
      </c>
      <c r="BP556" s="71" t="s">
        <v>1296</v>
      </c>
      <c r="BQ556" s="71" t="s">
        <v>92</v>
      </c>
      <c r="BR556" s="71" t="s">
        <v>93</v>
      </c>
      <c r="BS556" s="71" t="s">
        <v>312</v>
      </c>
      <c r="BT556" s="71" t="s">
        <v>312</v>
      </c>
      <c r="BU556" s="73">
        <v>36526</v>
      </c>
      <c r="BV556" s="73">
        <v>41944</v>
      </c>
      <c r="BW556" s="71" t="s">
        <v>94</v>
      </c>
      <c r="BX556" s="71" t="s">
        <v>1295</v>
      </c>
      <c r="BY556" s="71" t="s">
        <v>96</v>
      </c>
      <c r="BZ556" s="71">
        <v>0</v>
      </c>
      <c r="CA556" s="71">
        <v>0</v>
      </c>
      <c r="CB556" s="71" t="s">
        <v>97</v>
      </c>
      <c r="CC556" s="71" t="s">
        <v>313</v>
      </c>
      <c r="CD556" s="71">
        <v>1</v>
      </c>
      <c r="CE556" s="71" t="s">
        <v>1294</v>
      </c>
      <c r="CF556" s="71">
        <v>1</v>
      </c>
      <c r="CG556" s="71" t="s">
        <v>597</v>
      </c>
      <c r="CH556" s="71" t="s">
        <v>312</v>
      </c>
      <c r="CI556" s="71" t="s">
        <v>1293</v>
      </c>
      <c r="CJ556" s="71" t="s">
        <v>98</v>
      </c>
      <c r="CK556" s="71">
        <v>26</v>
      </c>
      <c r="CL556" s="71">
        <v>0</v>
      </c>
      <c r="CM556" s="71">
        <v>0</v>
      </c>
      <c r="CN556" s="72" t="s">
        <v>99</v>
      </c>
      <c r="CO556" s="71" t="s">
        <v>97</v>
      </c>
      <c r="CP556" s="71" t="s">
        <v>100</v>
      </c>
      <c r="CQ556" s="71" t="s">
        <v>126</v>
      </c>
      <c r="CR556" s="72">
        <v>46227</v>
      </c>
      <c r="CT556" s="71" t="s">
        <v>661</v>
      </c>
    </row>
    <row r="557" spans="1:98" s="71" customFormat="1" x14ac:dyDescent="0.35">
      <c r="A557" s="74" t="s">
        <v>1304</v>
      </c>
      <c r="B557" s="74" t="s">
        <v>1307</v>
      </c>
      <c r="C557" s="71" t="s">
        <v>1302</v>
      </c>
      <c r="D557" s="71">
        <v>2016</v>
      </c>
      <c r="E557" s="74" t="s">
        <v>1301</v>
      </c>
      <c r="F557" s="74" t="s">
        <v>1300</v>
      </c>
      <c r="G557" s="71" t="s">
        <v>102</v>
      </c>
      <c r="H557" s="71">
        <v>0</v>
      </c>
      <c r="I557" s="71" t="s">
        <v>390</v>
      </c>
      <c r="J557" s="71" t="s">
        <v>128</v>
      </c>
      <c r="K557" s="71">
        <v>208</v>
      </c>
      <c r="L557" s="71" t="s">
        <v>129</v>
      </c>
      <c r="M557" s="71" t="s">
        <v>380</v>
      </c>
      <c r="N557" s="71">
        <v>-4.1999999999999997E-3</v>
      </c>
      <c r="O557" s="71">
        <v>4.8999999999999998E-3</v>
      </c>
      <c r="P557" s="93">
        <f t="shared" si="214"/>
        <v>-0.8571428571428571</v>
      </c>
      <c r="Q557" s="71" t="s">
        <v>312</v>
      </c>
      <c r="R557" s="93">
        <f t="shared" si="215"/>
        <v>-1.3804E-2</v>
      </c>
      <c r="S557" s="93">
        <f t="shared" si="216"/>
        <v>5.4039999999999999E-3</v>
      </c>
      <c r="T557" s="71">
        <v>1</v>
      </c>
      <c r="U557" s="71">
        <v>3722</v>
      </c>
      <c r="V557" s="71">
        <v>12</v>
      </c>
      <c r="W557" s="71">
        <v>1</v>
      </c>
      <c r="X557" s="71">
        <f t="shared" si="217"/>
        <v>3710</v>
      </c>
      <c r="Y557" s="93">
        <f t="shared" si="218"/>
        <v>-1.4070944757410083E-2</v>
      </c>
      <c r="Z557" s="93">
        <f t="shared" si="219"/>
        <v>1.641610221697843E-2</v>
      </c>
      <c r="AA557" s="93">
        <f t="shared" si="226"/>
        <v>1.4070944757410083E-2</v>
      </c>
      <c r="AB557" s="71" t="s">
        <v>81</v>
      </c>
      <c r="AC557" s="93">
        <f t="shared" si="221"/>
        <v>-2.2820923656927425E-3</v>
      </c>
      <c r="AD557" s="93" cm="1">
        <f t="array" ref="AD557">_xlfn.IFS(
AND(L557="marginal_effect",M557="level"),N557*AN557/BF557,
AND(L557="marginal_effect",M557="sd (Y)"),N557*BH557*AN557/BF557,
AND(L557="marginal_effect",M557="sd (X)"),N557/AQ557*AN557/BF557,
AND(L557="semi_elasticity",M557="level"),N557*AN557,
AND(L557="semi_elasticity",M557="sd (Y)"),N557*AN557*BH557,
AND(L557="semi_elasticity",M557="sd (X)"),N557*AN557/AQ557,
AND(L557="level-log",M557="level"),N557/BF557,
AND(L557="level-log",M557="sd (X)"),N557/BF557/AQ557,
AND(L557="level-log",M557="sd (Y)"),N557/BF557*BH557,
AND(L557="elasticity",M557="level"),N557,
AND(L557="elasticity",M557="sd (X)"),N557/AQ557,
AND(L557="elasticity",M557="sd (Y)"),N557*BH557,
AND(L557="marginal_effect",M557="percent_of_mean"),N557*AN557/BF557/10)</f>
        <v>-2.2820923656927425E-3</v>
      </c>
      <c r="AE557" s="49">
        <f t="shared" si="212"/>
        <v>1</v>
      </c>
      <c r="AF557" s="93">
        <f t="shared" si="222"/>
        <v>2.6624410933081995E-3</v>
      </c>
      <c r="AG557" s="93" cm="1">
        <f t="array" ref="AG557">_xlfn.IFS(
AND(L557="marginal_effect",M557="level"),O557*AN557/BF557,
AND(L557="marginal_effect",M557="sd (Y)"),O557*BH557*AN557/BF557,
AND(L557="marginal_effect",M557="sd (X)"),O557/AQ557*AN557/BF557,
AND(L557="semi_elasticity",M557="level"),O557*AN557,
AND(L557="semi_elasticity",M557="sd (Y)"),O557*AN557*BH557,
AND(L557="semi_elasticity",M557="sd (X)"),O557*AN557/AQ557,
AND(L557="level-log",M557="level"),O557/BF557,
AND(L557="level-log",M557="sd (X)"),O557/BF557/AQ557,
AND(L557="level-log",M557="sd (Y)"),O557/BF557*BH557,
AND(L557="elasticity",M557="level"),O557,
AND(L557="elasticity",M557="sd (X)"),O557/AQ557,
AND(L557="elasticity",M557="sd (Y)"),O557*BH557,
AND(L557="marginal_effect",M557="percent_of_mean"),O557*AN557/BF557/10)</f>
        <v>2.6624410933081995E-3</v>
      </c>
      <c r="AH557" s="49">
        <f t="shared" si="213"/>
        <v>1</v>
      </c>
      <c r="AI557" s="93">
        <f t="shared" si="227"/>
        <v>2.2820923656927425E-3</v>
      </c>
      <c r="AJ557" s="71">
        <v>0</v>
      </c>
      <c r="AK557" s="71">
        <f t="shared" si="224"/>
        <v>1</v>
      </c>
      <c r="AL557" s="71" t="s">
        <v>82</v>
      </c>
      <c r="AM557" s="71" t="s">
        <v>1333</v>
      </c>
      <c r="AN557" s="71">
        <v>11.53</v>
      </c>
      <c r="AO557" s="71">
        <v>0</v>
      </c>
      <c r="AP557" s="71">
        <f t="shared" si="225"/>
        <v>11.53</v>
      </c>
      <c r="AQ557" s="71">
        <v>6.97</v>
      </c>
      <c r="AR557" s="71" t="s">
        <v>312</v>
      </c>
      <c r="AS557" s="71">
        <v>75.86</v>
      </c>
      <c r="AT557" s="71" t="s">
        <v>83</v>
      </c>
      <c r="AU557" s="71" t="s">
        <v>109</v>
      </c>
      <c r="AV557" s="71" t="s">
        <v>133</v>
      </c>
      <c r="AW557" s="71" t="s">
        <v>85</v>
      </c>
      <c r="AX557" s="71" t="s">
        <v>86</v>
      </c>
      <c r="AY557" s="71">
        <v>-1</v>
      </c>
      <c r="AZ557" s="71">
        <v>-1</v>
      </c>
      <c r="BA557" s="71" t="s">
        <v>391</v>
      </c>
      <c r="BB557" s="71" t="s">
        <v>88</v>
      </c>
      <c r="BC557" s="71" t="s">
        <v>113</v>
      </c>
      <c r="BD557" s="71" t="s">
        <v>114</v>
      </c>
      <c r="BE557" s="71" t="s">
        <v>1299</v>
      </c>
      <c r="BF557" s="71">
        <v>21.22</v>
      </c>
      <c r="BG557" s="71">
        <v>0</v>
      </c>
      <c r="BH557" s="71">
        <v>9.0399999999999991</v>
      </c>
      <c r="BI557" s="71" t="s">
        <v>312</v>
      </c>
      <c r="BJ557" s="71" t="s">
        <v>312</v>
      </c>
      <c r="BK557" s="71" t="s">
        <v>91</v>
      </c>
      <c r="BL557" s="71" t="s">
        <v>1298</v>
      </c>
      <c r="BM557" s="71">
        <v>1</v>
      </c>
      <c r="BN557" s="71" t="s">
        <v>428</v>
      </c>
      <c r="BO557" s="71" t="s">
        <v>1297</v>
      </c>
      <c r="BP557" s="71" t="s">
        <v>1296</v>
      </c>
      <c r="BQ557" s="71" t="s">
        <v>92</v>
      </c>
      <c r="BR557" s="71" t="s">
        <v>93</v>
      </c>
      <c r="BS557" s="71" t="s">
        <v>312</v>
      </c>
      <c r="BT557" s="71" t="s">
        <v>312</v>
      </c>
      <c r="BU557" s="73">
        <v>36526</v>
      </c>
      <c r="BV557" s="73">
        <v>41944</v>
      </c>
      <c r="BW557" s="71" t="s">
        <v>94</v>
      </c>
      <c r="BX557" s="71" t="s">
        <v>1295</v>
      </c>
      <c r="BY557" s="71" t="s">
        <v>96</v>
      </c>
      <c r="BZ557" s="71">
        <v>0</v>
      </c>
      <c r="CA557" s="71">
        <v>0</v>
      </c>
      <c r="CB557" s="71" t="s">
        <v>97</v>
      </c>
      <c r="CC557" s="71" t="s">
        <v>313</v>
      </c>
      <c r="CD557" s="71">
        <v>1</v>
      </c>
      <c r="CE557" s="71" t="s">
        <v>1294</v>
      </c>
      <c r="CF557" s="71">
        <v>1</v>
      </c>
      <c r="CG557" s="71" t="s">
        <v>597</v>
      </c>
      <c r="CH557" s="71" t="s">
        <v>312</v>
      </c>
      <c r="CI557" s="71" t="s">
        <v>1293</v>
      </c>
      <c r="CJ557" s="71" t="s">
        <v>98</v>
      </c>
      <c r="CK557" s="71">
        <v>26</v>
      </c>
      <c r="CL557" s="71">
        <v>0</v>
      </c>
      <c r="CM557" s="71">
        <v>0</v>
      </c>
      <c r="CN557" s="72" t="s">
        <v>99</v>
      </c>
      <c r="CO557" s="71" t="s">
        <v>97</v>
      </c>
      <c r="CP557" s="71" t="s">
        <v>100</v>
      </c>
      <c r="CQ557" s="71" t="s">
        <v>126</v>
      </c>
      <c r="CR557" s="72">
        <v>46227</v>
      </c>
      <c r="CT557" s="71" t="s">
        <v>661</v>
      </c>
    </row>
    <row r="558" spans="1:98" s="71" customFormat="1" x14ac:dyDescent="0.35">
      <c r="A558" s="74" t="s">
        <v>1304</v>
      </c>
      <c r="B558" s="74" t="s">
        <v>1306</v>
      </c>
      <c r="C558" s="71" t="s">
        <v>1302</v>
      </c>
      <c r="D558" s="71">
        <v>2016</v>
      </c>
      <c r="E558" s="74" t="s">
        <v>1301</v>
      </c>
      <c r="F558" s="74" t="s">
        <v>1300</v>
      </c>
      <c r="G558" s="71" t="s">
        <v>102</v>
      </c>
      <c r="H558" s="71">
        <v>0</v>
      </c>
      <c r="I558" s="71" t="s">
        <v>390</v>
      </c>
      <c r="J558" s="71" t="s">
        <v>128</v>
      </c>
      <c r="K558" s="71">
        <v>208</v>
      </c>
      <c r="L558" s="71" t="s">
        <v>129</v>
      </c>
      <c r="M558" s="71" t="s">
        <v>380</v>
      </c>
      <c r="N558" s="71">
        <v>2.18E-2</v>
      </c>
      <c r="O558" s="71">
        <v>5.7999999999999996E-3</v>
      </c>
      <c r="P558" s="93">
        <f t="shared" si="214"/>
        <v>3.7586206896551726</v>
      </c>
      <c r="Q558" s="71" t="s">
        <v>312</v>
      </c>
      <c r="R558" s="93">
        <f t="shared" si="215"/>
        <v>1.0432E-2</v>
      </c>
      <c r="S558" s="93">
        <f t="shared" si="216"/>
        <v>3.3168000000000003E-2</v>
      </c>
      <c r="T558" s="71">
        <v>1</v>
      </c>
      <c r="U558" s="71">
        <v>3722</v>
      </c>
      <c r="V558" s="71">
        <v>12</v>
      </c>
      <c r="W558" s="71">
        <v>1</v>
      </c>
      <c r="X558" s="71">
        <f t="shared" si="217"/>
        <v>3710</v>
      </c>
      <c r="Y558" s="93">
        <f t="shared" si="218"/>
        <v>6.1590856738230775E-2</v>
      </c>
      <c r="Z558" s="93">
        <f t="shared" si="219"/>
        <v>1.6386558214758644E-2</v>
      </c>
      <c r="AA558" s="93">
        <f t="shared" si="226"/>
        <v>-6.1590856738230775E-2</v>
      </c>
      <c r="AB558" s="71" t="s">
        <v>81</v>
      </c>
      <c r="AC558" s="93">
        <f t="shared" si="221"/>
        <v>1.1845146088595663E-2</v>
      </c>
      <c r="AD558" s="93" cm="1">
        <f t="array" ref="AD558">_xlfn.IFS(
AND(L558="marginal_effect",M558="level"),N558*AN558/BF558,
AND(L558="marginal_effect",M558="sd (Y)"),N558*BH558*AN558/BF558,
AND(L558="marginal_effect",M558="sd (X)"),N558/AQ558*AN558/BF558,
AND(L558="semi_elasticity",M558="level"),N558*AN558,
AND(L558="semi_elasticity",M558="sd (Y)"),N558*AN558*BH558,
AND(L558="semi_elasticity",M558="sd (X)"),N558*AN558/AQ558,
AND(L558="level-log",M558="level"),N558/BF558,
AND(L558="level-log",M558="sd (X)"),N558/BF558/AQ558,
AND(L558="level-log",M558="sd (Y)"),N558/BF558*BH558,
AND(L558="elasticity",M558="level"),N558,
AND(L558="elasticity",M558="sd (X)"),N558/AQ558,
AND(L558="elasticity",M558="sd (Y)"),N558*BH558,
AND(L558="marginal_effect",M558="percent_of_mean"),N558*AN558/BF558/10)</f>
        <v>1.1845146088595663E-2</v>
      </c>
      <c r="AE558" s="49">
        <f t="shared" si="212"/>
        <v>1</v>
      </c>
      <c r="AF558" s="93">
        <f t="shared" si="222"/>
        <v>3.1514608859566444E-3</v>
      </c>
      <c r="AG558" s="93" cm="1">
        <f t="array" ref="AG558">_xlfn.IFS(
AND(L558="marginal_effect",M558="level"),O558*AN558/BF558,
AND(L558="marginal_effect",M558="sd (Y)"),O558*BH558*AN558/BF558,
AND(L558="marginal_effect",M558="sd (X)"),O558/AQ558*AN558/BF558,
AND(L558="semi_elasticity",M558="level"),O558*AN558,
AND(L558="semi_elasticity",M558="sd (Y)"),O558*AN558*BH558,
AND(L558="semi_elasticity",M558="sd (X)"),O558*AN558/AQ558,
AND(L558="level-log",M558="level"),O558/BF558,
AND(L558="level-log",M558="sd (X)"),O558/BF558/AQ558,
AND(L558="level-log",M558="sd (Y)"),O558/BF558*BH558,
AND(L558="elasticity",M558="level"),O558,
AND(L558="elasticity",M558="sd (X)"),O558/AQ558,
AND(L558="elasticity",M558="sd (Y)"),O558*BH558,
AND(L558="marginal_effect",M558="percent_of_mean"),O558*AN558/BF558/10)</f>
        <v>3.1514608859566444E-3</v>
      </c>
      <c r="AH558" s="49">
        <f t="shared" si="213"/>
        <v>1</v>
      </c>
      <c r="AI558" s="93">
        <f t="shared" si="227"/>
        <v>-1.1845146088595663E-2</v>
      </c>
      <c r="AJ558" s="71">
        <v>0</v>
      </c>
      <c r="AK558" s="71">
        <f t="shared" si="224"/>
        <v>1</v>
      </c>
      <c r="AL558" s="71" t="s">
        <v>82</v>
      </c>
      <c r="AM558" s="71" t="s">
        <v>1333</v>
      </c>
      <c r="AN558" s="71">
        <v>11.53</v>
      </c>
      <c r="AO558" s="71">
        <v>0</v>
      </c>
      <c r="AP558" s="71">
        <f t="shared" si="225"/>
        <v>11.53</v>
      </c>
      <c r="AQ558" s="71">
        <v>6.97</v>
      </c>
      <c r="AR558" s="71" t="s">
        <v>312</v>
      </c>
      <c r="AS558" s="71">
        <v>75.86</v>
      </c>
      <c r="AT558" s="71" t="s">
        <v>83</v>
      </c>
      <c r="AU558" s="71" t="s">
        <v>109</v>
      </c>
      <c r="AV558" s="71" t="s">
        <v>133</v>
      </c>
      <c r="AW558" s="71" t="s">
        <v>85</v>
      </c>
      <c r="AX558" s="71" t="s">
        <v>86</v>
      </c>
      <c r="AY558" s="71">
        <v>0</v>
      </c>
      <c r="AZ558" s="71">
        <v>0</v>
      </c>
      <c r="BA558" s="71" t="s">
        <v>391</v>
      </c>
      <c r="BB558" s="71" t="s">
        <v>88</v>
      </c>
      <c r="BC558" s="71" t="s">
        <v>113</v>
      </c>
      <c r="BD558" s="71" t="s">
        <v>114</v>
      </c>
      <c r="BE558" s="71" t="s">
        <v>1299</v>
      </c>
      <c r="BF558" s="71">
        <v>21.22</v>
      </c>
      <c r="BG558" s="71">
        <v>0</v>
      </c>
      <c r="BH558" s="71">
        <v>9.0399999999999991</v>
      </c>
      <c r="BI558" s="71" t="s">
        <v>312</v>
      </c>
      <c r="BJ558" s="71" t="s">
        <v>312</v>
      </c>
      <c r="BK558" s="71" t="s">
        <v>91</v>
      </c>
      <c r="BL558" s="71" t="s">
        <v>1298</v>
      </c>
      <c r="BM558" s="71">
        <v>1</v>
      </c>
      <c r="BN558" s="71" t="s">
        <v>428</v>
      </c>
      <c r="BO558" s="71" t="s">
        <v>1297</v>
      </c>
      <c r="BP558" s="71" t="s">
        <v>1296</v>
      </c>
      <c r="BQ558" s="71" t="s">
        <v>92</v>
      </c>
      <c r="BR558" s="71" t="s">
        <v>93</v>
      </c>
      <c r="BS558" s="71" t="s">
        <v>312</v>
      </c>
      <c r="BT558" s="71" t="s">
        <v>312</v>
      </c>
      <c r="BU558" s="73">
        <v>36526</v>
      </c>
      <c r="BV558" s="73">
        <v>41944</v>
      </c>
      <c r="BW558" s="71" t="s">
        <v>94</v>
      </c>
      <c r="BX558" s="71" t="s">
        <v>1295</v>
      </c>
      <c r="BY558" s="71" t="s">
        <v>96</v>
      </c>
      <c r="BZ558" s="71">
        <v>0</v>
      </c>
      <c r="CA558" s="71">
        <v>0</v>
      </c>
      <c r="CB558" s="71" t="s">
        <v>97</v>
      </c>
      <c r="CC558" s="71" t="s">
        <v>313</v>
      </c>
      <c r="CD558" s="71">
        <v>1</v>
      </c>
      <c r="CE558" s="71" t="s">
        <v>1294</v>
      </c>
      <c r="CF558" s="71">
        <v>1</v>
      </c>
      <c r="CG558" s="71" t="s">
        <v>597</v>
      </c>
      <c r="CH558" s="71" t="s">
        <v>312</v>
      </c>
      <c r="CI558" s="71" t="s">
        <v>1293</v>
      </c>
      <c r="CJ558" s="71" t="s">
        <v>98</v>
      </c>
      <c r="CK558" s="71">
        <v>26</v>
      </c>
      <c r="CL558" s="71">
        <v>0</v>
      </c>
      <c r="CM558" s="71">
        <v>0</v>
      </c>
      <c r="CN558" s="72" t="s">
        <v>99</v>
      </c>
      <c r="CO558" s="71" t="s">
        <v>97</v>
      </c>
      <c r="CP558" s="71" t="s">
        <v>100</v>
      </c>
      <c r="CQ558" s="71" t="s">
        <v>126</v>
      </c>
      <c r="CR558" s="72">
        <v>46227</v>
      </c>
      <c r="CT558" s="71" t="s">
        <v>1205</v>
      </c>
    </row>
    <row r="559" spans="1:98" s="71" customFormat="1" x14ac:dyDescent="0.35">
      <c r="A559" s="74" t="s">
        <v>1304</v>
      </c>
      <c r="B559" s="74" t="s">
        <v>1305</v>
      </c>
      <c r="C559" s="71" t="s">
        <v>1302</v>
      </c>
      <c r="D559" s="71">
        <v>2016</v>
      </c>
      <c r="E559" s="74" t="s">
        <v>1301</v>
      </c>
      <c r="F559" s="74" t="s">
        <v>1300</v>
      </c>
      <c r="G559" s="71" t="s">
        <v>102</v>
      </c>
      <c r="H559" s="71">
        <v>0</v>
      </c>
      <c r="I559" s="71" t="s">
        <v>390</v>
      </c>
      <c r="J559" s="71" t="s">
        <v>128</v>
      </c>
      <c r="K559" s="71">
        <v>208</v>
      </c>
      <c r="L559" s="71" t="s">
        <v>129</v>
      </c>
      <c r="M559" s="71" t="s">
        <v>380</v>
      </c>
      <c r="N559" s="71">
        <v>-6.7000000000000002E-3</v>
      </c>
      <c r="O559" s="71">
        <v>4.7999999999999996E-3</v>
      </c>
      <c r="P559" s="93">
        <f t="shared" si="214"/>
        <v>-1.3958333333333335</v>
      </c>
      <c r="Q559" s="71" t="s">
        <v>312</v>
      </c>
      <c r="R559" s="93">
        <f t="shared" si="215"/>
        <v>-1.6108000000000001E-2</v>
      </c>
      <c r="S559" s="93">
        <f t="shared" si="216"/>
        <v>2.7079999999999995E-3</v>
      </c>
      <c r="T559" s="71">
        <v>1</v>
      </c>
      <c r="U559" s="71">
        <v>3722</v>
      </c>
      <c r="V559" s="71">
        <v>12</v>
      </c>
      <c r="W559" s="71">
        <v>1</v>
      </c>
      <c r="X559" s="71">
        <f t="shared" si="217"/>
        <v>3710</v>
      </c>
      <c r="Y559" s="93">
        <f t="shared" si="218"/>
        <v>-2.2910396373177915E-2</v>
      </c>
      <c r="Z559" s="93">
        <f t="shared" si="219"/>
        <v>1.6413418297202088E-2</v>
      </c>
      <c r="AA559" s="93">
        <f t="shared" si="226"/>
        <v>2.2910396373177915E-2</v>
      </c>
      <c r="AB559" s="71" t="s">
        <v>81</v>
      </c>
      <c r="AC559" s="93">
        <f t="shared" si="221"/>
        <v>-3.6404806786050898E-3</v>
      </c>
      <c r="AD559" s="93" cm="1">
        <f t="array" ref="AD559">_xlfn.IFS(
AND(L559="marginal_effect",M559="level"),N559*AN559/BF559,
AND(L559="marginal_effect",M559="sd (Y)"),N559*BH559*AN559/BF559,
AND(L559="marginal_effect",M559="sd (X)"),N559/AQ559*AN559/BF559,
AND(L559="semi_elasticity",M559="level"),N559*AN559,
AND(L559="semi_elasticity",M559="sd (Y)"),N559*AN559*BH559,
AND(L559="semi_elasticity",M559="sd (X)"),N559*AN559/AQ559,
AND(L559="level-log",M559="level"),N559/BF559,
AND(L559="level-log",M559="sd (X)"),N559/BF559/AQ559,
AND(L559="level-log",M559="sd (Y)"),N559/BF559*BH559,
AND(L559="elasticity",M559="level"),N559,
AND(L559="elasticity",M559="sd (X)"),N559/AQ559,
AND(L559="elasticity",M559="sd (Y)"),N559*BH559,
AND(L559="marginal_effect",M559="percent_of_mean"),N559*AN559/BF559/10)</f>
        <v>-3.6404806786050898E-3</v>
      </c>
      <c r="AE559" s="49">
        <f t="shared" si="212"/>
        <v>1</v>
      </c>
      <c r="AF559" s="93">
        <f t="shared" si="222"/>
        <v>2.6081055607917055E-3</v>
      </c>
      <c r="AG559" s="93" cm="1">
        <f t="array" ref="AG559">_xlfn.IFS(
AND(L559="marginal_effect",M559="level"),O559*AN559/BF559,
AND(L559="marginal_effect",M559="sd (Y)"),O559*BH559*AN559/BF559,
AND(L559="marginal_effect",M559="sd (X)"),O559/AQ559*AN559/BF559,
AND(L559="semi_elasticity",M559="level"),O559*AN559,
AND(L559="semi_elasticity",M559="sd (Y)"),O559*AN559*BH559,
AND(L559="semi_elasticity",M559="sd (X)"),O559*AN559/AQ559,
AND(L559="level-log",M559="level"),O559/BF559,
AND(L559="level-log",M559="sd (X)"),O559/BF559/AQ559,
AND(L559="level-log",M559="sd (Y)"),O559/BF559*BH559,
AND(L559="elasticity",M559="level"),O559,
AND(L559="elasticity",M559="sd (X)"),O559/AQ559,
AND(L559="elasticity",M559="sd (Y)"),O559*BH559,
AND(L559="marginal_effect",M559="percent_of_mean"),O559*AN559/BF559/10)</f>
        <v>2.6081055607917055E-3</v>
      </c>
      <c r="AH559" s="49">
        <f t="shared" si="213"/>
        <v>1</v>
      </c>
      <c r="AI559" s="93">
        <f t="shared" si="227"/>
        <v>3.6404806786050898E-3</v>
      </c>
      <c r="AJ559" s="71">
        <v>0</v>
      </c>
      <c r="AK559" s="71">
        <f t="shared" si="224"/>
        <v>1</v>
      </c>
      <c r="AL559" s="71" t="s">
        <v>82</v>
      </c>
      <c r="AM559" s="71" t="s">
        <v>1333</v>
      </c>
      <c r="AN559" s="71">
        <v>11.53</v>
      </c>
      <c r="AO559" s="71">
        <v>0</v>
      </c>
      <c r="AP559" s="71">
        <f t="shared" si="225"/>
        <v>11.53</v>
      </c>
      <c r="AQ559" s="71">
        <v>6.97</v>
      </c>
      <c r="AR559" s="71" t="s">
        <v>312</v>
      </c>
      <c r="AS559" s="71">
        <v>75.86</v>
      </c>
      <c r="AT559" s="71" t="s">
        <v>83</v>
      </c>
      <c r="AU559" s="71" t="s">
        <v>109</v>
      </c>
      <c r="AV559" s="71" t="s">
        <v>133</v>
      </c>
      <c r="AW559" s="71" t="s">
        <v>85</v>
      </c>
      <c r="AX559" s="71" t="s">
        <v>86</v>
      </c>
      <c r="AY559" s="71">
        <v>-1</v>
      </c>
      <c r="AZ559" s="71">
        <v>-1</v>
      </c>
      <c r="BA559" s="71" t="s">
        <v>391</v>
      </c>
      <c r="BB559" s="71" t="s">
        <v>88</v>
      </c>
      <c r="BC559" s="71" t="s">
        <v>113</v>
      </c>
      <c r="BD559" s="71" t="s">
        <v>114</v>
      </c>
      <c r="BE559" s="71" t="s">
        <v>1299</v>
      </c>
      <c r="BF559" s="71">
        <v>21.22</v>
      </c>
      <c r="BG559" s="71">
        <v>0</v>
      </c>
      <c r="BH559" s="71">
        <v>9.0399999999999991</v>
      </c>
      <c r="BI559" s="71" t="s">
        <v>312</v>
      </c>
      <c r="BJ559" s="71" t="s">
        <v>312</v>
      </c>
      <c r="BK559" s="71" t="s">
        <v>91</v>
      </c>
      <c r="BL559" s="71" t="s">
        <v>1298</v>
      </c>
      <c r="BM559" s="71">
        <v>1</v>
      </c>
      <c r="BN559" s="71" t="s">
        <v>428</v>
      </c>
      <c r="BO559" s="71" t="s">
        <v>1297</v>
      </c>
      <c r="BP559" s="71" t="s">
        <v>1296</v>
      </c>
      <c r="BQ559" s="71" t="s">
        <v>92</v>
      </c>
      <c r="BR559" s="71" t="s">
        <v>93</v>
      </c>
      <c r="BS559" s="71" t="s">
        <v>312</v>
      </c>
      <c r="BT559" s="71" t="s">
        <v>312</v>
      </c>
      <c r="BU559" s="73">
        <v>36526</v>
      </c>
      <c r="BV559" s="73">
        <v>41944</v>
      </c>
      <c r="BW559" s="71" t="s">
        <v>94</v>
      </c>
      <c r="BX559" s="71" t="s">
        <v>1295</v>
      </c>
      <c r="BY559" s="71" t="s">
        <v>96</v>
      </c>
      <c r="BZ559" s="71">
        <v>0</v>
      </c>
      <c r="CA559" s="71">
        <v>0</v>
      </c>
      <c r="CB559" s="71" t="s">
        <v>97</v>
      </c>
      <c r="CC559" s="71" t="s">
        <v>313</v>
      </c>
      <c r="CD559" s="71">
        <v>1</v>
      </c>
      <c r="CE559" s="71" t="s">
        <v>1294</v>
      </c>
      <c r="CF559" s="71">
        <v>1</v>
      </c>
      <c r="CG559" s="71" t="s">
        <v>597</v>
      </c>
      <c r="CH559" s="71" t="s">
        <v>312</v>
      </c>
      <c r="CI559" s="71" t="s">
        <v>1293</v>
      </c>
      <c r="CJ559" s="71" t="s">
        <v>98</v>
      </c>
      <c r="CK559" s="71">
        <v>26</v>
      </c>
      <c r="CL559" s="71">
        <v>0</v>
      </c>
      <c r="CM559" s="71">
        <v>0</v>
      </c>
      <c r="CN559" s="72" t="s">
        <v>99</v>
      </c>
      <c r="CO559" s="71" t="s">
        <v>97</v>
      </c>
      <c r="CP559" s="71" t="s">
        <v>100</v>
      </c>
      <c r="CQ559" s="71" t="s">
        <v>126</v>
      </c>
      <c r="CR559" s="72">
        <v>46227</v>
      </c>
      <c r="CT559" s="71" t="s">
        <v>1205</v>
      </c>
    </row>
    <row r="560" spans="1:98" s="71" customFormat="1" x14ac:dyDescent="0.35">
      <c r="A560" s="74" t="s">
        <v>1304</v>
      </c>
      <c r="B560" s="74" t="s">
        <v>1303</v>
      </c>
      <c r="C560" s="71" t="s">
        <v>1302</v>
      </c>
      <c r="D560" s="71">
        <v>2016</v>
      </c>
      <c r="E560" s="74" t="s">
        <v>1301</v>
      </c>
      <c r="F560" s="74" t="s">
        <v>1300</v>
      </c>
      <c r="G560" s="71" t="s">
        <v>102</v>
      </c>
      <c r="H560" s="71">
        <v>0</v>
      </c>
      <c r="I560" s="71" t="s">
        <v>390</v>
      </c>
      <c r="J560" s="71" t="s">
        <v>128</v>
      </c>
      <c r="K560" s="71">
        <v>208</v>
      </c>
      <c r="L560" s="71" t="s">
        <v>129</v>
      </c>
      <c r="M560" s="71" t="s">
        <v>380</v>
      </c>
      <c r="N560" s="71">
        <v>-9.4000000000000004E-3</v>
      </c>
      <c r="O560" s="71">
        <v>4.7999999999999996E-3</v>
      </c>
      <c r="P560" s="93">
        <f t="shared" si="214"/>
        <v>-1.9583333333333335</v>
      </c>
      <c r="Q560" s="71" t="s">
        <v>312</v>
      </c>
      <c r="R560" s="93">
        <f t="shared" si="215"/>
        <v>-1.8807999999999998E-2</v>
      </c>
      <c r="S560" s="93">
        <f t="shared" si="216"/>
        <v>7.9999999999993271E-6</v>
      </c>
      <c r="T560" s="71">
        <v>1</v>
      </c>
      <c r="U560" s="71">
        <v>3722</v>
      </c>
      <c r="V560" s="71">
        <v>12</v>
      </c>
      <c r="W560" s="71">
        <v>1</v>
      </c>
      <c r="X560" s="71">
        <f t="shared" si="217"/>
        <v>3710</v>
      </c>
      <c r="Y560" s="93">
        <f t="shared" si="218"/>
        <v>-3.2134778428520618E-2</v>
      </c>
      <c r="Z560" s="93">
        <f t="shared" si="219"/>
        <v>1.6409248559244572E-2</v>
      </c>
      <c r="AA560" s="93">
        <f t="shared" si="226"/>
        <v>3.2134778428520618E-2</v>
      </c>
      <c r="AB560" s="71" t="s">
        <v>81</v>
      </c>
      <c r="AC560" s="93">
        <f t="shared" si="221"/>
        <v>-5.1075400565504239E-3</v>
      </c>
      <c r="AD560" s="93" cm="1">
        <f t="array" ref="AD560">_xlfn.IFS(
AND(L560="marginal_effect",M560="level"),N560*AN560/BF560,
AND(L560="marginal_effect",M560="sd (Y)"),N560*BH560*AN560/BF560,
AND(L560="marginal_effect",M560="sd (X)"),N560/AQ560*AN560/BF560,
AND(L560="semi_elasticity",M560="level"),N560*AN560,
AND(L560="semi_elasticity",M560="sd (Y)"),N560*AN560*BH560,
AND(L560="semi_elasticity",M560="sd (X)"),N560*AN560/AQ560,
AND(L560="level-log",M560="level"),N560/BF560,
AND(L560="level-log",M560="sd (X)"),N560/BF560/AQ560,
AND(L560="level-log",M560="sd (Y)"),N560/BF560*BH560,
AND(L560="elasticity",M560="level"),N560,
AND(L560="elasticity",M560="sd (X)"),N560/AQ560,
AND(L560="elasticity",M560="sd (Y)"),N560*BH560,
AND(L560="marginal_effect",M560="percent_of_mean"),N560*AN560/BF560/10)</f>
        <v>-5.1075400565504239E-3</v>
      </c>
      <c r="AE560" s="49">
        <f t="shared" si="212"/>
        <v>1</v>
      </c>
      <c r="AF560" s="93">
        <f t="shared" si="222"/>
        <v>2.6081055607917055E-3</v>
      </c>
      <c r="AG560" s="93" cm="1">
        <f t="array" ref="AG560">_xlfn.IFS(
AND(L560="marginal_effect",M560="level"),O560*AN560/BF560,
AND(L560="marginal_effect",M560="sd (Y)"),O560*BH560*AN560/BF560,
AND(L560="marginal_effect",M560="sd (X)"),O560/AQ560*AN560/BF560,
AND(L560="semi_elasticity",M560="level"),O560*AN560,
AND(L560="semi_elasticity",M560="sd (Y)"),O560*AN560*BH560,
AND(L560="semi_elasticity",M560="sd (X)"),O560*AN560/AQ560,
AND(L560="level-log",M560="level"),O560/BF560,
AND(L560="level-log",M560="sd (X)"),O560/BF560/AQ560,
AND(L560="level-log",M560="sd (Y)"),O560/BF560*BH560,
AND(L560="elasticity",M560="level"),O560,
AND(L560="elasticity",M560="sd (X)"),O560/AQ560,
AND(L560="elasticity",M560="sd (Y)"),O560*BH560,
AND(L560="marginal_effect",M560="percent_of_mean"),O560*AN560/BF560/10)</f>
        <v>2.6081055607917055E-3</v>
      </c>
      <c r="AH560" s="49">
        <f t="shared" si="213"/>
        <v>1</v>
      </c>
      <c r="AI560" s="93">
        <f t="shared" si="227"/>
        <v>5.1075400565504239E-3</v>
      </c>
      <c r="AJ560" s="71">
        <v>0</v>
      </c>
      <c r="AK560" s="71">
        <f t="shared" si="224"/>
        <v>1</v>
      </c>
      <c r="AL560" s="71" t="s">
        <v>82</v>
      </c>
      <c r="AM560" s="71" t="s">
        <v>1333</v>
      </c>
      <c r="AN560" s="71">
        <v>11.53</v>
      </c>
      <c r="AO560" s="71">
        <v>0</v>
      </c>
      <c r="AP560" s="71">
        <f t="shared" si="225"/>
        <v>11.53</v>
      </c>
      <c r="AQ560" s="71">
        <v>6.97</v>
      </c>
      <c r="AR560" s="71" t="s">
        <v>312</v>
      </c>
      <c r="AS560" s="71">
        <v>75.86</v>
      </c>
      <c r="AT560" s="71" t="s">
        <v>83</v>
      </c>
      <c r="AU560" s="71" t="s">
        <v>109</v>
      </c>
      <c r="AV560" s="71" t="s">
        <v>133</v>
      </c>
      <c r="AW560" s="71" t="s">
        <v>85</v>
      </c>
      <c r="AX560" s="71" t="s">
        <v>86</v>
      </c>
      <c r="AY560" s="71">
        <v>-2</v>
      </c>
      <c r="AZ560" s="71">
        <v>-2</v>
      </c>
      <c r="BA560" s="71" t="s">
        <v>391</v>
      </c>
      <c r="BB560" s="71" t="s">
        <v>88</v>
      </c>
      <c r="BC560" s="71" t="s">
        <v>113</v>
      </c>
      <c r="BD560" s="71" t="s">
        <v>114</v>
      </c>
      <c r="BE560" s="71" t="s">
        <v>1299</v>
      </c>
      <c r="BF560" s="71">
        <v>21.22</v>
      </c>
      <c r="BG560" s="71">
        <v>0</v>
      </c>
      <c r="BH560" s="71">
        <v>9.0399999999999991</v>
      </c>
      <c r="BI560" s="71" t="s">
        <v>312</v>
      </c>
      <c r="BJ560" s="71" t="s">
        <v>312</v>
      </c>
      <c r="BK560" s="71" t="s">
        <v>91</v>
      </c>
      <c r="BL560" s="71" t="s">
        <v>1298</v>
      </c>
      <c r="BM560" s="71">
        <v>1</v>
      </c>
      <c r="BN560" s="71" t="s">
        <v>428</v>
      </c>
      <c r="BO560" s="71" t="s">
        <v>1297</v>
      </c>
      <c r="BP560" s="71" t="s">
        <v>1296</v>
      </c>
      <c r="BQ560" s="71" t="s">
        <v>92</v>
      </c>
      <c r="BR560" s="71" t="s">
        <v>93</v>
      </c>
      <c r="BS560" s="71" t="s">
        <v>312</v>
      </c>
      <c r="BT560" s="71" t="s">
        <v>312</v>
      </c>
      <c r="BU560" s="73">
        <v>36526</v>
      </c>
      <c r="BV560" s="73">
        <v>41944</v>
      </c>
      <c r="BW560" s="71" t="s">
        <v>94</v>
      </c>
      <c r="BX560" s="71" t="s">
        <v>1295</v>
      </c>
      <c r="BY560" s="71" t="s">
        <v>96</v>
      </c>
      <c r="BZ560" s="71">
        <v>0</v>
      </c>
      <c r="CA560" s="71">
        <v>0</v>
      </c>
      <c r="CB560" s="71" t="s">
        <v>97</v>
      </c>
      <c r="CC560" s="71" t="s">
        <v>313</v>
      </c>
      <c r="CD560" s="71">
        <v>1</v>
      </c>
      <c r="CE560" s="71" t="s">
        <v>1294</v>
      </c>
      <c r="CF560" s="71">
        <v>1</v>
      </c>
      <c r="CG560" s="71" t="s">
        <v>597</v>
      </c>
      <c r="CH560" s="71" t="s">
        <v>312</v>
      </c>
      <c r="CI560" s="71" t="s">
        <v>1293</v>
      </c>
      <c r="CJ560" s="71" t="s">
        <v>98</v>
      </c>
      <c r="CK560" s="71">
        <v>26</v>
      </c>
      <c r="CL560" s="71">
        <v>0</v>
      </c>
      <c r="CM560" s="71">
        <v>0</v>
      </c>
      <c r="CN560" s="72" t="s">
        <v>99</v>
      </c>
      <c r="CO560" s="71" t="s">
        <v>97</v>
      </c>
      <c r="CP560" s="71" t="s">
        <v>100</v>
      </c>
      <c r="CQ560" s="71" t="s">
        <v>126</v>
      </c>
      <c r="CR560" s="72">
        <v>46227</v>
      </c>
      <c r="CT560" s="71" t="s">
        <v>1205</v>
      </c>
    </row>
    <row r="561" spans="1:98" s="68" customFormat="1" x14ac:dyDescent="0.35">
      <c r="A561" s="70" t="s">
        <v>1273</v>
      </c>
      <c r="B561" s="70" t="s">
        <v>1292</v>
      </c>
      <c r="C561" s="68" t="s">
        <v>1271</v>
      </c>
      <c r="D561" s="68">
        <v>2020</v>
      </c>
      <c r="E561" s="70" t="s">
        <v>1270</v>
      </c>
      <c r="F561" s="70" t="s">
        <v>1269</v>
      </c>
      <c r="G561" s="68" t="s">
        <v>78</v>
      </c>
      <c r="H561" s="68">
        <v>1</v>
      </c>
      <c r="I561" s="68" t="s">
        <v>290</v>
      </c>
      <c r="J561" s="68" t="s">
        <v>128</v>
      </c>
      <c r="K561" s="68">
        <v>86</v>
      </c>
      <c r="L561" s="68" t="s">
        <v>80</v>
      </c>
      <c r="M561" s="68" t="s">
        <v>380</v>
      </c>
      <c r="N561" s="68">
        <v>0.26</v>
      </c>
      <c r="O561" s="68">
        <v>4.0000000000000001E-3</v>
      </c>
      <c r="P561" s="94">
        <f t="shared" si="214"/>
        <v>65</v>
      </c>
      <c r="Q561" s="68" t="s">
        <v>312</v>
      </c>
      <c r="R561" s="94">
        <f t="shared" si="215"/>
        <v>0.25216</v>
      </c>
      <c r="S561" s="94">
        <f t="shared" si="216"/>
        <v>0.26784000000000002</v>
      </c>
      <c r="T561" s="68">
        <v>1</v>
      </c>
      <c r="U561" s="68">
        <v>2358565</v>
      </c>
      <c r="V561" s="68" t="s">
        <v>312</v>
      </c>
      <c r="W561" s="68" t="s">
        <v>312</v>
      </c>
      <c r="X561" s="68">
        <f t="shared" ref="X561:X578" si="228">U561</f>
        <v>2358565</v>
      </c>
      <c r="Y561" s="94">
        <f t="shared" si="218"/>
        <v>4.2286407884492956E-2</v>
      </c>
      <c r="Z561" s="94">
        <f t="shared" si="219"/>
        <v>6.5056012129989169E-4</v>
      </c>
      <c r="AA561" s="94">
        <f t="shared" si="226"/>
        <v>-4.2286407884492956E-2</v>
      </c>
      <c r="AB561" s="68" t="s">
        <v>81</v>
      </c>
      <c r="AC561" s="94">
        <f t="shared" ref="AC561:AC582" si="229">N561</f>
        <v>0.26</v>
      </c>
      <c r="AD561" s="94" cm="1">
        <f t="array" ref="AD561">_xlfn.IFS(
AND(L561="marginal_effect",M561="level"),N561*AN561/BF561,
AND(L561="marginal_effect",M561="sd (Y)"),N561*BH561*AN561/BF561,
AND(L561="marginal_effect",M561="sd (X)"),N561/AQ561*AN561/BF561,
AND(L561="semi_elasticity",M561="level"),N561*AN561,
AND(L561="semi_elasticity",M561="sd (Y)"),N561*AN561*BH561,
AND(L561="semi_elasticity",M561="sd (X)"),N561*AN561/AQ561,
AND(L561="level-log",M561="level"),N561/BF561,
AND(L561="level-log",M561="sd (X)"),N561/BF561/AQ561,
AND(L561="level-log",M561="sd (Y)"),N561/BF561*BH561,
AND(L561="elasticity",M561="level"),N561,
AND(L561="elasticity",M561="sd (X)"),N561/AQ561,
AND(L561="elasticity",M561="sd (Y)"),N561*BH561,
AND(L561="marginal_effect",M561="percent_of_mean"),N561*AN561/BF561/10)</f>
        <v>0.26</v>
      </c>
      <c r="AE561" s="100">
        <f t="shared" si="212"/>
        <v>1</v>
      </c>
      <c r="AF561" s="94">
        <f t="shared" ref="AF561:AF582" si="230">O561</f>
        <v>4.0000000000000001E-3</v>
      </c>
      <c r="AG561" s="94" cm="1">
        <f t="array" ref="AG561">_xlfn.IFS(
AND(L561="marginal_effect",M561="level"),O561*AN561/BF561,
AND(L561="marginal_effect",M561="sd (Y)"),O561*BH561*AN561/BF561,
AND(L561="marginal_effect",M561="sd (X)"),O561/AQ561*AN561/BF561,
AND(L561="semi_elasticity",M561="level"),O561*AN561,
AND(L561="semi_elasticity",M561="sd (Y)"),O561*AN561*BH561,
AND(L561="semi_elasticity",M561="sd (X)"),O561*AN561/AQ561,
AND(L561="level-log",M561="level"),O561/BF561,
AND(L561="level-log",M561="sd (X)"),O561/BF561/AQ561,
AND(L561="level-log",M561="sd (Y)"),O561/BF561*BH561,
AND(L561="elasticity",M561="level"),O561,
AND(L561="elasticity",M561="sd (X)"),O561/AQ561,
AND(L561="elasticity",M561="sd (Y)"),O561*BH561,
AND(L561="marginal_effect",M561="percent_of_mean"),O561*AN561/BF561/10)</f>
        <v>4.0000000000000001E-3</v>
      </c>
      <c r="AH561" s="100">
        <f t="shared" si="213"/>
        <v>1</v>
      </c>
      <c r="AI561" s="94">
        <f t="shared" si="227"/>
        <v>-0.26</v>
      </c>
      <c r="AJ561" s="68">
        <v>0</v>
      </c>
      <c r="AK561" s="68">
        <f t="shared" si="224"/>
        <v>1</v>
      </c>
      <c r="AL561" s="68" t="s">
        <v>82</v>
      </c>
      <c r="AM561" s="68" t="s">
        <v>1333</v>
      </c>
      <c r="AN561" s="68">
        <v>52.42</v>
      </c>
      <c r="AO561" s="68">
        <v>0</v>
      </c>
      <c r="AP561" s="68">
        <f t="shared" si="225"/>
        <v>52.42</v>
      </c>
      <c r="AQ561" s="68">
        <v>29.26</v>
      </c>
      <c r="AR561" s="68" t="s">
        <v>312</v>
      </c>
      <c r="AS561" s="68" t="s">
        <v>312</v>
      </c>
      <c r="AT561" s="68" t="s">
        <v>83</v>
      </c>
      <c r="AU561" s="68" t="s">
        <v>109</v>
      </c>
      <c r="AV561" s="68" t="s">
        <v>133</v>
      </c>
      <c r="AW561" s="68" t="s">
        <v>85</v>
      </c>
      <c r="AX561" s="68" t="s">
        <v>86</v>
      </c>
      <c r="AY561" s="68">
        <v>0</v>
      </c>
      <c r="AZ561" s="68">
        <v>0</v>
      </c>
      <c r="BA561" s="68" t="s">
        <v>111</v>
      </c>
      <c r="BB561" s="68" t="s">
        <v>88</v>
      </c>
      <c r="BC561" s="68" t="s">
        <v>113</v>
      </c>
      <c r="BD561" s="68" t="s">
        <v>114</v>
      </c>
      <c r="BE561" s="68" t="s">
        <v>1268</v>
      </c>
      <c r="BF561" s="68">
        <v>37.01</v>
      </c>
      <c r="BG561" s="68">
        <v>0</v>
      </c>
      <c r="BH561" s="68">
        <v>43.88</v>
      </c>
      <c r="BI561" s="68" t="s">
        <v>312</v>
      </c>
      <c r="BJ561" s="68" t="s">
        <v>312</v>
      </c>
      <c r="BK561" s="68" t="s">
        <v>91</v>
      </c>
      <c r="BL561" s="68" t="s">
        <v>84</v>
      </c>
      <c r="BM561" s="68">
        <v>1</v>
      </c>
      <c r="BN561" s="68" t="s">
        <v>428</v>
      </c>
      <c r="BO561" s="68" t="s">
        <v>1066</v>
      </c>
      <c r="BP561" s="68" t="s">
        <v>1067</v>
      </c>
      <c r="BQ561" s="68" t="s">
        <v>117</v>
      </c>
      <c r="BR561" s="68" t="s">
        <v>93</v>
      </c>
      <c r="BS561" s="68" t="s">
        <v>312</v>
      </c>
      <c r="BT561" s="68" t="s">
        <v>312</v>
      </c>
      <c r="BU561" s="68">
        <v>2014</v>
      </c>
      <c r="BV561" s="68">
        <v>2017</v>
      </c>
      <c r="BW561" s="68" t="s">
        <v>1267</v>
      </c>
      <c r="BX561" s="68" t="s">
        <v>95</v>
      </c>
      <c r="BY561" s="68" t="s">
        <v>96</v>
      </c>
      <c r="BZ561" s="68">
        <v>0</v>
      </c>
      <c r="CA561" s="68">
        <v>0</v>
      </c>
      <c r="CB561" s="68" t="s">
        <v>97</v>
      </c>
      <c r="CC561" s="68" t="s">
        <v>1266</v>
      </c>
      <c r="CD561" s="68">
        <v>1</v>
      </c>
      <c r="CE561" s="68" t="s">
        <v>1265</v>
      </c>
      <c r="CF561" s="68">
        <v>0</v>
      </c>
      <c r="CG561" s="68" t="s">
        <v>97</v>
      </c>
      <c r="CH561" s="68">
        <v>1</v>
      </c>
      <c r="CI561" s="68" t="s">
        <v>509</v>
      </c>
      <c r="CJ561" s="68" t="s">
        <v>98</v>
      </c>
      <c r="CK561" s="68">
        <v>18</v>
      </c>
      <c r="CL561" s="68">
        <v>0</v>
      </c>
      <c r="CM561" s="68">
        <v>0</v>
      </c>
      <c r="CN561" s="68" t="s">
        <v>99</v>
      </c>
      <c r="CO561" s="68" t="s">
        <v>97</v>
      </c>
      <c r="CP561" s="68" t="s">
        <v>100</v>
      </c>
      <c r="CQ561" s="68" t="s">
        <v>126</v>
      </c>
      <c r="CR561" s="69">
        <v>46227</v>
      </c>
      <c r="CT561" s="68" t="s">
        <v>437</v>
      </c>
    </row>
    <row r="562" spans="1:98" s="68" customFormat="1" x14ac:dyDescent="0.35">
      <c r="A562" s="70" t="s">
        <v>1273</v>
      </c>
      <c r="B562" s="70" t="s">
        <v>1291</v>
      </c>
      <c r="C562" s="68" t="s">
        <v>1271</v>
      </c>
      <c r="D562" s="68">
        <v>2020</v>
      </c>
      <c r="E562" s="70" t="s">
        <v>1270</v>
      </c>
      <c r="F562" s="70" t="s">
        <v>1269</v>
      </c>
      <c r="G562" s="68" t="s">
        <v>78</v>
      </c>
      <c r="H562" s="68">
        <v>1</v>
      </c>
      <c r="I562" s="68" t="s">
        <v>290</v>
      </c>
      <c r="J562" s="68" t="s">
        <v>128</v>
      </c>
      <c r="K562" s="68">
        <v>86</v>
      </c>
      <c r="L562" s="68" t="s">
        <v>80</v>
      </c>
      <c r="M562" s="68" t="s">
        <v>380</v>
      </c>
      <c r="N562" s="68">
        <v>0.16600000000000001</v>
      </c>
      <c r="O562" s="68">
        <v>3.0000000000000001E-3</v>
      </c>
      <c r="P562" s="94">
        <f t="shared" si="214"/>
        <v>55.333333333333336</v>
      </c>
      <c r="Q562" s="68" t="s">
        <v>312</v>
      </c>
      <c r="R562" s="94">
        <f t="shared" si="215"/>
        <v>0.16012000000000001</v>
      </c>
      <c r="S562" s="94">
        <f t="shared" si="216"/>
        <v>0.17188000000000001</v>
      </c>
      <c r="T562" s="68">
        <v>1</v>
      </c>
      <c r="U562" s="68">
        <v>2358565</v>
      </c>
      <c r="V562" s="68" t="s">
        <v>312</v>
      </c>
      <c r="W562" s="68" t="s">
        <v>312</v>
      </c>
      <c r="X562" s="68">
        <f t="shared" si="228"/>
        <v>2358565</v>
      </c>
      <c r="Y562" s="94">
        <f t="shared" si="218"/>
        <v>3.6006524300102337E-2</v>
      </c>
      <c r="Z562" s="94">
        <f t="shared" si="219"/>
        <v>6.5072031867654818E-4</v>
      </c>
      <c r="AA562" s="94">
        <f t="shared" si="226"/>
        <v>-3.6006524300102337E-2</v>
      </c>
      <c r="AB562" s="68" t="s">
        <v>81</v>
      </c>
      <c r="AC562" s="94">
        <f t="shared" si="229"/>
        <v>0.16600000000000001</v>
      </c>
      <c r="AD562" s="94" cm="1">
        <f t="array" ref="AD562">_xlfn.IFS(
AND(L562="marginal_effect",M562="level"),N562*AN562/BF562,
AND(L562="marginal_effect",M562="sd (Y)"),N562*BH562*AN562/BF562,
AND(L562="marginal_effect",M562="sd (X)"),N562/AQ562*AN562/BF562,
AND(L562="semi_elasticity",M562="level"),N562*AN562,
AND(L562="semi_elasticity",M562="sd (Y)"),N562*AN562*BH562,
AND(L562="semi_elasticity",M562="sd (X)"),N562*AN562/AQ562,
AND(L562="level-log",M562="level"),N562/BF562,
AND(L562="level-log",M562="sd (X)"),N562/BF562/AQ562,
AND(L562="level-log",M562="sd (Y)"),N562/BF562*BH562,
AND(L562="elasticity",M562="level"),N562,
AND(L562="elasticity",M562="sd (X)"),N562/AQ562,
AND(L562="elasticity",M562="sd (Y)"),N562*BH562,
AND(L562="marginal_effect",M562="percent_of_mean"),N562*AN562/BF562/10)</f>
        <v>0.16600000000000001</v>
      </c>
      <c r="AE562" s="100">
        <f t="shared" si="212"/>
        <v>1</v>
      </c>
      <c r="AF562" s="94">
        <f t="shared" si="230"/>
        <v>3.0000000000000001E-3</v>
      </c>
      <c r="AG562" s="94" cm="1">
        <f t="array" ref="AG562">_xlfn.IFS(
AND(L562="marginal_effect",M562="level"),O562*AN562/BF562,
AND(L562="marginal_effect",M562="sd (Y)"),O562*BH562*AN562/BF562,
AND(L562="marginal_effect",M562="sd (X)"),O562/AQ562*AN562/BF562,
AND(L562="semi_elasticity",M562="level"),O562*AN562,
AND(L562="semi_elasticity",M562="sd (Y)"),O562*AN562*BH562,
AND(L562="semi_elasticity",M562="sd (X)"),O562*AN562/AQ562,
AND(L562="level-log",M562="level"),O562/BF562,
AND(L562="level-log",M562="sd (X)"),O562/BF562/AQ562,
AND(L562="level-log",M562="sd (Y)"),O562/BF562*BH562,
AND(L562="elasticity",M562="level"),O562,
AND(L562="elasticity",M562="sd (X)"),O562/AQ562,
AND(L562="elasticity",M562="sd (Y)"),O562*BH562,
AND(L562="marginal_effect",M562="percent_of_mean"),O562*AN562/BF562/10)</f>
        <v>3.0000000000000001E-3</v>
      </c>
      <c r="AH562" s="100">
        <f t="shared" si="213"/>
        <v>1</v>
      </c>
      <c r="AI562" s="94">
        <f t="shared" si="227"/>
        <v>-0.16600000000000001</v>
      </c>
      <c r="AJ562" s="68">
        <v>0</v>
      </c>
      <c r="AK562" s="68">
        <f t="shared" si="224"/>
        <v>1</v>
      </c>
      <c r="AL562" s="68" t="s">
        <v>82</v>
      </c>
      <c r="AM562" s="68" t="s">
        <v>1333</v>
      </c>
      <c r="AN562" s="68">
        <v>52.42</v>
      </c>
      <c r="AO562" s="68">
        <v>0</v>
      </c>
      <c r="AP562" s="68">
        <f t="shared" si="225"/>
        <v>52.42</v>
      </c>
      <c r="AQ562" s="68">
        <v>29.26</v>
      </c>
      <c r="AR562" s="68" t="s">
        <v>312</v>
      </c>
      <c r="AS562" s="68" t="s">
        <v>312</v>
      </c>
      <c r="AT562" s="68" t="s">
        <v>83</v>
      </c>
      <c r="AU562" s="68" t="s">
        <v>109</v>
      </c>
      <c r="AV562" s="68" t="s">
        <v>133</v>
      </c>
      <c r="AW562" s="68" t="s">
        <v>85</v>
      </c>
      <c r="AX562" s="68" t="s">
        <v>86</v>
      </c>
      <c r="AY562" s="68">
        <v>0</v>
      </c>
      <c r="AZ562" s="68">
        <v>0</v>
      </c>
      <c r="BA562" s="68" t="s">
        <v>111</v>
      </c>
      <c r="BB562" s="68" t="s">
        <v>88</v>
      </c>
      <c r="BC562" s="68" t="s">
        <v>113</v>
      </c>
      <c r="BD562" s="68" t="s">
        <v>114</v>
      </c>
      <c r="BE562" s="68" t="s">
        <v>1268</v>
      </c>
      <c r="BF562" s="68">
        <v>37.01</v>
      </c>
      <c r="BG562" s="68">
        <v>0</v>
      </c>
      <c r="BH562" s="68">
        <v>43.88</v>
      </c>
      <c r="BI562" s="68" t="s">
        <v>312</v>
      </c>
      <c r="BJ562" s="68" t="s">
        <v>312</v>
      </c>
      <c r="BK562" s="68" t="s">
        <v>91</v>
      </c>
      <c r="BL562" s="68" t="s">
        <v>84</v>
      </c>
      <c r="BM562" s="68">
        <v>1</v>
      </c>
      <c r="BN562" s="68" t="s">
        <v>428</v>
      </c>
      <c r="BO562" s="68" t="s">
        <v>1066</v>
      </c>
      <c r="BP562" s="68" t="s">
        <v>1067</v>
      </c>
      <c r="BQ562" s="68" t="s">
        <v>117</v>
      </c>
      <c r="BR562" s="68" t="s">
        <v>93</v>
      </c>
      <c r="BS562" s="68" t="s">
        <v>312</v>
      </c>
      <c r="BT562" s="68" t="s">
        <v>312</v>
      </c>
      <c r="BU562" s="68">
        <v>2014</v>
      </c>
      <c r="BV562" s="68">
        <v>2017</v>
      </c>
      <c r="BW562" s="68" t="s">
        <v>1267</v>
      </c>
      <c r="BX562" s="68" t="s">
        <v>95</v>
      </c>
      <c r="BY562" s="68" t="s">
        <v>96</v>
      </c>
      <c r="BZ562" s="68">
        <v>0</v>
      </c>
      <c r="CA562" s="68">
        <v>0</v>
      </c>
      <c r="CB562" s="68" t="s">
        <v>97</v>
      </c>
      <c r="CC562" s="68" t="s">
        <v>1266</v>
      </c>
      <c r="CD562" s="68">
        <v>1</v>
      </c>
      <c r="CE562" s="68" t="s">
        <v>1265</v>
      </c>
      <c r="CF562" s="68">
        <v>0</v>
      </c>
      <c r="CG562" s="68" t="s">
        <v>97</v>
      </c>
      <c r="CH562" s="68">
        <v>1</v>
      </c>
      <c r="CI562" s="68" t="s">
        <v>509</v>
      </c>
      <c r="CJ562" s="68" t="s">
        <v>98</v>
      </c>
      <c r="CK562" s="68">
        <v>18</v>
      </c>
      <c r="CL562" s="68">
        <v>0</v>
      </c>
      <c r="CM562" s="68">
        <v>0</v>
      </c>
      <c r="CN562" s="68" t="s">
        <v>99</v>
      </c>
      <c r="CO562" s="68" t="s">
        <v>97</v>
      </c>
      <c r="CP562" s="68" t="s">
        <v>100</v>
      </c>
      <c r="CQ562" s="68" t="s">
        <v>126</v>
      </c>
      <c r="CR562" s="69">
        <v>46227</v>
      </c>
      <c r="CT562" s="68" t="s">
        <v>438</v>
      </c>
    </row>
    <row r="563" spans="1:98" s="68" customFormat="1" x14ac:dyDescent="0.35">
      <c r="A563" s="70" t="s">
        <v>1273</v>
      </c>
      <c r="B563" s="70" t="s">
        <v>1290</v>
      </c>
      <c r="C563" s="68" t="s">
        <v>1271</v>
      </c>
      <c r="D563" s="68">
        <v>2020</v>
      </c>
      <c r="E563" s="70" t="s">
        <v>1270</v>
      </c>
      <c r="F563" s="70" t="s">
        <v>1269</v>
      </c>
      <c r="G563" s="68" t="s">
        <v>78</v>
      </c>
      <c r="H563" s="68">
        <v>1</v>
      </c>
      <c r="I563" s="68" t="s">
        <v>290</v>
      </c>
      <c r="J563" s="68" t="s">
        <v>128</v>
      </c>
      <c r="K563" s="68">
        <v>86</v>
      </c>
      <c r="L563" s="68" t="s">
        <v>80</v>
      </c>
      <c r="M563" s="68" t="s">
        <v>380</v>
      </c>
      <c r="N563" s="68">
        <v>0.182</v>
      </c>
      <c r="O563" s="68">
        <v>3.0000000000000001E-3</v>
      </c>
      <c r="P563" s="94">
        <f t="shared" si="214"/>
        <v>60.666666666666664</v>
      </c>
      <c r="Q563" s="68" t="s">
        <v>312</v>
      </c>
      <c r="R563" s="94">
        <f t="shared" si="215"/>
        <v>0.17612</v>
      </c>
      <c r="S563" s="94">
        <f t="shared" si="216"/>
        <v>0.18787999999999999</v>
      </c>
      <c r="T563" s="68">
        <v>1</v>
      </c>
      <c r="U563" s="68">
        <v>2358565</v>
      </c>
      <c r="V563" s="68" t="s">
        <v>312</v>
      </c>
      <c r="W563" s="68" t="s">
        <v>312</v>
      </c>
      <c r="X563" s="68">
        <f t="shared" si="228"/>
        <v>2358565</v>
      </c>
      <c r="Y563" s="94">
        <f t="shared" si="218"/>
        <v>3.947186285568579E-2</v>
      </c>
      <c r="Z563" s="94">
        <f t="shared" si="219"/>
        <v>6.5063510201679876E-4</v>
      </c>
      <c r="AA563" s="94">
        <f t="shared" si="226"/>
        <v>-3.947186285568579E-2</v>
      </c>
      <c r="AB563" s="68" t="s">
        <v>81</v>
      </c>
      <c r="AC563" s="94">
        <f t="shared" si="229"/>
        <v>0.182</v>
      </c>
      <c r="AD563" s="94" cm="1">
        <f t="array" ref="AD563">_xlfn.IFS(
AND(L563="marginal_effect",M563="level"),N563*AN563/BF563,
AND(L563="marginal_effect",M563="sd (Y)"),N563*BH563*AN563/BF563,
AND(L563="marginal_effect",M563="sd (X)"),N563/AQ563*AN563/BF563,
AND(L563="semi_elasticity",M563="level"),N563*AN563,
AND(L563="semi_elasticity",M563="sd (Y)"),N563*AN563*BH563,
AND(L563="semi_elasticity",M563="sd (X)"),N563*AN563/AQ563,
AND(L563="level-log",M563="level"),N563/BF563,
AND(L563="level-log",M563="sd (X)"),N563/BF563/AQ563,
AND(L563="level-log",M563="sd (Y)"),N563/BF563*BH563,
AND(L563="elasticity",M563="level"),N563,
AND(L563="elasticity",M563="sd (X)"),N563/AQ563,
AND(L563="elasticity",M563="sd (Y)"),N563*BH563,
AND(L563="marginal_effect",M563="percent_of_mean"),N563*AN563/BF563/10)</f>
        <v>0.182</v>
      </c>
      <c r="AE563" s="100">
        <f t="shared" si="212"/>
        <v>1</v>
      </c>
      <c r="AF563" s="94">
        <f t="shared" si="230"/>
        <v>3.0000000000000001E-3</v>
      </c>
      <c r="AG563" s="94" cm="1">
        <f t="array" ref="AG563">_xlfn.IFS(
AND(L563="marginal_effect",M563="level"),O563*AN563/BF563,
AND(L563="marginal_effect",M563="sd (Y)"),O563*BH563*AN563/BF563,
AND(L563="marginal_effect",M563="sd (X)"),O563/AQ563*AN563/BF563,
AND(L563="semi_elasticity",M563="level"),O563*AN563,
AND(L563="semi_elasticity",M563="sd (Y)"),O563*AN563*BH563,
AND(L563="semi_elasticity",M563="sd (X)"),O563*AN563/AQ563,
AND(L563="level-log",M563="level"),O563/BF563,
AND(L563="level-log",M563="sd (X)"),O563/BF563/AQ563,
AND(L563="level-log",M563="sd (Y)"),O563/BF563*BH563,
AND(L563="elasticity",M563="level"),O563,
AND(L563="elasticity",M563="sd (X)"),O563/AQ563,
AND(L563="elasticity",M563="sd (Y)"),O563*BH563,
AND(L563="marginal_effect",M563="percent_of_mean"),O563*AN563/BF563/10)</f>
        <v>3.0000000000000001E-3</v>
      </c>
      <c r="AH563" s="100">
        <f t="shared" si="213"/>
        <v>1</v>
      </c>
      <c r="AI563" s="94">
        <f t="shared" si="227"/>
        <v>-0.182</v>
      </c>
      <c r="AJ563" s="68">
        <v>0</v>
      </c>
      <c r="AK563" s="68">
        <f t="shared" si="224"/>
        <v>1</v>
      </c>
      <c r="AL563" s="68" t="s">
        <v>82</v>
      </c>
      <c r="AM563" s="68" t="s">
        <v>1333</v>
      </c>
      <c r="AN563" s="68">
        <v>52.42</v>
      </c>
      <c r="AO563" s="68">
        <v>0</v>
      </c>
      <c r="AP563" s="68">
        <f t="shared" si="225"/>
        <v>52.42</v>
      </c>
      <c r="AQ563" s="68">
        <v>29.26</v>
      </c>
      <c r="AR563" s="68" t="s">
        <v>312</v>
      </c>
      <c r="AS563" s="68" t="s">
        <v>312</v>
      </c>
      <c r="AT563" s="68" t="s">
        <v>83</v>
      </c>
      <c r="AU563" s="68" t="s">
        <v>109</v>
      </c>
      <c r="AV563" s="68" t="s">
        <v>133</v>
      </c>
      <c r="AW563" s="68" t="s">
        <v>85</v>
      </c>
      <c r="AX563" s="68" t="s">
        <v>86</v>
      </c>
      <c r="AY563" s="68">
        <v>0</v>
      </c>
      <c r="AZ563" s="68">
        <v>0</v>
      </c>
      <c r="BA563" s="68" t="s">
        <v>111</v>
      </c>
      <c r="BB563" s="68" t="s">
        <v>88</v>
      </c>
      <c r="BC563" s="68" t="s">
        <v>113</v>
      </c>
      <c r="BD563" s="68" t="s">
        <v>114</v>
      </c>
      <c r="BE563" s="68" t="s">
        <v>1268</v>
      </c>
      <c r="BF563" s="68">
        <v>37.01</v>
      </c>
      <c r="BG563" s="68">
        <v>0</v>
      </c>
      <c r="BH563" s="68">
        <v>43.88</v>
      </c>
      <c r="BI563" s="68" t="s">
        <v>312</v>
      </c>
      <c r="BJ563" s="68" t="s">
        <v>312</v>
      </c>
      <c r="BK563" s="68" t="s">
        <v>91</v>
      </c>
      <c r="BL563" s="68" t="s">
        <v>84</v>
      </c>
      <c r="BM563" s="68">
        <v>1</v>
      </c>
      <c r="BN563" s="68" t="s">
        <v>428</v>
      </c>
      <c r="BO563" s="68" t="s">
        <v>1066</v>
      </c>
      <c r="BP563" s="68" t="s">
        <v>1067</v>
      </c>
      <c r="BQ563" s="68" t="s">
        <v>117</v>
      </c>
      <c r="BR563" s="68" t="s">
        <v>93</v>
      </c>
      <c r="BS563" s="68" t="s">
        <v>312</v>
      </c>
      <c r="BT563" s="68" t="s">
        <v>312</v>
      </c>
      <c r="BU563" s="68">
        <v>2014</v>
      </c>
      <c r="BV563" s="68">
        <v>2017</v>
      </c>
      <c r="BW563" s="68" t="s">
        <v>1267</v>
      </c>
      <c r="BX563" s="68" t="s">
        <v>95</v>
      </c>
      <c r="BY563" s="68" t="s">
        <v>96</v>
      </c>
      <c r="BZ563" s="68">
        <v>0</v>
      </c>
      <c r="CA563" s="68">
        <v>0</v>
      </c>
      <c r="CB563" s="68" t="s">
        <v>97</v>
      </c>
      <c r="CC563" s="68" t="s">
        <v>1266</v>
      </c>
      <c r="CD563" s="68">
        <v>1</v>
      </c>
      <c r="CE563" s="68" t="s">
        <v>1265</v>
      </c>
      <c r="CF563" s="68">
        <v>0</v>
      </c>
      <c r="CG563" s="68" t="s">
        <v>97</v>
      </c>
      <c r="CH563" s="68">
        <v>1</v>
      </c>
      <c r="CI563" s="68" t="s">
        <v>509</v>
      </c>
      <c r="CJ563" s="68" t="s">
        <v>98</v>
      </c>
      <c r="CK563" s="68">
        <v>18</v>
      </c>
      <c r="CL563" s="68">
        <v>1</v>
      </c>
      <c r="CM563" s="68">
        <v>1</v>
      </c>
      <c r="CN563" s="68" t="s">
        <v>99</v>
      </c>
      <c r="CO563" s="68" t="s">
        <v>97</v>
      </c>
      <c r="CP563" s="68" t="s">
        <v>100</v>
      </c>
      <c r="CQ563" s="68" t="s">
        <v>126</v>
      </c>
      <c r="CR563" s="69">
        <v>46227</v>
      </c>
      <c r="CT563" s="68" t="s">
        <v>439</v>
      </c>
    </row>
    <row r="564" spans="1:98" s="68" customFormat="1" x14ac:dyDescent="0.35">
      <c r="A564" s="70" t="s">
        <v>1273</v>
      </c>
      <c r="B564" s="70" t="s">
        <v>1289</v>
      </c>
      <c r="C564" s="68" t="s">
        <v>1271</v>
      </c>
      <c r="D564" s="68">
        <v>2020</v>
      </c>
      <c r="E564" s="70" t="s">
        <v>1270</v>
      </c>
      <c r="F564" s="70" t="s">
        <v>1269</v>
      </c>
      <c r="G564" s="68" t="s">
        <v>78</v>
      </c>
      <c r="H564" s="68">
        <v>1</v>
      </c>
      <c r="I564" s="68" t="s">
        <v>290</v>
      </c>
      <c r="J564" s="68" t="s">
        <v>128</v>
      </c>
      <c r="K564" s="68">
        <v>86</v>
      </c>
      <c r="L564" s="68" t="s">
        <v>80</v>
      </c>
      <c r="M564" s="68" t="s">
        <v>380</v>
      </c>
      <c r="N564" s="68">
        <v>0.19600000000000001</v>
      </c>
      <c r="O564" s="68">
        <v>5.0000000000000001E-3</v>
      </c>
      <c r="P564" s="94">
        <f t="shared" si="214"/>
        <v>39.200000000000003</v>
      </c>
      <c r="Q564" s="68" t="s">
        <v>312</v>
      </c>
      <c r="R564" s="94">
        <f t="shared" si="215"/>
        <v>0.1862</v>
      </c>
      <c r="S564" s="94">
        <f t="shared" si="216"/>
        <v>0.20580000000000001</v>
      </c>
      <c r="T564" s="68">
        <v>1</v>
      </c>
      <c r="U564" s="68">
        <v>2358565</v>
      </c>
      <c r="V564" s="68" t="s">
        <v>312</v>
      </c>
      <c r="W564" s="68" t="s">
        <v>312</v>
      </c>
      <c r="X564" s="68">
        <f t="shared" si="228"/>
        <v>2358565</v>
      </c>
      <c r="Y564" s="94">
        <f t="shared" si="218"/>
        <v>2.5516477088934723E-2</v>
      </c>
      <c r="Z564" s="94">
        <f t="shared" si="219"/>
        <v>6.5093053798302854E-4</v>
      </c>
      <c r="AA564" s="94">
        <f t="shared" si="226"/>
        <v>-2.5516477088934723E-2</v>
      </c>
      <c r="AB564" s="68" t="s">
        <v>81</v>
      </c>
      <c r="AC564" s="94">
        <f t="shared" si="229"/>
        <v>0.19600000000000001</v>
      </c>
      <c r="AD564" s="94" cm="1">
        <f t="array" ref="AD564">_xlfn.IFS(
AND(L564="marginal_effect",M564="level"),N564*AN564/BF564,
AND(L564="marginal_effect",M564="sd (Y)"),N564*BH564*AN564/BF564,
AND(L564="marginal_effect",M564="sd (X)"),N564/AQ564*AN564/BF564,
AND(L564="semi_elasticity",M564="level"),N564*AN564,
AND(L564="semi_elasticity",M564="sd (Y)"),N564*AN564*BH564,
AND(L564="semi_elasticity",M564="sd (X)"),N564*AN564/AQ564,
AND(L564="level-log",M564="level"),N564/BF564,
AND(L564="level-log",M564="sd (X)"),N564/BF564/AQ564,
AND(L564="level-log",M564="sd (Y)"),N564/BF564*BH564,
AND(L564="elasticity",M564="level"),N564,
AND(L564="elasticity",M564="sd (X)"),N564/AQ564,
AND(L564="elasticity",M564="sd (Y)"),N564*BH564,
AND(L564="marginal_effect",M564="percent_of_mean"),N564*AN564/BF564/10)</f>
        <v>0.19600000000000001</v>
      </c>
      <c r="AE564" s="100">
        <f t="shared" si="212"/>
        <v>1</v>
      </c>
      <c r="AF564" s="94">
        <f t="shared" si="230"/>
        <v>5.0000000000000001E-3</v>
      </c>
      <c r="AG564" s="94" cm="1">
        <f t="array" ref="AG564">_xlfn.IFS(
AND(L564="marginal_effect",M564="level"),O564*AN564/BF564,
AND(L564="marginal_effect",M564="sd (Y)"),O564*BH564*AN564/BF564,
AND(L564="marginal_effect",M564="sd (X)"),O564/AQ564*AN564/BF564,
AND(L564="semi_elasticity",M564="level"),O564*AN564,
AND(L564="semi_elasticity",M564="sd (Y)"),O564*AN564*BH564,
AND(L564="semi_elasticity",M564="sd (X)"),O564*AN564/AQ564,
AND(L564="level-log",M564="level"),O564/BF564,
AND(L564="level-log",M564="sd (X)"),O564/BF564/AQ564,
AND(L564="level-log",M564="sd (Y)"),O564/BF564*BH564,
AND(L564="elasticity",M564="level"),O564,
AND(L564="elasticity",M564="sd (X)"),O564/AQ564,
AND(L564="elasticity",M564="sd (Y)"),O564*BH564,
AND(L564="marginal_effect",M564="percent_of_mean"),O564*AN564/BF564/10)</f>
        <v>5.0000000000000001E-3</v>
      </c>
      <c r="AH564" s="100">
        <f t="shared" si="213"/>
        <v>1</v>
      </c>
      <c r="AI564" s="94">
        <f t="shared" si="227"/>
        <v>-0.19600000000000001</v>
      </c>
      <c r="AJ564" s="68">
        <v>0</v>
      </c>
      <c r="AK564" s="68">
        <f t="shared" si="224"/>
        <v>1</v>
      </c>
      <c r="AL564" s="68" t="s">
        <v>82</v>
      </c>
      <c r="AM564" s="68" t="s">
        <v>1333</v>
      </c>
      <c r="AN564" s="68">
        <v>52.42</v>
      </c>
      <c r="AO564" s="68">
        <v>0</v>
      </c>
      <c r="AP564" s="68">
        <f t="shared" si="225"/>
        <v>52.42</v>
      </c>
      <c r="AQ564" s="68">
        <v>29.26</v>
      </c>
      <c r="AR564" s="68" t="s">
        <v>312</v>
      </c>
      <c r="AS564" s="68" t="s">
        <v>312</v>
      </c>
      <c r="AT564" s="68" t="s">
        <v>83</v>
      </c>
      <c r="AU564" s="68" t="s">
        <v>109</v>
      </c>
      <c r="AV564" s="68" t="s">
        <v>133</v>
      </c>
      <c r="AW564" s="68" t="s">
        <v>85</v>
      </c>
      <c r="AX564" s="68" t="s">
        <v>86</v>
      </c>
      <c r="AY564" s="68">
        <v>0</v>
      </c>
      <c r="AZ564" s="68">
        <v>0</v>
      </c>
      <c r="BA564" s="68" t="s">
        <v>111</v>
      </c>
      <c r="BB564" s="68" t="s">
        <v>88</v>
      </c>
      <c r="BC564" s="68" t="s">
        <v>113</v>
      </c>
      <c r="BD564" s="68" t="s">
        <v>114</v>
      </c>
      <c r="BE564" s="68" t="s">
        <v>1268</v>
      </c>
      <c r="BF564" s="68">
        <v>37.01</v>
      </c>
      <c r="BG564" s="68">
        <v>0</v>
      </c>
      <c r="BH564" s="68">
        <v>43.88</v>
      </c>
      <c r="BI564" s="68" t="s">
        <v>312</v>
      </c>
      <c r="BJ564" s="68" t="s">
        <v>312</v>
      </c>
      <c r="BK564" s="68" t="s">
        <v>91</v>
      </c>
      <c r="BL564" s="68" t="s">
        <v>84</v>
      </c>
      <c r="BM564" s="68">
        <v>1</v>
      </c>
      <c r="BN564" s="68" t="s">
        <v>428</v>
      </c>
      <c r="BO564" s="68" t="s">
        <v>1066</v>
      </c>
      <c r="BP564" s="68" t="s">
        <v>1067</v>
      </c>
      <c r="BQ564" s="68" t="s">
        <v>117</v>
      </c>
      <c r="BR564" s="68" t="s">
        <v>93</v>
      </c>
      <c r="BS564" s="68" t="s">
        <v>312</v>
      </c>
      <c r="BT564" s="68" t="s">
        <v>312</v>
      </c>
      <c r="BU564" s="68">
        <v>2014</v>
      </c>
      <c r="BV564" s="68">
        <v>2017</v>
      </c>
      <c r="BW564" s="68" t="s">
        <v>1267</v>
      </c>
      <c r="BX564" s="68" t="s">
        <v>95</v>
      </c>
      <c r="BY564" s="68" t="s">
        <v>96</v>
      </c>
      <c r="BZ564" s="68">
        <v>0</v>
      </c>
      <c r="CA564" s="68">
        <v>0</v>
      </c>
      <c r="CB564" s="68" t="s">
        <v>97</v>
      </c>
      <c r="CC564" s="68" t="s">
        <v>1266</v>
      </c>
      <c r="CD564" s="68">
        <v>1</v>
      </c>
      <c r="CE564" s="68" t="s">
        <v>1265</v>
      </c>
      <c r="CF564" s="68">
        <v>0</v>
      </c>
      <c r="CG564" s="68" t="s">
        <v>97</v>
      </c>
      <c r="CH564" s="68">
        <v>1</v>
      </c>
      <c r="CI564" s="68" t="s">
        <v>509</v>
      </c>
      <c r="CJ564" s="68" t="s">
        <v>98</v>
      </c>
      <c r="CK564" s="68">
        <v>18</v>
      </c>
      <c r="CL564" s="68">
        <v>0</v>
      </c>
      <c r="CM564" s="68">
        <v>0</v>
      </c>
      <c r="CN564" s="68" t="s">
        <v>99</v>
      </c>
      <c r="CO564" s="68" t="s">
        <v>97</v>
      </c>
      <c r="CP564" s="68" t="s">
        <v>100</v>
      </c>
      <c r="CQ564" s="68" t="s">
        <v>126</v>
      </c>
      <c r="CR564" s="69">
        <v>46227</v>
      </c>
      <c r="CT564" s="68" t="s">
        <v>440</v>
      </c>
    </row>
    <row r="565" spans="1:98" s="68" customFormat="1" x14ac:dyDescent="0.35">
      <c r="A565" s="70" t="s">
        <v>1273</v>
      </c>
      <c r="B565" s="70" t="s">
        <v>1288</v>
      </c>
      <c r="C565" s="68" t="s">
        <v>1271</v>
      </c>
      <c r="D565" s="68">
        <v>2020</v>
      </c>
      <c r="E565" s="70" t="s">
        <v>1270</v>
      </c>
      <c r="F565" s="70" t="s">
        <v>1269</v>
      </c>
      <c r="G565" s="68" t="s">
        <v>78</v>
      </c>
      <c r="H565" s="68">
        <v>1</v>
      </c>
      <c r="I565" s="68" t="s">
        <v>290</v>
      </c>
      <c r="J565" s="68" t="s">
        <v>128</v>
      </c>
      <c r="K565" s="68">
        <v>86</v>
      </c>
      <c r="L565" s="68" t="s">
        <v>80</v>
      </c>
      <c r="M565" s="68" t="s">
        <v>380</v>
      </c>
      <c r="N565" s="68">
        <f>N564-0.017</f>
        <v>0.17899999999999999</v>
      </c>
      <c r="O565" s="68" t="s">
        <v>312</v>
      </c>
      <c r="P565" s="94" t="s">
        <v>312</v>
      </c>
      <c r="Q565" s="68" t="s">
        <v>312</v>
      </c>
      <c r="R565" s="94" t="s">
        <v>312</v>
      </c>
      <c r="S565" s="94" t="s">
        <v>312</v>
      </c>
      <c r="T565" s="68">
        <v>1</v>
      </c>
      <c r="U565" s="68">
        <v>293267</v>
      </c>
      <c r="V565" s="68" t="s">
        <v>312</v>
      </c>
      <c r="W565" s="68" t="s">
        <v>312</v>
      </c>
      <c r="X565" s="68">
        <f t="shared" si="228"/>
        <v>293267</v>
      </c>
      <c r="Y565" s="94" t="s">
        <v>312</v>
      </c>
      <c r="Z565" s="94" t="s">
        <v>312</v>
      </c>
      <c r="AA565" s="94" t="s">
        <v>312</v>
      </c>
      <c r="AB565" s="68" t="s">
        <v>312</v>
      </c>
      <c r="AC565" s="94">
        <f t="shared" si="229"/>
        <v>0.17899999999999999</v>
      </c>
      <c r="AD565" s="94" cm="1">
        <f t="array" ref="AD565">_xlfn.IFS(
AND(L565="marginal_effect",M565="level"),N565*AN565/BF565,
AND(L565="marginal_effect",M565="sd (Y)"),N565*BH565*AN565/BF565,
AND(L565="marginal_effect",M565="sd (X)"),N565/AQ565*AN565/BF565,
AND(L565="semi_elasticity",M565="level"),N565*AN565,
AND(L565="semi_elasticity",M565="sd (Y)"),N565*AN565*BH565,
AND(L565="semi_elasticity",M565="sd (X)"),N565*AN565/AQ565,
AND(L565="level-log",M565="level"),N565/BF565,
AND(L565="level-log",M565="sd (X)"),N565/BF565/AQ565,
AND(L565="level-log",M565="sd (Y)"),N565/BF565*BH565,
AND(L565="elasticity",M565="level"),N565,
AND(L565="elasticity",M565="sd (X)"),N565/AQ565,
AND(L565="elasticity",M565="sd (Y)"),N565*BH565,
AND(L565="marginal_effect",M565="percent_of_mean"),N565*AN565/BF565/10)</f>
        <v>0.17899999999999999</v>
      </c>
      <c r="AE565" s="100">
        <f t="shared" si="212"/>
        <v>1</v>
      </c>
      <c r="AF565" s="94" t="str">
        <f t="shared" si="230"/>
        <v>NA</v>
      </c>
      <c r="AG565" s="94" t="str" cm="1">
        <f t="array" ref="AG565">_xlfn.IFS(
AND(L565="marginal_effect",M565="level"),O565*AN565/BF565,
AND(L565="marginal_effect",M565="sd (Y)"),O565*BH565*AN565/BF565,
AND(L565="marginal_effect",M565="sd (X)"),O565/AQ565*AN565/BF565,
AND(L565="semi_elasticity",M565="level"),O565*AN565,
AND(L565="semi_elasticity",M565="sd (Y)"),O565*AN565*BH565,
AND(L565="semi_elasticity",M565="sd (X)"),O565*AN565/AQ565,
AND(L565="level-log",M565="level"),O565/BF565,
AND(L565="level-log",M565="sd (X)"),O565/BF565/AQ565,
AND(L565="level-log",M565="sd (Y)"),O565/BF565*BH565,
AND(L565="elasticity",M565="level"),O565,
AND(L565="elasticity",M565="sd (X)"),O565/AQ565,
AND(L565="elasticity",M565="sd (Y)"),O565*BH565,
AND(L565="marginal_effect",M565="percent_of_mean"),O565*AN565/BF565/10)</f>
        <v>NA</v>
      </c>
      <c r="AH565" s="100">
        <f t="shared" si="213"/>
        <v>1</v>
      </c>
      <c r="AI565" s="94">
        <f t="shared" si="227"/>
        <v>-0.17899999999999999</v>
      </c>
      <c r="AJ565" s="68">
        <v>0</v>
      </c>
      <c r="AK565" s="68" t="s">
        <v>312</v>
      </c>
      <c r="AL565" s="68" t="s">
        <v>82</v>
      </c>
      <c r="AM565" s="68" t="s">
        <v>1333</v>
      </c>
      <c r="AN565" s="68">
        <v>52.42</v>
      </c>
      <c r="AO565" s="68">
        <v>0</v>
      </c>
      <c r="AP565" s="68">
        <f t="shared" si="225"/>
        <v>52.42</v>
      </c>
      <c r="AQ565" s="68">
        <v>29.26</v>
      </c>
      <c r="AR565" s="68" t="s">
        <v>312</v>
      </c>
      <c r="AS565" s="68" t="s">
        <v>312</v>
      </c>
      <c r="AT565" s="68" t="s">
        <v>83</v>
      </c>
      <c r="AU565" s="68" t="s">
        <v>109</v>
      </c>
      <c r="AV565" s="68" t="s">
        <v>133</v>
      </c>
      <c r="AW565" s="68" t="s">
        <v>85</v>
      </c>
      <c r="AX565" s="68" t="s">
        <v>86</v>
      </c>
      <c r="AY565" s="68">
        <v>0</v>
      </c>
      <c r="AZ565" s="68">
        <v>0</v>
      </c>
      <c r="BA565" s="68" t="s">
        <v>111</v>
      </c>
      <c r="BB565" s="68" t="s">
        <v>88</v>
      </c>
      <c r="BC565" s="68" t="s">
        <v>113</v>
      </c>
      <c r="BD565" s="68" t="s">
        <v>114</v>
      </c>
      <c r="BE565" s="68" t="s">
        <v>1268</v>
      </c>
      <c r="BF565" s="68">
        <v>37.01</v>
      </c>
      <c r="BG565" s="68">
        <v>0</v>
      </c>
      <c r="BH565" s="68">
        <v>43.88</v>
      </c>
      <c r="BI565" s="68" t="s">
        <v>312</v>
      </c>
      <c r="BJ565" s="68" t="s">
        <v>312</v>
      </c>
      <c r="BK565" s="68" t="s">
        <v>91</v>
      </c>
      <c r="BL565" s="68" t="s">
        <v>84</v>
      </c>
      <c r="BM565" s="68">
        <v>1</v>
      </c>
      <c r="BN565" s="68" t="s">
        <v>428</v>
      </c>
      <c r="BO565" s="68" t="s">
        <v>1066</v>
      </c>
      <c r="BP565" s="68" t="s">
        <v>1067</v>
      </c>
      <c r="BQ565" s="68" t="s">
        <v>117</v>
      </c>
      <c r="BR565" s="68" t="s">
        <v>93</v>
      </c>
      <c r="BS565" s="68" t="s">
        <v>312</v>
      </c>
      <c r="BT565" s="68" t="s">
        <v>312</v>
      </c>
      <c r="BU565" s="68">
        <v>2014</v>
      </c>
      <c r="BV565" s="68">
        <v>2017</v>
      </c>
      <c r="BW565" s="68" t="s">
        <v>1267</v>
      </c>
      <c r="BX565" s="68" t="s">
        <v>95</v>
      </c>
      <c r="BY565" s="68" t="s">
        <v>96</v>
      </c>
      <c r="BZ565" s="68">
        <v>0</v>
      </c>
      <c r="CA565" s="68">
        <v>0</v>
      </c>
      <c r="CB565" s="68" t="s">
        <v>97</v>
      </c>
      <c r="CC565" s="68" t="s">
        <v>1266</v>
      </c>
      <c r="CD565" s="68">
        <v>1</v>
      </c>
      <c r="CE565" s="68" t="s">
        <v>1265</v>
      </c>
      <c r="CF565" s="68">
        <v>0</v>
      </c>
      <c r="CG565" s="68" t="s">
        <v>97</v>
      </c>
      <c r="CH565" s="68">
        <v>1</v>
      </c>
      <c r="CI565" s="68" t="s">
        <v>509</v>
      </c>
      <c r="CJ565" s="68" t="s">
        <v>98</v>
      </c>
      <c r="CK565" s="68">
        <v>18</v>
      </c>
      <c r="CL565" s="68">
        <v>0</v>
      </c>
      <c r="CM565" s="68">
        <v>0</v>
      </c>
      <c r="CN565" s="68" t="s">
        <v>99</v>
      </c>
      <c r="CO565" s="68" t="s">
        <v>97</v>
      </c>
      <c r="CP565" s="68" t="s">
        <v>100</v>
      </c>
      <c r="CQ565" s="68" t="s">
        <v>126</v>
      </c>
      <c r="CR565" s="69">
        <v>46227</v>
      </c>
      <c r="CT565" s="68" t="s">
        <v>440</v>
      </c>
    </row>
    <row r="566" spans="1:98" s="68" customFormat="1" x14ac:dyDescent="0.35">
      <c r="A566" s="70" t="s">
        <v>1273</v>
      </c>
      <c r="B566" s="70" t="s">
        <v>1287</v>
      </c>
      <c r="C566" s="68" t="s">
        <v>1271</v>
      </c>
      <c r="D566" s="68">
        <v>2020</v>
      </c>
      <c r="E566" s="70" t="s">
        <v>1270</v>
      </c>
      <c r="F566" s="70" t="s">
        <v>1269</v>
      </c>
      <c r="G566" s="68" t="s">
        <v>78</v>
      </c>
      <c r="H566" s="68">
        <v>1</v>
      </c>
      <c r="I566" s="68" t="s">
        <v>290</v>
      </c>
      <c r="J566" s="68" t="s">
        <v>128</v>
      </c>
      <c r="K566" s="68">
        <v>86</v>
      </c>
      <c r="L566" s="68" t="s">
        <v>80</v>
      </c>
      <c r="M566" s="68" t="s">
        <v>380</v>
      </c>
      <c r="N566" s="68">
        <v>0.39500000000000002</v>
      </c>
      <c r="O566" s="68">
        <v>1.2E-2</v>
      </c>
      <c r="P566" s="94">
        <f t="shared" ref="P566:P586" si="231">N566/O566</f>
        <v>32.916666666666664</v>
      </c>
      <c r="Q566" s="68" t="s">
        <v>312</v>
      </c>
      <c r="R566" s="94">
        <f t="shared" ref="R566:R586" si="232">N566-1.96*O566</f>
        <v>0.37148000000000003</v>
      </c>
      <c r="S566" s="94">
        <f t="shared" ref="S566:S586" si="233">N566+1.96*O566</f>
        <v>0.41852</v>
      </c>
      <c r="T566" s="68">
        <v>1</v>
      </c>
      <c r="U566" s="68">
        <v>302175</v>
      </c>
      <c r="V566" s="68" t="s">
        <v>312</v>
      </c>
      <c r="W566" s="68" t="s">
        <v>312</v>
      </c>
      <c r="X566" s="68">
        <f t="shared" si="228"/>
        <v>302175</v>
      </c>
      <c r="Y566" s="94">
        <f t="shared" ref="Y566:Y585" si="234">P566/(P566^2 + X566)^(1/2)</f>
        <v>5.9773591792616328E-2</v>
      </c>
      <c r="Z566" s="94">
        <f t="shared" ref="Z566:Z585" si="235">((1-Y566^2)/X566)^(1/2)</f>
        <v>1.8159065861048001E-3</v>
      </c>
      <c r="AA566" s="94">
        <f t="shared" ref="AA566:AA585" si="236">-Y566</f>
        <v>-5.9773591792616328E-2</v>
      </c>
      <c r="AB566" s="68" t="s">
        <v>81</v>
      </c>
      <c r="AC566" s="94">
        <f t="shared" si="229"/>
        <v>0.39500000000000002</v>
      </c>
      <c r="AD566" s="94" cm="1">
        <f t="array" ref="AD566">_xlfn.IFS(
AND(L566="marginal_effect",M566="level"),N566*AN566/BF566,
AND(L566="marginal_effect",M566="sd (Y)"),N566*BH566*AN566/BF566,
AND(L566="marginal_effect",M566="sd (X)"),N566/AQ566*AN566/BF566,
AND(L566="semi_elasticity",M566="level"),N566*AN566,
AND(L566="semi_elasticity",M566="sd (Y)"),N566*AN566*BH566,
AND(L566="semi_elasticity",M566="sd (X)"),N566*AN566/AQ566,
AND(L566="level-log",M566="level"),N566/BF566,
AND(L566="level-log",M566="sd (X)"),N566/BF566/AQ566,
AND(L566="level-log",M566="sd (Y)"),N566/BF566*BH566,
AND(L566="elasticity",M566="level"),N566,
AND(L566="elasticity",M566="sd (X)"),N566/AQ566,
AND(L566="elasticity",M566="sd (Y)"),N566*BH566,
AND(L566="marginal_effect",M566="percent_of_mean"),N566*AN566/BF566/10)</f>
        <v>0.39500000000000002</v>
      </c>
      <c r="AE566" s="100">
        <f t="shared" si="212"/>
        <v>1</v>
      </c>
      <c r="AF566" s="94">
        <f t="shared" si="230"/>
        <v>1.2E-2</v>
      </c>
      <c r="AG566" s="94" cm="1">
        <f t="array" ref="AG566">_xlfn.IFS(
AND(L566="marginal_effect",M566="level"),O566*AN566/BF566,
AND(L566="marginal_effect",M566="sd (Y)"),O566*BH566*AN566/BF566,
AND(L566="marginal_effect",M566="sd (X)"),O566/AQ566*AN566/BF566,
AND(L566="semi_elasticity",M566="level"),O566*AN566,
AND(L566="semi_elasticity",M566="sd (Y)"),O566*AN566*BH566,
AND(L566="semi_elasticity",M566="sd (X)"),O566*AN566/AQ566,
AND(L566="level-log",M566="level"),O566/BF566,
AND(L566="level-log",M566="sd (X)"),O566/BF566/AQ566,
AND(L566="level-log",M566="sd (Y)"),O566/BF566*BH566,
AND(L566="elasticity",M566="level"),O566,
AND(L566="elasticity",M566="sd (X)"),O566/AQ566,
AND(L566="elasticity",M566="sd (Y)"),O566*BH566,
AND(L566="marginal_effect",M566="percent_of_mean"),O566*AN566/BF566/10)</f>
        <v>1.2E-2</v>
      </c>
      <c r="AH566" s="100">
        <f t="shared" si="213"/>
        <v>1</v>
      </c>
      <c r="AI566" s="94">
        <f t="shared" si="227"/>
        <v>-0.39500000000000002</v>
      </c>
      <c r="AJ566" s="68">
        <v>0</v>
      </c>
      <c r="AK566" s="68">
        <f t="shared" ref="AK566:AK597" si="237">IF(P566=(AC566/AF566),1,0)</f>
        <v>1</v>
      </c>
      <c r="AL566" s="68" t="s">
        <v>82</v>
      </c>
      <c r="AM566" s="68" t="s">
        <v>1333</v>
      </c>
      <c r="AN566" s="68">
        <v>52.42</v>
      </c>
      <c r="AO566" s="68">
        <v>0</v>
      </c>
      <c r="AP566" s="68">
        <f t="shared" si="225"/>
        <v>52.42</v>
      </c>
      <c r="AQ566" s="68">
        <v>29.26</v>
      </c>
      <c r="AR566" s="68" t="s">
        <v>312</v>
      </c>
      <c r="AS566" s="68" t="s">
        <v>312</v>
      </c>
      <c r="AT566" s="68" t="s">
        <v>83</v>
      </c>
      <c r="AU566" s="68" t="s">
        <v>109</v>
      </c>
      <c r="AV566" s="68" t="s">
        <v>133</v>
      </c>
      <c r="AW566" s="68" t="s">
        <v>85</v>
      </c>
      <c r="AX566" s="68" t="s">
        <v>86</v>
      </c>
      <c r="AY566" s="68">
        <v>0</v>
      </c>
      <c r="AZ566" s="68">
        <v>0</v>
      </c>
      <c r="BA566" s="68" t="s">
        <v>111</v>
      </c>
      <c r="BB566" s="68" t="s">
        <v>88</v>
      </c>
      <c r="BC566" s="68" t="s">
        <v>113</v>
      </c>
      <c r="BD566" s="68" t="s">
        <v>114</v>
      </c>
      <c r="BE566" s="68" t="s">
        <v>1268</v>
      </c>
      <c r="BF566" s="68">
        <v>37.01</v>
      </c>
      <c r="BG566" s="68">
        <v>0</v>
      </c>
      <c r="BH566" s="68">
        <v>43.88</v>
      </c>
      <c r="BI566" s="68" t="s">
        <v>312</v>
      </c>
      <c r="BJ566" s="68" t="s">
        <v>312</v>
      </c>
      <c r="BK566" s="68" t="s">
        <v>91</v>
      </c>
      <c r="BL566" s="68" t="s">
        <v>84</v>
      </c>
      <c r="BM566" s="68">
        <v>1</v>
      </c>
      <c r="BN566" s="68" t="s">
        <v>428</v>
      </c>
      <c r="BO566" s="68" t="s">
        <v>1066</v>
      </c>
      <c r="BP566" s="68" t="s">
        <v>1067</v>
      </c>
      <c r="BQ566" s="68" t="s">
        <v>117</v>
      </c>
      <c r="BR566" s="68" t="s">
        <v>93</v>
      </c>
      <c r="BS566" s="68" t="s">
        <v>312</v>
      </c>
      <c r="BT566" s="68" t="s">
        <v>312</v>
      </c>
      <c r="BU566" s="68">
        <v>2014</v>
      </c>
      <c r="BV566" s="68">
        <v>2017</v>
      </c>
      <c r="BW566" s="68" t="s">
        <v>1267</v>
      </c>
      <c r="BX566" s="68" t="s">
        <v>95</v>
      </c>
      <c r="BY566" s="68" t="s">
        <v>96</v>
      </c>
      <c r="BZ566" s="68">
        <v>0</v>
      </c>
      <c r="CA566" s="68">
        <v>0</v>
      </c>
      <c r="CB566" s="68" t="s">
        <v>97</v>
      </c>
      <c r="CC566" s="68" t="s">
        <v>1266</v>
      </c>
      <c r="CD566" s="68">
        <v>1</v>
      </c>
      <c r="CE566" s="68" t="s">
        <v>1265</v>
      </c>
      <c r="CF566" s="68">
        <v>0</v>
      </c>
      <c r="CG566" s="68" t="s">
        <v>97</v>
      </c>
      <c r="CH566" s="68">
        <v>1</v>
      </c>
      <c r="CI566" s="68" t="s">
        <v>509</v>
      </c>
      <c r="CJ566" s="68" t="s">
        <v>98</v>
      </c>
      <c r="CK566" s="68">
        <v>18</v>
      </c>
      <c r="CL566" s="68">
        <v>0</v>
      </c>
      <c r="CM566" s="68">
        <v>0</v>
      </c>
      <c r="CN566" s="68" t="s">
        <v>99</v>
      </c>
      <c r="CO566" s="68" t="s">
        <v>97</v>
      </c>
      <c r="CP566" s="68" t="s">
        <v>100</v>
      </c>
      <c r="CQ566" s="68" t="s">
        <v>126</v>
      </c>
      <c r="CR566" s="69">
        <v>46227</v>
      </c>
      <c r="CT566" s="68" t="s">
        <v>778</v>
      </c>
    </row>
    <row r="567" spans="1:98" s="68" customFormat="1" x14ac:dyDescent="0.35">
      <c r="A567" s="70" t="s">
        <v>1273</v>
      </c>
      <c r="B567" s="70" t="s">
        <v>1286</v>
      </c>
      <c r="C567" s="68" t="s">
        <v>1271</v>
      </c>
      <c r="D567" s="68">
        <v>2020</v>
      </c>
      <c r="E567" s="70" t="s">
        <v>1270</v>
      </c>
      <c r="F567" s="70" t="s">
        <v>1269</v>
      </c>
      <c r="G567" s="68" t="s">
        <v>78</v>
      </c>
      <c r="H567" s="68">
        <v>1</v>
      </c>
      <c r="I567" s="68" t="s">
        <v>290</v>
      </c>
      <c r="J567" s="68" t="s">
        <v>128</v>
      </c>
      <c r="K567" s="68">
        <v>86</v>
      </c>
      <c r="L567" s="68" t="s">
        <v>80</v>
      </c>
      <c r="M567" s="68" t="s">
        <v>380</v>
      </c>
      <c r="N567" s="68">
        <v>0.54800000000000004</v>
      </c>
      <c r="O567" s="68">
        <v>1.4E-2</v>
      </c>
      <c r="P567" s="94">
        <f t="shared" si="231"/>
        <v>39.142857142857146</v>
      </c>
      <c r="Q567" s="68" t="s">
        <v>312</v>
      </c>
      <c r="R567" s="94">
        <f t="shared" si="232"/>
        <v>0.52056000000000002</v>
      </c>
      <c r="S567" s="94">
        <f t="shared" si="233"/>
        <v>0.57544000000000006</v>
      </c>
      <c r="T567" s="68">
        <v>1</v>
      </c>
      <c r="U567" s="68">
        <v>2358565</v>
      </c>
      <c r="V567" s="68" t="s">
        <v>312</v>
      </c>
      <c r="W567" s="68" t="s">
        <v>312</v>
      </c>
      <c r="X567" s="68">
        <f t="shared" si="228"/>
        <v>2358565</v>
      </c>
      <c r="Y567" s="94">
        <f t="shared" si="234"/>
        <v>2.5479305223284249E-2</v>
      </c>
      <c r="Z567" s="94">
        <f t="shared" si="235"/>
        <v>6.5093115533937861E-4</v>
      </c>
      <c r="AA567" s="94">
        <f t="shared" si="236"/>
        <v>-2.5479305223284249E-2</v>
      </c>
      <c r="AB567" s="68" t="s">
        <v>81</v>
      </c>
      <c r="AC567" s="94">
        <f t="shared" si="229"/>
        <v>0.54800000000000004</v>
      </c>
      <c r="AD567" s="94" cm="1">
        <f t="array" ref="AD567">_xlfn.IFS(
AND(L567="marginal_effect",M567="level"),N567*AN567/BF567,
AND(L567="marginal_effect",M567="sd (Y)"),N567*BH567*AN567/BF567,
AND(L567="marginal_effect",M567="sd (X)"),N567/AQ567*AN567/BF567,
AND(L567="semi_elasticity",M567="level"),N567*AN567,
AND(L567="semi_elasticity",M567="sd (Y)"),N567*AN567*BH567,
AND(L567="semi_elasticity",M567="sd (X)"),N567*AN567/AQ567,
AND(L567="level-log",M567="level"),N567/BF567,
AND(L567="level-log",M567="sd (X)"),N567/BF567/AQ567,
AND(L567="level-log",M567="sd (Y)"),N567/BF567*BH567,
AND(L567="elasticity",M567="level"),N567,
AND(L567="elasticity",M567="sd (X)"),N567/AQ567,
AND(L567="elasticity",M567="sd (Y)"),N567*BH567,
AND(L567="marginal_effect",M567="percent_of_mean"),N567*AN567/BF567/10)</f>
        <v>0.54800000000000004</v>
      </c>
      <c r="AE567" s="100">
        <f t="shared" si="212"/>
        <v>1</v>
      </c>
      <c r="AF567" s="94">
        <f t="shared" si="230"/>
        <v>1.4E-2</v>
      </c>
      <c r="AG567" s="94" cm="1">
        <f t="array" ref="AG567">_xlfn.IFS(
AND(L567="marginal_effect",M567="level"),O567*AN567/BF567,
AND(L567="marginal_effect",M567="sd (Y)"),O567*BH567*AN567/BF567,
AND(L567="marginal_effect",M567="sd (X)"),O567/AQ567*AN567/BF567,
AND(L567="semi_elasticity",M567="level"),O567*AN567,
AND(L567="semi_elasticity",M567="sd (Y)"),O567*AN567*BH567,
AND(L567="semi_elasticity",M567="sd (X)"),O567*AN567/AQ567,
AND(L567="level-log",M567="level"),O567/BF567,
AND(L567="level-log",M567="sd (X)"),O567/BF567/AQ567,
AND(L567="level-log",M567="sd (Y)"),O567/BF567*BH567,
AND(L567="elasticity",M567="level"),O567,
AND(L567="elasticity",M567="sd (X)"),O567/AQ567,
AND(L567="elasticity",M567="sd (Y)"),O567*BH567,
AND(L567="marginal_effect",M567="percent_of_mean"),O567*AN567/BF567/10)</f>
        <v>1.4E-2</v>
      </c>
      <c r="AH567" s="100">
        <f t="shared" si="213"/>
        <v>1</v>
      </c>
      <c r="AI567" s="94">
        <f t="shared" si="227"/>
        <v>-0.54800000000000004</v>
      </c>
      <c r="AJ567" s="68">
        <v>0</v>
      </c>
      <c r="AK567" s="68">
        <f t="shared" si="237"/>
        <v>1</v>
      </c>
      <c r="AL567" s="68" t="s">
        <v>82</v>
      </c>
      <c r="AM567" s="68" t="s">
        <v>1333</v>
      </c>
      <c r="AN567" s="68">
        <v>52.42</v>
      </c>
      <c r="AO567" s="68">
        <v>0</v>
      </c>
      <c r="AP567" s="68">
        <f t="shared" si="225"/>
        <v>52.42</v>
      </c>
      <c r="AQ567" s="68">
        <v>29.26</v>
      </c>
      <c r="AR567" s="68" t="s">
        <v>312</v>
      </c>
      <c r="AS567" s="68" t="s">
        <v>312</v>
      </c>
      <c r="AT567" s="68" t="s">
        <v>83</v>
      </c>
      <c r="AU567" s="68" t="s">
        <v>109</v>
      </c>
      <c r="AV567" s="68" t="s">
        <v>133</v>
      </c>
      <c r="AW567" s="68" t="s">
        <v>85</v>
      </c>
      <c r="AX567" s="68" t="s">
        <v>86</v>
      </c>
      <c r="AY567" s="68">
        <v>0</v>
      </c>
      <c r="AZ567" s="68">
        <v>0</v>
      </c>
      <c r="BA567" s="68" t="s">
        <v>111</v>
      </c>
      <c r="BB567" s="68" t="s">
        <v>88</v>
      </c>
      <c r="BC567" s="68" t="s">
        <v>113</v>
      </c>
      <c r="BD567" s="68" t="s">
        <v>114</v>
      </c>
      <c r="BE567" s="68" t="s">
        <v>1268</v>
      </c>
      <c r="BF567" s="68">
        <v>37.01</v>
      </c>
      <c r="BG567" s="68">
        <v>0</v>
      </c>
      <c r="BH567" s="68">
        <v>43.88</v>
      </c>
      <c r="BI567" s="68" t="s">
        <v>312</v>
      </c>
      <c r="BJ567" s="68" t="s">
        <v>312</v>
      </c>
      <c r="BK567" s="68" t="s">
        <v>91</v>
      </c>
      <c r="BL567" s="68" t="s">
        <v>84</v>
      </c>
      <c r="BM567" s="68">
        <v>1</v>
      </c>
      <c r="BN567" s="68" t="s">
        <v>428</v>
      </c>
      <c r="BO567" s="68" t="s">
        <v>1066</v>
      </c>
      <c r="BP567" s="68" t="s">
        <v>1067</v>
      </c>
      <c r="BQ567" s="68" t="s">
        <v>117</v>
      </c>
      <c r="BR567" s="68" t="s">
        <v>93</v>
      </c>
      <c r="BS567" s="68" t="s">
        <v>312</v>
      </c>
      <c r="BT567" s="68" t="s">
        <v>312</v>
      </c>
      <c r="BU567" s="68">
        <v>2014</v>
      </c>
      <c r="BV567" s="68">
        <v>2017</v>
      </c>
      <c r="BW567" s="68" t="s">
        <v>1267</v>
      </c>
      <c r="BX567" s="68" t="s">
        <v>95</v>
      </c>
      <c r="BY567" s="68" t="s">
        <v>96</v>
      </c>
      <c r="BZ567" s="68">
        <v>0</v>
      </c>
      <c r="CA567" s="68">
        <v>0</v>
      </c>
      <c r="CB567" s="68" t="s">
        <v>97</v>
      </c>
      <c r="CC567" s="68" t="s">
        <v>1266</v>
      </c>
      <c r="CD567" s="68">
        <v>1</v>
      </c>
      <c r="CE567" s="68" t="s">
        <v>1265</v>
      </c>
      <c r="CF567" s="68">
        <v>0</v>
      </c>
      <c r="CG567" s="68" t="s">
        <v>97</v>
      </c>
      <c r="CH567" s="68">
        <v>1</v>
      </c>
      <c r="CI567" s="68" t="s">
        <v>509</v>
      </c>
      <c r="CJ567" s="68" t="s">
        <v>98</v>
      </c>
      <c r="CK567" s="68">
        <v>18</v>
      </c>
      <c r="CL567" s="68">
        <v>0</v>
      </c>
      <c r="CM567" s="68">
        <v>0</v>
      </c>
      <c r="CN567" s="68" t="s">
        <v>99</v>
      </c>
      <c r="CO567" s="68" t="s">
        <v>97</v>
      </c>
      <c r="CP567" s="68" t="s">
        <v>100</v>
      </c>
      <c r="CQ567" s="68" t="s">
        <v>126</v>
      </c>
      <c r="CR567" s="69">
        <v>46227</v>
      </c>
      <c r="CT567" s="68" t="s">
        <v>779</v>
      </c>
    </row>
    <row r="568" spans="1:98" s="68" customFormat="1" x14ac:dyDescent="0.35">
      <c r="A568" s="70" t="s">
        <v>1273</v>
      </c>
      <c r="B568" s="70" t="s">
        <v>1285</v>
      </c>
      <c r="C568" s="68" t="s">
        <v>1271</v>
      </c>
      <c r="D568" s="68">
        <v>2020</v>
      </c>
      <c r="E568" s="70" t="s">
        <v>1270</v>
      </c>
      <c r="F568" s="70" t="s">
        <v>1269</v>
      </c>
      <c r="G568" s="68" t="s">
        <v>78</v>
      </c>
      <c r="H568" s="68">
        <v>1</v>
      </c>
      <c r="I568" s="68" t="s">
        <v>290</v>
      </c>
      <c r="J568" s="68" t="s">
        <v>128</v>
      </c>
      <c r="K568" s="68">
        <v>86</v>
      </c>
      <c r="L568" s="68" t="s">
        <v>80</v>
      </c>
      <c r="M568" s="68" t="s">
        <v>380</v>
      </c>
      <c r="N568" s="68">
        <v>0.17699999999999999</v>
      </c>
      <c r="O568" s="68">
        <v>3.0000000000000001E-3</v>
      </c>
      <c r="P568" s="94">
        <f t="shared" si="231"/>
        <v>58.999999999999993</v>
      </c>
      <c r="Q568" s="68" t="s">
        <v>312</v>
      </c>
      <c r="R568" s="94">
        <f t="shared" si="232"/>
        <v>0.17111999999999999</v>
      </c>
      <c r="S568" s="94">
        <f t="shared" si="233"/>
        <v>0.18287999999999999</v>
      </c>
      <c r="T568" s="68">
        <v>1</v>
      </c>
      <c r="U568" s="68">
        <v>2358565</v>
      </c>
      <c r="V568" s="68" t="s">
        <v>312</v>
      </c>
      <c r="W568" s="68" t="s">
        <v>312</v>
      </c>
      <c r="X568" s="68">
        <f t="shared" si="228"/>
        <v>2358565</v>
      </c>
      <c r="Y568" s="94">
        <f t="shared" si="234"/>
        <v>3.8389091649203566E-2</v>
      </c>
      <c r="Z568" s="94">
        <f t="shared" si="235"/>
        <v>6.5066257032548431E-4</v>
      </c>
      <c r="AA568" s="94">
        <f t="shared" si="236"/>
        <v>-3.8389091649203566E-2</v>
      </c>
      <c r="AB568" s="68" t="s">
        <v>81</v>
      </c>
      <c r="AC568" s="94">
        <f t="shared" si="229"/>
        <v>0.17699999999999999</v>
      </c>
      <c r="AD568" s="94" cm="1">
        <f t="array" ref="AD568">_xlfn.IFS(
AND(L568="marginal_effect",M568="level"),N568*AN568/BF568,
AND(L568="marginal_effect",M568="sd (Y)"),N568*BH568*AN568/BF568,
AND(L568="marginal_effect",M568="sd (X)"),N568/AQ568*AN568/BF568,
AND(L568="semi_elasticity",M568="level"),N568*AN568,
AND(L568="semi_elasticity",M568="sd (Y)"),N568*AN568*BH568,
AND(L568="semi_elasticity",M568="sd (X)"),N568*AN568/AQ568,
AND(L568="level-log",M568="level"),N568/BF568,
AND(L568="level-log",M568="sd (X)"),N568/BF568/AQ568,
AND(L568="level-log",M568="sd (Y)"),N568/BF568*BH568,
AND(L568="elasticity",M568="level"),N568,
AND(L568="elasticity",M568="sd (X)"),N568/AQ568,
AND(L568="elasticity",M568="sd (Y)"),N568*BH568,
AND(L568="marginal_effect",M568="percent_of_mean"),N568*AN568/BF568/10)</f>
        <v>0.17699999999999999</v>
      </c>
      <c r="AE568" s="100">
        <f t="shared" si="212"/>
        <v>1</v>
      </c>
      <c r="AF568" s="94">
        <f t="shared" si="230"/>
        <v>3.0000000000000001E-3</v>
      </c>
      <c r="AG568" s="94" cm="1">
        <f t="array" ref="AG568">_xlfn.IFS(
AND(L568="marginal_effect",M568="level"),O568*AN568/BF568,
AND(L568="marginal_effect",M568="sd (Y)"),O568*BH568*AN568/BF568,
AND(L568="marginal_effect",M568="sd (X)"),O568/AQ568*AN568/BF568,
AND(L568="semi_elasticity",M568="level"),O568*AN568,
AND(L568="semi_elasticity",M568="sd (Y)"),O568*AN568*BH568,
AND(L568="semi_elasticity",M568="sd (X)"),O568*AN568/AQ568,
AND(L568="level-log",M568="level"),O568/BF568,
AND(L568="level-log",M568="sd (X)"),O568/BF568/AQ568,
AND(L568="level-log",M568="sd (Y)"),O568/BF568*BH568,
AND(L568="elasticity",M568="level"),O568,
AND(L568="elasticity",M568="sd (X)"),O568/AQ568,
AND(L568="elasticity",M568="sd (Y)"),O568*BH568,
AND(L568="marginal_effect",M568="percent_of_mean"),O568*AN568/BF568/10)</f>
        <v>3.0000000000000001E-3</v>
      </c>
      <c r="AH568" s="100">
        <f t="shared" si="213"/>
        <v>1</v>
      </c>
      <c r="AI568" s="94">
        <f t="shared" si="227"/>
        <v>-0.17699999999999999</v>
      </c>
      <c r="AJ568" s="68">
        <v>0</v>
      </c>
      <c r="AK568" s="68">
        <f t="shared" si="237"/>
        <v>1</v>
      </c>
      <c r="AL568" s="68" t="s">
        <v>82</v>
      </c>
      <c r="AM568" s="68" t="s">
        <v>1333</v>
      </c>
      <c r="AN568" s="68">
        <v>52.42</v>
      </c>
      <c r="AO568" s="68">
        <v>0</v>
      </c>
      <c r="AP568" s="68">
        <f t="shared" si="225"/>
        <v>52.42</v>
      </c>
      <c r="AQ568" s="68">
        <v>29.26</v>
      </c>
      <c r="AR568" s="68" t="s">
        <v>312</v>
      </c>
      <c r="AS568" s="68" t="s">
        <v>312</v>
      </c>
      <c r="AT568" s="68" t="s">
        <v>83</v>
      </c>
      <c r="AU568" s="68" t="s">
        <v>109</v>
      </c>
      <c r="AV568" s="68" t="s">
        <v>133</v>
      </c>
      <c r="AW568" s="68" t="s">
        <v>85</v>
      </c>
      <c r="AX568" s="68" t="s">
        <v>86</v>
      </c>
      <c r="AY568" s="68">
        <v>0</v>
      </c>
      <c r="AZ568" s="68">
        <v>0</v>
      </c>
      <c r="BA568" s="68" t="s">
        <v>111</v>
      </c>
      <c r="BB568" s="68" t="s">
        <v>88</v>
      </c>
      <c r="BC568" s="68" t="s">
        <v>113</v>
      </c>
      <c r="BD568" s="68" t="s">
        <v>114</v>
      </c>
      <c r="BE568" s="68" t="s">
        <v>1268</v>
      </c>
      <c r="BF568" s="68">
        <v>37.01</v>
      </c>
      <c r="BG568" s="68">
        <v>0</v>
      </c>
      <c r="BH568" s="68">
        <v>43.88</v>
      </c>
      <c r="BI568" s="68" t="s">
        <v>312</v>
      </c>
      <c r="BJ568" s="68" t="s">
        <v>312</v>
      </c>
      <c r="BK568" s="68" t="s">
        <v>91</v>
      </c>
      <c r="BL568" s="68" t="s">
        <v>84</v>
      </c>
      <c r="BM568" s="68">
        <v>1</v>
      </c>
      <c r="BN568" s="68" t="s">
        <v>428</v>
      </c>
      <c r="BO568" s="68" t="s">
        <v>1066</v>
      </c>
      <c r="BP568" s="68" t="s">
        <v>1067</v>
      </c>
      <c r="BQ568" s="68" t="s">
        <v>117</v>
      </c>
      <c r="BR568" s="68" t="s">
        <v>93</v>
      </c>
      <c r="BS568" s="68" t="s">
        <v>312</v>
      </c>
      <c r="BT568" s="68" t="s">
        <v>312</v>
      </c>
      <c r="BU568" s="68">
        <v>2014</v>
      </c>
      <c r="BV568" s="68">
        <v>2017</v>
      </c>
      <c r="BW568" s="68" t="s">
        <v>1267</v>
      </c>
      <c r="BX568" s="68" t="s">
        <v>95</v>
      </c>
      <c r="BY568" s="68" t="s">
        <v>96</v>
      </c>
      <c r="BZ568" s="68">
        <v>0</v>
      </c>
      <c r="CA568" s="68">
        <v>0</v>
      </c>
      <c r="CB568" s="68" t="s">
        <v>97</v>
      </c>
      <c r="CC568" s="68" t="s">
        <v>1266</v>
      </c>
      <c r="CD568" s="68">
        <v>1</v>
      </c>
      <c r="CE568" s="68" t="s">
        <v>1265</v>
      </c>
      <c r="CF568" s="68">
        <v>0</v>
      </c>
      <c r="CG568" s="68" t="s">
        <v>97</v>
      </c>
      <c r="CH568" s="68">
        <v>1</v>
      </c>
      <c r="CI568" s="68" t="s">
        <v>509</v>
      </c>
      <c r="CJ568" s="68" t="s">
        <v>98</v>
      </c>
      <c r="CK568" s="68">
        <v>18</v>
      </c>
      <c r="CL568" s="68">
        <v>0</v>
      </c>
      <c r="CM568" s="68">
        <v>0</v>
      </c>
      <c r="CN568" s="68" t="s">
        <v>99</v>
      </c>
      <c r="CO568" s="68" t="s">
        <v>97</v>
      </c>
      <c r="CP568" s="68" t="s">
        <v>100</v>
      </c>
      <c r="CQ568" s="68" t="s">
        <v>126</v>
      </c>
      <c r="CR568" s="69">
        <v>46227</v>
      </c>
      <c r="CT568" s="68" t="s">
        <v>1284</v>
      </c>
    </row>
    <row r="569" spans="1:98" s="68" customFormat="1" x14ac:dyDescent="0.35">
      <c r="A569" s="70" t="s">
        <v>1273</v>
      </c>
      <c r="B569" s="70" t="s">
        <v>1283</v>
      </c>
      <c r="C569" s="68" t="s">
        <v>1271</v>
      </c>
      <c r="D569" s="68">
        <v>2020</v>
      </c>
      <c r="E569" s="70" t="s">
        <v>1270</v>
      </c>
      <c r="F569" s="70" t="s">
        <v>1269</v>
      </c>
      <c r="G569" s="68" t="s">
        <v>78</v>
      </c>
      <c r="H569" s="68">
        <v>1</v>
      </c>
      <c r="I569" s="68" t="s">
        <v>290</v>
      </c>
      <c r="J569" s="68" t="s">
        <v>128</v>
      </c>
      <c r="K569" s="68">
        <v>86</v>
      </c>
      <c r="L569" s="68" t="s">
        <v>80</v>
      </c>
      <c r="M569" s="68" t="s">
        <v>380</v>
      </c>
      <c r="N569" s="68">
        <v>0.14699999999999999</v>
      </c>
      <c r="O569" s="68">
        <v>7.0000000000000001E-3</v>
      </c>
      <c r="P569" s="94">
        <f t="shared" si="231"/>
        <v>21</v>
      </c>
      <c r="Q569" s="68" t="s">
        <v>312</v>
      </c>
      <c r="R569" s="94">
        <f t="shared" si="232"/>
        <v>0.13327999999999998</v>
      </c>
      <c r="S569" s="94">
        <f t="shared" si="233"/>
        <v>0.16072</v>
      </c>
      <c r="T569" s="68">
        <v>1</v>
      </c>
      <c r="U569" s="68">
        <v>283412</v>
      </c>
      <c r="V569" s="68" t="s">
        <v>312</v>
      </c>
      <c r="W569" s="68" t="s">
        <v>312</v>
      </c>
      <c r="X569" s="68">
        <f t="shared" si="228"/>
        <v>283412</v>
      </c>
      <c r="Y569" s="94">
        <f t="shared" si="234"/>
        <v>3.9416000106862588E-2</v>
      </c>
      <c r="Z569" s="94">
        <f t="shared" si="235"/>
        <v>1.8769523860410755E-3</v>
      </c>
      <c r="AA569" s="94">
        <f t="shared" si="236"/>
        <v>-3.9416000106862588E-2</v>
      </c>
      <c r="AB569" s="68" t="s">
        <v>81</v>
      </c>
      <c r="AC569" s="94">
        <f t="shared" si="229"/>
        <v>0.14699999999999999</v>
      </c>
      <c r="AD569" s="94" cm="1">
        <f t="array" ref="AD569">_xlfn.IFS(
AND(L569="marginal_effect",M569="level"),N569*AN569/BF569,
AND(L569="marginal_effect",M569="sd (Y)"),N569*BH569*AN569/BF569,
AND(L569="marginal_effect",M569="sd (X)"),N569/AQ569*AN569/BF569,
AND(L569="semi_elasticity",M569="level"),N569*AN569,
AND(L569="semi_elasticity",M569="sd (Y)"),N569*AN569*BH569,
AND(L569="semi_elasticity",M569="sd (X)"),N569*AN569/AQ569,
AND(L569="level-log",M569="level"),N569/BF569,
AND(L569="level-log",M569="sd (X)"),N569/BF569/AQ569,
AND(L569="level-log",M569="sd (Y)"),N569/BF569*BH569,
AND(L569="elasticity",M569="level"),N569,
AND(L569="elasticity",M569="sd (X)"),N569/AQ569,
AND(L569="elasticity",M569="sd (Y)"),N569*BH569,
AND(L569="marginal_effect",M569="percent_of_mean"),N569*AN569/BF569/10)</f>
        <v>0.14699999999999999</v>
      </c>
      <c r="AE569" s="100">
        <f t="shared" si="212"/>
        <v>1</v>
      </c>
      <c r="AF569" s="94">
        <f t="shared" si="230"/>
        <v>7.0000000000000001E-3</v>
      </c>
      <c r="AG569" s="94" cm="1">
        <f t="array" ref="AG569">_xlfn.IFS(
AND(L569="marginal_effect",M569="level"),O569*AN569/BF569,
AND(L569="marginal_effect",M569="sd (Y)"),O569*BH569*AN569/BF569,
AND(L569="marginal_effect",M569="sd (X)"),O569/AQ569*AN569/BF569,
AND(L569="semi_elasticity",M569="level"),O569*AN569,
AND(L569="semi_elasticity",M569="sd (Y)"),O569*AN569*BH569,
AND(L569="semi_elasticity",M569="sd (X)"),O569*AN569/AQ569,
AND(L569="level-log",M569="level"),O569/BF569,
AND(L569="level-log",M569="sd (X)"),O569/BF569/AQ569,
AND(L569="level-log",M569="sd (Y)"),O569/BF569*BH569,
AND(L569="elasticity",M569="level"),O569,
AND(L569="elasticity",M569="sd (X)"),O569/AQ569,
AND(L569="elasticity",M569="sd (Y)"),O569*BH569,
AND(L569="marginal_effect",M569="percent_of_mean"),O569*AN569/BF569/10)</f>
        <v>7.0000000000000001E-3</v>
      </c>
      <c r="AH569" s="100">
        <f t="shared" si="213"/>
        <v>1</v>
      </c>
      <c r="AI569" s="94">
        <f t="shared" si="227"/>
        <v>-0.14699999999999999</v>
      </c>
      <c r="AJ569" s="68">
        <v>0</v>
      </c>
      <c r="AK569" s="68">
        <f t="shared" si="237"/>
        <v>1</v>
      </c>
      <c r="AL569" s="68" t="s">
        <v>82</v>
      </c>
      <c r="AM569" s="68" t="s">
        <v>1333</v>
      </c>
      <c r="AN569" s="68">
        <v>52.42</v>
      </c>
      <c r="AO569" s="68">
        <v>0</v>
      </c>
      <c r="AP569" s="68">
        <f t="shared" si="225"/>
        <v>52.42</v>
      </c>
      <c r="AQ569" s="68">
        <v>29.26</v>
      </c>
      <c r="AR569" s="68" t="s">
        <v>312</v>
      </c>
      <c r="AS569" s="68" t="s">
        <v>312</v>
      </c>
      <c r="AT569" s="68" t="s">
        <v>83</v>
      </c>
      <c r="AU569" s="68" t="s">
        <v>109</v>
      </c>
      <c r="AV569" s="68" t="s">
        <v>133</v>
      </c>
      <c r="AW569" s="68" t="s">
        <v>85</v>
      </c>
      <c r="AX569" s="68" t="s">
        <v>86</v>
      </c>
      <c r="AY569" s="68">
        <v>0</v>
      </c>
      <c r="AZ569" s="68">
        <v>0</v>
      </c>
      <c r="BA569" s="68" t="s">
        <v>111</v>
      </c>
      <c r="BB569" s="68" t="s">
        <v>88</v>
      </c>
      <c r="BC569" s="68" t="s">
        <v>113</v>
      </c>
      <c r="BD569" s="68" t="s">
        <v>114</v>
      </c>
      <c r="BE569" s="68" t="s">
        <v>1268</v>
      </c>
      <c r="BF569" s="68">
        <v>37.01</v>
      </c>
      <c r="BG569" s="68">
        <v>1</v>
      </c>
      <c r="BH569" s="68">
        <v>43.88</v>
      </c>
      <c r="BI569" s="68" t="s">
        <v>312</v>
      </c>
      <c r="BJ569" s="68" t="s">
        <v>312</v>
      </c>
      <c r="BK569" s="68" t="s">
        <v>91</v>
      </c>
      <c r="BL569" s="68" t="s">
        <v>84</v>
      </c>
      <c r="BM569" s="68">
        <v>1</v>
      </c>
      <c r="BN569" s="68" t="s">
        <v>428</v>
      </c>
      <c r="BO569" s="68" t="s">
        <v>1066</v>
      </c>
      <c r="BP569" s="68" t="s">
        <v>1067</v>
      </c>
      <c r="BQ569" s="68" t="s">
        <v>117</v>
      </c>
      <c r="BR569" s="68" t="s">
        <v>93</v>
      </c>
      <c r="BS569" s="68" t="s">
        <v>312</v>
      </c>
      <c r="BT569" s="68" t="s">
        <v>312</v>
      </c>
      <c r="BU569" s="68">
        <v>2014</v>
      </c>
      <c r="BV569" s="68">
        <v>2017</v>
      </c>
      <c r="BW569" s="68" t="s">
        <v>1267</v>
      </c>
      <c r="BX569" s="68" t="s">
        <v>95</v>
      </c>
      <c r="BY569" s="68" t="s">
        <v>96</v>
      </c>
      <c r="BZ569" s="68">
        <v>0</v>
      </c>
      <c r="CA569" s="68">
        <v>0</v>
      </c>
      <c r="CB569" s="68" t="s">
        <v>97</v>
      </c>
      <c r="CC569" s="68" t="s">
        <v>1266</v>
      </c>
      <c r="CD569" s="68">
        <v>1</v>
      </c>
      <c r="CE569" s="68" t="s">
        <v>1265</v>
      </c>
      <c r="CF569" s="68">
        <v>0</v>
      </c>
      <c r="CG569" s="68" t="s">
        <v>97</v>
      </c>
      <c r="CH569" s="68">
        <v>1</v>
      </c>
      <c r="CI569" s="68" t="s">
        <v>509</v>
      </c>
      <c r="CJ569" s="68" t="s">
        <v>98</v>
      </c>
      <c r="CK569" s="68">
        <v>18</v>
      </c>
      <c r="CL569" s="68">
        <v>0</v>
      </c>
      <c r="CM569" s="68">
        <v>0</v>
      </c>
      <c r="CN569" s="68" t="s">
        <v>99</v>
      </c>
      <c r="CO569" s="68" t="s">
        <v>940</v>
      </c>
      <c r="CP569" s="68" t="s">
        <v>100</v>
      </c>
      <c r="CQ569" s="68" t="s">
        <v>126</v>
      </c>
      <c r="CR569" s="69">
        <v>46227</v>
      </c>
      <c r="CT569" s="68" t="s">
        <v>449</v>
      </c>
    </row>
    <row r="570" spans="1:98" s="68" customFormat="1" x14ac:dyDescent="0.35">
      <c r="A570" s="70" t="s">
        <v>1273</v>
      </c>
      <c r="B570" s="70" t="s">
        <v>1282</v>
      </c>
      <c r="C570" s="68" t="s">
        <v>1271</v>
      </c>
      <c r="D570" s="68">
        <v>2020</v>
      </c>
      <c r="E570" s="70" t="s">
        <v>1270</v>
      </c>
      <c r="F570" s="70" t="s">
        <v>1269</v>
      </c>
      <c r="G570" s="68" t="s">
        <v>78</v>
      </c>
      <c r="H570" s="68">
        <v>1</v>
      </c>
      <c r="I570" s="68" t="s">
        <v>290</v>
      </c>
      <c r="J570" s="68" t="s">
        <v>128</v>
      </c>
      <c r="K570" s="68">
        <v>86</v>
      </c>
      <c r="L570" s="68" t="s">
        <v>80</v>
      </c>
      <c r="M570" s="68" t="s">
        <v>380</v>
      </c>
      <c r="N570" s="68">
        <v>0.186</v>
      </c>
      <c r="O570" s="68">
        <v>4.0000000000000001E-3</v>
      </c>
      <c r="P570" s="94">
        <f t="shared" si="231"/>
        <v>46.5</v>
      </c>
      <c r="Q570" s="68" t="s">
        <v>312</v>
      </c>
      <c r="R570" s="94">
        <f t="shared" si="232"/>
        <v>0.17815999999999999</v>
      </c>
      <c r="S570" s="94">
        <f t="shared" si="233"/>
        <v>0.19384000000000001</v>
      </c>
      <c r="T570" s="68">
        <v>1</v>
      </c>
      <c r="U570" s="68">
        <v>2073964</v>
      </c>
      <c r="V570" s="68" t="s">
        <v>312</v>
      </c>
      <c r="W570" s="68" t="s">
        <v>312</v>
      </c>
      <c r="X570" s="68">
        <f t="shared" si="228"/>
        <v>2073964</v>
      </c>
      <c r="Y570" s="94">
        <f t="shared" si="234"/>
        <v>3.2272014284281898E-2</v>
      </c>
      <c r="Z570" s="94">
        <f t="shared" si="235"/>
        <v>6.9402181256520215E-4</v>
      </c>
      <c r="AA570" s="94">
        <f t="shared" si="236"/>
        <v>-3.2272014284281898E-2</v>
      </c>
      <c r="AB570" s="68" t="s">
        <v>81</v>
      </c>
      <c r="AC570" s="94">
        <f t="shared" si="229"/>
        <v>0.186</v>
      </c>
      <c r="AD570" s="94" cm="1">
        <f t="array" ref="AD570">_xlfn.IFS(
AND(L570="marginal_effect",M570="level"),N570*AN570/BF570,
AND(L570="marginal_effect",M570="sd (Y)"),N570*BH570*AN570/BF570,
AND(L570="marginal_effect",M570="sd (X)"),N570/AQ570*AN570/BF570,
AND(L570="semi_elasticity",M570="level"),N570*AN570,
AND(L570="semi_elasticity",M570="sd (Y)"),N570*AN570*BH570,
AND(L570="semi_elasticity",M570="sd (X)"),N570*AN570/AQ570,
AND(L570="level-log",M570="level"),N570/BF570,
AND(L570="level-log",M570="sd (X)"),N570/BF570/AQ570,
AND(L570="level-log",M570="sd (Y)"),N570/BF570*BH570,
AND(L570="elasticity",M570="level"),N570,
AND(L570="elasticity",M570="sd (X)"),N570/AQ570,
AND(L570="elasticity",M570="sd (Y)"),N570*BH570,
AND(L570="marginal_effect",M570="percent_of_mean"),N570*AN570/BF570/10)</f>
        <v>0.186</v>
      </c>
      <c r="AE570" s="100">
        <f t="shared" si="212"/>
        <v>1</v>
      </c>
      <c r="AF570" s="94">
        <f t="shared" si="230"/>
        <v>4.0000000000000001E-3</v>
      </c>
      <c r="AG570" s="94" cm="1">
        <f t="array" ref="AG570">_xlfn.IFS(
AND(L570="marginal_effect",M570="level"),O570*AN570/BF570,
AND(L570="marginal_effect",M570="sd (Y)"),O570*BH570*AN570/BF570,
AND(L570="marginal_effect",M570="sd (X)"),O570/AQ570*AN570/BF570,
AND(L570="semi_elasticity",M570="level"),O570*AN570,
AND(L570="semi_elasticity",M570="sd (Y)"),O570*AN570*BH570,
AND(L570="semi_elasticity",M570="sd (X)"),O570*AN570/AQ570,
AND(L570="level-log",M570="level"),O570/BF570,
AND(L570="level-log",M570="sd (X)"),O570/BF570/AQ570,
AND(L570="level-log",M570="sd (Y)"),O570/BF570*BH570,
AND(L570="elasticity",M570="level"),O570,
AND(L570="elasticity",M570="sd (X)"),O570/AQ570,
AND(L570="elasticity",M570="sd (Y)"),O570*BH570,
AND(L570="marginal_effect",M570="percent_of_mean"),O570*AN570/BF570/10)</f>
        <v>4.0000000000000001E-3</v>
      </c>
      <c r="AH570" s="100">
        <f t="shared" si="213"/>
        <v>1</v>
      </c>
      <c r="AI570" s="94">
        <f t="shared" si="227"/>
        <v>-0.186</v>
      </c>
      <c r="AJ570" s="68">
        <v>0</v>
      </c>
      <c r="AK570" s="68">
        <f t="shared" si="237"/>
        <v>1</v>
      </c>
      <c r="AL570" s="68" t="s">
        <v>82</v>
      </c>
      <c r="AM570" s="68" t="s">
        <v>1333</v>
      </c>
      <c r="AN570" s="68">
        <v>52.42</v>
      </c>
      <c r="AO570" s="68">
        <v>0</v>
      </c>
      <c r="AP570" s="68">
        <f t="shared" si="225"/>
        <v>52.42</v>
      </c>
      <c r="AQ570" s="68">
        <v>29.26</v>
      </c>
      <c r="AR570" s="68" t="s">
        <v>312</v>
      </c>
      <c r="AS570" s="68" t="s">
        <v>312</v>
      </c>
      <c r="AT570" s="68" t="s">
        <v>83</v>
      </c>
      <c r="AU570" s="68" t="s">
        <v>109</v>
      </c>
      <c r="AV570" s="68" t="s">
        <v>133</v>
      </c>
      <c r="AW570" s="68" t="s">
        <v>85</v>
      </c>
      <c r="AX570" s="68" t="s">
        <v>86</v>
      </c>
      <c r="AY570" s="68">
        <v>0</v>
      </c>
      <c r="AZ570" s="68">
        <v>0</v>
      </c>
      <c r="BA570" s="68" t="s">
        <v>111</v>
      </c>
      <c r="BB570" s="68" t="s">
        <v>88</v>
      </c>
      <c r="BC570" s="68" t="s">
        <v>113</v>
      </c>
      <c r="BD570" s="68" t="s">
        <v>114</v>
      </c>
      <c r="BE570" s="68" t="s">
        <v>1268</v>
      </c>
      <c r="BF570" s="68">
        <v>37.01</v>
      </c>
      <c r="BG570" s="68">
        <v>1</v>
      </c>
      <c r="BH570" s="68">
        <v>43.88</v>
      </c>
      <c r="BI570" s="68" t="s">
        <v>312</v>
      </c>
      <c r="BJ570" s="68" t="s">
        <v>312</v>
      </c>
      <c r="BK570" s="68" t="s">
        <v>91</v>
      </c>
      <c r="BL570" s="68" t="s">
        <v>84</v>
      </c>
      <c r="BM570" s="68">
        <v>1</v>
      </c>
      <c r="BN570" s="68" t="s">
        <v>428</v>
      </c>
      <c r="BO570" s="68" t="s">
        <v>1066</v>
      </c>
      <c r="BP570" s="68" t="s">
        <v>1067</v>
      </c>
      <c r="BQ570" s="68" t="s">
        <v>117</v>
      </c>
      <c r="BR570" s="68" t="s">
        <v>93</v>
      </c>
      <c r="BS570" s="68" t="s">
        <v>312</v>
      </c>
      <c r="BT570" s="68" t="s">
        <v>312</v>
      </c>
      <c r="BU570" s="68">
        <v>2014</v>
      </c>
      <c r="BV570" s="68">
        <v>2017</v>
      </c>
      <c r="BW570" s="68" t="s">
        <v>1267</v>
      </c>
      <c r="BX570" s="68" t="s">
        <v>95</v>
      </c>
      <c r="BY570" s="68" t="s">
        <v>96</v>
      </c>
      <c r="BZ570" s="68">
        <v>0</v>
      </c>
      <c r="CA570" s="68">
        <v>0</v>
      </c>
      <c r="CB570" s="68" t="s">
        <v>97</v>
      </c>
      <c r="CC570" s="68" t="s">
        <v>1266</v>
      </c>
      <c r="CD570" s="68">
        <v>1</v>
      </c>
      <c r="CE570" s="68" t="s">
        <v>1265</v>
      </c>
      <c r="CF570" s="68">
        <v>0</v>
      </c>
      <c r="CG570" s="68" t="s">
        <v>97</v>
      </c>
      <c r="CH570" s="68">
        <v>1</v>
      </c>
      <c r="CI570" s="68" t="s">
        <v>509</v>
      </c>
      <c r="CJ570" s="68" t="s">
        <v>98</v>
      </c>
      <c r="CK570" s="68">
        <v>18</v>
      </c>
      <c r="CL570" s="68">
        <v>0</v>
      </c>
      <c r="CM570" s="68">
        <v>0</v>
      </c>
      <c r="CN570" s="68" t="s">
        <v>99</v>
      </c>
      <c r="CO570" s="68" t="s">
        <v>940</v>
      </c>
      <c r="CP570" s="68" t="s">
        <v>100</v>
      </c>
      <c r="CQ570" s="68" t="s">
        <v>126</v>
      </c>
      <c r="CR570" s="69">
        <v>46227</v>
      </c>
      <c r="CT570" s="68" t="s">
        <v>450</v>
      </c>
    </row>
    <row r="571" spans="1:98" s="68" customFormat="1" x14ac:dyDescent="0.35">
      <c r="A571" s="70" t="s">
        <v>1273</v>
      </c>
      <c r="B571" s="70" t="s">
        <v>1281</v>
      </c>
      <c r="C571" s="68" t="s">
        <v>1271</v>
      </c>
      <c r="D571" s="68">
        <v>2020</v>
      </c>
      <c r="E571" s="70" t="s">
        <v>1270</v>
      </c>
      <c r="F571" s="70" t="s">
        <v>1269</v>
      </c>
      <c r="G571" s="68" t="s">
        <v>78</v>
      </c>
      <c r="H571" s="68">
        <v>1</v>
      </c>
      <c r="I571" s="68" t="s">
        <v>290</v>
      </c>
      <c r="J571" s="68" t="s">
        <v>128</v>
      </c>
      <c r="K571" s="68">
        <v>86</v>
      </c>
      <c r="L571" s="68" t="s">
        <v>80</v>
      </c>
      <c r="M571" s="68" t="s">
        <v>380</v>
      </c>
      <c r="N571" s="68">
        <v>0.21199999999999999</v>
      </c>
      <c r="O571" s="68">
        <v>5.0000000000000001E-3</v>
      </c>
      <c r="P571" s="94">
        <f t="shared" si="231"/>
        <v>42.4</v>
      </c>
      <c r="Q571" s="68" t="s">
        <v>312</v>
      </c>
      <c r="R571" s="94">
        <f t="shared" si="232"/>
        <v>0.20219999999999999</v>
      </c>
      <c r="S571" s="94">
        <f t="shared" si="233"/>
        <v>0.2218</v>
      </c>
      <c r="T571" s="68">
        <v>1</v>
      </c>
      <c r="U571" s="68">
        <v>1204337</v>
      </c>
      <c r="V571" s="68" t="s">
        <v>312</v>
      </c>
      <c r="W571" s="68" t="s">
        <v>312</v>
      </c>
      <c r="X571" s="68">
        <f t="shared" si="228"/>
        <v>1204337</v>
      </c>
      <c r="Y571" s="94">
        <f t="shared" si="234"/>
        <v>3.860716749221188E-2</v>
      </c>
      <c r="Z571" s="94">
        <f t="shared" si="235"/>
        <v>9.1054640311820476E-4</v>
      </c>
      <c r="AA571" s="94">
        <f t="shared" si="236"/>
        <v>-3.860716749221188E-2</v>
      </c>
      <c r="AB571" s="68" t="s">
        <v>81</v>
      </c>
      <c r="AC571" s="94">
        <f t="shared" si="229"/>
        <v>0.21199999999999999</v>
      </c>
      <c r="AD571" s="94" cm="1">
        <f t="array" ref="AD571">_xlfn.IFS(
AND(L571="marginal_effect",M571="level"),N571*AN571/BF571,
AND(L571="marginal_effect",M571="sd (Y)"),N571*BH571*AN571/BF571,
AND(L571="marginal_effect",M571="sd (X)"),N571/AQ571*AN571/BF571,
AND(L571="semi_elasticity",M571="level"),N571*AN571,
AND(L571="semi_elasticity",M571="sd (Y)"),N571*AN571*BH571,
AND(L571="semi_elasticity",M571="sd (X)"),N571*AN571/AQ571,
AND(L571="level-log",M571="level"),N571/BF571,
AND(L571="level-log",M571="sd (X)"),N571/BF571/AQ571,
AND(L571="level-log",M571="sd (Y)"),N571/BF571*BH571,
AND(L571="elasticity",M571="level"),N571,
AND(L571="elasticity",M571="sd (X)"),N571/AQ571,
AND(L571="elasticity",M571="sd (Y)"),N571*BH571,
AND(L571="marginal_effect",M571="percent_of_mean"),N571*AN571/BF571/10)</f>
        <v>0.21199999999999999</v>
      </c>
      <c r="AE571" s="100">
        <f t="shared" si="212"/>
        <v>1</v>
      </c>
      <c r="AF571" s="94">
        <f t="shared" si="230"/>
        <v>5.0000000000000001E-3</v>
      </c>
      <c r="AG571" s="94" cm="1">
        <f t="array" ref="AG571">_xlfn.IFS(
AND(L571="marginal_effect",M571="level"),O571*AN571/BF571,
AND(L571="marginal_effect",M571="sd (Y)"),O571*BH571*AN571/BF571,
AND(L571="marginal_effect",M571="sd (X)"),O571/AQ571*AN571/BF571,
AND(L571="semi_elasticity",M571="level"),O571*AN571,
AND(L571="semi_elasticity",M571="sd (Y)"),O571*AN571*BH571,
AND(L571="semi_elasticity",M571="sd (X)"),O571*AN571/AQ571,
AND(L571="level-log",M571="level"),O571/BF571,
AND(L571="level-log",M571="sd (X)"),O571/BF571/AQ571,
AND(L571="level-log",M571="sd (Y)"),O571/BF571*BH571,
AND(L571="elasticity",M571="level"),O571,
AND(L571="elasticity",M571="sd (X)"),O571/AQ571,
AND(L571="elasticity",M571="sd (Y)"),O571*BH571,
AND(L571="marginal_effect",M571="percent_of_mean"),O571*AN571/BF571/10)</f>
        <v>5.0000000000000001E-3</v>
      </c>
      <c r="AH571" s="100">
        <f t="shared" si="213"/>
        <v>1</v>
      </c>
      <c r="AI571" s="94">
        <f t="shared" si="227"/>
        <v>-0.21199999999999999</v>
      </c>
      <c r="AJ571" s="68">
        <v>0</v>
      </c>
      <c r="AK571" s="68">
        <f t="shared" si="237"/>
        <v>1</v>
      </c>
      <c r="AL571" s="68" t="s">
        <v>82</v>
      </c>
      <c r="AM571" s="68" t="s">
        <v>1333</v>
      </c>
      <c r="AN571" s="68">
        <v>52.42</v>
      </c>
      <c r="AO571" s="68">
        <v>0</v>
      </c>
      <c r="AP571" s="68">
        <f t="shared" si="225"/>
        <v>52.42</v>
      </c>
      <c r="AQ571" s="68">
        <v>29.26</v>
      </c>
      <c r="AR571" s="68" t="s">
        <v>312</v>
      </c>
      <c r="AS571" s="68" t="s">
        <v>312</v>
      </c>
      <c r="AT571" s="68" t="s">
        <v>83</v>
      </c>
      <c r="AU571" s="68" t="s">
        <v>109</v>
      </c>
      <c r="AV571" s="68" t="s">
        <v>133</v>
      </c>
      <c r="AW571" s="68" t="s">
        <v>85</v>
      </c>
      <c r="AX571" s="68" t="s">
        <v>86</v>
      </c>
      <c r="AY571" s="68">
        <v>0</v>
      </c>
      <c r="AZ571" s="68">
        <v>0</v>
      </c>
      <c r="BA571" s="68" t="s">
        <v>111</v>
      </c>
      <c r="BB571" s="68" t="s">
        <v>88</v>
      </c>
      <c r="BC571" s="68" t="s">
        <v>113</v>
      </c>
      <c r="BD571" s="68" t="s">
        <v>114</v>
      </c>
      <c r="BE571" s="68" t="s">
        <v>1268</v>
      </c>
      <c r="BF571" s="68">
        <v>37.01</v>
      </c>
      <c r="BG571" s="68">
        <v>1</v>
      </c>
      <c r="BH571" s="68">
        <v>43.88</v>
      </c>
      <c r="BI571" s="68" t="s">
        <v>312</v>
      </c>
      <c r="BJ571" s="68" t="s">
        <v>312</v>
      </c>
      <c r="BK571" s="68" t="s">
        <v>91</v>
      </c>
      <c r="BL571" s="68" t="s">
        <v>84</v>
      </c>
      <c r="BM571" s="68">
        <v>1</v>
      </c>
      <c r="BN571" s="68" t="s">
        <v>428</v>
      </c>
      <c r="BO571" s="68" t="s">
        <v>1066</v>
      </c>
      <c r="BP571" s="68" t="s">
        <v>1067</v>
      </c>
      <c r="BQ571" s="68" t="s">
        <v>117</v>
      </c>
      <c r="BR571" s="68" t="s">
        <v>93</v>
      </c>
      <c r="BS571" s="68" t="s">
        <v>312</v>
      </c>
      <c r="BT571" s="68" t="s">
        <v>312</v>
      </c>
      <c r="BU571" s="68">
        <v>2014</v>
      </c>
      <c r="BV571" s="68">
        <v>2017</v>
      </c>
      <c r="BW571" s="68" t="s">
        <v>1267</v>
      </c>
      <c r="BX571" s="68" t="s">
        <v>95</v>
      </c>
      <c r="BY571" s="68" t="s">
        <v>96</v>
      </c>
      <c r="BZ571" s="68">
        <v>0</v>
      </c>
      <c r="CA571" s="68">
        <v>0</v>
      </c>
      <c r="CB571" s="68" t="s">
        <v>97</v>
      </c>
      <c r="CC571" s="68" t="s">
        <v>1266</v>
      </c>
      <c r="CD571" s="68">
        <v>1</v>
      </c>
      <c r="CE571" s="68" t="s">
        <v>1265</v>
      </c>
      <c r="CF571" s="68">
        <v>0</v>
      </c>
      <c r="CG571" s="68" t="s">
        <v>97</v>
      </c>
      <c r="CH571" s="68">
        <v>1</v>
      </c>
      <c r="CI571" s="68" t="s">
        <v>509</v>
      </c>
      <c r="CJ571" s="68" t="s">
        <v>98</v>
      </c>
      <c r="CK571" s="68">
        <v>18</v>
      </c>
      <c r="CL571" s="68">
        <v>0</v>
      </c>
      <c r="CM571" s="68">
        <v>0</v>
      </c>
      <c r="CN571" s="68" t="s">
        <v>99</v>
      </c>
      <c r="CO571" s="68" t="s">
        <v>1264</v>
      </c>
      <c r="CP571" s="68" t="s">
        <v>100</v>
      </c>
      <c r="CQ571" s="68" t="s">
        <v>126</v>
      </c>
      <c r="CR571" s="69">
        <v>46227</v>
      </c>
      <c r="CT571" s="68" t="s">
        <v>704</v>
      </c>
    </row>
    <row r="572" spans="1:98" s="68" customFormat="1" x14ac:dyDescent="0.35">
      <c r="A572" s="70" t="s">
        <v>1273</v>
      </c>
      <c r="B572" s="70" t="s">
        <v>1280</v>
      </c>
      <c r="C572" s="68" t="s">
        <v>1271</v>
      </c>
      <c r="D572" s="68">
        <v>2020</v>
      </c>
      <c r="E572" s="70" t="s">
        <v>1270</v>
      </c>
      <c r="F572" s="70" t="s">
        <v>1269</v>
      </c>
      <c r="G572" s="68" t="s">
        <v>78</v>
      </c>
      <c r="H572" s="68">
        <v>1</v>
      </c>
      <c r="I572" s="68" t="s">
        <v>290</v>
      </c>
      <c r="J572" s="68" t="s">
        <v>128</v>
      </c>
      <c r="K572" s="68">
        <v>86</v>
      </c>
      <c r="L572" s="68" t="s">
        <v>80</v>
      </c>
      <c r="M572" s="68" t="s">
        <v>380</v>
      </c>
      <c r="N572" s="68">
        <v>0.29599999999999999</v>
      </c>
      <c r="O572" s="68">
        <v>6.0000000000000001E-3</v>
      </c>
      <c r="P572" s="94">
        <f t="shared" si="231"/>
        <v>49.333333333333329</v>
      </c>
      <c r="Q572" s="68" t="s">
        <v>312</v>
      </c>
      <c r="R572" s="94">
        <f t="shared" si="232"/>
        <v>0.28423999999999999</v>
      </c>
      <c r="S572" s="94">
        <f t="shared" si="233"/>
        <v>0.30775999999999998</v>
      </c>
      <c r="T572" s="68">
        <v>1</v>
      </c>
      <c r="U572" s="68">
        <v>1151465</v>
      </c>
      <c r="V572" s="68" t="s">
        <v>312</v>
      </c>
      <c r="W572" s="68" t="s">
        <v>312</v>
      </c>
      <c r="X572" s="68">
        <f t="shared" si="228"/>
        <v>1151465</v>
      </c>
      <c r="Y572" s="94">
        <f t="shared" si="234"/>
        <v>4.5925786655638338E-2</v>
      </c>
      <c r="Z572" s="94">
        <f t="shared" si="235"/>
        <v>9.3092810788456101E-4</v>
      </c>
      <c r="AA572" s="94">
        <f t="shared" si="236"/>
        <v>-4.5925786655638338E-2</v>
      </c>
      <c r="AB572" s="68" t="s">
        <v>81</v>
      </c>
      <c r="AC572" s="94">
        <f t="shared" si="229"/>
        <v>0.29599999999999999</v>
      </c>
      <c r="AD572" s="94" cm="1">
        <f t="array" ref="AD572">_xlfn.IFS(
AND(L572="marginal_effect",M572="level"),N572*AN572/BF572,
AND(L572="marginal_effect",M572="sd (Y)"),N572*BH572*AN572/BF572,
AND(L572="marginal_effect",M572="sd (X)"),N572/AQ572*AN572/BF572,
AND(L572="semi_elasticity",M572="level"),N572*AN572,
AND(L572="semi_elasticity",M572="sd (Y)"),N572*AN572*BH572,
AND(L572="semi_elasticity",M572="sd (X)"),N572*AN572/AQ572,
AND(L572="level-log",M572="level"),N572/BF572,
AND(L572="level-log",M572="sd (X)"),N572/BF572/AQ572,
AND(L572="level-log",M572="sd (Y)"),N572/BF572*BH572,
AND(L572="elasticity",M572="level"),N572,
AND(L572="elasticity",M572="sd (X)"),N572/AQ572,
AND(L572="elasticity",M572="sd (Y)"),N572*BH572,
AND(L572="marginal_effect",M572="percent_of_mean"),N572*AN572/BF572/10)</f>
        <v>0.29599999999999999</v>
      </c>
      <c r="AE572" s="100">
        <f t="shared" si="212"/>
        <v>1</v>
      </c>
      <c r="AF572" s="94">
        <f t="shared" si="230"/>
        <v>6.0000000000000001E-3</v>
      </c>
      <c r="AG572" s="94" cm="1">
        <f t="array" ref="AG572">_xlfn.IFS(
AND(L572="marginal_effect",M572="level"),O572*AN572/BF572,
AND(L572="marginal_effect",M572="sd (Y)"),O572*BH572*AN572/BF572,
AND(L572="marginal_effect",M572="sd (X)"),O572/AQ572*AN572/BF572,
AND(L572="semi_elasticity",M572="level"),O572*AN572,
AND(L572="semi_elasticity",M572="sd (Y)"),O572*AN572*BH572,
AND(L572="semi_elasticity",M572="sd (X)"),O572*AN572/AQ572,
AND(L572="level-log",M572="level"),O572/BF572,
AND(L572="level-log",M572="sd (X)"),O572/BF572/AQ572,
AND(L572="level-log",M572="sd (Y)"),O572/BF572*BH572,
AND(L572="elasticity",M572="level"),O572,
AND(L572="elasticity",M572="sd (X)"),O572/AQ572,
AND(L572="elasticity",M572="sd (Y)"),O572*BH572,
AND(L572="marginal_effect",M572="percent_of_mean"),O572*AN572/BF572/10)</f>
        <v>6.0000000000000001E-3</v>
      </c>
      <c r="AH572" s="100">
        <f t="shared" si="213"/>
        <v>1</v>
      </c>
      <c r="AI572" s="94">
        <f t="shared" si="227"/>
        <v>-0.29599999999999999</v>
      </c>
      <c r="AJ572" s="68">
        <v>0</v>
      </c>
      <c r="AK572" s="68">
        <f t="shared" si="237"/>
        <v>1</v>
      </c>
      <c r="AL572" s="68" t="s">
        <v>82</v>
      </c>
      <c r="AM572" s="68" t="s">
        <v>1333</v>
      </c>
      <c r="AN572" s="68">
        <v>52.42</v>
      </c>
      <c r="AO572" s="68">
        <v>0</v>
      </c>
      <c r="AP572" s="68">
        <f t="shared" si="225"/>
        <v>52.42</v>
      </c>
      <c r="AQ572" s="68">
        <v>29.26</v>
      </c>
      <c r="AR572" s="68" t="s">
        <v>312</v>
      </c>
      <c r="AS572" s="68" t="s">
        <v>312</v>
      </c>
      <c r="AT572" s="68" t="s">
        <v>83</v>
      </c>
      <c r="AU572" s="68" t="s">
        <v>109</v>
      </c>
      <c r="AV572" s="68" t="s">
        <v>133</v>
      </c>
      <c r="AW572" s="68" t="s">
        <v>85</v>
      </c>
      <c r="AX572" s="68" t="s">
        <v>86</v>
      </c>
      <c r="AY572" s="68">
        <v>0</v>
      </c>
      <c r="AZ572" s="68">
        <v>0</v>
      </c>
      <c r="BA572" s="68" t="s">
        <v>111</v>
      </c>
      <c r="BB572" s="68" t="s">
        <v>88</v>
      </c>
      <c r="BC572" s="68" t="s">
        <v>113</v>
      </c>
      <c r="BD572" s="68" t="s">
        <v>114</v>
      </c>
      <c r="BE572" s="68" t="s">
        <v>1268</v>
      </c>
      <c r="BF572" s="68">
        <v>37.01</v>
      </c>
      <c r="BG572" s="68">
        <v>1</v>
      </c>
      <c r="BH572" s="68">
        <v>43.88</v>
      </c>
      <c r="BI572" s="68" t="s">
        <v>312</v>
      </c>
      <c r="BJ572" s="68" t="s">
        <v>312</v>
      </c>
      <c r="BK572" s="68" t="s">
        <v>91</v>
      </c>
      <c r="BL572" s="68" t="s">
        <v>84</v>
      </c>
      <c r="BM572" s="68">
        <v>1</v>
      </c>
      <c r="BN572" s="68" t="s">
        <v>428</v>
      </c>
      <c r="BO572" s="68" t="s">
        <v>1066</v>
      </c>
      <c r="BP572" s="68" t="s">
        <v>1067</v>
      </c>
      <c r="BQ572" s="68" t="s">
        <v>117</v>
      </c>
      <c r="BR572" s="68" t="s">
        <v>93</v>
      </c>
      <c r="BS572" s="68" t="s">
        <v>312</v>
      </c>
      <c r="BT572" s="68" t="s">
        <v>312</v>
      </c>
      <c r="BU572" s="68">
        <v>2014</v>
      </c>
      <c r="BV572" s="68">
        <v>2017</v>
      </c>
      <c r="BW572" s="68" t="s">
        <v>1267</v>
      </c>
      <c r="BX572" s="68" t="s">
        <v>95</v>
      </c>
      <c r="BY572" s="68" t="s">
        <v>96</v>
      </c>
      <c r="BZ572" s="68">
        <v>0</v>
      </c>
      <c r="CA572" s="68">
        <v>0</v>
      </c>
      <c r="CB572" s="68" t="s">
        <v>97</v>
      </c>
      <c r="CC572" s="68" t="s">
        <v>1266</v>
      </c>
      <c r="CD572" s="68">
        <v>1</v>
      </c>
      <c r="CE572" s="68" t="s">
        <v>1265</v>
      </c>
      <c r="CF572" s="68">
        <v>0</v>
      </c>
      <c r="CG572" s="68" t="s">
        <v>97</v>
      </c>
      <c r="CH572" s="68">
        <v>1</v>
      </c>
      <c r="CI572" s="68" t="s">
        <v>509</v>
      </c>
      <c r="CJ572" s="68" t="s">
        <v>98</v>
      </c>
      <c r="CK572" s="68">
        <v>18</v>
      </c>
      <c r="CL572" s="68">
        <v>0</v>
      </c>
      <c r="CM572" s="68">
        <v>0</v>
      </c>
      <c r="CN572" s="68" t="s">
        <v>99</v>
      </c>
      <c r="CO572" s="68" t="s">
        <v>1264</v>
      </c>
      <c r="CP572" s="68" t="s">
        <v>100</v>
      </c>
      <c r="CQ572" s="68" t="s">
        <v>126</v>
      </c>
      <c r="CR572" s="69">
        <v>46227</v>
      </c>
      <c r="CT572" s="68" t="s">
        <v>457</v>
      </c>
    </row>
    <row r="573" spans="1:98" s="68" customFormat="1" x14ac:dyDescent="0.35">
      <c r="A573" s="70" t="s">
        <v>1273</v>
      </c>
      <c r="B573" s="70" t="s">
        <v>1279</v>
      </c>
      <c r="C573" s="68" t="s">
        <v>1271</v>
      </c>
      <c r="D573" s="68">
        <v>2020</v>
      </c>
      <c r="E573" s="70" t="s">
        <v>1270</v>
      </c>
      <c r="F573" s="70" t="s">
        <v>1269</v>
      </c>
      <c r="G573" s="68" t="s">
        <v>78</v>
      </c>
      <c r="H573" s="68">
        <v>1</v>
      </c>
      <c r="I573" s="68" t="s">
        <v>290</v>
      </c>
      <c r="J573" s="68" t="s">
        <v>128</v>
      </c>
      <c r="K573" s="68">
        <v>86</v>
      </c>
      <c r="L573" s="68" t="s">
        <v>80</v>
      </c>
      <c r="M573" s="68" t="s">
        <v>380</v>
      </c>
      <c r="N573" s="68">
        <v>0.13600000000000001</v>
      </c>
      <c r="O573" s="68">
        <v>4.0000000000000001E-3</v>
      </c>
      <c r="P573" s="94">
        <f t="shared" si="231"/>
        <v>34</v>
      </c>
      <c r="Q573" s="68" t="s">
        <v>312</v>
      </c>
      <c r="R573" s="94">
        <f t="shared" si="232"/>
        <v>0.12816</v>
      </c>
      <c r="S573" s="94">
        <f t="shared" si="233"/>
        <v>0.14384000000000002</v>
      </c>
      <c r="T573" s="68">
        <v>1</v>
      </c>
      <c r="U573" s="68">
        <v>1376334</v>
      </c>
      <c r="V573" s="68" t="s">
        <v>312</v>
      </c>
      <c r="W573" s="68" t="s">
        <v>312</v>
      </c>
      <c r="X573" s="68">
        <f t="shared" si="228"/>
        <v>1376334</v>
      </c>
      <c r="Y573" s="94">
        <f t="shared" si="234"/>
        <v>2.8969079104389915E-2</v>
      </c>
      <c r="Z573" s="94">
        <f t="shared" si="235"/>
        <v>8.5203173836440927E-4</v>
      </c>
      <c r="AA573" s="94">
        <f t="shared" si="236"/>
        <v>-2.8969079104389915E-2</v>
      </c>
      <c r="AB573" s="68" t="s">
        <v>81</v>
      </c>
      <c r="AC573" s="94">
        <f t="shared" si="229"/>
        <v>0.13600000000000001</v>
      </c>
      <c r="AD573" s="94" cm="1">
        <f t="array" ref="AD573">_xlfn.IFS(
AND(L573="marginal_effect",M573="level"),N573*AN573/BF573,
AND(L573="marginal_effect",M573="sd (Y)"),N573*BH573*AN573/BF573,
AND(L573="marginal_effect",M573="sd (X)"),N573/AQ573*AN573/BF573,
AND(L573="semi_elasticity",M573="level"),N573*AN573,
AND(L573="semi_elasticity",M573="sd (Y)"),N573*AN573*BH573,
AND(L573="semi_elasticity",M573="sd (X)"),N573*AN573/AQ573,
AND(L573="level-log",M573="level"),N573/BF573,
AND(L573="level-log",M573="sd (X)"),N573/BF573/AQ573,
AND(L573="level-log",M573="sd (Y)"),N573/BF573*BH573,
AND(L573="elasticity",M573="level"),N573,
AND(L573="elasticity",M573="sd (X)"),N573/AQ573,
AND(L573="elasticity",M573="sd (Y)"),N573*BH573,
AND(L573="marginal_effect",M573="percent_of_mean"),N573*AN573/BF573/10)</f>
        <v>0.13600000000000001</v>
      </c>
      <c r="AE573" s="100">
        <f t="shared" si="212"/>
        <v>1</v>
      </c>
      <c r="AF573" s="94">
        <f t="shared" si="230"/>
        <v>4.0000000000000001E-3</v>
      </c>
      <c r="AG573" s="94" cm="1">
        <f t="array" ref="AG573">_xlfn.IFS(
AND(L573="marginal_effect",M573="level"),O573*AN573/BF573,
AND(L573="marginal_effect",M573="sd (Y)"),O573*BH573*AN573/BF573,
AND(L573="marginal_effect",M573="sd (X)"),O573/AQ573*AN573/BF573,
AND(L573="semi_elasticity",M573="level"),O573*AN573,
AND(L573="semi_elasticity",M573="sd (Y)"),O573*AN573*BH573,
AND(L573="semi_elasticity",M573="sd (X)"),O573*AN573/AQ573,
AND(L573="level-log",M573="level"),O573/BF573,
AND(L573="level-log",M573="sd (X)"),O573/BF573/AQ573,
AND(L573="level-log",M573="sd (Y)"),O573/BF573*BH573,
AND(L573="elasticity",M573="level"),O573,
AND(L573="elasticity",M573="sd (X)"),O573/AQ573,
AND(L573="elasticity",M573="sd (Y)"),O573*BH573,
AND(L573="marginal_effect",M573="percent_of_mean"),O573*AN573/BF573/10)</f>
        <v>4.0000000000000001E-3</v>
      </c>
      <c r="AH573" s="100">
        <f t="shared" si="213"/>
        <v>1</v>
      </c>
      <c r="AI573" s="94">
        <f t="shared" si="227"/>
        <v>-0.13600000000000001</v>
      </c>
      <c r="AJ573" s="68">
        <v>0</v>
      </c>
      <c r="AK573" s="68">
        <f t="shared" si="237"/>
        <v>1</v>
      </c>
      <c r="AL573" s="68" t="s">
        <v>82</v>
      </c>
      <c r="AM573" s="68" t="s">
        <v>1333</v>
      </c>
      <c r="AN573" s="68">
        <v>52.42</v>
      </c>
      <c r="AO573" s="68">
        <v>0</v>
      </c>
      <c r="AP573" s="68">
        <f t="shared" si="225"/>
        <v>52.42</v>
      </c>
      <c r="AQ573" s="68">
        <v>29.26</v>
      </c>
      <c r="AR573" s="68" t="s">
        <v>312</v>
      </c>
      <c r="AS573" s="68" t="s">
        <v>312</v>
      </c>
      <c r="AT573" s="68" t="s">
        <v>83</v>
      </c>
      <c r="AU573" s="68" t="s">
        <v>109</v>
      </c>
      <c r="AV573" s="68" t="s">
        <v>133</v>
      </c>
      <c r="AW573" s="68" t="s">
        <v>85</v>
      </c>
      <c r="AX573" s="68" t="s">
        <v>86</v>
      </c>
      <c r="AY573" s="68">
        <v>0</v>
      </c>
      <c r="AZ573" s="68">
        <v>0</v>
      </c>
      <c r="BA573" s="68" t="s">
        <v>111</v>
      </c>
      <c r="BB573" s="68" t="s">
        <v>88</v>
      </c>
      <c r="BC573" s="68" t="s">
        <v>113</v>
      </c>
      <c r="BD573" s="68" t="s">
        <v>114</v>
      </c>
      <c r="BE573" s="68" t="s">
        <v>1268</v>
      </c>
      <c r="BF573" s="68">
        <v>37.01</v>
      </c>
      <c r="BG573" s="68">
        <v>1</v>
      </c>
      <c r="BH573" s="68">
        <v>43.88</v>
      </c>
      <c r="BI573" s="68" t="s">
        <v>312</v>
      </c>
      <c r="BJ573" s="68" t="s">
        <v>312</v>
      </c>
      <c r="BK573" s="68" t="s">
        <v>91</v>
      </c>
      <c r="BL573" s="68" t="s">
        <v>84</v>
      </c>
      <c r="BM573" s="68">
        <v>1</v>
      </c>
      <c r="BN573" s="68" t="s">
        <v>428</v>
      </c>
      <c r="BO573" s="68" t="s">
        <v>1066</v>
      </c>
      <c r="BP573" s="68" t="s">
        <v>1067</v>
      </c>
      <c r="BQ573" s="68" t="s">
        <v>117</v>
      </c>
      <c r="BR573" s="68" t="s">
        <v>93</v>
      </c>
      <c r="BS573" s="68" t="s">
        <v>312</v>
      </c>
      <c r="BT573" s="68" t="s">
        <v>312</v>
      </c>
      <c r="BU573" s="68">
        <v>2014</v>
      </c>
      <c r="BV573" s="68">
        <v>2017</v>
      </c>
      <c r="BW573" s="68" t="s">
        <v>1267</v>
      </c>
      <c r="BX573" s="68" t="s">
        <v>95</v>
      </c>
      <c r="BY573" s="68" t="s">
        <v>96</v>
      </c>
      <c r="BZ573" s="68">
        <v>0</v>
      </c>
      <c r="CA573" s="68">
        <v>0</v>
      </c>
      <c r="CB573" s="68" t="s">
        <v>97</v>
      </c>
      <c r="CC573" s="68" t="s">
        <v>1266</v>
      </c>
      <c r="CD573" s="68">
        <v>1</v>
      </c>
      <c r="CE573" s="68" t="s">
        <v>1265</v>
      </c>
      <c r="CF573" s="68">
        <v>0</v>
      </c>
      <c r="CG573" s="68" t="s">
        <v>97</v>
      </c>
      <c r="CH573" s="68">
        <v>1</v>
      </c>
      <c r="CI573" s="68" t="s">
        <v>509</v>
      </c>
      <c r="CJ573" s="68" t="s">
        <v>98</v>
      </c>
      <c r="CK573" s="68">
        <v>18</v>
      </c>
      <c r="CL573" s="68">
        <v>0</v>
      </c>
      <c r="CM573" s="68">
        <v>0</v>
      </c>
      <c r="CN573" s="68" t="s">
        <v>99</v>
      </c>
      <c r="CO573" s="68" t="s">
        <v>1264</v>
      </c>
      <c r="CP573" s="68" t="s">
        <v>100</v>
      </c>
      <c r="CQ573" s="68" t="s">
        <v>126</v>
      </c>
      <c r="CR573" s="69">
        <v>46227</v>
      </c>
      <c r="CT573" s="68" t="s">
        <v>660</v>
      </c>
    </row>
    <row r="574" spans="1:98" s="68" customFormat="1" x14ac:dyDescent="0.35">
      <c r="A574" s="70" t="s">
        <v>1273</v>
      </c>
      <c r="B574" s="70" t="s">
        <v>1278</v>
      </c>
      <c r="C574" s="68" t="s">
        <v>1271</v>
      </c>
      <c r="D574" s="68">
        <v>2020</v>
      </c>
      <c r="E574" s="70" t="s">
        <v>1270</v>
      </c>
      <c r="F574" s="70" t="s">
        <v>1269</v>
      </c>
      <c r="G574" s="68" t="s">
        <v>78</v>
      </c>
      <c r="H574" s="68">
        <v>1</v>
      </c>
      <c r="I574" s="68" t="s">
        <v>290</v>
      </c>
      <c r="J574" s="68" t="s">
        <v>128</v>
      </c>
      <c r="K574" s="68">
        <v>86</v>
      </c>
      <c r="L574" s="68" t="s">
        <v>80</v>
      </c>
      <c r="M574" s="68" t="s">
        <v>380</v>
      </c>
      <c r="N574" s="68">
        <v>0.34399999999999997</v>
      </c>
      <c r="O574" s="68">
        <v>7.0000000000000001E-3</v>
      </c>
      <c r="P574" s="94">
        <f t="shared" si="231"/>
        <v>49.142857142857139</v>
      </c>
      <c r="Q574" s="68" t="s">
        <v>312</v>
      </c>
      <c r="R574" s="94">
        <f t="shared" si="232"/>
        <v>0.33027999999999996</v>
      </c>
      <c r="S574" s="94">
        <f t="shared" si="233"/>
        <v>0.35771999999999998</v>
      </c>
      <c r="T574" s="68">
        <v>1</v>
      </c>
      <c r="U574" s="68">
        <v>979789</v>
      </c>
      <c r="V574" s="68" t="s">
        <v>312</v>
      </c>
      <c r="W574" s="68" t="s">
        <v>312</v>
      </c>
      <c r="X574" s="68">
        <f t="shared" si="228"/>
        <v>979789</v>
      </c>
      <c r="Y574" s="94">
        <f t="shared" si="234"/>
        <v>4.95860539769956E-2</v>
      </c>
      <c r="Z574" s="94">
        <f t="shared" si="235"/>
        <v>1.0090185402295618E-3</v>
      </c>
      <c r="AA574" s="94">
        <f t="shared" si="236"/>
        <v>-4.95860539769956E-2</v>
      </c>
      <c r="AB574" s="68" t="s">
        <v>81</v>
      </c>
      <c r="AC574" s="94">
        <f t="shared" si="229"/>
        <v>0.34399999999999997</v>
      </c>
      <c r="AD574" s="94" cm="1">
        <f t="array" ref="AD574">_xlfn.IFS(
AND(L574="marginal_effect",M574="level"),N574*AN574/BF574,
AND(L574="marginal_effect",M574="sd (Y)"),N574*BH574*AN574/BF574,
AND(L574="marginal_effect",M574="sd (X)"),N574/AQ574*AN574/BF574,
AND(L574="semi_elasticity",M574="level"),N574*AN574,
AND(L574="semi_elasticity",M574="sd (Y)"),N574*AN574*BH574,
AND(L574="semi_elasticity",M574="sd (X)"),N574*AN574/AQ574,
AND(L574="level-log",M574="level"),N574/BF574,
AND(L574="level-log",M574="sd (X)"),N574/BF574/AQ574,
AND(L574="level-log",M574="sd (Y)"),N574/BF574*BH574,
AND(L574="elasticity",M574="level"),N574,
AND(L574="elasticity",M574="sd (X)"),N574/AQ574,
AND(L574="elasticity",M574="sd (Y)"),N574*BH574,
AND(L574="marginal_effect",M574="percent_of_mean"),N574*AN574/BF574/10)</f>
        <v>0.34399999999999997</v>
      </c>
      <c r="AE574" s="100">
        <f t="shared" si="212"/>
        <v>1</v>
      </c>
      <c r="AF574" s="94">
        <f t="shared" si="230"/>
        <v>7.0000000000000001E-3</v>
      </c>
      <c r="AG574" s="94" cm="1">
        <f t="array" ref="AG574">_xlfn.IFS(
AND(L574="marginal_effect",M574="level"),O574*AN574/BF574,
AND(L574="marginal_effect",M574="sd (Y)"),O574*BH574*AN574/BF574,
AND(L574="marginal_effect",M574="sd (X)"),O574/AQ574*AN574/BF574,
AND(L574="semi_elasticity",M574="level"),O574*AN574,
AND(L574="semi_elasticity",M574="sd (Y)"),O574*AN574*BH574,
AND(L574="semi_elasticity",M574="sd (X)"),O574*AN574/AQ574,
AND(L574="level-log",M574="level"),O574/BF574,
AND(L574="level-log",M574="sd (X)"),O574/BF574/AQ574,
AND(L574="level-log",M574="sd (Y)"),O574/BF574*BH574,
AND(L574="elasticity",M574="level"),O574,
AND(L574="elasticity",M574="sd (X)"),O574/AQ574,
AND(L574="elasticity",M574="sd (Y)"),O574*BH574,
AND(L574="marginal_effect",M574="percent_of_mean"),O574*AN574/BF574/10)</f>
        <v>7.0000000000000001E-3</v>
      </c>
      <c r="AH574" s="100">
        <f t="shared" si="213"/>
        <v>1</v>
      </c>
      <c r="AI574" s="94">
        <f t="shared" si="227"/>
        <v>-0.34399999999999997</v>
      </c>
      <c r="AJ574" s="68">
        <v>0</v>
      </c>
      <c r="AK574" s="68">
        <f t="shared" si="237"/>
        <v>1</v>
      </c>
      <c r="AL574" s="68" t="s">
        <v>82</v>
      </c>
      <c r="AM574" s="68" t="s">
        <v>1333</v>
      </c>
      <c r="AN574" s="68">
        <v>52.42</v>
      </c>
      <c r="AO574" s="68">
        <v>0</v>
      </c>
      <c r="AP574" s="68">
        <f t="shared" si="225"/>
        <v>52.42</v>
      </c>
      <c r="AQ574" s="68">
        <v>29.26</v>
      </c>
      <c r="AR574" s="68" t="s">
        <v>312</v>
      </c>
      <c r="AS574" s="68" t="s">
        <v>312</v>
      </c>
      <c r="AT574" s="68" t="s">
        <v>83</v>
      </c>
      <c r="AU574" s="68" t="s">
        <v>109</v>
      </c>
      <c r="AV574" s="68" t="s">
        <v>133</v>
      </c>
      <c r="AW574" s="68" t="s">
        <v>85</v>
      </c>
      <c r="AX574" s="68" t="s">
        <v>86</v>
      </c>
      <c r="AY574" s="68">
        <v>0</v>
      </c>
      <c r="AZ574" s="68">
        <v>0</v>
      </c>
      <c r="BA574" s="68" t="s">
        <v>111</v>
      </c>
      <c r="BB574" s="68" t="s">
        <v>88</v>
      </c>
      <c r="BC574" s="68" t="s">
        <v>113</v>
      </c>
      <c r="BD574" s="68" t="s">
        <v>114</v>
      </c>
      <c r="BE574" s="68" t="s">
        <v>1268</v>
      </c>
      <c r="BF574" s="68">
        <v>37.01</v>
      </c>
      <c r="BG574" s="68">
        <v>1</v>
      </c>
      <c r="BH574" s="68">
        <v>43.88</v>
      </c>
      <c r="BI574" s="68" t="s">
        <v>312</v>
      </c>
      <c r="BJ574" s="68" t="s">
        <v>312</v>
      </c>
      <c r="BK574" s="68" t="s">
        <v>91</v>
      </c>
      <c r="BL574" s="68" t="s">
        <v>84</v>
      </c>
      <c r="BM574" s="68">
        <v>1</v>
      </c>
      <c r="BN574" s="68" t="s">
        <v>428</v>
      </c>
      <c r="BO574" s="68" t="s">
        <v>1066</v>
      </c>
      <c r="BP574" s="68" t="s">
        <v>1067</v>
      </c>
      <c r="BQ574" s="68" t="s">
        <v>117</v>
      </c>
      <c r="BR574" s="68" t="s">
        <v>93</v>
      </c>
      <c r="BS574" s="68" t="s">
        <v>312</v>
      </c>
      <c r="BT574" s="68" t="s">
        <v>312</v>
      </c>
      <c r="BU574" s="68">
        <v>2014</v>
      </c>
      <c r="BV574" s="68">
        <v>2017</v>
      </c>
      <c r="BW574" s="68" t="s">
        <v>1267</v>
      </c>
      <c r="BX574" s="68" t="s">
        <v>95</v>
      </c>
      <c r="BY574" s="68" t="s">
        <v>96</v>
      </c>
      <c r="BZ574" s="68">
        <v>0</v>
      </c>
      <c r="CA574" s="68">
        <v>0</v>
      </c>
      <c r="CB574" s="68" t="s">
        <v>97</v>
      </c>
      <c r="CC574" s="68" t="s">
        <v>1266</v>
      </c>
      <c r="CD574" s="68">
        <v>1</v>
      </c>
      <c r="CE574" s="68" t="s">
        <v>1265</v>
      </c>
      <c r="CF574" s="68">
        <v>0</v>
      </c>
      <c r="CG574" s="68" t="s">
        <v>97</v>
      </c>
      <c r="CH574" s="68">
        <v>1</v>
      </c>
      <c r="CI574" s="68" t="s">
        <v>509</v>
      </c>
      <c r="CJ574" s="68" t="s">
        <v>98</v>
      </c>
      <c r="CK574" s="68">
        <v>18</v>
      </c>
      <c r="CL574" s="68">
        <v>0</v>
      </c>
      <c r="CM574" s="68">
        <v>0</v>
      </c>
      <c r="CN574" s="68" t="s">
        <v>99</v>
      </c>
      <c r="CO574" s="68" t="s">
        <v>1264</v>
      </c>
      <c r="CP574" s="68" t="s">
        <v>100</v>
      </c>
      <c r="CQ574" s="68" t="s">
        <v>126</v>
      </c>
      <c r="CR574" s="69">
        <v>46227</v>
      </c>
      <c r="CT574" s="68" t="s">
        <v>661</v>
      </c>
    </row>
    <row r="575" spans="1:98" s="68" customFormat="1" x14ac:dyDescent="0.35">
      <c r="A575" s="70" t="s">
        <v>1273</v>
      </c>
      <c r="B575" s="70" t="s">
        <v>1277</v>
      </c>
      <c r="C575" s="68" t="s">
        <v>1271</v>
      </c>
      <c r="D575" s="68">
        <v>2020</v>
      </c>
      <c r="E575" s="70" t="s">
        <v>1270</v>
      </c>
      <c r="F575" s="70" t="s">
        <v>1269</v>
      </c>
      <c r="G575" s="68" t="s">
        <v>78</v>
      </c>
      <c r="H575" s="68">
        <v>1</v>
      </c>
      <c r="I575" s="68" t="s">
        <v>290</v>
      </c>
      <c r="J575" s="68" t="s">
        <v>128</v>
      </c>
      <c r="K575" s="68">
        <v>86</v>
      </c>
      <c r="L575" s="68" t="s">
        <v>80</v>
      </c>
      <c r="M575" s="68" t="s">
        <v>380</v>
      </c>
      <c r="N575" s="68">
        <v>0.16400000000000001</v>
      </c>
      <c r="O575" s="68">
        <v>4.0000000000000001E-3</v>
      </c>
      <c r="P575" s="94">
        <f t="shared" si="231"/>
        <v>41</v>
      </c>
      <c r="Q575" s="68" t="s">
        <v>312</v>
      </c>
      <c r="R575" s="94">
        <f t="shared" si="232"/>
        <v>0.15616000000000002</v>
      </c>
      <c r="S575" s="94">
        <f t="shared" si="233"/>
        <v>0.17183999999999999</v>
      </c>
      <c r="T575" s="68">
        <v>1</v>
      </c>
      <c r="U575" s="68">
        <v>1273822</v>
      </c>
      <c r="V575" s="68" t="s">
        <v>312</v>
      </c>
      <c r="W575" s="68" t="s">
        <v>312</v>
      </c>
      <c r="X575" s="68">
        <f t="shared" si="228"/>
        <v>1273822</v>
      </c>
      <c r="Y575" s="94">
        <f t="shared" si="234"/>
        <v>3.6303050058691118E-2</v>
      </c>
      <c r="Z575" s="94">
        <f t="shared" si="235"/>
        <v>8.8544024533392975E-4</v>
      </c>
      <c r="AA575" s="94">
        <f t="shared" si="236"/>
        <v>-3.6303050058691118E-2</v>
      </c>
      <c r="AB575" s="68" t="s">
        <v>81</v>
      </c>
      <c r="AC575" s="94">
        <f t="shared" si="229"/>
        <v>0.16400000000000001</v>
      </c>
      <c r="AD575" s="94" cm="1">
        <f t="array" ref="AD575">_xlfn.IFS(
AND(L575="marginal_effect",M575="level"),N575*AN575/BF575,
AND(L575="marginal_effect",M575="sd (Y)"),N575*BH575*AN575/BF575,
AND(L575="marginal_effect",M575="sd (X)"),N575/AQ575*AN575/BF575,
AND(L575="semi_elasticity",M575="level"),N575*AN575,
AND(L575="semi_elasticity",M575="sd (Y)"),N575*AN575*BH575,
AND(L575="semi_elasticity",M575="sd (X)"),N575*AN575/AQ575,
AND(L575="level-log",M575="level"),N575/BF575,
AND(L575="level-log",M575="sd (X)"),N575/BF575/AQ575,
AND(L575="level-log",M575="sd (Y)"),N575/BF575*BH575,
AND(L575="elasticity",M575="level"),N575,
AND(L575="elasticity",M575="sd (X)"),N575/AQ575,
AND(L575="elasticity",M575="sd (Y)"),N575*BH575,
AND(L575="marginal_effect",M575="percent_of_mean"),N575*AN575/BF575/10)</f>
        <v>0.16400000000000001</v>
      </c>
      <c r="AE575" s="100">
        <f t="shared" si="212"/>
        <v>1</v>
      </c>
      <c r="AF575" s="94">
        <f t="shared" si="230"/>
        <v>4.0000000000000001E-3</v>
      </c>
      <c r="AG575" s="94" cm="1">
        <f t="array" ref="AG575">_xlfn.IFS(
AND(L575="marginal_effect",M575="level"),O575*AN575/BF575,
AND(L575="marginal_effect",M575="sd (Y)"),O575*BH575*AN575/BF575,
AND(L575="marginal_effect",M575="sd (X)"),O575/AQ575*AN575/BF575,
AND(L575="semi_elasticity",M575="level"),O575*AN575,
AND(L575="semi_elasticity",M575="sd (Y)"),O575*AN575*BH575,
AND(L575="semi_elasticity",M575="sd (X)"),O575*AN575/AQ575,
AND(L575="level-log",M575="level"),O575/BF575,
AND(L575="level-log",M575="sd (X)"),O575/BF575/AQ575,
AND(L575="level-log",M575="sd (Y)"),O575/BF575*BH575,
AND(L575="elasticity",M575="level"),O575,
AND(L575="elasticity",M575="sd (X)"),O575/AQ575,
AND(L575="elasticity",M575="sd (Y)"),O575*BH575,
AND(L575="marginal_effect",M575="percent_of_mean"),O575*AN575/BF575/10)</f>
        <v>4.0000000000000001E-3</v>
      </c>
      <c r="AH575" s="100">
        <f t="shared" si="213"/>
        <v>1</v>
      </c>
      <c r="AI575" s="94">
        <f t="shared" si="227"/>
        <v>-0.16400000000000001</v>
      </c>
      <c r="AJ575" s="68">
        <v>0</v>
      </c>
      <c r="AK575" s="68">
        <f t="shared" si="237"/>
        <v>1</v>
      </c>
      <c r="AL575" s="68" t="s">
        <v>82</v>
      </c>
      <c r="AM575" s="68" t="s">
        <v>1333</v>
      </c>
      <c r="AN575" s="68">
        <v>52.42</v>
      </c>
      <c r="AO575" s="68">
        <v>0</v>
      </c>
      <c r="AP575" s="68">
        <f t="shared" si="225"/>
        <v>52.42</v>
      </c>
      <c r="AQ575" s="68">
        <v>29.26</v>
      </c>
      <c r="AR575" s="68" t="s">
        <v>312</v>
      </c>
      <c r="AS575" s="68" t="s">
        <v>312</v>
      </c>
      <c r="AT575" s="68" t="s">
        <v>83</v>
      </c>
      <c r="AU575" s="68" t="s">
        <v>109</v>
      </c>
      <c r="AV575" s="68" t="s">
        <v>133</v>
      </c>
      <c r="AW575" s="68" t="s">
        <v>85</v>
      </c>
      <c r="AX575" s="68" t="s">
        <v>86</v>
      </c>
      <c r="AY575" s="68">
        <v>0</v>
      </c>
      <c r="AZ575" s="68">
        <v>0</v>
      </c>
      <c r="BA575" s="68" t="s">
        <v>111</v>
      </c>
      <c r="BB575" s="68" t="s">
        <v>88</v>
      </c>
      <c r="BC575" s="68" t="s">
        <v>113</v>
      </c>
      <c r="BD575" s="68" t="s">
        <v>114</v>
      </c>
      <c r="BE575" s="68" t="s">
        <v>1268</v>
      </c>
      <c r="BF575" s="68">
        <v>37.01</v>
      </c>
      <c r="BG575" s="68">
        <v>1</v>
      </c>
      <c r="BH575" s="68">
        <v>43.88</v>
      </c>
      <c r="BI575" s="68" t="s">
        <v>312</v>
      </c>
      <c r="BJ575" s="68" t="s">
        <v>312</v>
      </c>
      <c r="BK575" s="68" t="s">
        <v>91</v>
      </c>
      <c r="BL575" s="68" t="s">
        <v>84</v>
      </c>
      <c r="BM575" s="68">
        <v>1</v>
      </c>
      <c r="BN575" s="68" t="s">
        <v>428</v>
      </c>
      <c r="BO575" s="68" t="s">
        <v>1066</v>
      </c>
      <c r="BP575" s="68" t="s">
        <v>1067</v>
      </c>
      <c r="BQ575" s="68" t="s">
        <v>117</v>
      </c>
      <c r="BR575" s="68" t="s">
        <v>93</v>
      </c>
      <c r="BS575" s="68" t="s">
        <v>312</v>
      </c>
      <c r="BT575" s="68" t="s">
        <v>312</v>
      </c>
      <c r="BU575" s="68">
        <v>2014</v>
      </c>
      <c r="BV575" s="68">
        <v>2017</v>
      </c>
      <c r="BW575" s="68" t="s">
        <v>1267</v>
      </c>
      <c r="BX575" s="68" t="s">
        <v>95</v>
      </c>
      <c r="BY575" s="68" t="s">
        <v>96</v>
      </c>
      <c r="BZ575" s="68">
        <v>0</v>
      </c>
      <c r="CA575" s="68">
        <v>0</v>
      </c>
      <c r="CB575" s="68" t="s">
        <v>97</v>
      </c>
      <c r="CC575" s="68" t="s">
        <v>1266</v>
      </c>
      <c r="CD575" s="68">
        <v>1</v>
      </c>
      <c r="CE575" s="68" t="s">
        <v>1265</v>
      </c>
      <c r="CF575" s="68">
        <v>0</v>
      </c>
      <c r="CG575" s="68" t="s">
        <v>97</v>
      </c>
      <c r="CH575" s="68">
        <v>1</v>
      </c>
      <c r="CI575" s="68" t="s">
        <v>509</v>
      </c>
      <c r="CJ575" s="68" t="s">
        <v>98</v>
      </c>
      <c r="CK575" s="68">
        <v>18</v>
      </c>
      <c r="CL575" s="68">
        <v>0</v>
      </c>
      <c r="CM575" s="68">
        <v>0</v>
      </c>
      <c r="CN575" s="68" t="s">
        <v>99</v>
      </c>
      <c r="CO575" s="68" t="s">
        <v>1264</v>
      </c>
      <c r="CP575" s="68" t="s">
        <v>100</v>
      </c>
      <c r="CQ575" s="68" t="s">
        <v>126</v>
      </c>
      <c r="CR575" s="69">
        <v>46227</v>
      </c>
      <c r="CT575" s="68" t="s">
        <v>1205</v>
      </c>
    </row>
    <row r="576" spans="1:98" s="68" customFormat="1" x14ac:dyDescent="0.35">
      <c r="A576" s="70" t="s">
        <v>1273</v>
      </c>
      <c r="B576" s="70" t="s">
        <v>1276</v>
      </c>
      <c r="C576" s="68" t="s">
        <v>1271</v>
      </c>
      <c r="D576" s="68">
        <v>2020</v>
      </c>
      <c r="E576" s="70" t="s">
        <v>1270</v>
      </c>
      <c r="F576" s="70" t="s">
        <v>1269</v>
      </c>
      <c r="G576" s="68" t="s">
        <v>78</v>
      </c>
      <c r="H576" s="68">
        <v>1</v>
      </c>
      <c r="I576" s="68" t="s">
        <v>290</v>
      </c>
      <c r="J576" s="68" t="s">
        <v>128</v>
      </c>
      <c r="K576" s="68">
        <v>86</v>
      </c>
      <c r="L576" s="68" t="s">
        <v>80</v>
      </c>
      <c r="M576" s="68" t="s">
        <v>380</v>
      </c>
      <c r="N576" s="68">
        <v>0.19</v>
      </c>
      <c r="O576" s="68">
        <v>4.0000000000000001E-3</v>
      </c>
      <c r="P576" s="94">
        <f t="shared" si="231"/>
        <v>47.5</v>
      </c>
      <c r="Q576" s="68" t="s">
        <v>312</v>
      </c>
      <c r="R576" s="94">
        <f t="shared" si="232"/>
        <v>0.18215999999999999</v>
      </c>
      <c r="S576" s="94">
        <f t="shared" si="233"/>
        <v>0.19784000000000002</v>
      </c>
      <c r="T576" s="68">
        <v>1</v>
      </c>
      <c r="U576" s="68">
        <v>1082285</v>
      </c>
      <c r="V576" s="68" t="s">
        <v>312</v>
      </c>
      <c r="W576" s="68" t="s">
        <v>312</v>
      </c>
      <c r="X576" s="68">
        <f t="shared" si="228"/>
        <v>1082285</v>
      </c>
      <c r="Y576" s="94">
        <f t="shared" si="234"/>
        <v>4.5611102728837533E-2</v>
      </c>
      <c r="Z576" s="94">
        <f t="shared" si="235"/>
        <v>9.6023374165973754E-4</v>
      </c>
      <c r="AA576" s="94">
        <f t="shared" si="236"/>
        <v>-4.5611102728837533E-2</v>
      </c>
      <c r="AB576" s="68" t="s">
        <v>81</v>
      </c>
      <c r="AC576" s="94">
        <f t="shared" si="229"/>
        <v>0.19</v>
      </c>
      <c r="AD576" s="94" cm="1">
        <f t="array" ref="AD576">_xlfn.IFS(
AND(L576="marginal_effect",M576="level"),N576*AN576/BF576,
AND(L576="marginal_effect",M576="sd (Y)"),N576*BH576*AN576/BF576,
AND(L576="marginal_effect",M576="sd (X)"),N576/AQ576*AN576/BF576,
AND(L576="semi_elasticity",M576="level"),N576*AN576,
AND(L576="semi_elasticity",M576="sd (Y)"),N576*AN576*BH576,
AND(L576="semi_elasticity",M576="sd (X)"),N576*AN576/AQ576,
AND(L576="level-log",M576="level"),N576/BF576,
AND(L576="level-log",M576="sd (X)"),N576/BF576/AQ576,
AND(L576="level-log",M576="sd (Y)"),N576/BF576*BH576,
AND(L576="elasticity",M576="level"),N576,
AND(L576="elasticity",M576="sd (X)"),N576/AQ576,
AND(L576="elasticity",M576="sd (Y)"),N576*BH576,
AND(L576="marginal_effect",M576="percent_of_mean"),N576*AN576/BF576/10)</f>
        <v>0.19</v>
      </c>
      <c r="AE576" s="100">
        <f t="shared" si="212"/>
        <v>1</v>
      </c>
      <c r="AF576" s="94">
        <f t="shared" si="230"/>
        <v>4.0000000000000001E-3</v>
      </c>
      <c r="AG576" s="94" cm="1">
        <f t="array" ref="AG576">_xlfn.IFS(
AND(L576="marginal_effect",M576="level"),O576*AN576/BF576,
AND(L576="marginal_effect",M576="sd (Y)"),O576*BH576*AN576/BF576,
AND(L576="marginal_effect",M576="sd (X)"),O576/AQ576*AN576/BF576,
AND(L576="semi_elasticity",M576="level"),O576*AN576,
AND(L576="semi_elasticity",M576="sd (Y)"),O576*AN576*BH576,
AND(L576="semi_elasticity",M576="sd (X)"),O576*AN576/AQ576,
AND(L576="level-log",M576="level"),O576/BF576,
AND(L576="level-log",M576="sd (X)"),O576/BF576/AQ576,
AND(L576="level-log",M576="sd (Y)"),O576/BF576*BH576,
AND(L576="elasticity",M576="level"),O576,
AND(L576="elasticity",M576="sd (X)"),O576/AQ576,
AND(L576="elasticity",M576="sd (Y)"),O576*BH576,
AND(L576="marginal_effect",M576="percent_of_mean"),O576*AN576/BF576/10)</f>
        <v>4.0000000000000001E-3</v>
      </c>
      <c r="AH576" s="100">
        <f t="shared" si="213"/>
        <v>1</v>
      </c>
      <c r="AI576" s="94">
        <f t="shared" si="227"/>
        <v>-0.19</v>
      </c>
      <c r="AJ576" s="68">
        <v>0</v>
      </c>
      <c r="AK576" s="68">
        <f t="shared" si="237"/>
        <v>1</v>
      </c>
      <c r="AL576" s="68" t="s">
        <v>82</v>
      </c>
      <c r="AM576" s="68" t="s">
        <v>1333</v>
      </c>
      <c r="AN576" s="68">
        <v>52.42</v>
      </c>
      <c r="AO576" s="68">
        <v>0</v>
      </c>
      <c r="AP576" s="68">
        <f t="shared" si="225"/>
        <v>52.42</v>
      </c>
      <c r="AQ576" s="68">
        <v>29.26</v>
      </c>
      <c r="AR576" s="68" t="s">
        <v>312</v>
      </c>
      <c r="AS576" s="68" t="s">
        <v>312</v>
      </c>
      <c r="AT576" s="68" t="s">
        <v>83</v>
      </c>
      <c r="AU576" s="68" t="s">
        <v>109</v>
      </c>
      <c r="AV576" s="68" t="s">
        <v>133</v>
      </c>
      <c r="AW576" s="68" t="s">
        <v>85</v>
      </c>
      <c r="AX576" s="68" t="s">
        <v>86</v>
      </c>
      <c r="AY576" s="68">
        <v>0</v>
      </c>
      <c r="AZ576" s="68">
        <v>0</v>
      </c>
      <c r="BA576" s="68" t="s">
        <v>111</v>
      </c>
      <c r="BB576" s="68" t="s">
        <v>88</v>
      </c>
      <c r="BC576" s="68" t="s">
        <v>113</v>
      </c>
      <c r="BD576" s="68" t="s">
        <v>114</v>
      </c>
      <c r="BE576" s="68" t="s">
        <v>1268</v>
      </c>
      <c r="BF576" s="68">
        <v>37.01</v>
      </c>
      <c r="BG576" s="68">
        <v>1</v>
      </c>
      <c r="BH576" s="68">
        <v>43.88</v>
      </c>
      <c r="BI576" s="68" t="s">
        <v>312</v>
      </c>
      <c r="BJ576" s="68" t="s">
        <v>312</v>
      </c>
      <c r="BK576" s="68" t="s">
        <v>91</v>
      </c>
      <c r="BL576" s="68" t="s">
        <v>84</v>
      </c>
      <c r="BM576" s="68">
        <v>1</v>
      </c>
      <c r="BN576" s="68" t="s">
        <v>428</v>
      </c>
      <c r="BO576" s="68" t="s">
        <v>1066</v>
      </c>
      <c r="BP576" s="68" t="s">
        <v>1067</v>
      </c>
      <c r="BQ576" s="68" t="s">
        <v>117</v>
      </c>
      <c r="BR576" s="68" t="s">
        <v>93</v>
      </c>
      <c r="BS576" s="68" t="s">
        <v>312</v>
      </c>
      <c r="BT576" s="68" t="s">
        <v>312</v>
      </c>
      <c r="BU576" s="68">
        <v>2014</v>
      </c>
      <c r="BV576" s="68">
        <v>2017</v>
      </c>
      <c r="BW576" s="68" t="s">
        <v>1267</v>
      </c>
      <c r="BX576" s="68" t="s">
        <v>95</v>
      </c>
      <c r="BY576" s="68" t="s">
        <v>96</v>
      </c>
      <c r="BZ576" s="68">
        <v>0</v>
      </c>
      <c r="CA576" s="68">
        <v>0</v>
      </c>
      <c r="CB576" s="68" t="s">
        <v>97</v>
      </c>
      <c r="CC576" s="68" t="s">
        <v>1266</v>
      </c>
      <c r="CD576" s="68">
        <v>1</v>
      </c>
      <c r="CE576" s="68" t="s">
        <v>1265</v>
      </c>
      <c r="CF576" s="68">
        <v>0</v>
      </c>
      <c r="CG576" s="68" t="s">
        <v>97</v>
      </c>
      <c r="CH576" s="68">
        <v>1</v>
      </c>
      <c r="CI576" s="68" t="s">
        <v>509</v>
      </c>
      <c r="CJ576" s="68" t="s">
        <v>98</v>
      </c>
      <c r="CK576" s="68">
        <v>18</v>
      </c>
      <c r="CL576" s="68">
        <v>0</v>
      </c>
      <c r="CM576" s="68">
        <v>0</v>
      </c>
      <c r="CN576" s="68" t="s">
        <v>99</v>
      </c>
      <c r="CO576" s="68" t="s">
        <v>1264</v>
      </c>
      <c r="CP576" s="68" t="s">
        <v>100</v>
      </c>
      <c r="CQ576" s="68" t="s">
        <v>126</v>
      </c>
      <c r="CR576" s="69">
        <v>46227</v>
      </c>
      <c r="CT576" s="68" t="s">
        <v>1206</v>
      </c>
    </row>
    <row r="577" spans="1:98" s="68" customFormat="1" x14ac:dyDescent="0.35">
      <c r="A577" s="70" t="s">
        <v>1273</v>
      </c>
      <c r="B577" s="70" t="s">
        <v>1275</v>
      </c>
      <c r="C577" s="68" t="s">
        <v>1271</v>
      </c>
      <c r="D577" s="68">
        <v>2020</v>
      </c>
      <c r="E577" s="70" t="s">
        <v>1270</v>
      </c>
      <c r="F577" s="70" t="s">
        <v>1269</v>
      </c>
      <c r="G577" s="68" t="s">
        <v>78</v>
      </c>
      <c r="H577" s="68">
        <v>1</v>
      </c>
      <c r="I577" s="68" t="s">
        <v>290</v>
      </c>
      <c r="J577" s="68" t="s">
        <v>128</v>
      </c>
      <c r="K577" s="68">
        <v>86</v>
      </c>
      <c r="L577" s="68" t="s">
        <v>80</v>
      </c>
      <c r="M577" s="68" t="s">
        <v>380</v>
      </c>
      <c r="N577" s="68">
        <v>0.27300000000000002</v>
      </c>
      <c r="O577" s="68">
        <v>3.0000000000000001E-3</v>
      </c>
      <c r="P577" s="94">
        <f t="shared" si="231"/>
        <v>91</v>
      </c>
      <c r="Q577" s="68" t="s">
        <v>312</v>
      </c>
      <c r="R577" s="94">
        <f t="shared" si="232"/>
        <v>0.26712000000000002</v>
      </c>
      <c r="S577" s="94">
        <f t="shared" si="233"/>
        <v>0.27888000000000002</v>
      </c>
      <c r="T577" s="68">
        <v>1</v>
      </c>
      <c r="U577" s="68">
        <v>10234498</v>
      </c>
      <c r="V577" s="68" t="s">
        <v>312</v>
      </c>
      <c r="W577" s="68" t="s">
        <v>312</v>
      </c>
      <c r="X577" s="68">
        <f t="shared" si="228"/>
        <v>10234498</v>
      </c>
      <c r="Y577" s="94">
        <f t="shared" si="234"/>
        <v>2.8433642005331404E-2</v>
      </c>
      <c r="Z577" s="94">
        <f t="shared" si="235"/>
        <v>3.1245760445419122E-4</v>
      </c>
      <c r="AA577" s="94">
        <f t="shared" si="236"/>
        <v>-2.8433642005331404E-2</v>
      </c>
      <c r="AB577" s="68" t="s">
        <v>81</v>
      </c>
      <c r="AC577" s="94">
        <f t="shared" si="229"/>
        <v>0.27300000000000002</v>
      </c>
      <c r="AD577" s="94" cm="1">
        <f t="array" ref="AD577">_xlfn.IFS(
AND(L577="marginal_effect",M577="level"),N577*AN577/BF577,
AND(L577="marginal_effect",M577="sd (Y)"),N577*BH577*AN577/BF577,
AND(L577="marginal_effect",M577="sd (X)"),N577/AQ577*AN577/BF577,
AND(L577="semi_elasticity",M577="level"),N577*AN577,
AND(L577="semi_elasticity",M577="sd (Y)"),N577*AN577*BH577,
AND(L577="semi_elasticity",M577="sd (X)"),N577*AN577/AQ577,
AND(L577="level-log",M577="level"),N577/BF577,
AND(L577="level-log",M577="sd (X)"),N577/BF577/AQ577,
AND(L577="level-log",M577="sd (Y)"),N577/BF577*BH577,
AND(L577="elasticity",M577="level"),N577,
AND(L577="elasticity",M577="sd (X)"),N577/AQ577,
AND(L577="elasticity",M577="sd (Y)"),N577*BH577,
AND(L577="marginal_effect",M577="percent_of_mean"),N577*AN577/BF577/10)</f>
        <v>0.27300000000000002</v>
      </c>
      <c r="AE577" s="100">
        <f t="shared" si="212"/>
        <v>1</v>
      </c>
      <c r="AF577" s="94">
        <f t="shared" si="230"/>
        <v>3.0000000000000001E-3</v>
      </c>
      <c r="AG577" s="94" cm="1">
        <f t="array" ref="AG577">_xlfn.IFS(
AND(L577="marginal_effect",M577="level"),O577*AN577/BF577,
AND(L577="marginal_effect",M577="sd (Y)"),O577*BH577*AN577/BF577,
AND(L577="marginal_effect",M577="sd (X)"),O577/AQ577*AN577/BF577,
AND(L577="semi_elasticity",M577="level"),O577*AN577,
AND(L577="semi_elasticity",M577="sd (Y)"),O577*AN577*BH577,
AND(L577="semi_elasticity",M577="sd (X)"),O577*AN577/AQ577,
AND(L577="level-log",M577="level"),O577/BF577,
AND(L577="level-log",M577="sd (X)"),O577/BF577/AQ577,
AND(L577="level-log",M577="sd (Y)"),O577/BF577*BH577,
AND(L577="elasticity",M577="level"),O577,
AND(L577="elasticity",M577="sd (X)"),O577/AQ577,
AND(L577="elasticity",M577="sd (Y)"),O577*BH577,
AND(L577="marginal_effect",M577="percent_of_mean"),O577*AN577/BF577/10)</f>
        <v>3.0000000000000001E-3</v>
      </c>
      <c r="AH577" s="100">
        <f t="shared" si="213"/>
        <v>1</v>
      </c>
      <c r="AI577" s="94">
        <f t="shared" si="227"/>
        <v>-0.27300000000000002</v>
      </c>
      <c r="AJ577" s="68">
        <v>0</v>
      </c>
      <c r="AK577" s="68">
        <f t="shared" si="237"/>
        <v>1</v>
      </c>
      <c r="AL577" s="68" t="s">
        <v>82</v>
      </c>
      <c r="AM577" s="68" t="s">
        <v>1333</v>
      </c>
      <c r="AN577" s="68">
        <v>52.42</v>
      </c>
      <c r="AO577" s="68">
        <v>0</v>
      </c>
      <c r="AP577" s="68">
        <f t="shared" si="225"/>
        <v>52.42</v>
      </c>
      <c r="AQ577" s="68">
        <v>29.26</v>
      </c>
      <c r="AR577" s="68" t="s">
        <v>312</v>
      </c>
      <c r="AS577" s="68" t="s">
        <v>312</v>
      </c>
      <c r="AT577" s="68" t="s">
        <v>83</v>
      </c>
      <c r="AU577" s="68" t="s">
        <v>109</v>
      </c>
      <c r="AV577" s="68" t="s">
        <v>133</v>
      </c>
      <c r="AW577" s="68" t="s">
        <v>85</v>
      </c>
      <c r="AX577" s="68" t="s">
        <v>86</v>
      </c>
      <c r="AY577" s="68">
        <v>0</v>
      </c>
      <c r="AZ577" s="68">
        <v>0</v>
      </c>
      <c r="BA577" s="68" t="s">
        <v>111</v>
      </c>
      <c r="BB577" s="68" t="s">
        <v>88</v>
      </c>
      <c r="BC577" s="68" t="s">
        <v>113</v>
      </c>
      <c r="BD577" s="68" t="s">
        <v>114</v>
      </c>
      <c r="BE577" s="68" t="s">
        <v>1268</v>
      </c>
      <c r="BF577" s="68">
        <v>63.07</v>
      </c>
      <c r="BG577" s="68">
        <v>0</v>
      </c>
      <c r="BH577" s="68">
        <v>69.53</v>
      </c>
      <c r="BI577" s="68" t="s">
        <v>312</v>
      </c>
      <c r="BJ577" s="68" t="s">
        <v>312</v>
      </c>
      <c r="BK577" s="68" t="s">
        <v>91</v>
      </c>
      <c r="BL577" s="68" t="s">
        <v>84</v>
      </c>
      <c r="BM577" s="68">
        <v>1</v>
      </c>
      <c r="BN577" s="68" t="s">
        <v>428</v>
      </c>
      <c r="BO577" s="68" t="s">
        <v>1066</v>
      </c>
      <c r="BP577" s="68" t="s">
        <v>1067</v>
      </c>
      <c r="BQ577" s="68" t="s">
        <v>117</v>
      </c>
      <c r="BR577" s="68" t="s">
        <v>93</v>
      </c>
      <c r="BS577" s="68" t="s">
        <v>312</v>
      </c>
      <c r="BT577" s="68" t="s">
        <v>312</v>
      </c>
      <c r="BU577" s="68">
        <v>2014</v>
      </c>
      <c r="BV577" s="68">
        <v>2017</v>
      </c>
      <c r="BW577" s="68" t="s">
        <v>1267</v>
      </c>
      <c r="BX577" s="68" t="s">
        <v>95</v>
      </c>
      <c r="BY577" s="68" t="s">
        <v>96</v>
      </c>
      <c r="BZ577" s="68">
        <v>0</v>
      </c>
      <c r="CA577" s="68">
        <v>0</v>
      </c>
      <c r="CB577" s="68" t="s">
        <v>97</v>
      </c>
      <c r="CC577" s="68" t="s">
        <v>1266</v>
      </c>
      <c r="CD577" s="68">
        <v>1</v>
      </c>
      <c r="CE577" s="68" t="s">
        <v>1265</v>
      </c>
      <c r="CF577" s="68">
        <v>0</v>
      </c>
      <c r="CG577" s="68" t="s">
        <v>97</v>
      </c>
      <c r="CH577" s="68">
        <v>1</v>
      </c>
      <c r="CI577" s="68" t="s">
        <v>509</v>
      </c>
      <c r="CJ577" s="68" t="s">
        <v>98</v>
      </c>
      <c r="CK577" s="68">
        <v>18</v>
      </c>
      <c r="CL577" s="68">
        <v>0</v>
      </c>
      <c r="CM577" s="68">
        <v>0</v>
      </c>
      <c r="CN577" s="68" t="s">
        <v>99</v>
      </c>
      <c r="CO577" s="68" t="s">
        <v>1264</v>
      </c>
      <c r="CP577" s="68" t="s">
        <v>100</v>
      </c>
      <c r="CQ577" s="68" t="s">
        <v>126</v>
      </c>
      <c r="CR577" s="69">
        <v>46227</v>
      </c>
      <c r="CT577" s="68" t="s">
        <v>1274</v>
      </c>
    </row>
    <row r="578" spans="1:98" s="68" customFormat="1" x14ac:dyDescent="0.35">
      <c r="A578" s="70" t="s">
        <v>1273</v>
      </c>
      <c r="B578" s="70" t="s">
        <v>1272</v>
      </c>
      <c r="C578" s="68" t="s">
        <v>1271</v>
      </c>
      <c r="D578" s="68">
        <v>2020</v>
      </c>
      <c r="E578" s="70" t="s">
        <v>1270</v>
      </c>
      <c r="F578" s="70" t="s">
        <v>1269</v>
      </c>
      <c r="G578" s="68" t="s">
        <v>78</v>
      </c>
      <c r="H578" s="68">
        <v>1</v>
      </c>
      <c r="I578" s="68" t="s">
        <v>290</v>
      </c>
      <c r="J578" s="68" t="s">
        <v>128</v>
      </c>
      <c r="K578" s="68">
        <v>86</v>
      </c>
      <c r="L578" s="68" t="s">
        <v>80</v>
      </c>
      <c r="M578" s="68" t="s">
        <v>380</v>
      </c>
      <c r="N578" s="68">
        <v>0.308</v>
      </c>
      <c r="O578" s="68">
        <v>1.0999999999999999E-2</v>
      </c>
      <c r="P578" s="94">
        <f t="shared" si="231"/>
        <v>28</v>
      </c>
      <c r="Q578" s="68" t="s">
        <v>312</v>
      </c>
      <c r="R578" s="94">
        <f t="shared" si="232"/>
        <v>0.28643999999999997</v>
      </c>
      <c r="S578" s="94">
        <f t="shared" si="233"/>
        <v>0.32956000000000002</v>
      </c>
      <c r="T578" s="68">
        <v>1</v>
      </c>
      <c r="U578" s="68">
        <v>291316</v>
      </c>
      <c r="V578" s="68" t="s">
        <v>312</v>
      </c>
      <c r="W578" s="68" t="s">
        <v>312</v>
      </c>
      <c r="X578" s="68">
        <f t="shared" si="228"/>
        <v>291316</v>
      </c>
      <c r="Y578" s="94">
        <f t="shared" si="234"/>
        <v>5.1807454333776988E-2</v>
      </c>
      <c r="Z578" s="94">
        <f t="shared" si="235"/>
        <v>1.850266226206321E-3</v>
      </c>
      <c r="AA578" s="94">
        <f t="shared" si="236"/>
        <v>-5.1807454333776988E-2</v>
      </c>
      <c r="AB578" s="68" t="s">
        <v>81</v>
      </c>
      <c r="AC578" s="94">
        <f t="shared" si="229"/>
        <v>0.308</v>
      </c>
      <c r="AD578" s="94" cm="1">
        <f t="array" ref="AD578">_xlfn.IFS(
AND(L578="marginal_effect",M578="level"),N578*AN578/BF578,
AND(L578="marginal_effect",M578="sd (Y)"),N578*BH578*AN578/BF578,
AND(L578="marginal_effect",M578="sd (X)"),N578/AQ578*AN578/BF578,
AND(L578="semi_elasticity",M578="level"),N578*AN578,
AND(L578="semi_elasticity",M578="sd (Y)"),N578*AN578*BH578,
AND(L578="semi_elasticity",M578="sd (X)"),N578*AN578/AQ578,
AND(L578="level-log",M578="level"),N578/BF578,
AND(L578="level-log",M578="sd (X)"),N578/BF578/AQ578,
AND(L578="level-log",M578="sd (Y)"),N578/BF578*BH578,
AND(L578="elasticity",M578="level"),N578,
AND(L578="elasticity",M578="sd (X)"),N578/AQ578,
AND(L578="elasticity",M578="sd (Y)"),N578*BH578,
AND(L578="marginal_effect",M578="percent_of_mean"),N578*AN578/BF578/10)</f>
        <v>0.308</v>
      </c>
      <c r="AE578" s="100">
        <f t="shared" si="212"/>
        <v>1</v>
      </c>
      <c r="AF578" s="94">
        <f t="shared" si="230"/>
        <v>1.0999999999999999E-2</v>
      </c>
      <c r="AG578" s="94" cm="1">
        <f t="array" ref="AG578">_xlfn.IFS(
AND(L578="marginal_effect",M578="level"),O578*AN578/BF578,
AND(L578="marginal_effect",M578="sd (Y)"),O578*BH578*AN578/BF578,
AND(L578="marginal_effect",M578="sd (X)"),O578/AQ578*AN578/BF578,
AND(L578="semi_elasticity",M578="level"),O578*AN578,
AND(L578="semi_elasticity",M578="sd (Y)"),O578*AN578*BH578,
AND(L578="semi_elasticity",M578="sd (X)"),O578*AN578/AQ578,
AND(L578="level-log",M578="level"),O578/BF578,
AND(L578="level-log",M578="sd (X)"),O578/BF578/AQ578,
AND(L578="level-log",M578="sd (Y)"),O578/BF578*BH578,
AND(L578="elasticity",M578="level"),O578,
AND(L578="elasticity",M578="sd (X)"),O578/AQ578,
AND(L578="elasticity",M578="sd (Y)"),O578*BH578,
AND(L578="marginal_effect",M578="percent_of_mean"),O578*AN578/BF578/10)</f>
        <v>1.0999999999999999E-2</v>
      </c>
      <c r="AH578" s="100">
        <f t="shared" si="213"/>
        <v>1</v>
      </c>
      <c r="AI578" s="94">
        <f t="shared" si="227"/>
        <v>-0.308</v>
      </c>
      <c r="AJ578" s="68">
        <v>0</v>
      </c>
      <c r="AK578" s="68">
        <f t="shared" si="237"/>
        <v>1</v>
      </c>
      <c r="AL578" s="68" t="s">
        <v>82</v>
      </c>
      <c r="AM578" s="68" t="s">
        <v>1333</v>
      </c>
      <c r="AN578" s="68">
        <v>52.42</v>
      </c>
      <c r="AO578" s="68">
        <v>0</v>
      </c>
      <c r="AP578" s="68">
        <f t="shared" si="225"/>
        <v>52.42</v>
      </c>
      <c r="AQ578" s="68">
        <v>29.26</v>
      </c>
      <c r="AR578" s="68" t="s">
        <v>312</v>
      </c>
      <c r="AS578" s="68" t="s">
        <v>312</v>
      </c>
      <c r="AT578" s="68" t="s">
        <v>83</v>
      </c>
      <c r="AU578" s="68" t="s">
        <v>109</v>
      </c>
      <c r="AV578" s="68" t="s">
        <v>133</v>
      </c>
      <c r="AW578" s="68" t="s">
        <v>85</v>
      </c>
      <c r="AX578" s="68" t="s">
        <v>86</v>
      </c>
      <c r="AY578" s="68">
        <v>0</v>
      </c>
      <c r="AZ578" s="68">
        <v>0</v>
      </c>
      <c r="BA578" s="68" t="s">
        <v>111</v>
      </c>
      <c r="BB578" s="68" t="s">
        <v>88</v>
      </c>
      <c r="BC578" s="68" t="s">
        <v>113</v>
      </c>
      <c r="BD578" s="68" t="s">
        <v>114</v>
      </c>
      <c r="BE578" s="68" t="s">
        <v>1268</v>
      </c>
      <c r="BF578" s="68">
        <v>83.1</v>
      </c>
      <c r="BG578" s="68">
        <v>0</v>
      </c>
      <c r="BH578" s="68">
        <v>48.9</v>
      </c>
      <c r="BI578" s="68" t="s">
        <v>312</v>
      </c>
      <c r="BJ578" s="68" t="s">
        <v>312</v>
      </c>
      <c r="BK578" s="68" t="s">
        <v>91</v>
      </c>
      <c r="BL578" s="68" t="s">
        <v>84</v>
      </c>
      <c r="BM578" s="68">
        <v>1</v>
      </c>
      <c r="BN578" s="68" t="s">
        <v>428</v>
      </c>
      <c r="BO578" s="68" t="s">
        <v>1066</v>
      </c>
      <c r="BP578" s="68" t="s">
        <v>1067</v>
      </c>
      <c r="BQ578" s="68" t="s">
        <v>117</v>
      </c>
      <c r="BR578" s="68" t="s">
        <v>93</v>
      </c>
      <c r="BS578" s="68" t="s">
        <v>312</v>
      </c>
      <c r="BT578" s="68" t="s">
        <v>312</v>
      </c>
      <c r="BU578" s="68">
        <v>2014</v>
      </c>
      <c r="BV578" s="68">
        <v>2017</v>
      </c>
      <c r="BW578" s="68" t="s">
        <v>1267</v>
      </c>
      <c r="BX578" s="68" t="s">
        <v>95</v>
      </c>
      <c r="BY578" s="68" t="s">
        <v>96</v>
      </c>
      <c r="BZ578" s="68">
        <v>0</v>
      </c>
      <c r="CA578" s="68">
        <v>0</v>
      </c>
      <c r="CB578" s="68" t="s">
        <v>97</v>
      </c>
      <c r="CC578" s="68" t="s">
        <v>1266</v>
      </c>
      <c r="CD578" s="68">
        <v>1</v>
      </c>
      <c r="CE578" s="68" t="s">
        <v>1265</v>
      </c>
      <c r="CF578" s="68">
        <v>0</v>
      </c>
      <c r="CG578" s="68" t="s">
        <v>97</v>
      </c>
      <c r="CH578" s="68">
        <v>1</v>
      </c>
      <c r="CI578" s="68" t="s">
        <v>509</v>
      </c>
      <c r="CJ578" s="68" t="s">
        <v>98</v>
      </c>
      <c r="CK578" s="68">
        <v>18</v>
      </c>
      <c r="CL578" s="68">
        <v>0</v>
      </c>
      <c r="CM578" s="68">
        <v>0</v>
      </c>
      <c r="CN578" s="68" t="s">
        <v>99</v>
      </c>
      <c r="CO578" s="68" t="s">
        <v>1264</v>
      </c>
      <c r="CP578" s="68" t="s">
        <v>100</v>
      </c>
      <c r="CQ578" s="68" t="s">
        <v>126</v>
      </c>
      <c r="CR578" s="69">
        <v>46227</v>
      </c>
      <c r="CT578" s="68" t="s">
        <v>1263</v>
      </c>
    </row>
    <row r="579" spans="1:98" s="44" customFormat="1" x14ac:dyDescent="0.35">
      <c r="A579" s="43" t="s">
        <v>1353</v>
      </c>
      <c r="B579" s="43" t="s">
        <v>1354</v>
      </c>
      <c r="C579" s="44" t="s">
        <v>1357</v>
      </c>
      <c r="D579" s="44">
        <v>2021</v>
      </c>
      <c r="E579" s="64" t="s">
        <v>1358</v>
      </c>
      <c r="F579" s="43" t="s">
        <v>1359</v>
      </c>
      <c r="G579" s="44" t="s">
        <v>78</v>
      </c>
      <c r="H579" s="44">
        <v>1</v>
      </c>
      <c r="I579" s="44" t="s">
        <v>290</v>
      </c>
      <c r="J579" s="44" t="s">
        <v>79</v>
      </c>
      <c r="K579" s="44">
        <v>32</v>
      </c>
      <c r="L579" s="44" t="s">
        <v>80</v>
      </c>
      <c r="M579" s="44" t="s">
        <v>380</v>
      </c>
      <c r="N579" s="44">
        <v>-2.76E-2</v>
      </c>
      <c r="O579" s="44">
        <v>9.4999999999999998E-3</v>
      </c>
      <c r="P579" s="91">
        <f t="shared" si="231"/>
        <v>-2.905263157894737</v>
      </c>
      <c r="Q579" s="44" t="s">
        <v>312</v>
      </c>
      <c r="R579" s="91">
        <f t="shared" si="232"/>
        <v>-4.6219999999999997E-2</v>
      </c>
      <c r="S579" s="91">
        <f t="shared" si="233"/>
        <v>-8.9800000000000019E-3</v>
      </c>
      <c r="T579" s="44">
        <v>1</v>
      </c>
      <c r="U579" s="44">
        <v>600</v>
      </c>
      <c r="V579" s="44">
        <v>10</v>
      </c>
      <c r="W579" s="44">
        <v>1</v>
      </c>
      <c r="X579" s="44">
        <f>U579-V579</f>
        <v>590</v>
      </c>
      <c r="Y579" s="91">
        <f t="shared" si="234"/>
        <v>-0.11876130703775531</v>
      </c>
      <c r="Z579" s="91">
        <f t="shared" si="235"/>
        <v>4.0877986118067949E-2</v>
      </c>
      <c r="AA579" s="91">
        <f t="shared" si="236"/>
        <v>0.11876130703775531</v>
      </c>
      <c r="AB579" s="44" t="s">
        <v>81</v>
      </c>
      <c r="AC579" s="91">
        <f t="shared" si="229"/>
        <v>-2.76E-2</v>
      </c>
      <c r="AD579" s="96" cm="1">
        <f t="array" ref="AD579">_xlfn.IFS(
AND(L579="marginal_effect",M579="level"),N579*AN579/BF579,
AND(L579="marginal_effect",M579="sd (Y)"),N579*BH579*AN579/BF579,
AND(L579="marginal_effect",M579="sd (X)"),N579/AQ579*AN579/BF579,
AND(L579="semi_elasticity",M579="level"),N579*AN579,
AND(L579="semi_elasticity",M579="sd (Y)"),N579*AN579*BH579,
AND(L579="semi_elasticity",M579="sd (X)"),N579*AN579/AQ579,
AND(L579="level-log",M579="level"),N579/BF579,
AND(L579="level-log",M579="sd (X)"),N579/BF579/AQ579,
AND(L579="level-log",M579="sd (Y)"),N579/BF579*BH579,
AND(L579="elasticity",M579="level"),N579,
AND(L579="elasticity",M579="sd (X)"),N579/AQ579,
AND(L579="elasticity",M579="sd (Y)"),N579*BH579,
AND(L579="marginal_effect",M579="percent_of_mean"),N579*AN579/BF579/10)</f>
        <v>-2.76E-2</v>
      </c>
      <c r="AE579" s="101">
        <f t="shared" si="212"/>
        <v>1</v>
      </c>
      <c r="AF579" s="96">
        <f t="shared" si="230"/>
        <v>9.4999999999999998E-3</v>
      </c>
      <c r="AG579" s="96" cm="1">
        <f t="array" ref="AG579">_xlfn.IFS(
AND(L579="marginal_effect",M579="level"),O579*AN579/BF579,
AND(L579="marginal_effect",M579="sd (Y)"),O579*BH579*AN579/BF579,
AND(L579="marginal_effect",M579="sd (X)"),O579/AQ579*AN579/BF579,
AND(L579="semi_elasticity",M579="level"),O579*AN579,
AND(L579="semi_elasticity",M579="sd (Y)"),O579*AN579*BH579,
AND(L579="semi_elasticity",M579="sd (X)"),O579*AN579/AQ579,
AND(L579="level-log",M579="level"),O579/BF579,
AND(L579="level-log",M579="sd (X)"),O579/BF579/AQ579,
AND(L579="level-log",M579="sd (Y)"),O579/BF579*BH579,
AND(L579="elasticity",M579="level"),O579,
AND(L579="elasticity",M579="sd (X)"),O579/AQ579,
AND(L579="elasticity",M579="sd (Y)"),O579*BH579,
AND(L579="marginal_effect",M579="percent_of_mean"),O579*AN579/BF579/10)</f>
        <v>9.4999999999999998E-3</v>
      </c>
      <c r="AH579" s="101">
        <f t="shared" si="213"/>
        <v>1</v>
      </c>
      <c r="AI579" s="91">
        <f t="shared" si="227"/>
        <v>2.76E-2</v>
      </c>
      <c r="AJ579" s="44">
        <v>0</v>
      </c>
      <c r="AK579" s="44">
        <f t="shared" si="237"/>
        <v>1</v>
      </c>
      <c r="AL579" s="76" t="s">
        <v>1360</v>
      </c>
      <c r="AM579" s="44" t="s">
        <v>1411</v>
      </c>
      <c r="AN579" s="76">
        <v>9.0764999999999993</v>
      </c>
      <c r="AO579" s="44">
        <v>0</v>
      </c>
      <c r="AP579" s="44" t="s">
        <v>312</v>
      </c>
      <c r="AQ579" s="44" t="s">
        <v>312</v>
      </c>
      <c r="AR579" s="44" t="s">
        <v>312</v>
      </c>
      <c r="AS579" s="44" t="s">
        <v>312</v>
      </c>
      <c r="AT579" s="44" t="s">
        <v>312</v>
      </c>
      <c r="AU579" s="44" t="s">
        <v>109</v>
      </c>
      <c r="AV579" s="44" t="s">
        <v>133</v>
      </c>
      <c r="AW579" s="44" t="s">
        <v>134</v>
      </c>
      <c r="AX579" s="44" t="s">
        <v>86</v>
      </c>
      <c r="AY579" s="44">
        <v>0</v>
      </c>
      <c r="AZ579" s="44">
        <v>0</v>
      </c>
      <c r="BA579" s="44" t="s">
        <v>111</v>
      </c>
      <c r="BB579" s="44" t="s">
        <v>134</v>
      </c>
      <c r="BC579" s="44" t="s">
        <v>113</v>
      </c>
      <c r="BD579" s="44" t="s">
        <v>114</v>
      </c>
      <c r="BE579" s="44" t="s">
        <v>1361</v>
      </c>
      <c r="BF579" s="44">
        <v>5.1147999999999998</v>
      </c>
      <c r="BG579" s="44">
        <v>0</v>
      </c>
      <c r="BH579" s="44" t="s">
        <v>312</v>
      </c>
      <c r="BI579" s="44" t="s">
        <v>312</v>
      </c>
      <c r="BJ579" s="44" t="s">
        <v>312</v>
      </c>
      <c r="BK579" s="44" t="s">
        <v>91</v>
      </c>
      <c r="BL579" s="44" t="s">
        <v>1362</v>
      </c>
      <c r="BM579" s="44">
        <v>1</v>
      </c>
      <c r="BN579" s="44" t="s">
        <v>428</v>
      </c>
      <c r="BO579" s="44" t="s">
        <v>1363</v>
      </c>
      <c r="BP579" s="44" t="s">
        <v>1364</v>
      </c>
      <c r="BQ579" s="44" t="s">
        <v>117</v>
      </c>
      <c r="BR579" s="44" t="s">
        <v>93</v>
      </c>
      <c r="BS579" s="44" t="s">
        <v>312</v>
      </c>
      <c r="BT579" s="44" t="s">
        <v>312</v>
      </c>
      <c r="BU579" s="44">
        <v>1998</v>
      </c>
      <c r="BV579" s="44">
        <v>2018</v>
      </c>
      <c r="BW579" s="44" t="s">
        <v>901</v>
      </c>
      <c r="BX579" s="44" t="s">
        <v>95</v>
      </c>
      <c r="BY579" s="44" t="s">
        <v>1366</v>
      </c>
      <c r="BZ579" s="44">
        <v>1</v>
      </c>
      <c r="CA579" s="44">
        <v>0</v>
      </c>
      <c r="CB579" s="44" t="s">
        <v>97</v>
      </c>
      <c r="CC579" s="44" t="s">
        <v>1365</v>
      </c>
      <c r="CD579" s="44">
        <v>0</v>
      </c>
      <c r="CE579" s="44" t="s">
        <v>97</v>
      </c>
      <c r="CF579" s="44">
        <v>0</v>
      </c>
      <c r="CG579" s="44" t="s">
        <v>97</v>
      </c>
      <c r="CH579" s="44">
        <v>0</v>
      </c>
      <c r="CI579" s="44" t="s">
        <v>97</v>
      </c>
      <c r="CJ579" s="44" t="s">
        <v>98</v>
      </c>
      <c r="CK579" s="44">
        <v>3</v>
      </c>
      <c r="CL579" s="44">
        <v>1</v>
      </c>
      <c r="CM579" s="44">
        <v>0</v>
      </c>
      <c r="CN579" s="44" t="s">
        <v>99</v>
      </c>
      <c r="CO579" s="44" t="s">
        <v>97</v>
      </c>
      <c r="CP579" s="44" t="s">
        <v>100</v>
      </c>
      <c r="CQ579" s="44" t="s">
        <v>126</v>
      </c>
      <c r="CR579" s="45">
        <v>46231</v>
      </c>
      <c r="CT579" s="44" t="s">
        <v>1368</v>
      </c>
    </row>
    <row r="580" spans="1:98" s="44" customFormat="1" x14ac:dyDescent="0.35">
      <c r="A580" s="43" t="s">
        <v>1353</v>
      </c>
      <c r="B580" s="43" t="s">
        <v>1355</v>
      </c>
      <c r="C580" s="44" t="s">
        <v>1357</v>
      </c>
      <c r="D580" s="44">
        <v>2021</v>
      </c>
      <c r="E580" s="64" t="s">
        <v>1358</v>
      </c>
      <c r="F580" s="43" t="s">
        <v>1359</v>
      </c>
      <c r="G580" s="44" t="s">
        <v>78</v>
      </c>
      <c r="H580" s="44">
        <v>1</v>
      </c>
      <c r="I580" s="44" t="s">
        <v>290</v>
      </c>
      <c r="J580" s="44" t="s">
        <v>79</v>
      </c>
      <c r="K580" s="44">
        <v>32</v>
      </c>
      <c r="L580" s="44" t="s">
        <v>80</v>
      </c>
      <c r="M580" s="44" t="s">
        <v>380</v>
      </c>
      <c r="N580" s="44">
        <v>1.95E-2</v>
      </c>
      <c r="O580" s="44">
        <v>1.5599999999999999E-2</v>
      </c>
      <c r="P580" s="91">
        <f t="shared" si="231"/>
        <v>1.25</v>
      </c>
      <c r="Q580" s="44" t="s">
        <v>312</v>
      </c>
      <c r="R580" s="91">
        <f t="shared" si="232"/>
        <v>-1.1075999999999999E-2</v>
      </c>
      <c r="S580" s="91">
        <f t="shared" si="233"/>
        <v>5.0075999999999996E-2</v>
      </c>
      <c r="T580" s="44">
        <v>1</v>
      </c>
      <c r="U580" s="44">
        <v>285</v>
      </c>
      <c r="V580" s="44">
        <v>10</v>
      </c>
      <c r="W580" s="44">
        <v>1</v>
      </c>
      <c r="X580" s="44">
        <f>U580-V580</f>
        <v>275</v>
      </c>
      <c r="Y580" s="91">
        <f t="shared" si="234"/>
        <v>7.5164602800282879E-2</v>
      </c>
      <c r="Z580" s="91">
        <f t="shared" si="235"/>
        <v>6.013168224022631E-2</v>
      </c>
      <c r="AA580" s="91">
        <f t="shared" si="236"/>
        <v>-7.5164602800282879E-2</v>
      </c>
      <c r="AB580" s="44" t="s">
        <v>81</v>
      </c>
      <c r="AC580" s="91">
        <f t="shared" si="229"/>
        <v>1.95E-2</v>
      </c>
      <c r="AD580" s="96" cm="1">
        <f t="array" ref="AD580">_xlfn.IFS(
AND(L580="marginal_effect",M580="level"),N580*AN580/BF580,
AND(L580="marginal_effect",M580="sd (Y)"),N580*BH580*AN580/BF580,
AND(L580="marginal_effect",M580="sd (X)"),N580/AQ580*AN580/BF580,
AND(L580="semi_elasticity",M580="level"),N580*AN580,
AND(L580="semi_elasticity",M580="sd (Y)"),N580*AN580*BH580,
AND(L580="semi_elasticity",M580="sd (X)"),N580*AN580/AQ580,
AND(L580="level-log",M580="level"),N580/BF580,
AND(L580="level-log",M580="sd (X)"),N580/BF580/AQ580,
AND(L580="level-log",M580="sd (Y)"),N580/BF580*BH580,
AND(L580="elasticity",M580="level"),N580,
AND(L580="elasticity",M580="sd (X)"),N580/AQ580,
AND(L580="elasticity",M580="sd (Y)"),N580*BH580,
AND(L580="marginal_effect",M580="percent_of_mean"),N580*AN580/BF580/10)</f>
        <v>1.95E-2</v>
      </c>
      <c r="AE580" s="101">
        <f t="shared" si="212"/>
        <v>1</v>
      </c>
      <c r="AF580" s="96">
        <f t="shared" si="230"/>
        <v>1.5599999999999999E-2</v>
      </c>
      <c r="AG580" s="96" cm="1">
        <f t="array" ref="AG580">_xlfn.IFS(
AND(L580="marginal_effect",M580="level"),O580*AN580/BF580,
AND(L580="marginal_effect",M580="sd (Y)"),O580*BH580*AN580/BF580,
AND(L580="marginal_effect",M580="sd (X)"),O580/AQ580*AN580/BF580,
AND(L580="semi_elasticity",M580="level"),O580*AN580,
AND(L580="semi_elasticity",M580="sd (Y)"),O580*AN580*BH580,
AND(L580="semi_elasticity",M580="sd (X)"),O580*AN580/AQ580,
AND(L580="level-log",M580="level"),O580/BF580,
AND(L580="level-log",M580="sd (X)"),O580/BF580/AQ580,
AND(L580="level-log",M580="sd (Y)"),O580/BF580*BH580,
AND(L580="elasticity",M580="level"),O580,
AND(L580="elasticity",M580="sd (X)"),O580/AQ580,
AND(L580="elasticity",M580="sd (Y)"),O580*BH580,
AND(L580="marginal_effect",M580="percent_of_mean"),O580*AN580/BF580/10)</f>
        <v>1.5599999999999999E-2</v>
      </c>
      <c r="AH580" s="101">
        <f t="shared" si="213"/>
        <v>1</v>
      </c>
      <c r="AI580" s="91">
        <f t="shared" si="227"/>
        <v>-1.95E-2</v>
      </c>
      <c r="AJ580" s="44">
        <v>0</v>
      </c>
      <c r="AK580" s="44">
        <f t="shared" si="237"/>
        <v>1</v>
      </c>
      <c r="AL580" s="76" t="s">
        <v>1360</v>
      </c>
      <c r="AM580" s="44" t="s">
        <v>1411</v>
      </c>
      <c r="AN580" s="76">
        <v>9.0764999999999993</v>
      </c>
      <c r="AO580" s="44">
        <v>0</v>
      </c>
      <c r="AP580" s="44" t="s">
        <v>312</v>
      </c>
      <c r="AQ580" s="44" t="s">
        <v>312</v>
      </c>
      <c r="AR580" s="44" t="s">
        <v>312</v>
      </c>
      <c r="AS580" s="44" t="s">
        <v>312</v>
      </c>
      <c r="AT580" s="44" t="s">
        <v>312</v>
      </c>
      <c r="AU580" s="44" t="s">
        <v>109</v>
      </c>
      <c r="AV580" s="44" t="s">
        <v>133</v>
      </c>
      <c r="AW580" s="44" t="s">
        <v>134</v>
      </c>
      <c r="AX580" s="44" t="s">
        <v>86</v>
      </c>
      <c r="AY580" s="44">
        <v>0</v>
      </c>
      <c r="AZ580" s="44">
        <v>0</v>
      </c>
      <c r="BA580" s="44" t="s">
        <v>111</v>
      </c>
      <c r="BB580" s="44" t="s">
        <v>134</v>
      </c>
      <c r="BC580" s="44" t="s">
        <v>113</v>
      </c>
      <c r="BD580" s="44" t="s">
        <v>114</v>
      </c>
      <c r="BE580" s="44" t="s">
        <v>1361</v>
      </c>
      <c r="BF580" s="44">
        <v>5.1147999999999998</v>
      </c>
      <c r="BG580" s="44">
        <v>0</v>
      </c>
      <c r="BH580" s="44" t="s">
        <v>312</v>
      </c>
      <c r="BI580" s="44" t="s">
        <v>312</v>
      </c>
      <c r="BJ580" s="44" t="s">
        <v>312</v>
      </c>
      <c r="BK580" s="44" t="s">
        <v>91</v>
      </c>
      <c r="BL580" s="44" t="s">
        <v>1362</v>
      </c>
      <c r="BM580" s="44">
        <v>1</v>
      </c>
      <c r="BN580" s="44" t="s">
        <v>428</v>
      </c>
      <c r="BO580" s="44" t="s">
        <v>1363</v>
      </c>
      <c r="BP580" s="44" t="s">
        <v>1364</v>
      </c>
      <c r="BQ580" s="44" t="s">
        <v>117</v>
      </c>
      <c r="BR580" s="44" t="s">
        <v>93</v>
      </c>
      <c r="BS580" s="44" t="s">
        <v>312</v>
      </c>
      <c r="BT580" s="44" t="s">
        <v>312</v>
      </c>
      <c r="BU580" s="44">
        <v>1998</v>
      </c>
      <c r="BV580" s="44">
        <v>2018</v>
      </c>
      <c r="BW580" s="44" t="s">
        <v>901</v>
      </c>
      <c r="BX580" s="44" t="s">
        <v>95</v>
      </c>
      <c r="BY580" s="44" t="s">
        <v>1366</v>
      </c>
      <c r="BZ580" s="44">
        <v>1</v>
      </c>
      <c r="CA580" s="44">
        <v>0</v>
      </c>
      <c r="CB580" s="44" t="s">
        <v>97</v>
      </c>
      <c r="CC580" s="44" t="s">
        <v>1365</v>
      </c>
      <c r="CD580" s="44">
        <v>0</v>
      </c>
      <c r="CE580" s="44" t="s">
        <v>97</v>
      </c>
      <c r="CF580" s="44">
        <v>0</v>
      </c>
      <c r="CG580" s="44" t="s">
        <v>97</v>
      </c>
      <c r="CH580" s="44">
        <v>0</v>
      </c>
      <c r="CI580" s="44" t="s">
        <v>97</v>
      </c>
      <c r="CJ580" s="44" t="s">
        <v>98</v>
      </c>
      <c r="CK580" s="44">
        <v>3</v>
      </c>
      <c r="CL580" s="44">
        <v>0</v>
      </c>
      <c r="CM580" s="44">
        <v>0</v>
      </c>
      <c r="CN580" s="44" t="s">
        <v>99</v>
      </c>
      <c r="CO580" s="44" t="s">
        <v>1367</v>
      </c>
      <c r="CP580" s="44" t="s">
        <v>100</v>
      </c>
      <c r="CQ580" s="44" t="s">
        <v>126</v>
      </c>
      <c r="CR580" s="45">
        <v>46231</v>
      </c>
      <c r="CT580" s="44" t="s">
        <v>450</v>
      </c>
    </row>
    <row r="581" spans="1:98" s="44" customFormat="1" x14ac:dyDescent="0.35">
      <c r="A581" s="43" t="s">
        <v>1353</v>
      </c>
      <c r="B581" s="43" t="s">
        <v>1356</v>
      </c>
      <c r="C581" s="44" t="s">
        <v>1357</v>
      </c>
      <c r="D581" s="44">
        <v>2021</v>
      </c>
      <c r="E581" s="64" t="s">
        <v>1358</v>
      </c>
      <c r="F581" s="43" t="s">
        <v>1359</v>
      </c>
      <c r="G581" s="44" t="s">
        <v>78</v>
      </c>
      <c r="H581" s="44">
        <v>1</v>
      </c>
      <c r="I581" s="44" t="s">
        <v>290</v>
      </c>
      <c r="J581" s="44" t="s">
        <v>79</v>
      </c>
      <c r="K581" s="44">
        <v>32</v>
      </c>
      <c r="L581" s="44" t="s">
        <v>80</v>
      </c>
      <c r="M581" s="44" t="s">
        <v>380</v>
      </c>
      <c r="N581" s="44">
        <v>1.32E-2</v>
      </c>
      <c r="O581" s="44">
        <v>1.4E-2</v>
      </c>
      <c r="P581" s="91">
        <f t="shared" si="231"/>
        <v>0.94285714285714284</v>
      </c>
      <c r="Q581" s="44" t="s">
        <v>312</v>
      </c>
      <c r="R581" s="91">
        <f t="shared" si="232"/>
        <v>-1.4239999999999999E-2</v>
      </c>
      <c r="S581" s="91">
        <f t="shared" si="233"/>
        <v>4.0639999999999996E-2</v>
      </c>
      <c r="T581" s="44">
        <v>1</v>
      </c>
      <c r="U581" s="44">
        <v>315</v>
      </c>
      <c r="V581" s="44">
        <v>10</v>
      </c>
      <c r="W581" s="44">
        <v>1</v>
      </c>
      <c r="X581" s="44">
        <f>U581-V581</f>
        <v>305</v>
      </c>
      <c r="Y581" s="91">
        <f t="shared" si="234"/>
        <v>5.3909335689017408E-2</v>
      </c>
      <c r="Z581" s="91">
        <f t="shared" si="235"/>
        <v>5.7176568155018467E-2</v>
      </c>
      <c r="AA581" s="91">
        <f t="shared" si="236"/>
        <v>-5.3909335689017408E-2</v>
      </c>
      <c r="AB581" s="44" t="s">
        <v>81</v>
      </c>
      <c r="AC581" s="91">
        <f t="shared" si="229"/>
        <v>1.32E-2</v>
      </c>
      <c r="AD581" s="96" cm="1">
        <f t="array" ref="AD581">_xlfn.IFS(
AND(L581="marginal_effect",M581="level"),N581*AN581/BF581,
AND(L581="marginal_effect",M581="sd (Y)"),N581*BH581*AN581/BF581,
AND(L581="marginal_effect",M581="sd (X)"),N581/AQ581*AN581/BF581,
AND(L581="semi_elasticity",M581="level"),N581*AN581,
AND(L581="semi_elasticity",M581="sd (Y)"),N581*AN581*BH581,
AND(L581="semi_elasticity",M581="sd (X)"),N581*AN581/AQ581,
AND(L581="level-log",M581="level"),N581/BF581,
AND(L581="level-log",M581="sd (X)"),N581/BF581/AQ581,
AND(L581="level-log",M581="sd (Y)"),N581/BF581*BH581,
AND(L581="elasticity",M581="level"),N581,
AND(L581="elasticity",M581="sd (X)"),N581/AQ581,
AND(L581="elasticity",M581="sd (Y)"),N581*BH581,
AND(L581="marginal_effect",M581="percent_of_mean"),N581*AN581/BF581/10)</f>
        <v>1.32E-2</v>
      </c>
      <c r="AE581" s="101">
        <f t="shared" si="212"/>
        <v>1</v>
      </c>
      <c r="AF581" s="96">
        <f t="shared" si="230"/>
        <v>1.4E-2</v>
      </c>
      <c r="AG581" s="96" cm="1">
        <f t="array" ref="AG581">_xlfn.IFS(
AND(L581="marginal_effect",M581="level"),O581*AN581/BF581,
AND(L581="marginal_effect",M581="sd (Y)"),O581*BH581*AN581/BF581,
AND(L581="marginal_effect",M581="sd (X)"),O581/AQ581*AN581/BF581,
AND(L581="semi_elasticity",M581="level"),O581*AN581,
AND(L581="semi_elasticity",M581="sd (Y)"),O581*AN581*BH581,
AND(L581="semi_elasticity",M581="sd (X)"),O581*AN581/AQ581,
AND(L581="level-log",M581="level"),O581/BF581,
AND(L581="level-log",M581="sd (X)"),O581/BF581/AQ581,
AND(L581="level-log",M581="sd (Y)"),O581/BF581*BH581,
AND(L581="elasticity",M581="level"),O581,
AND(L581="elasticity",M581="sd (X)"),O581/AQ581,
AND(L581="elasticity",M581="sd (Y)"),O581*BH581,
AND(L581="marginal_effect",M581="percent_of_mean"),O581*AN581/BF581/10)</f>
        <v>1.4E-2</v>
      </c>
      <c r="AH581" s="101">
        <f t="shared" si="213"/>
        <v>1</v>
      </c>
      <c r="AI581" s="91">
        <f t="shared" si="227"/>
        <v>-1.32E-2</v>
      </c>
      <c r="AJ581" s="44">
        <v>0</v>
      </c>
      <c r="AK581" s="44">
        <f t="shared" si="237"/>
        <v>1</v>
      </c>
      <c r="AL581" s="76" t="s">
        <v>1360</v>
      </c>
      <c r="AM581" s="44" t="s">
        <v>1411</v>
      </c>
      <c r="AN581" s="76">
        <v>9.0764999999999993</v>
      </c>
      <c r="AO581" s="44">
        <v>0</v>
      </c>
      <c r="AP581" s="44" t="s">
        <v>312</v>
      </c>
      <c r="AQ581" s="44" t="s">
        <v>312</v>
      </c>
      <c r="AR581" s="44" t="s">
        <v>312</v>
      </c>
      <c r="AS581" s="44" t="s">
        <v>312</v>
      </c>
      <c r="AT581" s="44" t="s">
        <v>312</v>
      </c>
      <c r="AU581" s="44" t="s">
        <v>109</v>
      </c>
      <c r="AV581" s="44" t="s">
        <v>133</v>
      </c>
      <c r="AW581" s="44" t="s">
        <v>134</v>
      </c>
      <c r="AX581" s="44" t="s">
        <v>86</v>
      </c>
      <c r="AY581" s="44">
        <v>0</v>
      </c>
      <c r="AZ581" s="44">
        <v>0</v>
      </c>
      <c r="BA581" s="44" t="s">
        <v>111</v>
      </c>
      <c r="BB581" s="44" t="s">
        <v>134</v>
      </c>
      <c r="BC581" s="44" t="s">
        <v>113</v>
      </c>
      <c r="BD581" s="44" t="s">
        <v>114</v>
      </c>
      <c r="BE581" s="44" t="s">
        <v>1361</v>
      </c>
      <c r="BF581" s="44">
        <v>5.1147999999999998</v>
      </c>
      <c r="BG581" s="44">
        <v>0</v>
      </c>
      <c r="BH581" s="44" t="s">
        <v>312</v>
      </c>
      <c r="BI581" s="44" t="s">
        <v>312</v>
      </c>
      <c r="BJ581" s="44" t="s">
        <v>312</v>
      </c>
      <c r="BK581" s="44" t="s">
        <v>91</v>
      </c>
      <c r="BL581" s="44" t="s">
        <v>1362</v>
      </c>
      <c r="BM581" s="44">
        <v>1</v>
      </c>
      <c r="BN581" s="44" t="s">
        <v>428</v>
      </c>
      <c r="BO581" s="44" t="s">
        <v>1363</v>
      </c>
      <c r="BP581" s="44" t="s">
        <v>1364</v>
      </c>
      <c r="BQ581" s="44" t="s">
        <v>117</v>
      </c>
      <c r="BR581" s="44" t="s">
        <v>93</v>
      </c>
      <c r="BS581" s="44" t="s">
        <v>312</v>
      </c>
      <c r="BT581" s="44" t="s">
        <v>312</v>
      </c>
      <c r="BU581" s="44">
        <v>1998</v>
      </c>
      <c r="BV581" s="44">
        <v>2018</v>
      </c>
      <c r="BW581" s="44" t="s">
        <v>901</v>
      </c>
      <c r="BX581" s="44" t="s">
        <v>95</v>
      </c>
      <c r="BY581" s="44" t="s">
        <v>1366</v>
      </c>
      <c r="BZ581" s="44">
        <v>1</v>
      </c>
      <c r="CA581" s="44">
        <v>0</v>
      </c>
      <c r="CB581" s="44" t="s">
        <v>97</v>
      </c>
      <c r="CC581" s="44" t="s">
        <v>1365</v>
      </c>
      <c r="CD581" s="44">
        <v>0</v>
      </c>
      <c r="CE581" s="44" t="s">
        <v>97</v>
      </c>
      <c r="CF581" s="44">
        <v>0</v>
      </c>
      <c r="CG581" s="44" t="s">
        <v>97</v>
      </c>
      <c r="CH581" s="44">
        <v>0</v>
      </c>
      <c r="CI581" s="44" t="s">
        <v>97</v>
      </c>
      <c r="CJ581" s="44" t="s">
        <v>98</v>
      </c>
      <c r="CK581" s="44">
        <v>3</v>
      </c>
      <c r="CL581" s="44">
        <v>0</v>
      </c>
      <c r="CM581" s="44">
        <v>0</v>
      </c>
      <c r="CN581" s="44" t="s">
        <v>99</v>
      </c>
      <c r="CO581" s="44" t="s">
        <v>1367</v>
      </c>
      <c r="CP581" s="44" t="s">
        <v>100</v>
      </c>
      <c r="CQ581" s="44" t="s">
        <v>126</v>
      </c>
      <c r="CR581" s="45">
        <v>46231</v>
      </c>
      <c r="CT581" s="44" t="s">
        <v>451</v>
      </c>
    </row>
    <row r="582" spans="1:98" s="47" customFormat="1" x14ac:dyDescent="0.35">
      <c r="A582" s="46" t="s">
        <v>1372</v>
      </c>
      <c r="B582" s="46" t="s">
        <v>1373</v>
      </c>
      <c r="C582" s="47" t="s">
        <v>1369</v>
      </c>
      <c r="D582" s="47">
        <v>2026</v>
      </c>
      <c r="E582" s="46" t="s">
        <v>1370</v>
      </c>
      <c r="F582" s="46" t="s">
        <v>1371</v>
      </c>
      <c r="G582" s="47" t="s">
        <v>78</v>
      </c>
      <c r="H582" s="47">
        <v>1</v>
      </c>
      <c r="I582" s="47" t="s">
        <v>290</v>
      </c>
      <c r="J582" s="47" t="s">
        <v>79</v>
      </c>
      <c r="K582" s="47">
        <v>0</v>
      </c>
      <c r="L582" s="47" t="s">
        <v>80</v>
      </c>
      <c r="M582" s="47" t="s">
        <v>380</v>
      </c>
      <c r="N582" s="47">
        <v>-1.5132000000000001</v>
      </c>
      <c r="O582" s="47">
        <v>0.31719999999999998</v>
      </c>
      <c r="P582" s="92">
        <f t="shared" si="231"/>
        <v>-4.7704918032786887</v>
      </c>
      <c r="Q582" s="47" t="s">
        <v>312</v>
      </c>
      <c r="R582" s="92">
        <f t="shared" si="232"/>
        <v>-2.1349119999999999</v>
      </c>
      <c r="S582" s="92">
        <f t="shared" si="233"/>
        <v>-0.89148800000000017</v>
      </c>
      <c r="T582" s="47">
        <v>1</v>
      </c>
      <c r="U582" s="47">
        <v>236494</v>
      </c>
      <c r="V582" s="47" t="s">
        <v>312</v>
      </c>
      <c r="W582" s="47" t="s">
        <v>312</v>
      </c>
      <c r="X582" s="47">
        <f>U582</f>
        <v>236494</v>
      </c>
      <c r="Y582" s="92">
        <f t="shared" si="234"/>
        <v>-9.8091685189217893E-3</v>
      </c>
      <c r="Z582" s="92">
        <f t="shared" si="235"/>
        <v>2.0562174558564576E-3</v>
      </c>
      <c r="AA582" s="92">
        <f t="shared" si="236"/>
        <v>9.8091685189217893E-3</v>
      </c>
      <c r="AB582" s="47" t="s">
        <v>81</v>
      </c>
      <c r="AC582" s="92">
        <f t="shared" si="229"/>
        <v>-1.5132000000000001</v>
      </c>
      <c r="AD582" s="97" cm="1">
        <f t="array" ref="AD582">_xlfn.IFS(
AND(L582="marginal_effect",M582="level"),N582*AN582/BF582,
AND(L582="marginal_effect",M582="sd (Y)"),N582*BH582*AN582/BF582,
AND(L582="marginal_effect",M582="sd (X)"),N582/AQ582*AN582/BF582,
AND(L582="semi_elasticity",M582="level"),N582*AN582,
AND(L582="semi_elasticity",M582="sd (Y)"),N582*AN582*BH582,
AND(L582="semi_elasticity",M582="sd (X)"),N582*AN582/AQ582,
AND(L582="level-log",M582="level"),N582/BF582,
AND(L582="level-log",M582="sd (X)"),N582/BF582/AQ582,
AND(L582="level-log",M582="sd (Y)"),N582/BF582*BH582,
AND(L582="elasticity",M582="level"),N582,
AND(L582="elasticity",M582="sd (X)"),N582/AQ582,
AND(L582="elasticity",M582="sd (Y)"),N582*BH582,
AND(L582="marginal_effect",M582="percent_of_mean"),N582*AN582/BF582/10)</f>
        <v>-1.5132000000000001</v>
      </c>
      <c r="AE582" s="102">
        <f t="shared" si="212"/>
        <v>1</v>
      </c>
      <c r="AF582" s="97">
        <f t="shared" si="230"/>
        <v>0.31719999999999998</v>
      </c>
      <c r="AG582" s="97" cm="1">
        <f t="array" ref="AG582">_xlfn.IFS(
AND(L582="marginal_effect",M582="level"),O582*AN582/BF582,
AND(L582="marginal_effect",M582="sd (Y)"),O582*BH582*AN582/BF582,
AND(L582="marginal_effect",M582="sd (X)"),O582/AQ582*AN582/BF582,
AND(L582="semi_elasticity",M582="level"),O582*AN582,
AND(L582="semi_elasticity",M582="sd (Y)"),O582*AN582*BH582,
AND(L582="semi_elasticity",M582="sd (X)"),O582*AN582/AQ582,
AND(L582="level-log",M582="level"),O582/BF582,
AND(L582="level-log",M582="sd (X)"),O582/BF582/AQ582,
AND(L582="level-log",M582="sd (Y)"),O582/BF582*BH582,
AND(L582="elasticity",M582="level"),O582,
AND(L582="elasticity",M582="sd (X)"),O582/AQ582,
AND(L582="elasticity",M582="sd (Y)"),O582*BH582,
AND(L582="marginal_effect",M582="percent_of_mean"),O582*AN582/BF582/10)</f>
        <v>0.31719999999999998</v>
      </c>
      <c r="AH582" s="102">
        <f t="shared" si="213"/>
        <v>1</v>
      </c>
      <c r="AI582" s="92">
        <f t="shared" ref="AI582:AI613" si="238">AC582</f>
        <v>-1.5132000000000001</v>
      </c>
      <c r="AJ582" s="47">
        <v>0</v>
      </c>
      <c r="AK582" s="47">
        <f t="shared" si="237"/>
        <v>1</v>
      </c>
      <c r="AL582" s="47" t="s">
        <v>82</v>
      </c>
      <c r="AM582" s="47" t="s">
        <v>1333</v>
      </c>
      <c r="AN582" s="47" t="s">
        <v>312</v>
      </c>
      <c r="AO582" s="47" t="s">
        <v>312</v>
      </c>
      <c r="AP582" s="47" t="s">
        <v>312</v>
      </c>
      <c r="AQ582" s="47" t="s">
        <v>312</v>
      </c>
      <c r="AR582" s="47" t="s">
        <v>312</v>
      </c>
      <c r="AS582" s="47" t="s">
        <v>312</v>
      </c>
      <c r="AT582" s="47" t="s">
        <v>107</v>
      </c>
      <c r="AU582" s="47" t="s">
        <v>109</v>
      </c>
      <c r="AV582" s="47" t="s">
        <v>133</v>
      </c>
      <c r="AW582" s="47" t="s">
        <v>134</v>
      </c>
      <c r="AX582" s="47" t="s">
        <v>86</v>
      </c>
      <c r="AY582" s="47">
        <v>0</v>
      </c>
      <c r="AZ582" s="47">
        <v>0</v>
      </c>
      <c r="BA582" s="47" t="s">
        <v>391</v>
      </c>
      <c r="BB582" s="47" t="s">
        <v>134</v>
      </c>
      <c r="BC582" s="47" t="s">
        <v>134</v>
      </c>
      <c r="BD582" s="47" t="s">
        <v>134</v>
      </c>
      <c r="BE582" s="47" t="s">
        <v>1374</v>
      </c>
      <c r="BF582" s="47" t="s">
        <v>312</v>
      </c>
      <c r="BG582" s="47" t="s">
        <v>312</v>
      </c>
      <c r="BH582" s="47" t="s">
        <v>312</v>
      </c>
      <c r="BI582" s="47" t="s">
        <v>312</v>
      </c>
      <c r="BJ582" s="47" t="s">
        <v>312</v>
      </c>
      <c r="BK582" s="47" t="s">
        <v>91</v>
      </c>
      <c r="BL582" s="47" t="s">
        <v>116</v>
      </c>
      <c r="BM582" s="47">
        <v>1</v>
      </c>
      <c r="BN582" s="47" t="s">
        <v>2177</v>
      </c>
      <c r="BO582" s="47" t="s">
        <v>312</v>
      </c>
      <c r="BP582" s="47" t="s">
        <v>312</v>
      </c>
      <c r="BQ582" s="47" t="s">
        <v>117</v>
      </c>
      <c r="BR582" s="47" t="s">
        <v>134</v>
      </c>
      <c r="BS582" s="47" t="s">
        <v>312</v>
      </c>
      <c r="BT582" s="47" t="s">
        <v>312</v>
      </c>
      <c r="BU582" s="47">
        <v>1998</v>
      </c>
      <c r="BV582" s="47">
        <v>2013</v>
      </c>
      <c r="BW582" s="47" t="s">
        <v>901</v>
      </c>
      <c r="BX582" s="47" t="s">
        <v>95</v>
      </c>
      <c r="BY582" s="47" t="s">
        <v>748</v>
      </c>
      <c r="BZ582" s="47">
        <v>1</v>
      </c>
      <c r="CA582" s="47">
        <v>1</v>
      </c>
      <c r="CB582" s="47" t="s">
        <v>303</v>
      </c>
      <c r="CC582" s="47" t="s">
        <v>1375</v>
      </c>
      <c r="CD582" s="47">
        <v>1</v>
      </c>
      <c r="CE582" s="47" t="s">
        <v>1381</v>
      </c>
      <c r="CF582" s="47">
        <v>0</v>
      </c>
      <c r="CG582" s="47" t="s">
        <v>97</v>
      </c>
      <c r="CH582" s="47">
        <v>0</v>
      </c>
      <c r="CI582" s="47" t="s">
        <v>116</v>
      </c>
      <c r="CJ582" s="47" t="s">
        <v>98</v>
      </c>
      <c r="CK582" s="47">
        <v>1</v>
      </c>
      <c r="CL582" s="47">
        <v>1</v>
      </c>
      <c r="CM582" s="47">
        <v>0</v>
      </c>
      <c r="CN582" s="47" t="s">
        <v>99</v>
      </c>
      <c r="CO582" s="47" t="s">
        <v>97</v>
      </c>
      <c r="CP582" s="47" t="s">
        <v>100</v>
      </c>
      <c r="CQ582" s="47" t="s">
        <v>126</v>
      </c>
      <c r="CR582" s="48">
        <v>46231</v>
      </c>
      <c r="CT582" s="47" t="s">
        <v>437</v>
      </c>
    </row>
    <row r="583" spans="1:98" s="55" customFormat="1" x14ac:dyDescent="0.35">
      <c r="A583" s="54" t="s">
        <v>1377</v>
      </c>
      <c r="B583" s="54" t="s">
        <v>1378</v>
      </c>
      <c r="C583" s="55" t="s">
        <v>1379</v>
      </c>
      <c r="D583" s="55">
        <v>2023</v>
      </c>
      <c r="E583" s="60" t="s">
        <v>1376</v>
      </c>
      <c r="F583" s="54" t="s">
        <v>1380</v>
      </c>
      <c r="G583" s="55" t="s">
        <v>78</v>
      </c>
      <c r="H583" s="55">
        <v>1</v>
      </c>
      <c r="I583" s="55" t="s">
        <v>290</v>
      </c>
      <c r="J583" s="55" t="s">
        <v>79</v>
      </c>
      <c r="K583" s="55">
        <v>28</v>
      </c>
      <c r="L583" s="55" t="s">
        <v>104</v>
      </c>
      <c r="M583" s="55" t="s">
        <v>380</v>
      </c>
      <c r="N583" s="55">
        <v>-6.1000000000000004E-3</v>
      </c>
      <c r="O583" s="55">
        <v>1.2999999999999999E-3</v>
      </c>
      <c r="P583" s="88">
        <f t="shared" si="231"/>
        <v>-4.6923076923076925</v>
      </c>
      <c r="Q583" s="55" t="s">
        <v>312</v>
      </c>
      <c r="R583" s="88">
        <f t="shared" si="232"/>
        <v>-8.6479999999999994E-3</v>
      </c>
      <c r="S583" s="88">
        <f t="shared" si="233"/>
        <v>-3.5520000000000005E-3</v>
      </c>
      <c r="T583" s="55">
        <v>1</v>
      </c>
      <c r="U583" s="55">
        <v>1235925</v>
      </c>
      <c r="V583" s="55">
        <v>7</v>
      </c>
      <c r="W583" s="55">
        <v>1</v>
      </c>
      <c r="X583" s="55">
        <f>U583-V583</f>
        <v>1235918</v>
      </c>
      <c r="Y583" s="88">
        <f t="shared" si="234"/>
        <v>-4.2207320832551888E-3</v>
      </c>
      <c r="Z583" s="88">
        <f t="shared" si="235"/>
        <v>8.9950028003799086E-4</v>
      </c>
      <c r="AA583" s="88">
        <f t="shared" si="236"/>
        <v>4.2207320832551888E-3</v>
      </c>
      <c r="AB583" s="55" t="s">
        <v>81</v>
      </c>
      <c r="AC583" s="88">
        <f>N583*AN583</f>
        <v>-0.42334000000000005</v>
      </c>
      <c r="AD583" s="98" cm="1">
        <f t="array" ref="AD583">_xlfn.IFS(
AND(L583="marginal_effect",M583="level"),N583*AN583/BF583,
AND(L583="marginal_effect",M583="sd (Y)"),N583*BH583*AN583/BF583,
AND(L583="marginal_effect",M583="sd (X)"),N583/AQ583*AN583/BF583,
AND(L583="semi_elasticity",M583="level"),N583*AN583,
AND(L583="semi_elasticity",M583="sd (Y)"),N583*AN583*BH583,
AND(L583="semi_elasticity",M583="sd (X)"),N583*AN583/AQ583,
AND(L583="level-log",M583="level"),N583/BF583,
AND(L583="level-log",M583="sd (X)"),N583/BF583/AQ583,
AND(L583="level-log",M583="sd (Y)"),N583/BF583*BH583,
AND(L583="elasticity",M583="level"),N583,
AND(L583="elasticity",M583="sd (X)"),N583/AQ583,
AND(L583="elasticity",M583="sd (Y)"),N583*BH583,
AND(L583="marginal_effect",M583="percent_of_mean"),N583*AN583/BF583/10)</f>
        <v>-0.42334000000000005</v>
      </c>
      <c r="AE583" s="103">
        <f t="shared" si="212"/>
        <v>1</v>
      </c>
      <c r="AF583" s="98">
        <f>O583*AN583</f>
        <v>9.0220000000000009E-2</v>
      </c>
      <c r="AG583" s="98" cm="1">
        <f t="array" ref="AG583">_xlfn.IFS(
AND(L583="marginal_effect",M583="level"),O583*AN583/BF583,
AND(L583="marginal_effect",M583="sd (Y)"),O583*BH583*AN583/BF583,
AND(L583="marginal_effect",M583="sd (X)"),O583/AQ583*AN583/BF583,
AND(L583="semi_elasticity",M583="level"),O583*AN583,
AND(L583="semi_elasticity",M583="sd (Y)"),O583*AN583*BH583,
AND(L583="semi_elasticity",M583="sd (X)"),O583*AN583/AQ583,
AND(L583="level-log",M583="level"),O583/BF583,
AND(L583="level-log",M583="sd (X)"),O583/BF583/AQ583,
AND(L583="level-log",M583="sd (Y)"),O583/BF583*BH583,
AND(L583="elasticity",M583="level"),O583,
AND(L583="elasticity",M583="sd (X)"),O583/AQ583,
AND(L583="elasticity",M583="sd (Y)"),O583*BH583,
AND(L583="marginal_effect",M583="percent_of_mean"),O583*AN583/BF583/10)</f>
        <v>9.0220000000000009E-2</v>
      </c>
      <c r="AH583" s="103">
        <f t="shared" si="213"/>
        <v>1</v>
      </c>
      <c r="AI583" s="88">
        <f t="shared" si="238"/>
        <v>-0.42334000000000005</v>
      </c>
      <c r="AJ583" s="55">
        <v>0</v>
      </c>
      <c r="AK583" s="55">
        <f t="shared" si="237"/>
        <v>1</v>
      </c>
      <c r="AL583" s="55" t="s">
        <v>82</v>
      </c>
      <c r="AM583" s="55" t="s">
        <v>1333</v>
      </c>
      <c r="AN583" s="55">
        <v>69.400000000000006</v>
      </c>
      <c r="AO583" s="55">
        <v>0</v>
      </c>
      <c r="AP583" s="55">
        <f t="shared" ref="AP583:AP614" si="239">AN583</f>
        <v>69.400000000000006</v>
      </c>
      <c r="AQ583" s="55">
        <v>22.17</v>
      </c>
      <c r="AR583" s="55">
        <v>2.62</v>
      </c>
      <c r="AS583" s="55">
        <v>134.80000000000001</v>
      </c>
      <c r="AT583" s="55" t="s">
        <v>107</v>
      </c>
      <c r="AU583" s="55" t="s">
        <v>109</v>
      </c>
      <c r="AV583" s="55" t="s">
        <v>133</v>
      </c>
      <c r="AW583" s="55" t="s">
        <v>134</v>
      </c>
      <c r="AX583" s="55" t="s">
        <v>86</v>
      </c>
      <c r="AY583" s="55">
        <v>0</v>
      </c>
      <c r="AZ583" s="55">
        <v>0</v>
      </c>
      <c r="BA583" s="55" t="s">
        <v>391</v>
      </c>
      <c r="BB583" s="55" t="s">
        <v>134</v>
      </c>
      <c r="BC583" s="55" t="s">
        <v>134</v>
      </c>
      <c r="BD583" s="55" t="s">
        <v>134</v>
      </c>
      <c r="BE583" s="55" t="s">
        <v>1374</v>
      </c>
      <c r="BF583" s="55" t="s">
        <v>312</v>
      </c>
      <c r="BG583" s="55" t="s">
        <v>312</v>
      </c>
      <c r="BH583" s="55" t="s">
        <v>312</v>
      </c>
      <c r="BI583" s="55" t="s">
        <v>312</v>
      </c>
      <c r="BJ583" s="55" t="s">
        <v>312</v>
      </c>
      <c r="BK583" s="55" t="s">
        <v>91</v>
      </c>
      <c r="BL583" s="55" t="s">
        <v>116</v>
      </c>
      <c r="BM583" s="55">
        <v>1</v>
      </c>
      <c r="BN583" s="55" t="s">
        <v>2177</v>
      </c>
      <c r="BO583" s="55" t="s">
        <v>312</v>
      </c>
      <c r="BP583" s="55" t="s">
        <v>312</v>
      </c>
      <c r="BQ583" s="55" t="s">
        <v>117</v>
      </c>
      <c r="BR583" s="55" t="s">
        <v>134</v>
      </c>
      <c r="BS583" s="55" t="s">
        <v>312</v>
      </c>
      <c r="BT583" s="55" t="s">
        <v>312</v>
      </c>
      <c r="BU583" s="55">
        <v>1998</v>
      </c>
      <c r="BV583" s="55">
        <v>2007</v>
      </c>
      <c r="BW583" s="55" t="s">
        <v>901</v>
      </c>
      <c r="BX583" s="55" t="s">
        <v>95</v>
      </c>
      <c r="BY583" s="55" t="s">
        <v>748</v>
      </c>
      <c r="BZ583" s="55">
        <v>1</v>
      </c>
      <c r="CA583" s="55">
        <v>1</v>
      </c>
      <c r="CB583" s="55" t="s">
        <v>303</v>
      </c>
      <c r="CC583" s="55" t="s">
        <v>1375</v>
      </c>
      <c r="CD583" s="55">
        <v>1</v>
      </c>
      <c r="CE583" s="55" t="s">
        <v>1382</v>
      </c>
      <c r="CF583" s="55">
        <v>0</v>
      </c>
      <c r="CG583" s="55" t="s">
        <v>97</v>
      </c>
      <c r="CH583" s="55">
        <v>0</v>
      </c>
      <c r="CI583" s="55" t="s">
        <v>116</v>
      </c>
      <c r="CJ583" s="55" t="s">
        <v>98</v>
      </c>
      <c r="CK583" s="55">
        <v>1</v>
      </c>
      <c r="CL583" s="55">
        <v>1</v>
      </c>
      <c r="CM583" s="55">
        <v>0</v>
      </c>
      <c r="CN583" s="55" t="s">
        <v>99</v>
      </c>
      <c r="CO583" s="55" t="s">
        <v>97</v>
      </c>
      <c r="CP583" s="55" t="s">
        <v>100</v>
      </c>
      <c r="CQ583" s="55" t="s">
        <v>126</v>
      </c>
      <c r="CR583" s="57">
        <v>46231</v>
      </c>
    </row>
    <row r="584" spans="1:98" s="35" customFormat="1" x14ac:dyDescent="0.35">
      <c r="A584" s="34" t="s">
        <v>1383</v>
      </c>
      <c r="B584" s="34" t="s">
        <v>1384</v>
      </c>
      <c r="C584" s="35" t="s">
        <v>1390</v>
      </c>
      <c r="D584" s="35">
        <v>2026</v>
      </c>
      <c r="E584" s="37" t="s">
        <v>1391</v>
      </c>
      <c r="F584" s="34" t="s">
        <v>1392</v>
      </c>
      <c r="G584" s="35" t="s">
        <v>78</v>
      </c>
      <c r="H584" s="35">
        <v>1</v>
      </c>
      <c r="I584" s="35" t="s">
        <v>290</v>
      </c>
      <c r="J584" s="35" t="s">
        <v>79</v>
      </c>
      <c r="K584" s="35">
        <v>1</v>
      </c>
      <c r="L584" s="35" t="s">
        <v>80</v>
      </c>
      <c r="M584" s="35" t="s">
        <v>380</v>
      </c>
      <c r="N584" s="35">
        <v>-0.37419999999999998</v>
      </c>
      <c r="O584" s="35">
        <v>9.1800000000000007E-2</v>
      </c>
      <c r="P584" s="89">
        <f t="shared" si="231"/>
        <v>-4.076252723311546</v>
      </c>
      <c r="Q584" s="35" t="s">
        <v>312</v>
      </c>
      <c r="R584" s="89">
        <f t="shared" si="232"/>
        <v>-0.55412799999999995</v>
      </c>
      <c r="S584" s="89">
        <f t="shared" si="233"/>
        <v>-0.19427199999999997</v>
      </c>
      <c r="T584" s="35">
        <v>1</v>
      </c>
      <c r="U584" s="35">
        <v>363086</v>
      </c>
      <c r="V584" s="35" t="s">
        <v>312</v>
      </c>
      <c r="W584" s="35" t="s">
        <v>312</v>
      </c>
      <c r="X584" s="35">
        <f t="shared" ref="X584:X615" si="240">U584</f>
        <v>363086</v>
      </c>
      <c r="Y584" s="89">
        <f t="shared" si="234"/>
        <v>-6.7646668508734003E-3</v>
      </c>
      <c r="Z584" s="89">
        <f t="shared" si="235"/>
        <v>1.6595307774189693E-3</v>
      </c>
      <c r="AA584" s="89">
        <f t="shared" si="236"/>
        <v>6.7646668508734003E-3</v>
      </c>
      <c r="AB584" s="35" t="s">
        <v>81</v>
      </c>
      <c r="AC584" s="89">
        <f t="shared" ref="AC584:AC589" si="241">N584</f>
        <v>-0.37419999999999998</v>
      </c>
      <c r="AD584" s="99" cm="1">
        <f t="array" ref="AD584">_xlfn.IFS(
AND(L584="marginal_effect",M584="level"),N584*AN584/BF584,
AND(L584="marginal_effect",M584="sd (Y)"),N584*BH584*AN584/BF584,
AND(L584="marginal_effect",M584="sd (X)"),N584/AQ584*AN584/BF584,
AND(L584="semi_elasticity",M584="level"),N584*AN584,
AND(L584="semi_elasticity",M584="sd (Y)"),N584*AN584*BH584,
AND(L584="semi_elasticity",M584="sd (X)"),N584*AN584/AQ584,
AND(L584="level-log",M584="level"),N584/BF584,
AND(L584="level-log",M584="sd (X)"),N584/BF584/AQ584,
AND(L584="level-log",M584="sd (Y)"),N584/BF584*BH584,
AND(L584="elasticity",M584="level"),N584,
AND(L584="elasticity",M584="sd (X)"),N584/AQ584,
AND(L584="elasticity",M584="sd (Y)"),N584*BH584,
AND(L584="marginal_effect",M584="percent_of_mean"),N584*AN584/BF584/10)</f>
        <v>-0.37419999999999998</v>
      </c>
      <c r="AE584" s="104">
        <f t="shared" si="212"/>
        <v>1</v>
      </c>
      <c r="AF584" s="89">
        <f t="shared" ref="AF584:AF589" si="242">O584</f>
        <v>9.1800000000000007E-2</v>
      </c>
      <c r="AG584" s="99" cm="1">
        <f t="array" ref="AG584">_xlfn.IFS(
AND(L584="marginal_effect",M584="level"),O584*AN584/BF584,
AND(L584="marginal_effect",M584="sd (Y)"),O584*BH584*AN584/BF584,
AND(L584="marginal_effect",M584="sd (X)"),O584/AQ584*AN584/BF584,
AND(L584="semi_elasticity",M584="level"),O584*AN584,
AND(L584="semi_elasticity",M584="sd (Y)"),O584*AN584*BH584,
AND(L584="semi_elasticity",M584="sd (X)"),O584*AN584/AQ584,
AND(L584="level-log",M584="level"),O584/BF584,
AND(L584="level-log",M584="sd (X)"),O584/BF584/AQ584,
AND(L584="level-log",M584="sd (Y)"),O584/BF584*BH584,
AND(L584="elasticity",M584="level"),O584,
AND(L584="elasticity",M584="sd (X)"),O584/AQ584,
AND(L584="elasticity",M584="sd (Y)"),O584*BH584,
AND(L584="marginal_effect",M584="percent_of_mean"),O584*AN584/BF584/10)</f>
        <v>9.1800000000000007E-2</v>
      </c>
      <c r="AH584" s="104">
        <f t="shared" si="213"/>
        <v>1</v>
      </c>
      <c r="AI584" s="89">
        <f t="shared" si="238"/>
        <v>-0.37419999999999998</v>
      </c>
      <c r="AJ584" s="35">
        <v>0</v>
      </c>
      <c r="AK584" s="35">
        <f t="shared" si="237"/>
        <v>1</v>
      </c>
      <c r="AL584" s="35" t="s">
        <v>82</v>
      </c>
      <c r="AM584" s="35" t="s">
        <v>1333</v>
      </c>
      <c r="AN584" s="35">
        <v>70.66</v>
      </c>
      <c r="AO584" s="35">
        <v>0</v>
      </c>
      <c r="AP584" s="35">
        <f t="shared" si="239"/>
        <v>70.66</v>
      </c>
      <c r="AQ584" s="35">
        <v>20.63</v>
      </c>
      <c r="AR584" s="35">
        <v>4.3099999999999996</v>
      </c>
      <c r="AS584" s="35">
        <v>134.80000000000001</v>
      </c>
      <c r="AT584" s="35" t="s">
        <v>107</v>
      </c>
      <c r="AU584" s="35" t="s">
        <v>109</v>
      </c>
      <c r="AV584" s="35" t="s">
        <v>133</v>
      </c>
      <c r="AW584" s="35" t="s">
        <v>134</v>
      </c>
      <c r="AX584" s="35" t="s">
        <v>86</v>
      </c>
      <c r="AY584" s="35">
        <v>0</v>
      </c>
      <c r="AZ584" s="35">
        <v>0</v>
      </c>
      <c r="BA584" s="35" t="s">
        <v>391</v>
      </c>
      <c r="BB584" s="35" t="s">
        <v>134</v>
      </c>
      <c r="BC584" s="35" t="s">
        <v>134</v>
      </c>
      <c r="BD584" s="35" t="s">
        <v>134</v>
      </c>
      <c r="BE584" s="35" t="s">
        <v>1396</v>
      </c>
      <c r="BF584" s="35">
        <v>3.85</v>
      </c>
      <c r="BG584" s="35">
        <v>0</v>
      </c>
      <c r="BH584" s="35">
        <v>0.93</v>
      </c>
      <c r="BI584" s="35">
        <v>-0.96</v>
      </c>
      <c r="BJ584" s="35">
        <v>9.2799999999999994</v>
      </c>
      <c r="BK584" s="35" t="s">
        <v>91</v>
      </c>
      <c r="BL584" s="35" t="s">
        <v>116</v>
      </c>
      <c r="BM584" s="35">
        <v>1</v>
      </c>
      <c r="BN584" s="35" t="s">
        <v>2177</v>
      </c>
      <c r="BO584" s="35" t="s">
        <v>312</v>
      </c>
      <c r="BP584" s="35" t="s">
        <v>312</v>
      </c>
      <c r="BQ584" s="35" t="s">
        <v>117</v>
      </c>
      <c r="BR584" s="35" t="s">
        <v>134</v>
      </c>
      <c r="BS584" s="35" t="s">
        <v>312</v>
      </c>
      <c r="BT584" s="35" t="s">
        <v>312</v>
      </c>
      <c r="BU584" s="35">
        <v>2000</v>
      </c>
      <c r="BV584" s="35">
        <v>2007</v>
      </c>
      <c r="BW584" s="35" t="s">
        <v>901</v>
      </c>
      <c r="BX584" s="35" t="s">
        <v>95</v>
      </c>
      <c r="BY584" s="35" t="s">
        <v>96</v>
      </c>
      <c r="BZ584" s="35">
        <v>0</v>
      </c>
      <c r="CA584" s="35">
        <v>0</v>
      </c>
      <c r="CB584" s="35" t="s">
        <v>97</v>
      </c>
      <c r="CC584" s="35" t="s">
        <v>1395</v>
      </c>
      <c r="CD584" s="35">
        <v>1</v>
      </c>
      <c r="CE584" s="35" t="s">
        <v>1382</v>
      </c>
      <c r="CF584" s="35">
        <v>0</v>
      </c>
      <c r="CG584" s="35" t="s">
        <v>97</v>
      </c>
      <c r="CH584" s="35">
        <v>0</v>
      </c>
      <c r="CI584" s="35" t="s">
        <v>1393</v>
      </c>
      <c r="CJ584" s="35" t="s">
        <v>98</v>
      </c>
      <c r="CK584" s="35">
        <v>6</v>
      </c>
      <c r="CL584" s="35">
        <v>0</v>
      </c>
      <c r="CM584" s="35">
        <v>0</v>
      </c>
      <c r="CN584" s="35" t="s">
        <v>99</v>
      </c>
      <c r="CO584" s="35" t="s">
        <v>97</v>
      </c>
      <c r="CP584" s="35" t="s">
        <v>100</v>
      </c>
      <c r="CQ584" s="35" t="s">
        <v>126</v>
      </c>
      <c r="CR584" s="36">
        <v>46231</v>
      </c>
      <c r="CT584" s="35" t="s">
        <v>437</v>
      </c>
    </row>
    <row r="585" spans="1:98" s="35" customFormat="1" x14ac:dyDescent="0.35">
      <c r="A585" s="34" t="s">
        <v>1383</v>
      </c>
      <c r="B585" s="34" t="s">
        <v>1385</v>
      </c>
      <c r="C585" s="35" t="s">
        <v>1390</v>
      </c>
      <c r="D585" s="35">
        <v>2026</v>
      </c>
      <c r="E585" s="37" t="s">
        <v>1391</v>
      </c>
      <c r="F585" s="34" t="s">
        <v>1392</v>
      </c>
      <c r="G585" s="35" t="s">
        <v>78</v>
      </c>
      <c r="H585" s="35">
        <v>1</v>
      </c>
      <c r="I585" s="35" t="s">
        <v>290</v>
      </c>
      <c r="J585" s="35" t="s">
        <v>79</v>
      </c>
      <c r="K585" s="35">
        <v>1</v>
      </c>
      <c r="L585" s="35" t="s">
        <v>80</v>
      </c>
      <c r="M585" s="35" t="s">
        <v>380</v>
      </c>
      <c r="N585" s="35">
        <v>-0.85560000000000003</v>
      </c>
      <c r="O585" s="35">
        <v>0.37040000000000001</v>
      </c>
      <c r="P585" s="89">
        <f t="shared" si="231"/>
        <v>-2.3099352051835855</v>
      </c>
      <c r="Q585" s="35" t="s">
        <v>312</v>
      </c>
      <c r="R585" s="89">
        <f t="shared" si="232"/>
        <v>-1.5815839999999999</v>
      </c>
      <c r="S585" s="89">
        <f t="shared" si="233"/>
        <v>-0.12961600000000006</v>
      </c>
      <c r="T585" s="35">
        <v>1</v>
      </c>
      <c r="U585" s="35">
        <v>363075</v>
      </c>
      <c r="V585" s="35" t="s">
        <v>312</v>
      </c>
      <c r="W585" s="35" t="s">
        <v>312</v>
      </c>
      <c r="X585" s="35">
        <f t="shared" si="240"/>
        <v>363075</v>
      </c>
      <c r="Y585" s="89">
        <f t="shared" si="234"/>
        <v>-3.833526181545257E-3</v>
      </c>
      <c r="Z585" s="89">
        <f t="shared" si="235"/>
        <v>1.6595816943014996E-3</v>
      </c>
      <c r="AA585" s="89">
        <f t="shared" si="236"/>
        <v>3.833526181545257E-3</v>
      </c>
      <c r="AB585" s="35" t="s">
        <v>81</v>
      </c>
      <c r="AC585" s="89">
        <f t="shared" si="241"/>
        <v>-0.85560000000000003</v>
      </c>
      <c r="AD585" s="99" cm="1">
        <f t="array" ref="AD585">_xlfn.IFS(
AND(L585="marginal_effect",M585="level"),N585*AN585/BF585,
AND(L585="marginal_effect",M585="sd (Y)"),N585*BH585*AN585/BF585,
AND(L585="marginal_effect",M585="sd (X)"),N585/AQ585*AN585/BF585,
AND(L585="semi_elasticity",M585="level"),N585*AN585,
AND(L585="semi_elasticity",M585="sd (Y)"),N585*AN585*BH585,
AND(L585="semi_elasticity",M585="sd (X)"),N585*AN585/AQ585,
AND(L585="level-log",M585="level"),N585/BF585,
AND(L585="level-log",M585="sd (X)"),N585/BF585/AQ585,
AND(L585="level-log",M585="sd (Y)"),N585/BF585*BH585,
AND(L585="elasticity",M585="level"),N585,
AND(L585="elasticity",M585="sd (X)"),N585/AQ585,
AND(L585="elasticity",M585="sd (Y)"),N585*BH585,
AND(L585="marginal_effect",M585="percent_of_mean"),N585*AN585/BF585/10)</f>
        <v>-0.85560000000000003</v>
      </c>
      <c r="AE585" s="104">
        <f t="shared" si="212"/>
        <v>1</v>
      </c>
      <c r="AF585" s="89">
        <f t="shared" si="242"/>
        <v>0.37040000000000001</v>
      </c>
      <c r="AG585" s="99" cm="1">
        <f t="array" ref="AG585">_xlfn.IFS(
AND(L585="marginal_effect",M585="level"),O585*AN585/BF585,
AND(L585="marginal_effect",M585="sd (Y)"),O585*BH585*AN585/BF585,
AND(L585="marginal_effect",M585="sd (X)"),O585/AQ585*AN585/BF585,
AND(L585="semi_elasticity",M585="level"),O585*AN585,
AND(L585="semi_elasticity",M585="sd (Y)"),O585*AN585*BH585,
AND(L585="semi_elasticity",M585="sd (X)"),O585*AN585/AQ585,
AND(L585="level-log",M585="level"),O585/BF585,
AND(L585="level-log",M585="sd (X)"),O585/BF585/AQ585,
AND(L585="level-log",M585="sd (Y)"),O585/BF585*BH585,
AND(L585="elasticity",M585="level"),O585,
AND(L585="elasticity",M585="sd (X)"),O585/AQ585,
AND(L585="elasticity",M585="sd (Y)"),O585*BH585,
AND(L585="marginal_effect",M585="percent_of_mean"),O585*AN585/BF585/10)</f>
        <v>0.37040000000000001</v>
      </c>
      <c r="AH585" s="104">
        <f t="shared" si="213"/>
        <v>1</v>
      </c>
      <c r="AI585" s="89">
        <f t="shared" si="238"/>
        <v>-0.85560000000000003</v>
      </c>
      <c r="AJ585" s="35">
        <v>0</v>
      </c>
      <c r="AK585" s="35">
        <f t="shared" si="237"/>
        <v>1</v>
      </c>
      <c r="AL585" s="35" t="s">
        <v>82</v>
      </c>
      <c r="AM585" s="35" t="s">
        <v>1333</v>
      </c>
      <c r="AN585" s="35">
        <v>70.66</v>
      </c>
      <c r="AO585" s="35">
        <v>0</v>
      </c>
      <c r="AP585" s="35">
        <f t="shared" si="239"/>
        <v>70.66</v>
      </c>
      <c r="AQ585" s="35">
        <v>20.63</v>
      </c>
      <c r="AR585" s="35">
        <v>4.3099999999999996</v>
      </c>
      <c r="AS585" s="35">
        <v>134.80000000000001</v>
      </c>
      <c r="AT585" s="35" t="s">
        <v>107</v>
      </c>
      <c r="AU585" s="35" t="s">
        <v>109</v>
      </c>
      <c r="AV585" s="35" t="s">
        <v>133</v>
      </c>
      <c r="AW585" s="35" t="s">
        <v>134</v>
      </c>
      <c r="AX585" s="35" t="s">
        <v>86</v>
      </c>
      <c r="AY585" s="35">
        <v>0</v>
      </c>
      <c r="AZ585" s="35">
        <v>0</v>
      </c>
      <c r="BA585" s="35" t="s">
        <v>391</v>
      </c>
      <c r="BB585" s="35" t="s">
        <v>134</v>
      </c>
      <c r="BC585" s="35" t="s">
        <v>134</v>
      </c>
      <c r="BD585" s="35" t="s">
        <v>134</v>
      </c>
      <c r="BE585" s="35" t="s">
        <v>1396</v>
      </c>
      <c r="BF585" s="35">
        <v>3.85</v>
      </c>
      <c r="BG585" s="35">
        <v>0</v>
      </c>
      <c r="BH585" s="35">
        <v>0.93</v>
      </c>
      <c r="BI585" s="35">
        <v>-0.96</v>
      </c>
      <c r="BJ585" s="35">
        <v>9.2799999999999994</v>
      </c>
      <c r="BK585" s="35" t="s">
        <v>91</v>
      </c>
      <c r="BL585" s="35" t="s">
        <v>116</v>
      </c>
      <c r="BM585" s="35">
        <v>1</v>
      </c>
      <c r="BN585" s="35" t="s">
        <v>2177</v>
      </c>
      <c r="BO585" s="35" t="s">
        <v>312</v>
      </c>
      <c r="BP585" s="35" t="s">
        <v>312</v>
      </c>
      <c r="BQ585" s="35" t="s">
        <v>117</v>
      </c>
      <c r="BR585" s="35" t="s">
        <v>134</v>
      </c>
      <c r="BS585" s="35" t="s">
        <v>312</v>
      </c>
      <c r="BT585" s="35" t="s">
        <v>312</v>
      </c>
      <c r="BU585" s="35">
        <v>2000</v>
      </c>
      <c r="BV585" s="35">
        <v>2007</v>
      </c>
      <c r="BW585" s="35" t="s">
        <v>901</v>
      </c>
      <c r="BX585" s="35" t="s">
        <v>95</v>
      </c>
      <c r="BY585" s="35" t="s">
        <v>96</v>
      </c>
      <c r="BZ585" s="35">
        <v>1</v>
      </c>
      <c r="CA585" s="35">
        <v>1</v>
      </c>
      <c r="CB585" s="35" t="s">
        <v>303</v>
      </c>
      <c r="CC585" s="35" t="s">
        <v>1395</v>
      </c>
      <c r="CD585" s="35">
        <v>1</v>
      </c>
      <c r="CE585" s="35" t="s">
        <v>1382</v>
      </c>
      <c r="CF585" s="35">
        <v>0</v>
      </c>
      <c r="CG585" s="35" t="s">
        <v>97</v>
      </c>
      <c r="CH585" s="35">
        <v>0</v>
      </c>
      <c r="CI585" s="35" t="s">
        <v>1393</v>
      </c>
      <c r="CJ585" s="35" t="s">
        <v>98</v>
      </c>
      <c r="CK585" s="35">
        <v>6</v>
      </c>
      <c r="CL585" s="35">
        <v>1</v>
      </c>
      <c r="CM585" s="35">
        <v>0</v>
      </c>
      <c r="CN585" s="35" t="s">
        <v>99</v>
      </c>
      <c r="CO585" s="35" t="s">
        <v>97</v>
      </c>
      <c r="CP585" s="35" t="s">
        <v>100</v>
      </c>
      <c r="CQ585" s="35" t="s">
        <v>126</v>
      </c>
      <c r="CR585" s="36">
        <v>46231</v>
      </c>
      <c r="CT585" s="35" t="s">
        <v>438</v>
      </c>
    </row>
    <row r="586" spans="1:98" s="35" customFormat="1" x14ac:dyDescent="0.35">
      <c r="A586" s="34" t="s">
        <v>1383</v>
      </c>
      <c r="B586" s="34" t="s">
        <v>1386</v>
      </c>
      <c r="C586" s="35" t="s">
        <v>1390</v>
      </c>
      <c r="D586" s="35">
        <v>2026</v>
      </c>
      <c r="E586" s="37" t="s">
        <v>1391</v>
      </c>
      <c r="F586" s="34" t="s">
        <v>1392</v>
      </c>
      <c r="G586" s="35" t="s">
        <v>78</v>
      </c>
      <c r="H586" s="35">
        <v>1</v>
      </c>
      <c r="I586" s="35" t="s">
        <v>290</v>
      </c>
      <c r="J586" s="35" t="s">
        <v>79</v>
      </c>
      <c r="K586" s="35">
        <v>1</v>
      </c>
      <c r="L586" s="35" t="s">
        <v>80</v>
      </c>
      <c r="M586" s="35" t="s">
        <v>380</v>
      </c>
      <c r="N586" s="35">
        <v>-1.0088999999999999</v>
      </c>
      <c r="O586" s="35">
        <v>0.34389999999999998</v>
      </c>
      <c r="P586" s="89">
        <f t="shared" si="231"/>
        <v>-2.9337016574585633</v>
      </c>
      <c r="Q586" s="35" t="s">
        <v>312</v>
      </c>
      <c r="R586" s="89">
        <f t="shared" si="232"/>
        <v>-1.682944</v>
      </c>
      <c r="S586" s="89">
        <f t="shared" si="233"/>
        <v>-0.33485599999999993</v>
      </c>
      <c r="T586" s="35">
        <v>1</v>
      </c>
      <c r="U586" s="35">
        <v>363075</v>
      </c>
      <c r="V586" s="35" t="s">
        <v>312</v>
      </c>
      <c r="W586" s="35" t="s">
        <v>312</v>
      </c>
      <c r="X586" s="35">
        <f t="shared" si="240"/>
        <v>363075</v>
      </c>
      <c r="Y586" s="89" t="s">
        <v>312</v>
      </c>
      <c r="Z586" s="89" t="s">
        <v>312</v>
      </c>
      <c r="AA586" s="89" t="s">
        <v>312</v>
      </c>
      <c r="AB586" s="35" t="s">
        <v>312</v>
      </c>
      <c r="AC586" s="89">
        <f t="shared" si="241"/>
        <v>-1.0088999999999999</v>
      </c>
      <c r="AD586" s="99" cm="1">
        <f t="array" ref="AD586">_xlfn.IFS(
AND(L586="marginal_effect",M586="level"),N586*AN586/BF586,
AND(L586="marginal_effect",M586="sd (Y)"),N586*BH586*AN586/BF586,
AND(L586="marginal_effect",M586="sd (X)"),N586/AQ586*AN586/BF586,
AND(L586="semi_elasticity",M586="level"),N586*AN586,
AND(L586="semi_elasticity",M586="sd (Y)"),N586*AN586*BH586,
AND(L586="semi_elasticity",M586="sd (X)"),N586*AN586/AQ586,
AND(L586="level-log",M586="level"),N586/BF586,
AND(L586="level-log",M586="sd (X)"),N586/BF586/AQ586,
AND(L586="level-log",M586="sd (Y)"),N586/BF586*BH586,
AND(L586="elasticity",M586="level"),N586,
AND(L586="elasticity",M586="sd (X)"),N586/AQ586,
AND(L586="elasticity",M586="sd (Y)"),N586*BH586,
AND(L586="marginal_effect",M586="percent_of_mean"),N586*AN586/BF586/10)</f>
        <v>-1.0088999999999999</v>
      </c>
      <c r="AE586" s="104">
        <f t="shared" si="212"/>
        <v>1</v>
      </c>
      <c r="AF586" s="89">
        <f t="shared" si="242"/>
        <v>0.34389999999999998</v>
      </c>
      <c r="AG586" s="99" cm="1">
        <f t="array" ref="AG586">_xlfn.IFS(
AND(L586="marginal_effect",M586="level"),O586*AN586/BF586,
AND(L586="marginal_effect",M586="sd (Y)"),O586*BH586*AN586/BF586,
AND(L586="marginal_effect",M586="sd (X)"),O586/AQ586*AN586/BF586,
AND(L586="semi_elasticity",M586="level"),O586*AN586,
AND(L586="semi_elasticity",M586="sd (Y)"),O586*AN586*BH586,
AND(L586="semi_elasticity",M586="sd (X)"),O586*AN586/AQ586,
AND(L586="level-log",M586="level"),O586/BF586,
AND(L586="level-log",M586="sd (X)"),O586/BF586/AQ586,
AND(L586="level-log",M586="sd (Y)"),O586/BF586*BH586,
AND(L586="elasticity",M586="level"),O586,
AND(L586="elasticity",M586="sd (X)"),O586/AQ586,
AND(L586="elasticity",M586="sd (Y)"),O586*BH586,
AND(L586="marginal_effect",M586="percent_of_mean"),O586*AN586/BF586/10)</f>
        <v>0.34389999999999998</v>
      </c>
      <c r="AH586" s="104">
        <f t="shared" si="213"/>
        <v>1</v>
      </c>
      <c r="AI586" s="89">
        <f t="shared" si="238"/>
        <v>-1.0088999999999999</v>
      </c>
      <c r="AJ586" s="35">
        <v>0</v>
      </c>
      <c r="AK586" s="35">
        <f t="shared" si="237"/>
        <v>1</v>
      </c>
      <c r="AL586" s="35" t="s">
        <v>82</v>
      </c>
      <c r="AM586" s="35" t="s">
        <v>1333</v>
      </c>
      <c r="AN586" s="35">
        <v>70.66</v>
      </c>
      <c r="AO586" s="35">
        <v>1</v>
      </c>
      <c r="AP586" s="35">
        <f t="shared" si="239"/>
        <v>70.66</v>
      </c>
      <c r="AQ586" s="35">
        <v>20.63</v>
      </c>
      <c r="AR586" s="35">
        <v>4.3099999999999996</v>
      </c>
      <c r="AS586" s="35">
        <v>134.80000000000001</v>
      </c>
      <c r="AT586" s="35" t="s">
        <v>107</v>
      </c>
      <c r="AU586" s="35" t="s">
        <v>109</v>
      </c>
      <c r="AV586" s="35" t="s">
        <v>133</v>
      </c>
      <c r="AW586" s="35" t="s">
        <v>134</v>
      </c>
      <c r="AX586" s="35" t="s">
        <v>86</v>
      </c>
      <c r="AY586" s="35">
        <v>0</v>
      </c>
      <c r="AZ586" s="35">
        <v>0</v>
      </c>
      <c r="BA586" s="35" t="s">
        <v>391</v>
      </c>
      <c r="BB586" s="35" t="s">
        <v>134</v>
      </c>
      <c r="BC586" s="35" t="s">
        <v>134</v>
      </c>
      <c r="BD586" s="35" t="s">
        <v>134</v>
      </c>
      <c r="BE586" s="35" t="s">
        <v>1396</v>
      </c>
      <c r="BF586" s="35">
        <v>3.85</v>
      </c>
      <c r="BG586" s="35">
        <v>1</v>
      </c>
      <c r="BH586" s="35">
        <v>0.93</v>
      </c>
      <c r="BI586" s="35">
        <v>-0.96</v>
      </c>
      <c r="BJ586" s="35">
        <v>9.2799999999999994</v>
      </c>
      <c r="BK586" s="35" t="s">
        <v>91</v>
      </c>
      <c r="BL586" s="35" t="s">
        <v>116</v>
      </c>
      <c r="BM586" s="35">
        <v>1</v>
      </c>
      <c r="BN586" s="35" t="s">
        <v>2177</v>
      </c>
      <c r="BO586" s="35" t="s">
        <v>312</v>
      </c>
      <c r="BP586" s="35" t="s">
        <v>312</v>
      </c>
      <c r="BQ586" s="35" t="s">
        <v>117</v>
      </c>
      <c r="BR586" s="35" t="s">
        <v>134</v>
      </c>
      <c r="BS586" s="35" t="s">
        <v>312</v>
      </c>
      <c r="BT586" s="35" t="s">
        <v>312</v>
      </c>
      <c r="BU586" s="35">
        <v>2000</v>
      </c>
      <c r="BV586" s="35">
        <v>2007</v>
      </c>
      <c r="BW586" s="35" t="s">
        <v>901</v>
      </c>
      <c r="BX586" s="35" t="s">
        <v>95</v>
      </c>
      <c r="BY586" s="35" t="s">
        <v>748</v>
      </c>
      <c r="BZ586" s="35">
        <v>1</v>
      </c>
      <c r="CA586" s="35">
        <v>1</v>
      </c>
      <c r="CB586" s="35" t="s">
        <v>303</v>
      </c>
      <c r="CC586" s="35" t="s">
        <v>1395</v>
      </c>
      <c r="CD586" s="35">
        <v>1</v>
      </c>
      <c r="CE586" s="35" t="s">
        <v>1382</v>
      </c>
      <c r="CF586" s="35">
        <v>0</v>
      </c>
      <c r="CG586" s="35" t="s">
        <v>97</v>
      </c>
      <c r="CH586" s="35">
        <v>0</v>
      </c>
      <c r="CI586" s="35" t="s">
        <v>1393</v>
      </c>
      <c r="CJ586" s="35" t="s">
        <v>98</v>
      </c>
      <c r="CK586" s="35">
        <v>6</v>
      </c>
      <c r="CL586" s="35">
        <v>0</v>
      </c>
      <c r="CM586" s="35">
        <v>0</v>
      </c>
      <c r="CN586" s="35" t="s">
        <v>99</v>
      </c>
      <c r="CO586" s="35" t="s">
        <v>1394</v>
      </c>
      <c r="CP586" s="35" t="s">
        <v>100</v>
      </c>
      <c r="CQ586" s="35" t="s">
        <v>126</v>
      </c>
      <c r="CR586" s="36">
        <v>46231</v>
      </c>
      <c r="CT586" s="35" t="s">
        <v>439</v>
      </c>
    </row>
    <row r="587" spans="1:98" s="35" customFormat="1" x14ac:dyDescent="0.35">
      <c r="A587" s="34" t="s">
        <v>1383</v>
      </c>
      <c r="B587" s="34" t="s">
        <v>1387</v>
      </c>
      <c r="C587" s="35" t="s">
        <v>1390</v>
      </c>
      <c r="D587" s="35">
        <v>2026</v>
      </c>
      <c r="E587" s="37" t="s">
        <v>1391</v>
      </c>
      <c r="F587" s="34" t="s">
        <v>1392</v>
      </c>
      <c r="G587" s="35" t="s">
        <v>78</v>
      </c>
      <c r="H587" s="35">
        <v>1</v>
      </c>
      <c r="I587" s="35" t="s">
        <v>290</v>
      </c>
      <c r="J587" s="35" t="s">
        <v>79</v>
      </c>
      <c r="K587" s="35">
        <v>1</v>
      </c>
      <c r="L587" s="35" t="s">
        <v>80</v>
      </c>
      <c r="M587" s="35" t="s">
        <v>380</v>
      </c>
      <c r="N587" s="35">
        <f>N586+0.3236</f>
        <v>-0.68529999999999991</v>
      </c>
      <c r="O587" s="35" t="s">
        <v>312</v>
      </c>
      <c r="P587" s="89" t="s">
        <v>312</v>
      </c>
      <c r="Q587" s="35" t="s">
        <v>312</v>
      </c>
      <c r="R587" s="89" t="s">
        <v>312</v>
      </c>
      <c r="S587" s="89" t="s">
        <v>312</v>
      </c>
      <c r="T587" s="35" t="s">
        <v>312</v>
      </c>
      <c r="U587" s="35">
        <v>363075</v>
      </c>
      <c r="V587" s="35" t="s">
        <v>312</v>
      </c>
      <c r="W587" s="35" t="s">
        <v>312</v>
      </c>
      <c r="X587" s="35">
        <f t="shared" si="240"/>
        <v>363075</v>
      </c>
      <c r="Y587" s="89" t="s">
        <v>312</v>
      </c>
      <c r="Z587" s="89" t="s">
        <v>312</v>
      </c>
      <c r="AA587" s="89" t="s">
        <v>312</v>
      </c>
      <c r="AB587" s="35" t="s">
        <v>312</v>
      </c>
      <c r="AC587" s="89">
        <f t="shared" si="241"/>
        <v>-0.68529999999999991</v>
      </c>
      <c r="AD587" s="99" cm="1">
        <f t="array" ref="AD587">_xlfn.IFS(
AND(L587="marginal_effect",M587="level"),N587*AN587/BF587,
AND(L587="marginal_effect",M587="sd (Y)"),N587*BH587*AN587/BF587,
AND(L587="marginal_effect",M587="sd (X)"),N587/AQ587*AN587/BF587,
AND(L587="semi_elasticity",M587="level"),N587*AN587,
AND(L587="semi_elasticity",M587="sd (Y)"),N587*AN587*BH587,
AND(L587="semi_elasticity",M587="sd (X)"),N587*AN587/AQ587,
AND(L587="level-log",M587="level"),N587/BF587,
AND(L587="level-log",M587="sd (X)"),N587/BF587/AQ587,
AND(L587="level-log",M587="sd (Y)"),N587/BF587*BH587,
AND(L587="elasticity",M587="level"),N587,
AND(L587="elasticity",M587="sd (X)"),N587/AQ587,
AND(L587="elasticity",M587="sd (Y)"),N587*BH587,
AND(L587="marginal_effect",M587="percent_of_mean"),N587*AN587/BF587/10)</f>
        <v>-0.68529999999999991</v>
      </c>
      <c r="AE587" s="104">
        <f t="shared" si="212"/>
        <v>1</v>
      </c>
      <c r="AF587" s="89" t="str">
        <f t="shared" si="242"/>
        <v>NA</v>
      </c>
      <c r="AG587" s="99" t="str" cm="1">
        <f t="array" ref="AG587">_xlfn.IFS(
AND(L587="marginal_effect",M587="level"),O587*AN587/BF587,
AND(L587="marginal_effect",M587="sd (Y)"),O587*BH587*AN587/BF587,
AND(L587="marginal_effect",M587="sd (X)"),O587/AQ587*AN587/BF587,
AND(L587="semi_elasticity",M587="level"),O587*AN587,
AND(L587="semi_elasticity",M587="sd (Y)"),O587*AN587*BH587,
AND(L587="semi_elasticity",M587="sd (X)"),O587*AN587/AQ587,
AND(L587="level-log",M587="level"),O587/BF587,
AND(L587="level-log",M587="sd (X)"),O587/BF587/AQ587,
AND(L587="level-log",M587="sd (Y)"),O587/BF587*BH587,
AND(L587="elasticity",M587="level"),O587,
AND(L587="elasticity",M587="sd (X)"),O587/AQ587,
AND(L587="elasticity",M587="sd (Y)"),O587*BH587,
AND(L587="marginal_effect",M587="percent_of_mean"),O587*AN587/BF587/10)</f>
        <v>NA</v>
      </c>
      <c r="AH587" s="104">
        <f t="shared" si="213"/>
        <v>1</v>
      </c>
      <c r="AI587" s="89">
        <f t="shared" si="238"/>
        <v>-0.68529999999999991</v>
      </c>
      <c r="AJ587" s="35">
        <v>0</v>
      </c>
      <c r="AK587" s="35" t="e">
        <f t="shared" si="237"/>
        <v>#VALUE!</v>
      </c>
      <c r="AL587" s="35" t="s">
        <v>82</v>
      </c>
      <c r="AM587" s="35" t="s">
        <v>1333</v>
      </c>
      <c r="AN587" s="35">
        <v>70.66</v>
      </c>
      <c r="AO587" s="35">
        <v>1</v>
      </c>
      <c r="AP587" s="35">
        <f t="shared" si="239"/>
        <v>70.66</v>
      </c>
      <c r="AQ587" s="35">
        <v>20.63</v>
      </c>
      <c r="AR587" s="35">
        <v>4.3099999999999996</v>
      </c>
      <c r="AS587" s="35">
        <v>134.80000000000001</v>
      </c>
      <c r="AT587" s="35" t="s">
        <v>107</v>
      </c>
      <c r="AU587" s="35" t="s">
        <v>109</v>
      </c>
      <c r="AV587" s="35" t="s">
        <v>133</v>
      </c>
      <c r="AW587" s="35" t="s">
        <v>134</v>
      </c>
      <c r="AX587" s="35" t="s">
        <v>86</v>
      </c>
      <c r="AY587" s="35">
        <v>0</v>
      </c>
      <c r="AZ587" s="35">
        <v>0</v>
      </c>
      <c r="BA587" s="35" t="s">
        <v>391</v>
      </c>
      <c r="BB587" s="35" t="s">
        <v>134</v>
      </c>
      <c r="BC587" s="35" t="s">
        <v>134</v>
      </c>
      <c r="BD587" s="35" t="s">
        <v>134</v>
      </c>
      <c r="BE587" s="35" t="s">
        <v>1396</v>
      </c>
      <c r="BF587" s="35">
        <v>3.85</v>
      </c>
      <c r="BG587" s="35">
        <v>1</v>
      </c>
      <c r="BH587" s="35">
        <v>0.93</v>
      </c>
      <c r="BI587" s="35">
        <v>-0.96</v>
      </c>
      <c r="BJ587" s="35">
        <v>9.2799999999999994</v>
      </c>
      <c r="BK587" s="35" t="s">
        <v>91</v>
      </c>
      <c r="BL587" s="35" t="s">
        <v>116</v>
      </c>
      <c r="BM587" s="35">
        <v>1</v>
      </c>
      <c r="BN587" s="35" t="s">
        <v>2177</v>
      </c>
      <c r="BO587" s="35" t="s">
        <v>312</v>
      </c>
      <c r="BP587" s="35" t="s">
        <v>312</v>
      </c>
      <c r="BQ587" s="35" t="s">
        <v>117</v>
      </c>
      <c r="BR587" s="35" t="s">
        <v>134</v>
      </c>
      <c r="BS587" s="35" t="s">
        <v>312</v>
      </c>
      <c r="BT587" s="35" t="s">
        <v>312</v>
      </c>
      <c r="BU587" s="35">
        <v>2000</v>
      </c>
      <c r="BV587" s="35">
        <v>2007</v>
      </c>
      <c r="BW587" s="35" t="s">
        <v>901</v>
      </c>
      <c r="BX587" s="35" t="s">
        <v>95</v>
      </c>
      <c r="BY587" s="35" t="s">
        <v>748</v>
      </c>
      <c r="BZ587" s="35">
        <v>1</v>
      </c>
      <c r="CA587" s="35">
        <v>1</v>
      </c>
      <c r="CB587" s="35" t="s">
        <v>303</v>
      </c>
      <c r="CC587" s="35" t="s">
        <v>1395</v>
      </c>
      <c r="CD587" s="35">
        <v>1</v>
      </c>
      <c r="CE587" s="35" t="s">
        <v>1382</v>
      </c>
      <c r="CF587" s="35">
        <v>0</v>
      </c>
      <c r="CG587" s="35" t="s">
        <v>97</v>
      </c>
      <c r="CH587" s="35">
        <v>0</v>
      </c>
      <c r="CI587" s="35" t="s">
        <v>1393</v>
      </c>
      <c r="CJ587" s="35" t="s">
        <v>98</v>
      </c>
      <c r="CK587" s="35">
        <v>6</v>
      </c>
      <c r="CL587" s="35">
        <v>0</v>
      </c>
      <c r="CM587" s="35">
        <v>0</v>
      </c>
      <c r="CN587" s="35" t="s">
        <v>99</v>
      </c>
      <c r="CO587" s="35" t="s">
        <v>1394</v>
      </c>
      <c r="CP587" s="35" t="s">
        <v>100</v>
      </c>
      <c r="CQ587" s="35" t="s">
        <v>126</v>
      </c>
      <c r="CR587" s="36">
        <v>46231</v>
      </c>
      <c r="CT587" s="35" t="s">
        <v>439</v>
      </c>
    </row>
    <row r="588" spans="1:98" s="35" customFormat="1" x14ac:dyDescent="0.35">
      <c r="A588" s="34" t="s">
        <v>1383</v>
      </c>
      <c r="B588" s="34" t="s">
        <v>1388</v>
      </c>
      <c r="C588" s="35" t="s">
        <v>1390</v>
      </c>
      <c r="D588" s="35">
        <v>2026</v>
      </c>
      <c r="E588" s="37" t="s">
        <v>1391</v>
      </c>
      <c r="F588" s="34" t="s">
        <v>1392</v>
      </c>
      <c r="G588" s="35" t="s">
        <v>78</v>
      </c>
      <c r="H588" s="35">
        <v>1</v>
      </c>
      <c r="I588" s="35" t="s">
        <v>290</v>
      </c>
      <c r="J588" s="35" t="s">
        <v>79</v>
      </c>
      <c r="K588" s="35">
        <v>1</v>
      </c>
      <c r="L588" s="35" t="s">
        <v>80</v>
      </c>
      <c r="M588" s="35" t="s">
        <v>380</v>
      </c>
      <c r="N588" s="35">
        <v>-1.0212000000000001</v>
      </c>
      <c r="O588" s="35">
        <v>0.30380000000000001</v>
      </c>
      <c r="P588" s="89">
        <f>N588/O588</f>
        <v>-3.3614219881500991</v>
      </c>
      <c r="Q588" s="35" t="s">
        <v>312</v>
      </c>
      <c r="R588" s="89">
        <f>N588-1.96*O588</f>
        <v>-1.6166480000000001</v>
      </c>
      <c r="S588" s="89">
        <f>N588+1.96*O588</f>
        <v>-0.42575200000000013</v>
      </c>
      <c r="T588" s="35">
        <v>1</v>
      </c>
      <c r="U588" s="35">
        <v>363075</v>
      </c>
      <c r="V588" s="35" t="s">
        <v>312</v>
      </c>
      <c r="W588" s="35" t="s">
        <v>312</v>
      </c>
      <c r="X588" s="35">
        <f t="shared" si="240"/>
        <v>363075</v>
      </c>
      <c r="Y588" s="89" t="s">
        <v>312</v>
      </c>
      <c r="Z588" s="89" t="s">
        <v>312</v>
      </c>
      <c r="AA588" s="89" t="s">
        <v>312</v>
      </c>
      <c r="AB588" s="35" t="s">
        <v>312</v>
      </c>
      <c r="AC588" s="89">
        <f t="shared" si="241"/>
        <v>-1.0212000000000001</v>
      </c>
      <c r="AD588" s="99" cm="1">
        <f t="array" ref="AD588">_xlfn.IFS(
AND(L588="marginal_effect",M588="level"),N588*AN588/BF588,
AND(L588="marginal_effect",M588="sd (Y)"),N588*BH588*AN588/BF588,
AND(L588="marginal_effect",M588="sd (X)"),N588/AQ588*AN588/BF588,
AND(L588="semi_elasticity",M588="level"),N588*AN588,
AND(L588="semi_elasticity",M588="sd (Y)"),N588*AN588*BH588,
AND(L588="semi_elasticity",M588="sd (X)"),N588*AN588/AQ588,
AND(L588="level-log",M588="level"),N588/BF588,
AND(L588="level-log",M588="sd (X)"),N588/BF588/AQ588,
AND(L588="level-log",M588="sd (Y)"),N588/BF588*BH588,
AND(L588="elasticity",M588="level"),N588,
AND(L588="elasticity",M588="sd (X)"),N588/AQ588,
AND(L588="elasticity",M588="sd (Y)"),N588*BH588,
AND(L588="marginal_effect",M588="percent_of_mean"),N588*AN588/BF588/10)</f>
        <v>-1.0212000000000001</v>
      </c>
      <c r="AE588" s="104">
        <f t="shared" si="212"/>
        <v>1</v>
      </c>
      <c r="AF588" s="89">
        <f t="shared" si="242"/>
        <v>0.30380000000000001</v>
      </c>
      <c r="AG588" s="99" cm="1">
        <f t="array" ref="AG588">_xlfn.IFS(
AND(L588="marginal_effect",M588="level"),O588*AN588/BF588,
AND(L588="marginal_effect",M588="sd (Y)"),O588*BH588*AN588/BF588,
AND(L588="marginal_effect",M588="sd (X)"),O588/AQ588*AN588/BF588,
AND(L588="semi_elasticity",M588="level"),O588*AN588,
AND(L588="semi_elasticity",M588="sd (Y)"),O588*AN588*BH588,
AND(L588="semi_elasticity",M588="sd (X)"),O588*AN588/AQ588,
AND(L588="level-log",M588="level"),O588/BF588,
AND(L588="level-log",M588="sd (X)"),O588/BF588/AQ588,
AND(L588="level-log",M588="sd (Y)"),O588/BF588*BH588,
AND(L588="elasticity",M588="level"),O588,
AND(L588="elasticity",M588="sd (X)"),O588/AQ588,
AND(L588="elasticity",M588="sd (Y)"),O588*BH588,
AND(L588="marginal_effect",M588="percent_of_mean"),O588*AN588/BF588/10)</f>
        <v>0.30380000000000001</v>
      </c>
      <c r="AH588" s="104">
        <f t="shared" si="213"/>
        <v>1</v>
      </c>
      <c r="AI588" s="89">
        <f t="shared" si="238"/>
        <v>-1.0212000000000001</v>
      </c>
      <c r="AJ588" s="35">
        <v>0</v>
      </c>
      <c r="AK588" s="35">
        <f t="shared" si="237"/>
        <v>1</v>
      </c>
      <c r="AL588" s="35" t="s">
        <v>82</v>
      </c>
      <c r="AM588" s="35" t="s">
        <v>1333</v>
      </c>
      <c r="AN588" s="35">
        <v>70.66</v>
      </c>
      <c r="AO588" s="35">
        <v>1</v>
      </c>
      <c r="AP588" s="35">
        <f t="shared" si="239"/>
        <v>70.66</v>
      </c>
      <c r="AQ588" s="35">
        <v>20.63</v>
      </c>
      <c r="AR588" s="35">
        <v>4.3099999999999996</v>
      </c>
      <c r="AS588" s="35">
        <v>134.80000000000001</v>
      </c>
      <c r="AT588" s="35" t="s">
        <v>107</v>
      </c>
      <c r="AU588" s="35" t="s">
        <v>109</v>
      </c>
      <c r="AV588" s="35" t="s">
        <v>133</v>
      </c>
      <c r="AW588" s="35" t="s">
        <v>134</v>
      </c>
      <c r="AX588" s="35" t="s">
        <v>86</v>
      </c>
      <c r="AY588" s="35">
        <v>0</v>
      </c>
      <c r="AZ588" s="35">
        <v>0</v>
      </c>
      <c r="BA588" s="35" t="s">
        <v>391</v>
      </c>
      <c r="BB588" s="35" t="s">
        <v>134</v>
      </c>
      <c r="BC588" s="35" t="s">
        <v>134</v>
      </c>
      <c r="BD588" s="35" t="s">
        <v>134</v>
      </c>
      <c r="BE588" s="35" t="s">
        <v>1396</v>
      </c>
      <c r="BF588" s="35">
        <v>3.85</v>
      </c>
      <c r="BG588" s="35">
        <v>1</v>
      </c>
      <c r="BH588" s="35">
        <v>0.93</v>
      </c>
      <c r="BI588" s="35">
        <v>-0.96</v>
      </c>
      <c r="BJ588" s="35">
        <v>9.2799999999999994</v>
      </c>
      <c r="BK588" s="35" t="s">
        <v>91</v>
      </c>
      <c r="BL588" s="35" t="s">
        <v>116</v>
      </c>
      <c r="BM588" s="35">
        <v>1</v>
      </c>
      <c r="BN588" s="35" t="s">
        <v>2177</v>
      </c>
      <c r="BO588" s="35" t="s">
        <v>312</v>
      </c>
      <c r="BP588" s="35" t="s">
        <v>312</v>
      </c>
      <c r="BQ588" s="35" t="s">
        <v>117</v>
      </c>
      <c r="BR588" s="35" t="s">
        <v>134</v>
      </c>
      <c r="BS588" s="35" t="s">
        <v>312</v>
      </c>
      <c r="BT588" s="35" t="s">
        <v>312</v>
      </c>
      <c r="BU588" s="35">
        <v>2000</v>
      </c>
      <c r="BV588" s="35">
        <v>2007</v>
      </c>
      <c r="BW588" s="35" t="s">
        <v>901</v>
      </c>
      <c r="BX588" s="35" t="s">
        <v>95</v>
      </c>
      <c r="BY588" s="35" t="s">
        <v>748</v>
      </c>
      <c r="BZ588" s="35">
        <v>1</v>
      </c>
      <c r="CA588" s="35">
        <v>1</v>
      </c>
      <c r="CB588" s="35" t="s">
        <v>303</v>
      </c>
      <c r="CC588" s="35" t="s">
        <v>1395</v>
      </c>
      <c r="CD588" s="35">
        <v>1</v>
      </c>
      <c r="CE588" s="35" t="s">
        <v>1382</v>
      </c>
      <c r="CF588" s="35">
        <v>0</v>
      </c>
      <c r="CG588" s="35" t="s">
        <v>97</v>
      </c>
      <c r="CH588" s="35">
        <v>0</v>
      </c>
      <c r="CI588" s="35" t="s">
        <v>1393</v>
      </c>
      <c r="CJ588" s="35" t="s">
        <v>98</v>
      </c>
      <c r="CK588" s="35">
        <v>6</v>
      </c>
      <c r="CL588" s="35">
        <v>0</v>
      </c>
      <c r="CM588" s="35">
        <v>0</v>
      </c>
      <c r="CN588" s="35" t="s">
        <v>99</v>
      </c>
      <c r="CO588" s="35" t="s">
        <v>1394</v>
      </c>
      <c r="CP588" s="35" t="s">
        <v>100</v>
      </c>
      <c r="CQ588" s="35" t="s">
        <v>126</v>
      </c>
      <c r="CR588" s="36">
        <v>46231</v>
      </c>
      <c r="CT588" s="35" t="s">
        <v>440</v>
      </c>
    </row>
    <row r="589" spans="1:98" s="35" customFormat="1" x14ac:dyDescent="0.35">
      <c r="A589" s="34" t="s">
        <v>1383</v>
      </c>
      <c r="B589" s="34" t="s">
        <v>1389</v>
      </c>
      <c r="C589" s="35" t="s">
        <v>1390</v>
      </c>
      <c r="D589" s="35">
        <v>2026</v>
      </c>
      <c r="E589" s="37" t="s">
        <v>1391</v>
      </c>
      <c r="F589" s="34" t="s">
        <v>1392</v>
      </c>
      <c r="G589" s="35" t="s">
        <v>78</v>
      </c>
      <c r="H589" s="35">
        <v>1</v>
      </c>
      <c r="I589" s="35" t="s">
        <v>290</v>
      </c>
      <c r="J589" s="35" t="s">
        <v>79</v>
      </c>
      <c r="K589" s="35">
        <v>1</v>
      </c>
      <c r="L589" s="35" t="s">
        <v>80</v>
      </c>
      <c r="M589" s="35" t="s">
        <v>380</v>
      </c>
      <c r="N589" s="35">
        <f>N588+0.2656</f>
        <v>-0.75560000000000005</v>
      </c>
      <c r="O589" s="35" t="s">
        <v>312</v>
      </c>
      <c r="P589" s="89" t="s">
        <v>312</v>
      </c>
      <c r="Q589" s="35" t="s">
        <v>312</v>
      </c>
      <c r="R589" s="89" t="s">
        <v>312</v>
      </c>
      <c r="S589" s="89" t="s">
        <v>312</v>
      </c>
      <c r="T589" s="35" t="s">
        <v>312</v>
      </c>
      <c r="U589" s="35">
        <v>363075</v>
      </c>
      <c r="V589" s="35" t="s">
        <v>312</v>
      </c>
      <c r="W589" s="35" t="s">
        <v>312</v>
      </c>
      <c r="X589" s="35">
        <f t="shared" si="240"/>
        <v>363075</v>
      </c>
      <c r="Y589" s="89" t="s">
        <v>312</v>
      </c>
      <c r="Z589" s="89" t="s">
        <v>312</v>
      </c>
      <c r="AA589" s="89" t="s">
        <v>312</v>
      </c>
      <c r="AB589" s="35" t="s">
        <v>312</v>
      </c>
      <c r="AC589" s="89">
        <f t="shared" si="241"/>
        <v>-0.75560000000000005</v>
      </c>
      <c r="AD589" s="99" cm="1">
        <f t="array" ref="AD589">_xlfn.IFS(
AND(L589="marginal_effect",M589="level"),N589*AN589/BF589,
AND(L589="marginal_effect",M589="sd (Y)"),N589*BH589*AN589/BF589,
AND(L589="marginal_effect",M589="sd (X)"),N589/AQ589*AN589/BF589,
AND(L589="semi_elasticity",M589="level"),N589*AN589,
AND(L589="semi_elasticity",M589="sd (Y)"),N589*AN589*BH589,
AND(L589="semi_elasticity",M589="sd (X)"),N589*AN589/AQ589,
AND(L589="level-log",M589="level"),N589/BF589,
AND(L589="level-log",M589="sd (X)"),N589/BF589/AQ589,
AND(L589="level-log",M589="sd (Y)"),N589/BF589*BH589,
AND(L589="elasticity",M589="level"),N589,
AND(L589="elasticity",M589="sd (X)"),N589/AQ589,
AND(L589="elasticity",M589="sd (Y)"),N589*BH589,
AND(L589="marginal_effect",M589="percent_of_mean"),N589*AN589/BF589/10)</f>
        <v>-0.75560000000000005</v>
      </c>
      <c r="AE589" s="104">
        <f t="shared" si="212"/>
        <v>1</v>
      </c>
      <c r="AF589" s="89" t="str">
        <f t="shared" si="242"/>
        <v>NA</v>
      </c>
      <c r="AG589" s="99" t="str" cm="1">
        <f t="array" ref="AG589">_xlfn.IFS(
AND(L589="marginal_effect",M589="level"),O589*AN589/BF589,
AND(L589="marginal_effect",M589="sd (Y)"),O589*BH589*AN589/BF589,
AND(L589="marginal_effect",M589="sd (X)"),O589/AQ589*AN589/BF589,
AND(L589="semi_elasticity",M589="level"),O589*AN589,
AND(L589="semi_elasticity",M589="sd (Y)"),O589*AN589*BH589,
AND(L589="semi_elasticity",M589="sd (X)"),O589*AN589/AQ589,
AND(L589="level-log",M589="level"),O589/BF589,
AND(L589="level-log",M589="sd (X)"),O589/BF589/AQ589,
AND(L589="level-log",M589="sd (Y)"),O589/BF589*BH589,
AND(L589="elasticity",M589="level"),O589,
AND(L589="elasticity",M589="sd (X)"),O589/AQ589,
AND(L589="elasticity",M589="sd (Y)"),O589*BH589,
AND(L589="marginal_effect",M589="percent_of_mean"),O589*AN589/BF589/10)</f>
        <v>NA</v>
      </c>
      <c r="AH589" s="104">
        <f t="shared" si="213"/>
        <v>1</v>
      </c>
      <c r="AI589" s="89">
        <f t="shared" si="238"/>
        <v>-0.75560000000000005</v>
      </c>
      <c r="AJ589" s="35">
        <v>0</v>
      </c>
      <c r="AK589" s="35" t="e">
        <f t="shared" si="237"/>
        <v>#VALUE!</v>
      </c>
      <c r="AL589" s="35" t="s">
        <v>82</v>
      </c>
      <c r="AM589" s="35" t="s">
        <v>1333</v>
      </c>
      <c r="AN589" s="35">
        <v>70.66</v>
      </c>
      <c r="AO589" s="35">
        <v>1</v>
      </c>
      <c r="AP589" s="35">
        <f t="shared" si="239"/>
        <v>70.66</v>
      </c>
      <c r="AQ589" s="35">
        <v>20.63</v>
      </c>
      <c r="AR589" s="35">
        <v>4.3099999999999996</v>
      </c>
      <c r="AS589" s="35">
        <v>134.80000000000001</v>
      </c>
      <c r="AT589" s="35" t="s">
        <v>107</v>
      </c>
      <c r="AU589" s="35" t="s">
        <v>109</v>
      </c>
      <c r="AV589" s="35" t="s">
        <v>133</v>
      </c>
      <c r="AW589" s="35" t="s">
        <v>134</v>
      </c>
      <c r="AX589" s="35" t="s">
        <v>86</v>
      </c>
      <c r="AY589" s="35">
        <v>0</v>
      </c>
      <c r="AZ589" s="35">
        <v>0</v>
      </c>
      <c r="BA589" s="35" t="s">
        <v>391</v>
      </c>
      <c r="BB589" s="35" t="s">
        <v>134</v>
      </c>
      <c r="BC589" s="35" t="s">
        <v>134</v>
      </c>
      <c r="BD589" s="35" t="s">
        <v>134</v>
      </c>
      <c r="BE589" s="35" t="s">
        <v>1396</v>
      </c>
      <c r="BF589" s="35">
        <v>3.85</v>
      </c>
      <c r="BG589" s="35">
        <v>1</v>
      </c>
      <c r="BH589" s="35">
        <v>0.93</v>
      </c>
      <c r="BI589" s="35">
        <v>-0.96</v>
      </c>
      <c r="BJ589" s="35">
        <v>9.2799999999999994</v>
      </c>
      <c r="BK589" s="35" t="s">
        <v>91</v>
      </c>
      <c r="BL589" s="35" t="s">
        <v>116</v>
      </c>
      <c r="BM589" s="35">
        <v>1</v>
      </c>
      <c r="BN589" s="35" t="s">
        <v>2177</v>
      </c>
      <c r="BO589" s="35" t="s">
        <v>312</v>
      </c>
      <c r="BP589" s="35" t="s">
        <v>312</v>
      </c>
      <c r="BQ589" s="35" t="s">
        <v>117</v>
      </c>
      <c r="BR589" s="35" t="s">
        <v>134</v>
      </c>
      <c r="BS589" s="35" t="s">
        <v>312</v>
      </c>
      <c r="BT589" s="35" t="s">
        <v>312</v>
      </c>
      <c r="BU589" s="35">
        <v>2000</v>
      </c>
      <c r="BV589" s="35">
        <v>2007</v>
      </c>
      <c r="BW589" s="35" t="s">
        <v>901</v>
      </c>
      <c r="BX589" s="35" t="s">
        <v>95</v>
      </c>
      <c r="BY589" s="35" t="s">
        <v>748</v>
      </c>
      <c r="BZ589" s="35">
        <v>1</v>
      </c>
      <c r="CA589" s="35">
        <v>1</v>
      </c>
      <c r="CB589" s="35" t="s">
        <v>303</v>
      </c>
      <c r="CC589" s="35" t="s">
        <v>1395</v>
      </c>
      <c r="CD589" s="35">
        <v>1</v>
      </c>
      <c r="CE589" s="35" t="s">
        <v>1382</v>
      </c>
      <c r="CF589" s="35">
        <v>0</v>
      </c>
      <c r="CG589" s="35" t="s">
        <v>97</v>
      </c>
      <c r="CH589" s="35">
        <v>0</v>
      </c>
      <c r="CI589" s="35" t="s">
        <v>1393</v>
      </c>
      <c r="CJ589" s="35" t="s">
        <v>98</v>
      </c>
      <c r="CK589" s="35">
        <v>6</v>
      </c>
      <c r="CL589" s="35">
        <v>0</v>
      </c>
      <c r="CM589" s="35">
        <v>0</v>
      </c>
      <c r="CN589" s="35" t="s">
        <v>99</v>
      </c>
      <c r="CO589" s="35" t="s">
        <v>1394</v>
      </c>
      <c r="CP589" s="35" t="s">
        <v>100</v>
      </c>
      <c r="CQ589" s="35" t="s">
        <v>126</v>
      </c>
      <c r="CR589" s="36">
        <v>46231</v>
      </c>
      <c r="CT589" s="35" t="s">
        <v>440</v>
      </c>
    </row>
    <row r="590" spans="1:98" s="39" customFormat="1" x14ac:dyDescent="0.35">
      <c r="A590" s="38" t="s">
        <v>1397</v>
      </c>
      <c r="B590" s="38" t="s">
        <v>1398</v>
      </c>
      <c r="C590" s="39" t="s">
        <v>1399</v>
      </c>
      <c r="D590" s="39">
        <v>2025</v>
      </c>
      <c r="E590" s="40" t="s">
        <v>1400</v>
      </c>
      <c r="F590" s="38" t="s">
        <v>1401</v>
      </c>
      <c r="G590" s="39" t="s">
        <v>78</v>
      </c>
      <c r="H590" s="39">
        <v>1</v>
      </c>
      <c r="I590" s="39" t="s">
        <v>290</v>
      </c>
      <c r="J590" s="39" t="s">
        <v>79</v>
      </c>
      <c r="K590" s="39">
        <v>2</v>
      </c>
      <c r="L590" s="39" t="s">
        <v>104</v>
      </c>
      <c r="M590" s="39" t="s">
        <v>380</v>
      </c>
      <c r="N590" s="39">
        <v>-4.1999999999999997E-3</v>
      </c>
      <c r="O590" s="39">
        <v>1E-3</v>
      </c>
      <c r="P590" s="90">
        <f t="shared" ref="P590:P598" si="243">N590/O590</f>
        <v>-4.1999999999999993</v>
      </c>
      <c r="Q590" s="39" t="s">
        <v>312</v>
      </c>
      <c r="R590" s="90">
        <f t="shared" ref="R590:R598" si="244">N590-1.96*O590</f>
        <v>-6.1599999999999997E-3</v>
      </c>
      <c r="S590" s="90">
        <f t="shared" ref="S590:S598" si="245">N590+1.96*O590</f>
        <v>-2.2399999999999998E-3</v>
      </c>
      <c r="T590" s="39">
        <v>1</v>
      </c>
      <c r="U590" s="39">
        <v>433369</v>
      </c>
      <c r="V590" s="39" t="s">
        <v>312</v>
      </c>
      <c r="W590" s="39" t="s">
        <v>312</v>
      </c>
      <c r="X590" s="39">
        <f t="shared" si="240"/>
        <v>433369</v>
      </c>
      <c r="Y590" s="90">
        <f t="shared" ref="Y590:Y598" si="246">P590/(P590^2 + X590)^(1/2)</f>
        <v>-6.3798656138833541E-3</v>
      </c>
      <c r="Z590" s="90">
        <f t="shared" ref="Z590:Z598" si="247">((1-Y590^2)/X590)^(1/2)</f>
        <v>1.5190156223531799E-3</v>
      </c>
      <c r="AA590" s="90">
        <f t="shared" ref="AA590:AA598" si="248">-Y590</f>
        <v>6.3798656138833541E-3</v>
      </c>
      <c r="AB590" s="39" t="s">
        <v>81</v>
      </c>
      <c r="AC590" s="90">
        <f>N590*AN590</f>
        <v>-0.27665400000000001</v>
      </c>
      <c r="AD590" s="90" cm="1">
        <f t="array" ref="AD590">_xlfn.IFS(
AND(L590="marginal_effect",M590="level"),N590*AN590/BF590,
AND(L590="marginal_effect",M590="sd (Y)"),N590*BI590*AN590/BF590,
AND(L590="marginal_effect",M590="sd (X)"),N590/AQ590*AN590/BF590,
AND(L590="semi_elasticity",M590="level"),N590*AN590,
AND(L590="semi_elasticity",M590="sd (Y)"),N590*AN590*BI590,
AND(L590="semi_elasticity",M590="sd (X)"),N590*AN590/AQ590,
AND(L590="level-log",M590="level"),N590/BF590,
AND(L590="level-log",M590="sd (X)"),N590/BF590/AQ590,
AND(L590="level-log",M590="sd (Y)"),N590/BF590*BI590,
AND(L590="elasticity",M590="level"),N590,
AND(L590="elasticity",M590="sd (X)"),N590/AQ590,
AND(L590="elasticity",M590="sd (Y)"),N590*BI590,
AND(L590="marginal_effect",M590="percent_of_mean"),N590*AN590/BF590/10)</f>
        <v>-0.27665400000000001</v>
      </c>
      <c r="AE590" s="41">
        <f t="shared" si="212"/>
        <v>1</v>
      </c>
      <c r="AF590" s="90">
        <f>O590*AN590</f>
        <v>6.5870000000000012E-2</v>
      </c>
      <c r="AG590" s="90" cm="1">
        <f t="array" ref="AG590">_xlfn.IFS(
AND(L590="marginal_effect",M590="level"),O590*AN590/BF590,
AND(L590="marginal_effect",M590="sd (Y)"),O590*BI590*AN590/BF590,
AND(L590="marginal_effect",M590="sd (X)"),O590/AQ590*AN590/BF590,
AND(L590="semi_elasticity",M590="level"),O590*AN590,
AND(L590="semi_elasticity",M590="sd (Y)"),O590*AN590*BI590,
AND(L590="semi_elasticity",M590="sd (X)"),O590*AN590/AQ590,
AND(L590="level-log",M590="level"),O590/BF590,
AND(L590="level-log",M590="sd (X)"),O590/BF590/AQ590,
AND(L590="level-log",M590="sd (Y)"),O590/BF590*BI590,
AND(L590="elasticity",M590="level"),O590,
AND(L590="elasticity",M590="sd (X)"),O590/AQ590,
AND(L590="elasticity",M590="sd (Y)"),O590*BI590,
AND(L590="marginal_effect",M590="percent_of_mean"),O590*AN590/BF590/10)</f>
        <v>6.5870000000000012E-2</v>
      </c>
      <c r="AH590" s="41">
        <f t="shared" si="213"/>
        <v>1</v>
      </c>
      <c r="AI590" s="90">
        <f t="shared" si="238"/>
        <v>-0.27665400000000001</v>
      </c>
      <c r="AJ590" s="39">
        <v>0</v>
      </c>
      <c r="AK590" s="39">
        <f t="shared" si="237"/>
        <v>1</v>
      </c>
      <c r="AL590" s="39" t="s">
        <v>735</v>
      </c>
      <c r="AM590" s="39" t="s">
        <v>737</v>
      </c>
      <c r="AN590" s="39">
        <v>65.87</v>
      </c>
      <c r="AO590" s="39">
        <v>0</v>
      </c>
      <c r="AP590" s="39">
        <f t="shared" si="239"/>
        <v>65.87</v>
      </c>
      <c r="AQ590" s="39">
        <v>76.92</v>
      </c>
      <c r="AR590" s="39">
        <v>0</v>
      </c>
      <c r="AS590" s="39">
        <v>3882.9</v>
      </c>
      <c r="AT590" s="39" t="s">
        <v>83</v>
      </c>
      <c r="AU590" s="39" t="s">
        <v>109</v>
      </c>
      <c r="AV590" s="39" t="s">
        <v>133</v>
      </c>
      <c r="AW590" s="39" t="s">
        <v>134</v>
      </c>
      <c r="AX590" s="39" t="s">
        <v>86</v>
      </c>
      <c r="AY590" s="39">
        <v>0</v>
      </c>
      <c r="AZ590" s="39">
        <v>0</v>
      </c>
      <c r="BA590" s="39" t="s">
        <v>391</v>
      </c>
      <c r="BB590" s="39" t="s">
        <v>88</v>
      </c>
      <c r="BC590" s="39" t="s">
        <v>89</v>
      </c>
      <c r="BD590" s="39" t="s">
        <v>90</v>
      </c>
      <c r="BE590" s="39" t="s">
        <v>861</v>
      </c>
      <c r="BF590" s="39">
        <v>65.87</v>
      </c>
      <c r="BG590" s="39">
        <v>0</v>
      </c>
      <c r="BH590" s="39">
        <v>76.92</v>
      </c>
      <c r="BI590" s="39">
        <v>0</v>
      </c>
      <c r="BJ590" s="39">
        <v>3882.9</v>
      </c>
      <c r="BK590" s="39" t="s">
        <v>91</v>
      </c>
      <c r="BL590" s="39" t="s">
        <v>84</v>
      </c>
      <c r="BM590" s="39">
        <v>1</v>
      </c>
      <c r="BN590" s="39" t="s">
        <v>2177</v>
      </c>
      <c r="BO590" s="39" t="s">
        <v>312</v>
      </c>
      <c r="BP590" s="39" t="s">
        <v>312</v>
      </c>
      <c r="BQ590" s="39" t="s">
        <v>117</v>
      </c>
      <c r="BR590" s="39" t="s">
        <v>93</v>
      </c>
      <c r="BS590" s="39" t="s">
        <v>312</v>
      </c>
      <c r="BT590" s="39">
        <v>0</v>
      </c>
      <c r="BU590" s="75">
        <v>38169</v>
      </c>
      <c r="BV590" s="75">
        <v>42217</v>
      </c>
      <c r="BW590" s="39" t="s">
        <v>138</v>
      </c>
      <c r="BX590" s="39" t="s">
        <v>95</v>
      </c>
      <c r="BY590" s="39" t="s">
        <v>748</v>
      </c>
      <c r="BZ590" s="39">
        <v>1</v>
      </c>
      <c r="CA590" s="39">
        <v>1</v>
      </c>
      <c r="CB590" s="39" t="s">
        <v>303</v>
      </c>
      <c r="CC590" s="39" t="s">
        <v>314</v>
      </c>
      <c r="CD590" s="39">
        <v>1</v>
      </c>
      <c r="CE590" s="39" t="s">
        <v>1382</v>
      </c>
      <c r="CF590" s="39">
        <v>0</v>
      </c>
      <c r="CG590" s="39" t="s">
        <v>97</v>
      </c>
      <c r="CH590" s="39">
        <v>1</v>
      </c>
      <c r="CI590" s="39" t="s">
        <v>279</v>
      </c>
      <c r="CJ590" s="39" t="s">
        <v>98</v>
      </c>
      <c r="CK590" s="39">
        <v>1</v>
      </c>
      <c r="CL590" s="39">
        <v>1</v>
      </c>
      <c r="CM590" s="39">
        <v>1</v>
      </c>
      <c r="CN590" s="39" t="s">
        <v>99</v>
      </c>
      <c r="CO590" s="39" t="s">
        <v>97</v>
      </c>
      <c r="CP590" s="39" t="s">
        <v>100</v>
      </c>
      <c r="CQ590" s="39" t="s">
        <v>126</v>
      </c>
      <c r="CR590" s="42">
        <v>46232</v>
      </c>
      <c r="CT590" s="39" t="s">
        <v>450</v>
      </c>
    </row>
    <row r="591" spans="1:98" s="44" customFormat="1" x14ac:dyDescent="0.35">
      <c r="A591" s="43" t="s">
        <v>1403</v>
      </c>
      <c r="B591" s="43" t="s">
        <v>1408</v>
      </c>
      <c r="C591" s="44" t="s">
        <v>1404</v>
      </c>
      <c r="D591" s="44">
        <v>2025</v>
      </c>
      <c r="E591" s="64" t="s">
        <v>1405</v>
      </c>
      <c r="F591" s="43" t="s">
        <v>1406</v>
      </c>
      <c r="G591" s="44" t="s">
        <v>78</v>
      </c>
      <c r="H591" s="44">
        <v>1</v>
      </c>
      <c r="I591" s="44" t="s">
        <v>290</v>
      </c>
      <c r="J591" s="44" t="s">
        <v>79</v>
      </c>
      <c r="K591" s="44">
        <v>1</v>
      </c>
      <c r="L591" s="44" t="s">
        <v>80</v>
      </c>
      <c r="M591" s="44" t="s">
        <v>380</v>
      </c>
      <c r="N591" s="44">
        <v>-0.73799999999999999</v>
      </c>
      <c r="O591" s="44">
        <v>0.312</v>
      </c>
      <c r="P591" s="91">
        <f t="shared" si="243"/>
        <v>-2.3653846153846154</v>
      </c>
      <c r="Q591" s="44" t="s">
        <v>312</v>
      </c>
      <c r="R591" s="91">
        <f t="shared" si="244"/>
        <v>-1.3495200000000001</v>
      </c>
      <c r="S591" s="91">
        <f t="shared" si="245"/>
        <v>-0.12648000000000004</v>
      </c>
      <c r="T591" s="44">
        <v>1</v>
      </c>
      <c r="U591" s="44">
        <v>11020</v>
      </c>
      <c r="V591" s="44" t="s">
        <v>312</v>
      </c>
      <c r="W591" s="44" t="s">
        <v>312</v>
      </c>
      <c r="X591" s="44">
        <f t="shared" si="240"/>
        <v>11020</v>
      </c>
      <c r="Y591" s="91">
        <f t="shared" si="246"/>
        <v>-2.2526864622560934E-2</v>
      </c>
      <c r="Z591" s="91">
        <f t="shared" si="247"/>
        <v>9.523552523359095E-3</v>
      </c>
      <c r="AA591" s="91">
        <f t="shared" si="248"/>
        <v>2.2526864622560934E-2</v>
      </c>
      <c r="AB591" s="44" t="s">
        <v>81</v>
      </c>
      <c r="AC591" s="91">
        <f t="shared" ref="AC591:AC622" si="249">N591</f>
        <v>-0.73799999999999999</v>
      </c>
      <c r="AD591" s="91" cm="1">
        <f t="array" ref="AD591">_xlfn.IFS(
AND(L591="marginal_effect",M591="level"),N591*AN591/BF591,
AND(L591="marginal_effect",M591="sd (Y)"),N591*BI591*AN591/BF591,
AND(L591="marginal_effect",M591="sd (X)"),N591/AQ591*AN591/BF591,
AND(L591="semi_elasticity",M591="level"),N591*AN591,
AND(L591="semi_elasticity",M591="sd (Y)"),N591*AN591*BI591,
AND(L591="semi_elasticity",M591="sd (X)"),N591*AN591/AQ591,
AND(L591="level-log",M591="level"),N591/BF591,
AND(L591="level-log",M591="sd (X)"),N591/BF591/AQ591,
AND(L591="level-log",M591="sd (Y)"),N591/BF591*BI591,
AND(L591="elasticity",M591="level"),N591,
AND(L591="elasticity",M591="sd (X)"),N591/AQ591,
AND(L591="elasticity",M591="sd (Y)"),N591*BI591,
AND(L591="marginal_effect",M591="percent_of_mean"),N591*AN591/BF591/10)</f>
        <v>-0.73799999999999999</v>
      </c>
      <c r="AE591" s="50">
        <f t="shared" ref="AE591:AE654" si="250">IF(AC591=AD591,1,0)</f>
        <v>1</v>
      </c>
      <c r="AF591" s="91">
        <f t="shared" ref="AF591:AF622" si="251">O591</f>
        <v>0.312</v>
      </c>
      <c r="AG591" s="91" cm="1">
        <f t="array" ref="AG591">_xlfn.IFS(
AND(L591="marginal_effect",M591="level"),O591*AN591/BF591,
AND(L591="marginal_effect",M591="sd (Y)"),O591*BI591*AN591/BF591,
AND(L591="marginal_effect",M591="sd (X)"),O591/AQ591*AN591/BF591,
AND(L591="semi_elasticity",M591="level"),O591*AN591,
AND(L591="semi_elasticity",M591="sd (Y)"),O591*AN591*BI591,
AND(L591="semi_elasticity",M591="sd (X)"),O591*AN591/AQ591,
AND(L591="level-log",M591="level"),O591/BF591,
AND(L591="level-log",M591="sd (X)"),O591/BF591/AQ591,
AND(L591="level-log",M591="sd (Y)"),O591/BF591*BI591,
AND(L591="elasticity",M591="level"),O591,
AND(L591="elasticity",M591="sd (X)"),O591/AQ591,
AND(L591="elasticity",M591="sd (Y)"),O591*BI591,
AND(L591="marginal_effect",M591="percent_of_mean"),O591*AN591/BF591/10)</f>
        <v>0.312</v>
      </c>
      <c r="AH591" s="50">
        <f t="shared" ref="AH591:AH654" si="252">IF(AF591=AG591,1,0)</f>
        <v>1</v>
      </c>
      <c r="AI591" s="91">
        <f t="shared" si="238"/>
        <v>-0.73799999999999999</v>
      </c>
      <c r="AJ591" s="44">
        <v>0</v>
      </c>
      <c r="AK591" s="44">
        <f t="shared" si="237"/>
        <v>1</v>
      </c>
      <c r="AL591" s="44" t="s">
        <v>2176</v>
      </c>
      <c r="AM591" s="76" t="s">
        <v>1411</v>
      </c>
      <c r="AN591" s="76">
        <v>3.4020000000000001</v>
      </c>
      <c r="AO591" s="76">
        <v>0</v>
      </c>
      <c r="AP591" s="76">
        <f t="shared" si="239"/>
        <v>3.4020000000000001</v>
      </c>
      <c r="AQ591" s="76">
        <v>0.34499999999999997</v>
      </c>
      <c r="AR591" s="76">
        <v>2.2650000000000001</v>
      </c>
      <c r="AS591" s="76">
        <v>3.9079999999999999</v>
      </c>
      <c r="AT591" s="44" t="s">
        <v>107</v>
      </c>
      <c r="AU591" s="44" t="s">
        <v>109</v>
      </c>
      <c r="AV591" s="44" t="s">
        <v>133</v>
      </c>
      <c r="AW591" s="44" t="s">
        <v>134</v>
      </c>
      <c r="AX591" s="44" t="s">
        <v>110</v>
      </c>
      <c r="AY591" s="76">
        <v>365</v>
      </c>
      <c r="AZ591" s="76">
        <v>365</v>
      </c>
      <c r="BA591" s="44" t="s">
        <v>391</v>
      </c>
      <c r="BB591" s="44" t="s">
        <v>134</v>
      </c>
      <c r="BC591" s="44" t="s">
        <v>134</v>
      </c>
      <c r="BD591" s="44" t="s">
        <v>134</v>
      </c>
      <c r="BE591" s="44" t="s">
        <v>1410</v>
      </c>
      <c r="BF591" s="44">
        <v>13.933999999999999</v>
      </c>
      <c r="BG591" s="44">
        <v>0</v>
      </c>
      <c r="BH591" s="44">
        <v>0.94</v>
      </c>
      <c r="BI591" s="44">
        <v>11.708</v>
      </c>
      <c r="BJ591" s="44">
        <v>16.571999999999999</v>
      </c>
      <c r="BK591" s="44" t="s">
        <v>91</v>
      </c>
      <c r="BL591" s="44" t="s">
        <v>116</v>
      </c>
      <c r="BM591" s="44">
        <v>1</v>
      </c>
      <c r="BN591" s="44" t="s">
        <v>2177</v>
      </c>
      <c r="BO591" s="44" t="s">
        <v>312</v>
      </c>
      <c r="BP591" s="44" t="s">
        <v>312</v>
      </c>
      <c r="BQ591" s="44" t="s">
        <v>117</v>
      </c>
      <c r="BR591" s="44" t="s">
        <v>134</v>
      </c>
      <c r="BS591" s="44" t="s">
        <v>312</v>
      </c>
      <c r="BT591" s="44" t="s">
        <v>312</v>
      </c>
      <c r="BU591" s="44">
        <v>2010</v>
      </c>
      <c r="BV591" s="44">
        <v>2019</v>
      </c>
      <c r="BW591" s="44" t="s">
        <v>901</v>
      </c>
      <c r="BX591" s="44" t="s">
        <v>95</v>
      </c>
      <c r="BY591" s="44" t="s">
        <v>748</v>
      </c>
      <c r="BZ591" s="44">
        <v>1</v>
      </c>
      <c r="CA591" s="44">
        <v>1</v>
      </c>
      <c r="CB591" s="44" t="s">
        <v>303</v>
      </c>
      <c r="CC591" s="44" t="s">
        <v>1375</v>
      </c>
      <c r="CD591" s="44">
        <v>0</v>
      </c>
      <c r="CE591" s="44" t="s">
        <v>97</v>
      </c>
      <c r="CF591" s="44">
        <v>0</v>
      </c>
      <c r="CG591" s="44" t="s">
        <v>97</v>
      </c>
      <c r="CH591" s="44">
        <v>0</v>
      </c>
      <c r="CI591" s="44" t="s">
        <v>1402</v>
      </c>
      <c r="CJ591" s="44" t="s">
        <v>98</v>
      </c>
      <c r="CK591" s="44">
        <v>32</v>
      </c>
      <c r="CL591" s="44">
        <v>0</v>
      </c>
      <c r="CM591" s="44">
        <v>0</v>
      </c>
      <c r="CN591" s="44" t="s">
        <v>99</v>
      </c>
      <c r="CO591" s="44" t="s">
        <v>97</v>
      </c>
      <c r="CP591" s="44" t="s">
        <v>100</v>
      </c>
      <c r="CQ591" s="44" t="s">
        <v>126</v>
      </c>
      <c r="CR591" s="45">
        <v>46232</v>
      </c>
      <c r="CT591" s="44" t="s">
        <v>439</v>
      </c>
    </row>
    <row r="592" spans="1:98" s="44" customFormat="1" x14ac:dyDescent="0.35">
      <c r="A592" s="43" t="s">
        <v>1403</v>
      </c>
      <c r="B592" s="43" t="s">
        <v>1409</v>
      </c>
      <c r="C592" s="44" t="s">
        <v>1404</v>
      </c>
      <c r="D592" s="44">
        <v>2025</v>
      </c>
      <c r="E592" s="64" t="s">
        <v>1405</v>
      </c>
      <c r="F592" s="43" t="s">
        <v>1406</v>
      </c>
      <c r="G592" s="44" t="s">
        <v>78</v>
      </c>
      <c r="H592" s="44">
        <v>1</v>
      </c>
      <c r="I592" s="44" t="s">
        <v>290</v>
      </c>
      <c r="J592" s="44" t="s">
        <v>79</v>
      </c>
      <c r="K592" s="44">
        <v>1</v>
      </c>
      <c r="L592" s="44" t="s">
        <v>80</v>
      </c>
      <c r="M592" s="44" t="s">
        <v>380</v>
      </c>
      <c r="N592" s="44">
        <v>-0.747</v>
      </c>
      <c r="O592" s="44">
        <v>0.32400000000000001</v>
      </c>
      <c r="P592" s="91">
        <f t="shared" si="243"/>
        <v>-2.3055555555555554</v>
      </c>
      <c r="Q592" s="44" t="s">
        <v>312</v>
      </c>
      <c r="R592" s="91">
        <f t="shared" si="244"/>
        <v>-1.3820399999999999</v>
      </c>
      <c r="S592" s="91">
        <f t="shared" si="245"/>
        <v>-0.11195999999999995</v>
      </c>
      <c r="T592" s="44">
        <v>1</v>
      </c>
      <c r="U592" s="44">
        <v>11020</v>
      </c>
      <c r="V592" s="44" t="s">
        <v>312</v>
      </c>
      <c r="W592" s="44" t="s">
        <v>312</v>
      </c>
      <c r="X592" s="44">
        <f t="shared" si="240"/>
        <v>11020</v>
      </c>
      <c r="Y592" s="91">
        <f t="shared" si="246"/>
        <v>-2.1957357699426326E-2</v>
      </c>
      <c r="Z592" s="91">
        <f t="shared" si="247"/>
        <v>9.5236732190282867E-3</v>
      </c>
      <c r="AA592" s="91">
        <f t="shared" si="248"/>
        <v>2.1957357699426326E-2</v>
      </c>
      <c r="AB592" s="44" t="s">
        <v>81</v>
      </c>
      <c r="AC592" s="91">
        <f t="shared" si="249"/>
        <v>-0.747</v>
      </c>
      <c r="AD592" s="91" cm="1">
        <f t="array" ref="AD592">_xlfn.IFS(
AND(L592="marginal_effect",M592="level"),N592*AN592/BF592,
AND(L592="marginal_effect",M592="sd (Y)"),N592*BI592*AN592/BF592,
AND(L592="marginal_effect",M592="sd (X)"),N592/AQ592*AN592/BF592,
AND(L592="semi_elasticity",M592="level"),N592*AN592,
AND(L592="semi_elasticity",M592="sd (Y)"),N592*AN592*BI592,
AND(L592="semi_elasticity",M592="sd (X)"),N592*AN592/AQ592,
AND(L592="level-log",M592="level"),N592/BF592,
AND(L592="level-log",M592="sd (X)"),N592/BF592/AQ592,
AND(L592="level-log",M592="sd (Y)"),N592/BF592*BI592,
AND(L592="elasticity",M592="level"),N592,
AND(L592="elasticity",M592="sd (X)"),N592/AQ592,
AND(L592="elasticity",M592="sd (Y)"),N592*BI592,
AND(L592="marginal_effect",M592="percent_of_mean"),N592*AN592/BF592/10)</f>
        <v>-0.747</v>
      </c>
      <c r="AE592" s="50">
        <f t="shared" si="250"/>
        <v>1</v>
      </c>
      <c r="AF592" s="91">
        <f t="shared" si="251"/>
        <v>0.32400000000000001</v>
      </c>
      <c r="AG592" s="91" cm="1">
        <f t="array" ref="AG592">_xlfn.IFS(
AND(L592="marginal_effect",M592="level"),O592*AN592/BF592,
AND(L592="marginal_effect",M592="sd (Y)"),O592*BI592*AN592/BF592,
AND(L592="marginal_effect",M592="sd (X)"),O592/AQ592*AN592/BF592,
AND(L592="semi_elasticity",M592="level"),O592*AN592,
AND(L592="semi_elasticity",M592="sd (Y)"),O592*AN592*BI592,
AND(L592="semi_elasticity",M592="sd (X)"),O592*AN592/AQ592,
AND(L592="level-log",M592="level"),O592/BF592,
AND(L592="level-log",M592="sd (X)"),O592/BF592/AQ592,
AND(L592="level-log",M592="sd (Y)"),O592/BF592*BI592,
AND(L592="elasticity",M592="level"),O592,
AND(L592="elasticity",M592="sd (X)"),O592/AQ592,
AND(L592="elasticity",M592="sd (Y)"),O592*BI592,
AND(L592="marginal_effect",M592="percent_of_mean"),O592*AN592/BF592/10)</f>
        <v>0.32400000000000001</v>
      </c>
      <c r="AH592" s="50">
        <f t="shared" si="252"/>
        <v>1</v>
      </c>
      <c r="AI592" s="91">
        <f t="shared" si="238"/>
        <v>-0.747</v>
      </c>
      <c r="AJ592" s="44">
        <v>0</v>
      </c>
      <c r="AK592" s="44">
        <f t="shared" si="237"/>
        <v>1</v>
      </c>
      <c r="AL592" s="44" t="s">
        <v>2176</v>
      </c>
      <c r="AM592" s="76" t="s">
        <v>1411</v>
      </c>
      <c r="AN592" s="76">
        <v>3.4020000000000001</v>
      </c>
      <c r="AO592" s="76">
        <v>0</v>
      </c>
      <c r="AP592" s="76">
        <f t="shared" si="239"/>
        <v>3.4020000000000001</v>
      </c>
      <c r="AQ592" s="76">
        <v>0.34499999999999997</v>
      </c>
      <c r="AR592" s="76">
        <v>2.2650000000000001</v>
      </c>
      <c r="AS592" s="76">
        <v>3.9079999999999999</v>
      </c>
      <c r="AT592" s="44" t="s">
        <v>107</v>
      </c>
      <c r="AU592" s="44" t="s">
        <v>109</v>
      </c>
      <c r="AV592" s="44" t="s">
        <v>133</v>
      </c>
      <c r="AW592" s="44" t="s">
        <v>134</v>
      </c>
      <c r="AX592" s="44" t="s">
        <v>110</v>
      </c>
      <c r="AY592" s="76">
        <v>365</v>
      </c>
      <c r="AZ592" s="76">
        <v>365</v>
      </c>
      <c r="BA592" s="44" t="s">
        <v>391</v>
      </c>
      <c r="BB592" s="44" t="s">
        <v>134</v>
      </c>
      <c r="BC592" s="44" t="s">
        <v>134</v>
      </c>
      <c r="BD592" s="44" t="s">
        <v>134</v>
      </c>
      <c r="BE592" s="44" t="s">
        <v>1410</v>
      </c>
      <c r="BF592" s="44">
        <v>13.933999999999999</v>
      </c>
      <c r="BG592" s="44">
        <v>0</v>
      </c>
      <c r="BH592" s="44">
        <v>0.94</v>
      </c>
      <c r="BI592" s="44">
        <v>11.708</v>
      </c>
      <c r="BJ592" s="44">
        <v>16.571999999999999</v>
      </c>
      <c r="BK592" s="44" t="s">
        <v>91</v>
      </c>
      <c r="BL592" s="44" t="s">
        <v>116</v>
      </c>
      <c r="BM592" s="44">
        <v>1</v>
      </c>
      <c r="BN592" s="44" t="s">
        <v>1407</v>
      </c>
      <c r="BO592" s="44" t="s">
        <v>312</v>
      </c>
      <c r="BP592" s="44" t="s">
        <v>312</v>
      </c>
      <c r="BQ592" s="44" t="s">
        <v>117</v>
      </c>
      <c r="BR592" s="44" t="s">
        <v>134</v>
      </c>
      <c r="BS592" s="44" t="s">
        <v>312</v>
      </c>
      <c r="BT592" s="44" t="s">
        <v>312</v>
      </c>
      <c r="BU592" s="44">
        <v>2010</v>
      </c>
      <c r="BV592" s="44">
        <v>2019</v>
      </c>
      <c r="BW592" s="44" t="s">
        <v>901</v>
      </c>
      <c r="BX592" s="44" t="s">
        <v>95</v>
      </c>
      <c r="BY592" s="44" t="s">
        <v>748</v>
      </c>
      <c r="BZ592" s="44">
        <v>1</v>
      </c>
      <c r="CA592" s="44">
        <v>1</v>
      </c>
      <c r="CB592" s="44" t="s">
        <v>303</v>
      </c>
      <c r="CC592" s="44" t="s">
        <v>1375</v>
      </c>
      <c r="CD592" s="44">
        <v>0</v>
      </c>
      <c r="CE592" s="44" t="s">
        <v>97</v>
      </c>
      <c r="CF592" s="44">
        <v>0</v>
      </c>
      <c r="CG592" s="44" t="s">
        <v>97</v>
      </c>
      <c r="CH592" s="44">
        <v>0</v>
      </c>
      <c r="CI592" s="44" t="s">
        <v>1402</v>
      </c>
      <c r="CJ592" s="44" t="s">
        <v>98</v>
      </c>
      <c r="CK592" s="44">
        <v>32</v>
      </c>
      <c r="CL592" s="44">
        <v>0</v>
      </c>
      <c r="CM592" s="44">
        <v>0</v>
      </c>
      <c r="CN592" s="44" t="s">
        <v>99</v>
      </c>
      <c r="CO592" s="44" t="s">
        <v>97</v>
      </c>
      <c r="CP592" s="44" t="s">
        <v>100</v>
      </c>
      <c r="CQ592" s="44" t="s">
        <v>126</v>
      </c>
      <c r="CR592" s="45">
        <v>46232</v>
      </c>
      <c r="CT592" s="44" t="s">
        <v>440</v>
      </c>
    </row>
    <row r="593" spans="1:99" s="44" customFormat="1" x14ac:dyDescent="0.35">
      <c r="A593" s="43" t="s">
        <v>1403</v>
      </c>
      <c r="B593" s="81" t="s">
        <v>1412</v>
      </c>
      <c r="C593" s="44" t="s">
        <v>1404</v>
      </c>
      <c r="D593" s="44">
        <v>2025</v>
      </c>
      <c r="E593" s="64" t="s">
        <v>1405</v>
      </c>
      <c r="F593" s="43" t="s">
        <v>1406</v>
      </c>
      <c r="G593" s="44" t="s">
        <v>78</v>
      </c>
      <c r="H593" s="44">
        <v>1</v>
      </c>
      <c r="I593" s="44" t="s">
        <v>290</v>
      </c>
      <c r="J593" s="44" t="s">
        <v>79</v>
      </c>
      <c r="K593" s="44">
        <v>1</v>
      </c>
      <c r="L593" s="44" t="s">
        <v>80</v>
      </c>
      <c r="M593" s="44" t="s">
        <v>380</v>
      </c>
      <c r="N593" s="44">
        <v>-0.69399999999999995</v>
      </c>
      <c r="O593" s="44">
        <v>0.32800000000000001</v>
      </c>
      <c r="P593" s="91">
        <f t="shared" si="243"/>
        <v>-2.1158536585365852</v>
      </c>
      <c r="Q593" s="44" t="s">
        <v>312</v>
      </c>
      <c r="R593" s="91">
        <f t="shared" si="244"/>
        <v>-1.3368799999999998</v>
      </c>
      <c r="S593" s="91">
        <f t="shared" si="245"/>
        <v>-5.1119999999999943E-2</v>
      </c>
      <c r="T593" s="44">
        <v>1</v>
      </c>
      <c r="U593" s="44">
        <v>11020</v>
      </c>
      <c r="V593" s="44" t="s">
        <v>312</v>
      </c>
      <c r="W593" s="44" t="s">
        <v>312</v>
      </c>
      <c r="X593" s="44">
        <f t="shared" si="240"/>
        <v>11020</v>
      </c>
      <c r="Y593" s="91">
        <f t="shared" si="246"/>
        <v>-2.0151465348062433E-2</v>
      </c>
      <c r="Z593" s="91">
        <f t="shared" si="247"/>
        <v>9.5240354959142334E-3</v>
      </c>
      <c r="AA593" s="91">
        <f t="shared" si="248"/>
        <v>2.0151465348062433E-2</v>
      </c>
      <c r="AB593" s="44" t="s">
        <v>81</v>
      </c>
      <c r="AC593" s="91">
        <f t="shared" si="249"/>
        <v>-0.69399999999999995</v>
      </c>
      <c r="AD593" s="91" cm="1">
        <f t="array" ref="AD593">_xlfn.IFS(
AND(L593="marginal_effect",M593="level"),N593*AN593/BF593,
AND(L593="marginal_effect",M593="sd (Y)"),N593*BI593*AN593/BF593,
AND(L593="marginal_effect",M593="sd (X)"),N593/AQ593*AN593/BF593,
AND(L593="semi_elasticity",M593="level"),N593*AN593,
AND(L593="semi_elasticity",M593="sd (Y)"),N593*AN593*BI593,
AND(L593="semi_elasticity",M593="sd (X)"),N593*AN593/AQ593,
AND(L593="level-log",M593="level"),N593/BF593,
AND(L593="level-log",M593="sd (X)"),N593/BF593/AQ593,
AND(L593="level-log",M593="sd (Y)"),N593/BF593*BI593,
AND(L593="elasticity",M593="level"),N593,
AND(L593="elasticity",M593="sd (X)"),N593/AQ593,
AND(L593="elasticity",M593="sd (Y)"),N593*BI593,
AND(L593="marginal_effect",M593="percent_of_mean"),N593*AN593/BF593/10)</f>
        <v>-0.69399999999999995</v>
      </c>
      <c r="AE593" s="50">
        <f t="shared" si="250"/>
        <v>1</v>
      </c>
      <c r="AF593" s="91">
        <f t="shared" si="251"/>
        <v>0.32800000000000001</v>
      </c>
      <c r="AG593" s="91" cm="1">
        <f t="array" ref="AG593">_xlfn.IFS(
AND(L593="marginal_effect",M593="level"),O593*AN593/BF593,
AND(L593="marginal_effect",M593="sd (Y)"),O593*BI593*AN593/BF593,
AND(L593="marginal_effect",M593="sd (X)"),O593/AQ593*AN593/BF593,
AND(L593="semi_elasticity",M593="level"),O593*AN593,
AND(L593="semi_elasticity",M593="sd (Y)"),O593*AN593*BI593,
AND(L593="semi_elasticity",M593="sd (X)"),O593*AN593/AQ593,
AND(L593="level-log",M593="level"),O593/BF593,
AND(L593="level-log",M593="sd (X)"),O593/BF593/AQ593,
AND(L593="level-log",M593="sd (Y)"),O593/BF593*BI593,
AND(L593="elasticity",M593="level"),O593,
AND(L593="elasticity",M593="sd (X)"),O593/AQ593,
AND(L593="elasticity",M593="sd (Y)"),O593*BI593,
AND(L593="marginal_effect",M593="percent_of_mean"),O593*AN593/BF593/10)</f>
        <v>0.32800000000000001</v>
      </c>
      <c r="AH593" s="50">
        <f t="shared" si="252"/>
        <v>1</v>
      </c>
      <c r="AI593" s="91">
        <f t="shared" si="238"/>
        <v>-0.69399999999999995</v>
      </c>
      <c r="AJ593" s="44">
        <v>0</v>
      </c>
      <c r="AK593" s="44">
        <f t="shared" si="237"/>
        <v>1</v>
      </c>
      <c r="AL593" s="44" t="s">
        <v>2176</v>
      </c>
      <c r="AM593" s="76" t="s">
        <v>1411</v>
      </c>
      <c r="AN593" s="76">
        <v>3.4020000000000001</v>
      </c>
      <c r="AO593" s="76">
        <v>0</v>
      </c>
      <c r="AP593" s="76">
        <f t="shared" si="239"/>
        <v>3.4020000000000001</v>
      </c>
      <c r="AQ593" s="76">
        <v>0.34499999999999997</v>
      </c>
      <c r="AR593" s="76">
        <v>2.2650000000000001</v>
      </c>
      <c r="AS593" s="76">
        <v>3.9079999999999999</v>
      </c>
      <c r="AT593" s="44" t="s">
        <v>107</v>
      </c>
      <c r="AU593" s="44" t="s">
        <v>109</v>
      </c>
      <c r="AV593" s="44" t="s">
        <v>133</v>
      </c>
      <c r="AW593" s="44" t="s">
        <v>134</v>
      </c>
      <c r="AX593" s="44" t="s">
        <v>110</v>
      </c>
      <c r="AY593" s="76">
        <v>365</v>
      </c>
      <c r="AZ593" s="76">
        <v>365</v>
      </c>
      <c r="BA593" s="44" t="s">
        <v>391</v>
      </c>
      <c r="BB593" s="44" t="s">
        <v>134</v>
      </c>
      <c r="BC593" s="44" t="s">
        <v>134</v>
      </c>
      <c r="BD593" s="44" t="s">
        <v>134</v>
      </c>
      <c r="BE593" s="44" t="s">
        <v>1410</v>
      </c>
      <c r="BF593" s="44">
        <v>13.933999999999999</v>
      </c>
      <c r="BG593" s="44">
        <v>0</v>
      </c>
      <c r="BH593" s="44">
        <v>0.94</v>
      </c>
      <c r="BI593" s="44">
        <v>11.708</v>
      </c>
      <c r="BJ593" s="44">
        <v>16.571999999999999</v>
      </c>
      <c r="BK593" s="44" t="s">
        <v>91</v>
      </c>
      <c r="BL593" s="44" t="s">
        <v>116</v>
      </c>
      <c r="BM593" s="44">
        <v>1</v>
      </c>
      <c r="BN593" s="44" t="s">
        <v>1407</v>
      </c>
      <c r="BO593" s="44" t="s">
        <v>312</v>
      </c>
      <c r="BP593" s="44" t="s">
        <v>312</v>
      </c>
      <c r="BQ593" s="44" t="s">
        <v>117</v>
      </c>
      <c r="BR593" s="44" t="s">
        <v>134</v>
      </c>
      <c r="BS593" s="44" t="s">
        <v>312</v>
      </c>
      <c r="BT593" s="44" t="s">
        <v>312</v>
      </c>
      <c r="BU593" s="44">
        <v>2010</v>
      </c>
      <c r="BV593" s="44">
        <v>2019</v>
      </c>
      <c r="BW593" s="44" t="s">
        <v>901</v>
      </c>
      <c r="BX593" s="44" t="s">
        <v>95</v>
      </c>
      <c r="BY593" s="44" t="s">
        <v>1418</v>
      </c>
      <c r="BZ593" s="44">
        <v>0</v>
      </c>
      <c r="CA593" s="44">
        <v>0</v>
      </c>
      <c r="CB593" s="44" t="s">
        <v>97</v>
      </c>
      <c r="CC593" s="44" t="s">
        <v>1375</v>
      </c>
      <c r="CD593" s="44">
        <v>0</v>
      </c>
      <c r="CE593" s="44" t="s">
        <v>97</v>
      </c>
      <c r="CF593" s="44">
        <v>0</v>
      </c>
      <c r="CG593" s="44" t="s">
        <v>97</v>
      </c>
      <c r="CH593" s="44">
        <v>0</v>
      </c>
      <c r="CI593" s="44" t="s">
        <v>1402</v>
      </c>
      <c r="CJ593" s="44" t="s">
        <v>98</v>
      </c>
      <c r="CK593" s="44">
        <v>32</v>
      </c>
      <c r="CL593" s="44">
        <v>0</v>
      </c>
      <c r="CM593" s="44">
        <v>0</v>
      </c>
      <c r="CN593" s="44" t="s">
        <v>99</v>
      </c>
      <c r="CO593" s="44" t="s">
        <v>97</v>
      </c>
      <c r="CP593" s="44" t="s">
        <v>100</v>
      </c>
      <c r="CQ593" s="44" t="s">
        <v>126</v>
      </c>
      <c r="CR593" s="45">
        <v>46232</v>
      </c>
      <c r="CT593" s="44" t="s">
        <v>704</v>
      </c>
    </row>
    <row r="594" spans="1:99" s="44" customFormat="1" x14ac:dyDescent="0.35">
      <c r="A594" s="43" t="s">
        <v>1403</v>
      </c>
      <c r="B594" s="81" t="s">
        <v>1413</v>
      </c>
      <c r="C594" s="44" t="s">
        <v>1404</v>
      </c>
      <c r="D594" s="44">
        <v>2025</v>
      </c>
      <c r="E594" s="64" t="s">
        <v>1405</v>
      </c>
      <c r="F594" s="43" t="s">
        <v>1406</v>
      </c>
      <c r="G594" s="44" t="s">
        <v>78</v>
      </c>
      <c r="H594" s="44">
        <v>1</v>
      </c>
      <c r="I594" s="44" t="s">
        <v>290</v>
      </c>
      <c r="J594" s="44" t="s">
        <v>79</v>
      </c>
      <c r="K594" s="44">
        <v>1</v>
      </c>
      <c r="L594" s="44" t="s">
        <v>80</v>
      </c>
      <c r="M594" s="44" t="s">
        <v>380</v>
      </c>
      <c r="N594" s="44">
        <v>-7.8E-2</v>
      </c>
      <c r="O594" s="44">
        <v>4.2999999999999997E-2</v>
      </c>
      <c r="P594" s="91">
        <f t="shared" si="243"/>
        <v>-1.8139534883720931</v>
      </c>
      <c r="Q594" s="44" t="s">
        <v>312</v>
      </c>
      <c r="R594" s="91">
        <f t="shared" si="244"/>
        <v>-0.16227999999999998</v>
      </c>
      <c r="S594" s="91">
        <f t="shared" si="245"/>
        <v>6.2799999999999939E-3</v>
      </c>
      <c r="T594" s="44">
        <v>1</v>
      </c>
      <c r="U594" s="44">
        <v>11020</v>
      </c>
      <c r="V594" s="44" t="s">
        <v>312</v>
      </c>
      <c r="W594" s="44" t="s">
        <v>312</v>
      </c>
      <c r="X594" s="44">
        <f t="shared" si="240"/>
        <v>11020</v>
      </c>
      <c r="Y594" s="91">
        <f t="shared" si="246"/>
        <v>-1.7277087081195835E-2</v>
      </c>
      <c r="Z594" s="91">
        <f t="shared" si="247"/>
        <v>9.5245480063002666E-3</v>
      </c>
      <c r="AA594" s="91">
        <f t="shared" si="248"/>
        <v>1.7277087081195835E-2</v>
      </c>
      <c r="AB594" s="44" t="s">
        <v>81</v>
      </c>
      <c r="AC594" s="91">
        <f t="shared" si="249"/>
        <v>-7.8E-2</v>
      </c>
      <c r="AD594" s="91" cm="1">
        <f t="array" ref="AD594">_xlfn.IFS(
AND(L594="marginal_effect",M594="level"),N594*AN594/BF594,
AND(L594="marginal_effect",M594="sd (Y)"),N594*BI594*AN594/BF594,
AND(L594="marginal_effect",M594="sd (X)"),N594/AQ594*AN594/BF594,
AND(L594="semi_elasticity",M594="level"),N594*AN594,
AND(L594="semi_elasticity",M594="sd (Y)"),N594*AN594*BI594,
AND(L594="semi_elasticity",M594="sd (X)"),N594*AN594/AQ594,
AND(L594="level-log",M594="level"),N594/BF594,
AND(L594="level-log",M594="sd (X)"),N594/BF594/AQ594,
AND(L594="level-log",M594="sd (Y)"),N594/BF594*BI594,
AND(L594="elasticity",M594="level"),N594,
AND(L594="elasticity",M594="sd (X)"),N594/AQ594,
AND(L594="elasticity",M594="sd (Y)"),N594*BI594,
AND(L594="marginal_effect",M594="percent_of_mean"),N594*AN594/BF594/10)</f>
        <v>-7.8E-2</v>
      </c>
      <c r="AE594" s="50">
        <f t="shared" si="250"/>
        <v>1</v>
      </c>
      <c r="AF594" s="91">
        <f t="shared" si="251"/>
        <v>4.2999999999999997E-2</v>
      </c>
      <c r="AG594" s="91" cm="1">
        <f t="array" ref="AG594">_xlfn.IFS(
AND(L594="marginal_effect",M594="level"),O594*AN594/BF594,
AND(L594="marginal_effect",M594="sd (Y)"),O594*BI594*AN594/BF594,
AND(L594="marginal_effect",M594="sd (X)"),O594/AQ594*AN594/BF594,
AND(L594="semi_elasticity",M594="level"),O594*AN594,
AND(L594="semi_elasticity",M594="sd (Y)"),O594*AN594*BI594,
AND(L594="semi_elasticity",M594="sd (X)"),O594*AN594/AQ594,
AND(L594="level-log",M594="level"),O594/BF594,
AND(L594="level-log",M594="sd (X)"),O594/BF594/AQ594,
AND(L594="level-log",M594="sd (Y)"),O594/BF594*BI594,
AND(L594="elasticity",M594="level"),O594,
AND(L594="elasticity",M594="sd (X)"),O594/AQ594,
AND(L594="elasticity",M594="sd (Y)"),O594*BI594,
AND(L594="marginal_effect",M594="percent_of_mean"),O594*AN594/BF594/10)</f>
        <v>4.2999999999999997E-2</v>
      </c>
      <c r="AH594" s="50">
        <f t="shared" si="252"/>
        <v>1</v>
      </c>
      <c r="AI594" s="91">
        <f t="shared" si="238"/>
        <v>-7.8E-2</v>
      </c>
      <c r="AJ594" s="44">
        <v>0</v>
      </c>
      <c r="AK594" s="44">
        <f t="shared" si="237"/>
        <v>1</v>
      </c>
      <c r="AL594" s="44" t="s">
        <v>2176</v>
      </c>
      <c r="AM594" s="76" t="s">
        <v>1411</v>
      </c>
      <c r="AN594" s="76">
        <v>3.4020000000000001</v>
      </c>
      <c r="AO594" s="76">
        <v>0</v>
      </c>
      <c r="AP594" s="76">
        <f t="shared" si="239"/>
        <v>3.4020000000000001</v>
      </c>
      <c r="AQ594" s="76">
        <v>0.34499999999999997</v>
      </c>
      <c r="AR594" s="76">
        <v>2.2650000000000001</v>
      </c>
      <c r="AS594" s="76">
        <v>3.9079999999999999</v>
      </c>
      <c r="AT594" s="44" t="s">
        <v>107</v>
      </c>
      <c r="AU594" s="44" t="s">
        <v>109</v>
      </c>
      <c r="AV594" s="44" t="s">
        <v>133</v>
      </c>
      <c r="AW594" s="44" t="s">
        <v>134</v>
      </c>
      <c r="AX594" s="44" t="s">
        <v>110</v>
      </c>
      <c r="AY594" s="76">
        <v>365</v>
      </c>
      <c r="AZ594" s="76">
        <v>365</v>
      </c>
      <c r="BA594" s="44" t="s">
        <v>391</v>
      </c>
      <c r="BB594" s="44" t="s">
        <v>134</v>
      </c>
      <c r="BC594" s="44" t="s">
        <v>134</v>
      </c>
      <c r="BD594" s="44" t="s">
        <v>134</v>
      </c>
      <c r="BE594" s="44" t="s">
        <v>1410</v>
      </c>
      <c r="BF594" s="44">
        <v>13.933999999999999</v>
      </c>
      <c r="BG594" s="44">
        <v>0</v>
      </c>
      <c r="BH594" s="44">
        <v>0.94</v>
      </c>
      <c r="BI594" s="44">
        <v>11.708</v>
      </c>
      <c r="BJ594" s="44">
        <v>16.571999999999999</v>
      </c>
      <c r="BK594" s="44" t="s">
        <v>91</v>
      </c>
      <c r="BL594" s="44" t="s">
        <v>116</v>
      </c>
      <c r="BM594" s="44">
        <v>1</v>
      </c>
      <c r="BN594" s="44" t="s">
        <v>1407</v>
      </c>
      <c r="BO594" s="44" t="s">
        <v>312</v>
      </c>
      <c r="BP594" s="44" t="s">
        <v>312</v>
      </c>
      <c r="BQ594" s="44" t="s">
        <v>117</v>
      </c>
      <c r="BR594" s="44" t="s">
        <v>134</v>
      </c>
      <c r="BS594" s="44" t="s">
        <v>312</v>
      </c>
      <c r="BT594" s="44" t="s">
        <v>312</v>
      </c>
      <c r="BU594" s="44">
        <v>2010</v>
      </c>
      <c r="BV594" s="44">
        <v>2019</v>
      </c>
      <c r="BW594" s="44" t="s">
        <v>901</v>
      </c>
      <c r="BX594" s="44" t="s">
        <v>95</v>
      </c>
      <c r="BY594" s="44" t="s">
        <v>1418</v>
      </c>
      <c r="BZ594" s="44">
        <v>0</v>
      </c>
      <c r="CA594" s="44">
        <v>0</v>
      </c>
      <c r="CB594" s="44" t="s">
        <v>97</v>
      </c>
      <c r="CC594" s="44" t="s">
        <v>1375</v>
      </c>
      <c r="CD594" s="44">
        <v>0</v>
      </c>
      <c r="CE594" s="44" t="s">
        <v>97</v>
      </c>
      <c r="CF594" s="44">
        <v>0</v>
      </c>
      <c r="CG594" s="44" t="s">
        <v>97</v>
      </c>
      <c r="CH594" s="44">
        <v>0</v>
      </c>
      <c r="CI594" s="44" t="s">
        <v>1402</v>
      </c>
      <c r="CJ594" s="44" t="s">
        <v>98</v>
      </c>
      <c r="CK594" s="44">
        <v>32</v>
      </c>
      <c r="CL594" s="44">
        <v>0</v>
      </c>
      <c r="CM594" s="44">
        <v>0</v>
      </c>
      <c r="CN594" s="44" t="s">
        <v>99</v>
      </c>
      <c r="CO594" s="44" t="s">
        <v>97</v>
      </c>
      <c r="CP594" s="44" t="s">
        <v>100</v>
      </c>
      <c r="CQ594" s="44" t="s">
        <v>126</v>
      </c>
      <c r="CR594" s="45">
        <v>46232</v>
      </c>
      <c r="CT594" s="44" t="s">
        <v>704</v>
      </c>
      <c r="CU594" s="44" t="s">
        <v>1419</v>
      </c>
    </row>
    <row r="595" spans="1:99" s="44" customFormat="1" x14ac:dyDescent="0.35">
      <c r="A595" s="43" t="s">
        <v>1403</v>
      </c>
      <c r="B595" s="81" t="s">
        <v>1414</v>
      </c>
      <c r="C595" s="44" t="s">
        <v>1404</v>
      </c>
      <c r="D595" s="44">
        <v>2025</v>
      </c>
      <c r="E595" s="64" t="s">
        <v>1405</v>
      </c>
      <c r="F595" s="43" t="s">
        <v>1406</v>
      </c>
      <c r="G595" s="44" t="s">
        <v>78</v>
      </c>
      <c r="H595" s="44">
        <v>1</v>
      </c>
      <c r="I595" s="44" t="s">
        <v>290</v>
      </c>
      <c r="J595" s="44" t="s">
        <v>79</v>
      </c>
      <c r="K595" s="44">
        <v>1</v>
      </c>
      <c r="L595" s="44" t="s">
        <v>80</v>
      </c>
      <c r="M595" s="44" t="s">
        <v>380</v>
      </c>
      <c r="N595" s="44">
        <v>-0.77200000000000002</v>
      </c>
      <c r="O595" s="44">
        <v>0.32900000000000001</v>
      </c>
      <c r="P595" s="91">
        <f t="shared" si="243"/>
        <v>-2.3465045592705165</v>
      </c>
      <c r="Q595" s="44" t="s">
        <v>312</v>
      </c>
      <c r="R595" s="91">
        <f t="shared" si="244"/>
        <v>-1.4168400000000001</v>
      </c>
      <c r="S595" s="91">
        <f t="shared" si="245"/>
        <v>-0.12716000000000005</v>
      </c>
      <c r="T595" s="44">
        <v>1</v>
      </c>
      <c r="U595" s="44">
        <v>11020</v>
      </c>
      <c r="V595" s="44" t="s">
        <v>312</v>
      </c>
      <c r="W595" s="44" t="s">
        <v>312</v>
      </c>
      <c r="X595" s="44">
        <f t="shared" si="240"/>
        <v>11020</v>
      </c>
      <c r="Y595" s="91">
        <f t="shared" si="246"/>
        <v>-2.2347149571412411E-2</v>
      </c>
      <c r="Z595" s="91">
        <f t="shared" si="247"/>
        <v>9.5235909442936313E-3</v>
      </c>
      <c r="AA595" s="91">
        <f t="shared" si="248"/>
        <v>2.2347149571412411E-2</v>
      </c>
      <c r="AB595" s="44" t="s">
        <v>81</v>
      </c>
      <c r="AC595" s="91">
        <f t="shared" si="249"/>
        <v>-0.77200000000000002</v>
      </c>
      <c r="AD595" s="91" cm="1">
        <f t="array" ref="AD595">_xlfn.IFS(
AND(L595="marginal_effect",M595="level"),N595*AN595/BF595,
AND(L595="marginal_effect",M595="sd (Y)"),N595*BI595*AN595/BF595,
AND(L595="marginal_effect",M595="sd (X)"),N595/AQ595*AN595/BF595,
AND(L595="semi_elasticity",M595="level"),N595*AN595,
AND(L595="semi_elasticity",M595="sd (Y)"),N595*AN595*BI595,
AND(L595="semi_elasticity",M595="sd (X)"),N595*AN595/AQ595,
AND(L595="level-log",M595="level"),N595/BF595,
AND(L595="level-log",M595="sd (X)"),N595/BF595/AQ595,
AND(L595="level-log",M595="sd (Y)"),N595/BF595*BI595,
AND(L595="elasticity",M595="level"),N595,
AND(L595="elasticity",M595="sd (X)"),N595/AQ595,
AND(L595="elasticity",M595="sd (Y)"),N595*BI595,
AND(L595="marginal_effect",M595="percent_of_mean"),N595*AN595/BF595/10)</f>
        <v>-0.77200000000000002</v>
      </c>
      <c r="AE595" s="50">
        <f t="shared" si="250"/>
        <v>1</v>
      </c>
      <c r="AF595" s="91">
        <f t="shared" si="251"/>
        <v>0.32900000000000001</v>
      </c>
      <c r="AG595" s="91" cm="1">
        <f t="array" ref="AG595">_xlfn.IFS(
AND(L595="marginal_effect",M595="level"),O595*AN595/BF595,
AND(L595="marginal_effect",M595="sd (Y)"),O595*BI595*AN595/BF595,
AND(L595="marginal_effect",M595="sd (X)"),O595/AQ595*AN595/BF595,
AND(L595="semi_elasticity",M595="level"),O595*AN595,
AND(L595="semi_elasticity",M595="sd (Y)"),O595*AN595*BI595,
AND(L595="semi_elasticity",M595="sd (X)"),O595*AN595/AQ595,
AND(L595="level-log",M595="level"),O595/BF595,
AND(L595="level-log",M595="sd (X)"),O595/BF595/AQ595,
AND(L595="level-log",M595="sd (Y)"),O595/BF595*BI595,
AND(L595="elasticity",M595="level"),O595,
AND(L595="elasticity",M595="sd (X)"),O595/AQ595,
AND(L595="elasticity",M595="sd (Y)"),O595*BI595,
AND(L595="marginal_effect",M595="percent_of_mean"),O595*AN595/BF595/10)</f>
        <v>0.32900000000000001</v>
      </c>
      <c r="AH595" s="50">
        <f t="shared" si="252"/>
        <v>1</v>
      </c>
      <c r="AI595" s="91">
        <f t="shared" si="238"/>
        <v>-0.77200000000000002</v>
      </c>
      <c r="AJ595" s="44">
        <v>0</v>
      </c>
      <c r="AK595" s="44">
        <f t="shared" si="237"/>
        <v>1</v>
      </c>
      <c r="AL595" s="44" t="s">
        <v>2176</v>
      </c>
      <c r="AM595" s="76" t="s">
        <v>1411</v>
      </c>
      <c r="AN595" s="76">
        <v>3.4020000000000001</v>
      </c>
      <c r="AO595" s="76">
        <v>0</v>
      </c>
      <c r="AP595" s="76">
        <f t="shared" si="239"/>
        <v>3.4020000000000001</v>
      </c>
      <c r="AQ595" s="76">
        <v>0.34499999999999997</v>
      </c>
      <c r="AR595" s="76">
        <v>2.2650000000000001</v>
      </c>
      <c r="AS595" s="76">
        <v>3.9079999999999999</v>
      </c>
      <c r="AT595" s="44" t="s">
        <v>107</v>
      </c>
      <c r="AU595" s="44" t="s">
        <v>109</v>
      </c>
      <c r="AV595" s="44" t="s">
        <v>133</v>
      </c>
      <c r="AW595" s="44" t="s">
        <v>134</v>
      </c>
      <c r="AX595" s="44" t="s">
        <v>110</v>
      </c>
      <c r="AY595" s="76">
        <v>365</v>
      </c>
      <c r="AZ595" s="76">
        <v>365</v>
      </c>
      <c r="BA595" s="44" t="s">
        <v>391</v>
      </c>
      <c r="BB595" s="44" t="s">
        <v>134</v>
      </c>
      <c r="BC595" s="44" t="s">
        <v>134</v>
      </c>
      <c r="BD595" s="44" t="s">
        <v>134</v>
      </c>
      <c r="BE595" s="44" t="s">
        <v>1410</v>
      </c>
      <c r="BF595" s="44">
        <v>13.933999999999999</v>
      </c>
      <c r="BG595" s="44">
        <v>0</v>
      </c>
      <c r="BH595" s="44">
        <v>0.94</v>
      </c>
      <c r="BI595" s="44">
        <v>11.708</v>
      </c>
      <c r="BJ595" s="44">
        <v>16.571999999999999</v>
      </c>
      <c r="BK595" s="44" t="s">
        <v>91</v>
      </c>
      <c r="BL595" s="44" t="s">
        <v>116</v>
      </c>
      <c r="BM595" s="44">
        <v>1</v>
      </c>
      <c r="BN595" s="44" t="s">
        <v>1407</v>
      </c>
      <c r="BO595" s="44" t="s">
        <v>312</v>
      </c>
      <c r="BP595" s="44" t="s">
        <v>312</v>
      </c>
      <c r="BQ595" s="44" t="s">
        <v>117</v>
      </c>
      <c r="BR595" s="44" t="s">
        <v>134</v>
      </c>
      <c r="BS595" s="44" t="s">
        <v>312</v>
      </c>
      <c r="BT595" s="44" t="s">
        <v>312</v>
      </c>
      <c r="BU595" s="44">
        <v>2010</v>
      </c>
      <c r="BV595" s="44">
        <v>2019</v>
      </c>
      <c r="BW595" s="44" t="s">
        <v>901</v>
      </c>
      <c r="BX595" s="44" t="s">
        <v>95</v>
      </c>
      <c r="BY595" s="44" t="s">
        <v>1418</v>
      </c>
      <c r="BZ595" s="44">
        <v>0</v>
      </c>
      <c r="CA595" s="44">
        <v>0</v>
      </c>
      <c r="CB595" s="44" t="s">
        <v>97</v>
      </c>
      <c r="CC595" s="44" t="s">
        <v>1375</v>
      </c>
      <c r="CD595" s="44">
        <v>0</v>
      </c>
      <c r="CE595" s="44" t="s">
        <v>97</v>
      </c>
      <c r="CF595" s="44">
        <v>0</v>
      </c>
      <c r="CG595" s="44" t="s">
        <v>97</v>
      </c>
      <c r="CH595" s="44">
        <v>0</v>
      </c>
      <c r="CI595" s="44" t="s">
        <v>1402</v>
      </c>
      <c r="CJ595" s="44" t="s">
        <v>98</v>
      </c>
      <c r="CK595" s="44">
        <v>32</v>
      </c>
      <c r="CL595" s="44">
        <v>0</v>
      </c>
      <c r="CM595" s="44">
        <v>0</v>
      </c>
      <c r="CN595" s="44" t="s">
        <v>99</v>
      </c>
      <c r="CO595" s="44" t="s">
        <v>97</v>
      </c>
      <c r="CP595" s="44" t="s">
        <v>100</v>
      </c>
      <c r="CQ595" s="44" t="s">
        <v>126</v>
      </c>
      <c r="CR595" s="45">
        <v>46232</v>
      </c>
      <c r="CT595" s="44" t="s">
        <v>704</v>
      </c>
    </row>
    <row r="596" spans="1:99" s="44" customFormat="1" x14ac:dyDescent="0.35">
      <c r="A596" s="43" t="s">
        <v>1403</v>
      </c>
      <c r="B596" s="81" t="s">
        <v>1415</v>
      </c>
      <c r="C596" s="44" t="s">
        <v>1404</v>
      </c>
      <c r="D596" s="44">
        <v>2025</v>
      </c>
      <c r="E596" s="64" t="s">
        <v>1405</v>
      </c>
      <c r="F596" s="43" t="s">
        <v>1406</v>
      </c>
      <c r="G596" s="44" t="s">
        <v>78</v>
      </c>
      <c r="H596" s="44">
        <v>1</v>
      </c>
      <c r="I596" s="44" t="s">
        <v>290</v>
      </c>
      <c r="J596" s="44" t="s">
        <v>79</v>
      </c>
      <c r="K596" s="44">
        <v>1</v>
      </c>
      <c r="L596" s="44" t="s">
        <v>80</v>
      </c>
      <c r="M596" s="44" t="s">
        <v>380</v>
      </c>
      <c r="N596" s="44">
        <v>-0.70299999999999996</v>
      </c>
      <c r="O596" s="44">
        <v>0.32100000000000001</v>
      </c>
      <c r="P596" s="91">
        <f t="shared" si="243"/>
        <v>-2.190031152647975</v>
      </c>
      <c r="Q596" s="44" t="s">
        <v>312</v>
      </c>
      <c r="R596" s="91">
        <f t="shared" si="244"/>
        <v>-1.33216</v>
      </c>
      <c r="S596" s="91">
        <f t="shared" si="245"/>
        <v>-7.3839999999999906E-2</v>
      </c>
      <c r="T596" s="44">
        <v>1</v>
      </c>
      <c r="U596" s="44">
        <v>11020</v>
      </c>
      <c r="V596" s="44" t="s">
        <v>312</v>
      </c>
      <c r="W596" s="44" t="s">
        <v>312</v>
      </c>
      <c r="X596" s="44">
        <f t="shared" si="240"/>
        <v>11020</v>
      </c>
      <c r="Y596" s="91">
        <f t="shared" si="246"/>
        <v>-2.0857632294826397E-2</v>
      </c>
      <c r="Z596" s="91">
        <f t="shared" si="247"/>
        <v>9.5238975343375169E-3</v>
      </c>
      <c r="AA596" s="91">
        <f t="shared" si="248"/>
        <v>2.0857632294826397E-2</v>
      </c>
      <c r="AB596" s="44" t="s">
        <v>81</v>
      </c>
      <c r="AC596" s="91">
        <f t="shared" si="249"/>
        <v>-0.70299999999999996</v>
      </c>
      <c r="AD596" s="91" cm="1">
        <f t="array" ref="AD596">_xlfn.IFS(
AND(L596="marginal_effect",M596="level"),N596*AN596/BF596,
AND(L596="marginal_effect",M596="sd (Y)"),N596*BI596*AN596/BF596,
AND(L596="marginal_effect",M596="sd (X)"),N596/AQ596*AN596/BF596,
AND(L596="semi_elasticity",M596="level"),N596*AN596,
AND(L596="semi_elasticity",M596="sd (Y)"),N596*AN596*BI596,
AND(L596="semi_elasticity",M596="sd (X)"),N596*AN596/AQ596,
AND(L596="level-log",M596="level"),N596/BF596,
AND(L596="level-log",M596="sd (X)"),N596/BF596/AQ596,
AND(L596="level-log",M596="sd (Y)"),N596/BF596*BI596,
AND(L596="elasticity",M596="level"),N596,
AND(L596="elasticity",M596="sd (X)"),N596/AQ596,
AND(L596="elasticity",M596="sd (Y)"),N596*BI596,
AND(L596="marginal_effect",M596="percent_of_mean"),N596*AN596/BF596/10)</f>
        <v>-0.70299999999999996</v>
      </c>
      <c r="AE596" s="50">
        <f t="shared" si="250"/>
        <v>1</v>
      </c>
      <c r="AF596" s="91">
        <f t="shared" si="251"/>
        <v>0.32100000000000001</v>
      </c>
      <c r="AG596" s="91" cm="1">
        <f t="array" ref="AG596">_xlfn.IFS(
AND(L596="marginal_effect",M596="level"),O596*AN596/BF596,
AND(L596="marginal_effect",M596="sd (Y)"),O596*BI596*AN596/BF596,
AND(L596="marginal_effect",M596="sd (X)"),O596/AQ596*AN596/BF596,
AND(L596="semi_elasticity",M596="level"),O596*AN596,
AND(L596="semi_elasticity",M596="sd (Y)"),O596*AN596*BI596,
AND(L596="semi_elasticity",M596="sd (X)"),O596*AN596/AQ596,
AND(L596="level-log",M596="level"),O596/BF596,
AND(L596="level-log",M596="sd (X)"),O596/BF596/AQ596,
AND(L596="level-log",M596="sd (Y)"),O596/BF596*BI596,
AND(L596="elasticity",M596="level"),O596,
AND(L596="elasticity",M596="sd (X)"),O596/AQ596,
AND(L596="elasticity",M596="sd (Y)"),O596*BI596,
AND(L596="marginal_effect",M596="percent_of_mean"),O596*AN596/BF596/10)</f>
        <v>0.32100000000000001</v>
      </c>
      <c r="AH596" s="50">
        <f t="shared" si="252"/>
        <v>1</v>
      </c>
      <c r="AI596" s="91">
        <f t="shared" si="238"/>
        <v>-0.70299999999999996</v>
      </c>
      <c r="AJ596" s="44">
        <v>0</v>
      </c>
      <c r="AK596" s="44">
        <f t="shared" si="237"/>
        <v>1</v>
      </c>
      <c r="AL596" s="44" t="s">
        <v>2176</v>
      </c>
      <c r="AM596" s="76" t="s">
        <v>1411</v>
      </c>
      <c r="AN596" s="76">
        <v>3.4020000000000001</v>
      </c>
      <c r="AO596" s="76">
        <v>0</v>
      </c>
      <c r="AP596" s="76">
        <f t="shared" si="239"/>
        <v>3.4020000000000001</v>
      </c>
      <c r="AQ596" s="76">
        <v>0.34499999999999997</v>
      </c>
      <c r="AR596" s="76">
        <v>2.2650000000000001</v>
      </c>
      <c r="AS596" s="76">
        <v>3.9079999999999999</v>
      </c>
      <c r="AT596" s="44" t="s">
        <v>107</v>
      </c>
      <c r="AU596" s="44" t="s">
        <v>109</v>
      </c>
      <c r="AV596" s="44" t="s">
        <v>133</v>
      </c>
      <c r="AW596" s="44" t="s">
        <v>134</v>
      </c>
      <c r="AX596" s="44" t="s">
        <v>110</v>
      </c>
      <c r="AY596" s="76">
        <v>365</v>
      </c>
      <c r="AZ596" s="76">
        <v>365</v>
      </c>
      <c r="BA596" s="44" t="s">
        <v>391</v>
      </c>
      <c r="BB596" s="44" t="s">
        <v>134</v>
      </c>
      <c r="BC596" s="44" t="s">
        <v>134</v>
      </c>
      <c r="BD596" s="44" t="s">
        <v>134</v>
      </c>
      <c r="BE596" s="44" t="s">
        <v>1410</v>
      </c>
      <c r="BF596" s="44">
        <v>13.933999999999999</v>
      </c>
      <c r="BG596" s="44">
        <v>0</v>
      </c>
      <c r="BH596" s="44">
        <v>0.94</v>
      </c>
      <c r="BI596" s="44">
        <v>11.708</v>
      </c>
      <c r="BJ596" s="44">
        <v>16.571999999999999</v>
      </c>
      <c r="BK596" s="44" t="s">
        <v>91</v>
      </c>
      <c r="BL596" s="44" t="s">
        <v>116</v>
      </c>
      <c r="BM596" s="44">
        <v>1</v>
      </c>
      <c r="BN596" s="44" t="s">
        <v>1407</v>
      </c>
      <c r="BO596" s="44" t="s">
        <v>312</v>
      </c>
      <c r="BP596" s="44" t="s">
        <v>312</v>
      </c>
      <c r="BQ596" s="44" t="s">
        <v>117</v>
      </c>
      <c r="BR596" s="44" t="s">
        <v>134</v>
      </c>
      <c r="BS596" s="44" t="s">
        <v>312</v>
      </c>
      <c r="BT596" s="44" t="s">
        <v>312</v>
      </c>
      <c r="BU596" s="44">
        <v>2010</v>
      </c>
      <c r="BV596" s="44">
        <v>2019</v>
      </c>
      <c r="BW596" s="44" t="s">
        <v>901</v>
      </c>
      <c r="BX596" s="44" t="s">
        <v>95</v>
      </c>
      <c r="BY596" s="44" t="s">
        <v>1418</v>
      </c>
      <c r="BZ596" s="44">
        <v>0</v>
      </c>
      <c r="CA596" s="44">
        <v>0</v>
      </c>
      <c r="CB596" s="44" t="s">
        <v>97</v>
      </c>
      <c r="CC596" s="44" t="s">
        <v>1375</v>
      </c>
      <c r="CD596" s="44">
        <v>0</v>
      </c>
      <c r="CE596" s="44" t="s">
        <v>97</v>
      </c>
      <c r="CF596" s="44">
        <v>0</v>
      </c>
      <c r="CG596" s="44" t="s">
        <v>97</v>
      </c>
      <c r="CH596" s="44">
        <v>0</v>
      </c>
      <c r="CI596" s="44" t="s">
        <v>1402</v>
      </c>
      <c r="CJ596" s="44" t="s">
        <v>98</v>
      </c>
      <c r="CK596" s="44">
        <v>32</v>
      </c>
      <c r="CL596" s="44">
        <v>0</v>
      </c>
      <c r="CM596" s="44">
        <v>0</v>
      </c>
      <c r="CN596" s="44" t="s">
        <v>99</v>
      </c>
      <c r="CO596" s="44" t="s">
        <v>97</v>
      </c>
      <c r="CP596" s="44" t="s">
        <v>100</v>
      </c>
      <c r="CQ596" s="44" t="s">
        <v>126</v>
      </c>
      <c r="CR596" s="45">
        <v>46232</v>
      </c>
      <c r="CT596" s="44" t="s">
        <v>457</v>
      </c>
    </row>
    <row r="597" spans="1:99" s="44" customFormat="1" x14ac:dyDescent="0.35">
      <c r="A597" s="43" t="s">
        <v>1403</v>
      </c>
      <c r="B597" s="81" t="s">
        <v>1416</v>
      </c>
      <c r="C597" s="44" t="s">
        <v>1404</v>
      </c>
      <c r="D597" s="44">
        <v>2025</v>
      </c>
      <c r="E597" s="64" t="s">
        <v>1405</v>
      </c>
      <c r="F597" s="43" t="s">
        <v>1406</v>
      </c>
      <c r="G597" s="44" t="s">
        <v>78</v>
      </c>
      <c r="H597" s="44">
        <v>1</v>
      </c>
      <c r="I597" s="44" t="s">
        <v>290</v>
      </c>
      <c r="J597" s="44" t="s">
        <v>79</v>
      </c>
      <c r="K597" s="44">
        <v>1</v>
      </c>
      <c r="L597" s="44" t="s">
        <v>80</v>
      </c>
      <c r="M597" s="44" t="s">
        <v>380</v>
      </c>
      <c r="N597" s="44">
        <v>-8.5000000000000006E-2</v>
      </c>
      <c r="O597" s="44">
        <v>4.2000000000000003E-2</v>
      </c>
      <c r="P597" s="91">
        <f t="shared" si="243"/>
        <v>-2.0238095238095237</v>
      </c>
      <c r="Q597" s="44" t="s">
        <v>312</v>
      </c>
      <c r="R597" s="91">
        <f t="shared" si="244"/>
        <v>-0.16732000000000002</v>
      </c>
      <c r="S597" s="91">
        <f t="shared" si="245"/>
        <v>-2.6800000000000018E-3</v>
      </c>
      <c r="T597" s="44">
        <v>1</v>
      </c>
      <c r="U597" s="44">
        <v>11020</v>
      </c>
      <c r="V597" s="44" t="s">
        <v>312</v>
      </c>
      <c r="W597" s="44" t="s">
        <v>312</v>
      </c>
      <c r="X597" s="44">
        <f t="shared" si="240"/>
        <v>11020</v>
      </c>
      <c r="Y597" s="91">
        <f t="shared" si="246"/>
        <v>-1.9275166842043435E-2</v>
      </c>
      <c r="Z597" s="91">
        <f t="shared" si="247"/>
        <v>9.5242000866567547E-3</v>
      </c>
      <c r="AA597" s="91">
        <f t="shared" si="248"/>
        <v>1.9275166842043435E-2</v>
      </c>
      <c r="AB597" s="44" t="s">
        <v>81</v>
      </c>
      <c r="AC597" s="91">
        <f t="shared" si="249"/>
        <v>-8.5000000000000006E-2</v>
      </c>
      <c r="AD597" s="91" cm="1">
        <f t="array" ref="AD597">_xlfn.IFS(
AND(L597="marginal_effect",M597="level"),N597*AN597/BF597,
AND(L597="marginal_effect",M597="sd (Y)"),N597*BI597*AN597/BF597,
AND(L597="marginal_effect",M597="sd (X)"),N597/AQ597*AN597/BF597,
AND(L597="semi_elasticity",M597="level"),N597*AN597,
AND(L597="semi_elasticity",M597="sd (Y)"),N597*AN597*BI597,
AND(L597="semi_elasticity",M597="sd (X)"),N597*AN597/AQ597,
AND(L597="level-log",M597="level"),N597/BF597,
AND(L597="level-log",M597="sd (X)"),N597/BF597/AQ597,
AND(L597="level-log",M597="sd (Y)"),N597/BF597*BI597,
AND(L597="elasticity",M597="level"),N597,
AND(L597="elasticity",M597="sd (X)"),N597/AQ597,
AND(L597="elasticity",M597="sd (Y)"),N597*BI597,
AND(L597="marginal_effect",M597="percent_of_mean"),N597*AN597/BF597/10)</f>
        <v>-8.5000000000000006E-2</v>
      </c>
      <c r="AE597" s="50">
        <f t="shared" si="250"/>
        <v>1</v>
      </c>
      <c r="AF597" s="91">
        <f t="shared" si="251"/>
        <v>4.2000000000000003E-2</v>
      </c>
      <c r="AG597" s="91" cm="1">
        <f t="array" ref="AG597">_xlfn.IFS(
AND(L597="marginal_effect",M597="level"),O597*AN597/BF597,
AND(L597="marginal_effect",M597="sd (Y)"),O597*BI597*AN597/BF597,
AND(L597="marginal_effect",M597="sd (X)"),O597/AQ597*AN597/BF597,
AND(L597="semi_elasticity",M597="level"),O597*AN597,
AND(L597="semi_elasticity",M597="sd (Y)"),O597*AN597*BI597,
AND(L597="semi_elasticity",M597="sd (X)"),O597*AN597/AQ597,
AND(L597="level-log",M597="level"),O597/BF597,
AND(L597="level-log",M597="sd (X)"),O597/BF597/AQ597,
AND(L597="level-log",M597="sd (Y)"),O597/BF597*BI597,
AND(L597="elasticity",M597="level"),O597,
AND(L597="elasticity",M597="sd (X)"),O597/AQ597,
AND(L597="elasticity",M597="sd (Y)"),O597*BI597,
AND(L597="marginal_effect",M597="percent_of_mean"),O597*AN597/BF597/10)</f>
        <v>4.2000000000000003E-2</v>
      </c>
      <c r="AH597" s="50">
        <f t="shared" si="252"/>
        <v>1</v>
      </c>
      <c r="AI597" s="91">
        <f t="shared" si="238"/>
        <v>-8.5000000000000006E-2</v>
      </c>
      <c r="AJ597" s="44">
        <v>0</v>
      </c>
      <c r="AK597" s="44">
        <f t="shared" si="237"/>
        <v>1</v>
      </c>
      <c r="AL597" s="44" t="s">
        <v>2176</v>
      </c>
      <c r="AM597" s="76" t="s">
        <v>1411</v>
      </c>
      <c r="AN597" s="76">
        <v>3.4020000000000001</v>
      </c>
      <c r="AO597" s="76">
        <v>0</v>
      </c>
      <c r="AP597" s="76">
        <f t="shared" si="239"/>
        <v>3.4020000000000001</v>
      </c>
      <c r="AQ597" s="76">
        <v>0.34499999999999997</v>
      </c>
      <c r="AR597" s="76">
        <v>2.2650000000000001</v>
      </c>
      <c r="AS597" s="76">
        <v>3.9079999999999999</v>
      </c>
      <c r="AT597" s="44" t="s">
        <v>107</v>
      </c>
      <c r="AU597" s="44" t="s">
        <v>109</v>
      </c>
      <c r="AV597" s="44" t="s">
        <v>133</v>
      </c>
      <c r="AW597" s="44" t="s">
        <v>134</v>
      </c>
      <c r="AX597" s="44" t="s">
        <v>110</v>
      </c>
      <c r="AY597" s="76">
        <v>365</v>
      </c>
      <c r="AZ597" s="76">
        <v>365</v>
      </c>
      <c r="BA597" s="44" t="s">
        <v>391</v>
      </c>
      <c r="BB597" s="44" t="s">
        <v>134</v>
      </c>
      <c r="BC597" s="44" t="s">
        <v>134</v>
      </c>
      <c r="BD597" s="44" t="s">
        <v>134</v>
      </c>
      <c r="BE597" s="44" t="s">
        <v>1410</v>
      </c>
      <c r="BF597" s="44">
        <v>13.933999999999999</v>
      </c>
      <c r="BG597" s="44">
        <v>0</v>
      </c>
      <c r="BH597" s="44">
        <v>0.94</v>
      </c>
      <c r="BI597" s="44">
        <v>11.708</v>
      </c>
      <c r="BJ597" s="44">
        <v>16.571999999999999</v>
      </c>
      <c r="BK597" s="44" t="s">
        <v>91</v>
      </c>
      <c r="BL597" s="44" t="s">
        <v>116</v>
      </c>
      <c r="BM597" s="44">
        <v>1</v>
      </c>
      <c r="BN597" s="44" t="s">
        <v>1407</v>
      </c>
      <c r="BO597" s="44" t="s">
        <v>312</v>
      </c>
      <c r="BP597" s="44" t="s">
        <v>312</v>
      </c>
      <c r="BQ597" s="44" t="s">
        <v>117</v>
      </c>
      <c r="BR597" s="44" t="s">
        <v>134</v>
      </c>
      <c r="BS597" s="44" t="s">
        <v>312</v>
      </c>
      <c r="BT597" s="44" t="s">
        <v>312</v>
      </c>
      <c r="BU597" s="44">
        <v>2010</v>
      </c>
      <c r="BV597" s="44">
        <v>2019</v>
      </c>
      <c r="BW597" s="44" t="s">
        <v>901</v>
      </c>
      <c r="BX597" s="44" t="s">
        <v>95</v>
      </c>
      <c r="BY597" s="44" t="s">
        <v>1418</v>
      </c>
      <c r="BZ597" s="44">
        <v>0</v>
      </c>
      <c r="CA597" s="44">
        <v>0</v>
      </c>
      <c r="CB597" s="44" t="s">
        <v>97</v>
      </c>
      <c r="CC597" s="44" t="s">
        <v>1375</v>
      </c>
      <c r="CD597" s="44">
        <v>0</v>
      </c>
      <c r="CE597" s="44" t="s">
        <v>97</v>
      </c>
      <c r="CF597" s="44">
        <v>0</v>
      </c>
      <c r="CG597" s="44" t="s">
        <v>97</v>
      </c>
      <c r="CH597" s="44">
        <v>0</v>
      </c>
      <c r="CI597" s="44" t="s">
        <v>1402</v>
      </c>
      <c r="CJ597" s="44" t="s">
        <v>98</v>
      </c>
      <c r="CK597" s="44">
        <v>32</v>
      </c>
      <c r="CL597" s="44">
        <v>0</v>
      </c>
      <c r="CM597" s="44">
        <v>0</v>
      </c>
      <c r="CN597" s="44" t="s">
        <v>99</v>
      </c>
      <c r="CO597" s="44" t="s">
        <v>97</v>
      </c>
      <c r="CP597" s="44" t="s">
        <v>100</v>
      </c>
      <c r="CQ597" s="44" t="s">
        <v>126</v>
      </c>
      <c r="CR597" s="45">
        <v>46232</v>
      </c>
      <c r="CT597" s="44" t="s">
        <v>457</v>
      </c>
      <c r="CU597" s="44" t="s">
        <v>1419</v>
      </c>
    </row>
    <row r="598" spans="1:99" s="44" customFormat="1" x14ac:dyDescent="0.35">
      <c r="A598" s="43" t="s">
        <v>1403</v>
      </c>
      <c r="B598" s="81" t="s">
        <v>1417</v>
      </c>
      <c r="C598" s="44" t="s">
        <v>1404</v>
      </c>
      <c r="D598" s="44">
        <v>2025</v>
      </c>
      <c r="E598" s="64" t="s">
        <v>1405</v>
      </c>
      <c r="F598" s="43" t="s">
        <v>1406</v>
      </c>
      <c r="G598" s="44" t="s">
        <v>78</v>
      </c>
      <c r="H598" s="44">
        <v>1</v>
      </c>
      <c r="I598" s="44" t="s">
        <v>290</v>
      </c>
      <c r="J598" s="44" t="s">
        <v>79</v>
      </c>
      <c r="K598" s="44">
        <v>1</v>
      </c>
      <c r="L598" s="44" t="s">
        <v>80</v>
      </c>
      <c r="M598" s="44" t="s">
        <v>380</v>
      </c>
      <c r="N598" s="44">
        <v>-0.78900000000000003</v>
      </c>
      <c r="O598" s="44">
        <v>0.32200000000000001</v>
      </c>
      <c r="P598" s="91">
        <f t="shared" si="243"/>
        <v>-2.4503105590062111</v>
      </c>
      <c r="Q598" s="44" t="s">
        <v>312</v>
      </c>
      <c r="R598" s="91">
        <f t="shared" si="244"/>
        <v>-1.42012</v>
      </c>
      <c r="S598" s="91">
        <f t="shared" si="245"/>
        <v>-0.15788000000000002</v>
      </c>
      <c r="T598" s="44">
        <v>1</v>
      </c>
      <c r="U598" s="44">
        <v>11020</v>
      </c>
      <c r="V598" s="44" t="s">
        <v>312</v>
      </c>
      <c r="W598" s="44" t="s">
        <v>312</v>
      </c>
      <c r="X598" s="44">
        <f t="shared" si="240"/>
        <v>11020</v>
      </c>
      <c r="Y598" s="91">
        <f t="shared" si="246"/>
        <v>-2.3335228519080136E-2</v>
      </c>
      <c r="Z598" s="91">
        <f t="shared" si="247"/>
        <v>9.5233758975206643E-3</v>
      </c>
      <c r="AA598" s="91">
        <f t="shared" si="248"/>
        <v>2.3335228519080136E-2</v>
      </c>
      <c r="AB598" s="44" t="s">
        <v>81</v>
      </c>
      <c r="AC598" s="91">
        <f t="shared" si="249"/>
        <v>-0.78900000000000003</v>
      </c>
      <c r="AD598" s="91" cm="1">
        <f t="array" ref="AD598">_xlfn.IFS(
AND(L598="marginal_effect",M598="level"),N598*AN598/BF598,
AND(L598="marginal_effect",M598="sd (Y)"),N598*BI598*AN598/BF598,
AND(L598="marginal_effect",M598="sd (X)"),N598/AQ598*AN598/BF598,
AND(L598="semi_elasticity",M598="level"),N598*AN598,
AND(L598="semi_elasticity",M598="sd (Y)"),N598*AN598*BI598,
AND(L598="semi_elasticity",M598="sd (X)"),N598*AN598/AQ598,
AND(L598="level-log",M598="level"),N598/BF598,
AND(L598="level-log",M598="sd (X)"),N598/BF598/AQ598,
AND(L598="level-log",M598="sd (Y)"),N598/BF598*BI598,
AND(L598="elasticity",M598="level"),N598,
AND(L598="elasticity",M598="sd (X)"),N598/AQ598,
AND(L598="elasticity",M598="sd (Y)"),N598*BI598,
AND(L598="marginal_effect",M598="percent_of_mean"),N598*AN598/BF598/10)</f>
        <v>-0.78900000000000003</v>
      </c>
      <c r="AE598" s="50">
        <f t="shared" si="250"/>
        <v>1</v>
      </c>
      <c r="AF598" s="91">
        <f t="shared" si="251"/>
        <v>0.32200000000000001</v>
      </c>
      <c r="AG598" s="91" cm="1">
        <f t="array" ref="AG598">_xlfn.IFS(
AND(L598="marginal_effect",M598="level"),O598*AN598/BF598,
AND(L598="marginal_effect",M598="sd (Y)"),O598*BI598*AN598/BF598,
AND(L598="marginal_effect",M598="sd (X)"),O598/AQ598*AN598/BF598,
AND(L598="semi_elasticity",M598="level"),O598*AN598,
AND(L598="semi_elasticity",M598="sd (Y)"),O598*AN598*BI598,
AND(L598="semi_elasticity",M598="sd (X)"),O598*AN598/AQ598,
AND(L598="level-log",M598="level"),O598/BF598,
AND(L598="level-log",M598="sd (X)"),O598/BF598/AQ598,
AND(L598="level-log",M598="sd (Y)"),O598/BF598*BI598,
AND(L598="elasticity",M598="level"),O598,
AND(L598="elasticity",M598="sd (X)"),O598/AQ598,
AND(L598="elasticity",M598="sd (Y)"),O598*BI598,
AND(L598="marginal_effect",M598="percent_of_mean"),O598*AN598/BF598/10)</f>
        <v>0.32200000000000001</v>
      </c>
      <c r="AH598" s="50">
        <f t="shared" si="252"/>
        <v>1</v>
      </c>
      <c r="AI598" s="91">
        <f t="shared" si="238"/>
        <v>-0.78900000000000003</v>
      </c>
      <c r="AJ598" s="44">
        <v>0</v>
      </c>
      <c r="AK598" s="44">
        <f t="shared" ref="AK598:AK629" si="253">IF(P598=(AC598/AF598),1,0)</f>
        <v>1</v>
      </c>
      <c r="AL598" s="44" t="s">
        <v>2176</v>
      </c>
      <c r="AM598" s="76" t="s">
        <v>1411</v>
      </c>
      <c r="AN598" s="76">
        <v>3.4020000000000001</v>
      </c>
      <c r="AO598" s="76">
        <v>0</v>
      </c>
      <c r="AP598" s="76">
        <f t="shared" si="239"/>
        <v>3.4020000000000001</v>
      </c>
      <c r="AQ598" s="76">
        <v>0.34499999999999997</v>
      </c>
      <c r="AR598" s="76">
        <v>2.2650000000000001</v>
      </c>
      <c r="AS598" s="76">
        <v>3.9079999999999999</v>
      </c>
      <c r="AT598" s="44" t="s">
        <v>107</v>
      </c>
      <c r="AU598" s="44" t="s">
        <v>109</v>
      </c>
      <c r="AV598" s="44" t="s">
        <v>133</v>
      </c>
      <c r="AW598" s="44" t="s">
        <v>134</v>
      </c>
      <c r="AX598" s="44" t="s">
        <v>110</v>
      </c>
      <c r="AY598" s="76">
        <v>365</v>
      </c>
      <c r="AZ598" s="76">
        <v>365</v>
      </c>
      <c r="BA598" s="44" t="s">
        <v>391</v>
      </c>
      <c r="BB598" s="44" t="s">
        <v>134</v>
      </c>
      <c r="BC598" s="44" t="s">
        <v>134</v>
      </c>
      <c r="BD598" s="44" t="s">
        <v>134</v>
      </c>
      <c r="BE598" s="44" t="s">
        <v>1410</v>
      </c>
      <c r="BF598" s="44">
        <v>13.933999999999999</v>
      </c>
      <c r="BG598" s="44">
        <v>0</v>
      </c>
      <c r="BH598" s="44">
        <v>0.94</v>
      </c>
      <c r="BI598" s="44">
        <v>11.708</v>
      </c>
      <c r="BJ598" s="44">
        <v>16.571999999999999</v>
      </c>
      <c r="BK598" s="44" t="s">
        <v>91</v>
      </c>
      <c r="BL598" s="44" t="s">
        <v>116</v>
      </c>
      <c r="BM598" s="44">
        <v>1</v>
      </c>
      <c r="BN598" s="44" t="s">
        <v>1407</v>
      </c>
      <c r="BO598" s="44" t="s">
        <v>312</v>
      </c>
      <c r="BP598" s="44" t="s">
        <v>312</v>
      </c>
      <c r="BQ598" s="44" t="s">
        <v>117</v>
      </c>
      <c r="BR598" s="44" t="s">
        <v>134</v>
      </c>
      <c r="BS598" s="44" t="s">
        <v>312</v>
      </c>
      <c r="BT598" s="44" t="s">
        <v>312</v>
      </c>
      <c r="BU598" s="44">
        <v>2010</v>
      </c>
      <c r="BV598" s="44">
        <v>2019</v>
      </c>
      <c r="BW598" s="44" t="s">
        <v>901</v>
      </c>
      <c r="BX598" s="44" t="s">
        <v>95</v>
      </c>
      <c r="BY598" s="44" t="s">
        <v>1418</v>
      </c>
      <c r="BZ598" s="44">
        <v>0</v>
      </c>
      <c r="CA598" s="44">
        <v>0</v>
      </c>
      <c r="CB598" s="44" t="s">
        <v>97</v>
      </c>
      <c r="CC598" s="44" t="s">
        <v>1375</v>
      </c>
      <c r="CD598" s="44">
        <v>0</v>
      </c>
      <c r="CE598" s="44" t="s">
        <v>97</v>
      </c>
      <c r="CF598" s="44">
        <v>0</v>
      </c>
      <c r="CG598" s="44" t="s">
        <v>97</v>
      </c>
      <c r="CH598" s="44">
        <v>0</v>
      </c>
      <c r="CI598" s="44" t="s">
        <v>1402</v>
      </c>
      <c r="CJ598" s="44" t="s">
        <v>98</v>
      </c>
      <c r="CK598" s="44">
        <v>32</v>
      </c>
      <c r="CL598" s="44">
        <v>1</v>
      </c>
      <c r="CM598" s="44">
        <v>1</v>
      </c>
      <c r="CN598" s="44" t="s">
        <v>99</v>
      </c>
      <c r="CO598" s="44" t="s">
        <v>97</v>
      </c>
      <c r="CP598" s="44" t="s">
        <v>100</v>
      </c>
      <c r="CQ598" s="44" t="s">
        <v>126</v>
      </c>
      <c r="CR598" s="45">
        <v>46232</v>
      </c>
      <c r="CT598" s="44" t="s">
        <v>457</v>
      </c>
    </row>
    <row r="599" spans="1:99" s="44" customFormat="1" x14ac:dyDescent="0.35">
      <c r="A599" s="43" t="s">
        <v>1403</v>
      </c>
      <c r="B599" s="81" t="s">
        <v>1420</v>
      </c>
      <c r="C599" s="44" t="s">
        <v>1404</v>
      </c>
      <c r="D599" s="44">
        <v>2025</v>
      </c>
      <c r="E599" s="64" t="s">
        <v>1405</v>
      </c>
      <c r="F599" s="43" t="s">
        <v>1406</v>
      </c>
      <c r="G599" s="44" t="s">
        <v>78</v>
      </c>
      <c r="H599" s="44">
        <v>1</v>
      </c>
      <c r="I599" s="44" t="s">
        <v>290</v>
      </c>
      <c r="J599" s="44" t="s">
        <v>79</v>
      </c>
      <c r="K599" s="44">
        <v>1</v>
      </c>
      <c r="L599" s="44" t="s">
        <v>80</v>
      </c>
      <c r="M599" s="44" t="s">
        <v>380</v>
      </c>
      <c r="N599" s="44">
        <f>-0.991+0.548</f>
        <v>-0.44299999999999995</v>
      </c>
      <c r="O599" s="44" t="s">
        <v>312</v>
      </c>
      <c r="P599" s="91" t="s">
        <v>312</v>
      </c>
      <c r="Q599" s="44" t="s">
        <v>312</v>
      </c>
      <c r="R599" s="91" t="s">
        <v>312</v>
      </c>
      <c r="S599" s="91" t="s">
        <v>312</v>
      </c>
      <c r="T599" s="44" t="s">
        <v>312</v>
      </c>
      <c r="U599" s="44" t="s">
        <v>312</v>
      </c>
      <c r="V599" s="44" t="s">
        <v>312</v>
      </c>
      <c r="W599" s="44" t="s">
        <v>312</v>
      </c>
      <c r="X599" s="44" t="str">
        <f t="shared" si="240"/>
        <v>NA</v>
      </c>
      <c r="Y599" s="91" t="str">
        <f t="shared" ref="Y599:AB603" si="254">V599</f>
        <v>NA</v>
      </c>
      <c r="Z599" s="91" t="str">
        <f t="shared" si="254"/>
        <v>NA</v>
      </c>
      <c r="AA599" s="91" t="str">
        <f t="shared" si="254"/>
        <v>NA</v>
      </c>
      <c r="AB599" s="44" t="str">
        <f t="shared" si="254"/>
        <v>NA</v>
      </c>
      <c r="AC599" s="91">
        <f t="shared" si="249"/>
        <v>-0.44299999999999995</v>
      </c>
      <c r="AD599" s="91" cm="1">
        <f t="array" ref="AD599">_xlfn.IFS(
AND(L599="marginal_effect",M599="level"),N599*AN599/BF599,
AND(L599="marginal_effect",M599="sd (Y)"),N599*BI599*AN599/BF599,
AND(L599="marginal_effect",M599="sd (X)"),N599/AQ599*AN599/BF599,
AND(L599="semi_elasticity",M599="level"),N599*AN599,
AND(L599="semi_elasticity",M599="sd (Y)"),N599*AN599*BI599,
AND(L599="semi_elasticity",M599="sd (X)"),N599*AN599/AQ599,
AND(L599="level-log",M599="level"),N599/BF599,
AND(L599="level-log",M599="sd (X)"),N599/BF599/AQ599,
AND(L599="level-log",M599="sd (Y)"),N599/BF599*BI599,
AND(L599="elasticity",M599="level"),N599,
AND(L599="elasticity",M599="sd (X)"),N599/AQ599,
AND(L599="elasticity",M599="sd (Y)"),N599*BI599,
AND(L599="marginal_effect",M599="percent_of_mean"),N599*AN599/BF599/10)</f>
        <v>-0.44299999999999995</v>
      </c>
      <c r="AE599" s="50">
        <f t="shared" si="250"/>
        <v>1</v>
      </c>
      <c r="AF599" s="91" t="str">
        <f t="shared" si="251"/>
        <v>NA</v>
      </c>
      <c r="AG599" s="91" t="str" cm="1">
        <f t="array" ref="AG599">_xlfn.IFS(
AND(L599="marginal_effect",M599="level"),O599*AN599/BF599,
AND(L599="marginal_effect",M599="sd (Y)"),O599*BI599*AN599/BF599,
AND(L599="marginal_effect",M599="sd (X)"),O599/AQ599*AN599/BF599,
AND(L599="semi_elasticity",M599="level"),O599*AN599,
AND(L599="semi_elasticity",M599="sd (Y)"),O599*AN599*BI599,
AND(L599="semi_elasticity",M599="sd (X)"),O599*AN599/AQ599,
AND(L599="level-log",M599="level"),O599/BF599,
AND(L599="level-log",M599="sd (X)"),O599/BF599/AQ599,
AND(L599="level-log",M599="sd (Y)"),O599/BF599*BI599,
AND(L599="elasticity",M599="level"),O599,
AND(L599="elasticity",M599="sd (X)"),O599/AQ599,
AND(L599="elasticity",M599="sd (Y)"),O599*BI599,
AND(L599="marginal_effect",M599="percent_of_mean"),O599*AN599/BF599/10)</f>
        <v>NA</v>
      </c>
      <c r="AH599" s="50">
        <f t="shared" si="252"/>
        <v>1</v>
      </c>
      <c r="AI599" s="91">
        <f t="shared" si="238"/>
        <v>-0.44299999999999995</v>
      </c>
      <c r="AJ599" s="44">
        <v>0</v>
      </c>
      <c r="AK599" s="44" t="e">
        <f t="shared" si="253"/>
        <v>#VALUE!</v>
      </c>
      <c r="AL599" s="44" t="s">
        <v>2176</v>
      </c>
      <c r="AM599" s="76" t="s">
        <v>1411</v>
      </c>
      <c r="AN599" s="76">
        <v>3.4020000000000001</v>
      </c>
      <c r="AO599" s="76">
        <v>1</v>
      </c>
      <c r="AP599" s="76">
        <f t="shared" si="239"/>
        <v>3.4020000000000001</v>
      </c>
      <c r="AQ599" s="76">
        <v>0.34499999999999997</v>
      </c>
      <c r="AR599" s="76">
        <v>2.2650000000000001</v>
      </c>
      <c r="AS599" s="76">
        <v>3.9079999999999999</v>
      </c>
      <c r="AT599" s="44" t="s">
        <v>107</v>
      </c>
      <c r="AU599" s="44" t="s">
        <v>109</v>
      </c>
      <c r="AV599" s="44" t="s">
        <v>133</v>
      </c>
      <c r="AW599" s="44" t="s">
        <v>134</v>
      </c>
      <c r="AX599" s="44" t="s">
        <v>110</v>
      </c>
      <c r="AY599" s="76">
        <v>365</v>
      </c>
      <c r="AZ599" s="76">
        <v>365</v>
      </c>
      <c r="BA599" s="44" t="s">
        <v>391</v>
      </c>
      <c r="BB599" s="44" t="s">
        <v>134</v>
      </c>
      <c r="BC599" s="44" t="s">
        <v>134</v>
      </c>
      <c r="BD599" s="44" t="s">
        <v>134</v>
      </c>
      <c r="BE599" s="44" t="s">
        <v>1410</v>
      </c>
      <c r="BF599" s="44">
        <v>13.933999999999999</v>
      </c>
      <c r="BG599" s="44">
        <v>1</v>
      </c>
      <c r="BH599" s="44">
        <v>0.94</v>
      </c>
      <c r="BI599" s="44">
        <v>11.708</v>
      </c>
      <c r="BJ599" s="44">
        <v>16.571999999999999</v>
      </c>
      <c r="BK599" s="44" t="s">
        <v>91</v>
      </c>
      <c r="BL599" s="44" t="s">
        <v>116</v>
      </c>
      <c r="BM599" s="44">
        <v>1</v>
      </c>
      <c r="BN599" s="44" t="s">
        <v>1407</v>
      </c>
      <c r="BO599" s="44" t="s">
        <v>312</v>
      </c>
      <c r="BP599" s="44" t="s">
        <v>312</v>
      </c>
      <c r="BQ599" s="44" t="s">
        <v>117</v>
      </c>
      <c r="BR599" s="44" t="s">
        <v>134</v>
      </c>
      <c r="BS599" s="44" t="s">
        <v>312</v>
      </c>
      <c r="BT599" s="44" t="s">
        <v>312</v>
      </c>
      <c r="BU599" s="44">
        <v>2010</v>
      </c>
      <c r="BV599" s="44">
        <v>2019</v>
      </c>
      <c r="BW599" s="44" t="s">
        <v>901</v>
      </c>
      <c r="BX599" s="44" t="s">
        <v>95</v>
      </c>
      <c r="BY599" s="44" t="s">
        <v>1418</v>
      </c>
      <c r="BZ599" s="44">
        <v>0</v>
      </c>
      <c r="CA599" s="44">
        <v>0</v>
      </c>
      <c r="CB599" s="44" t="s">
        <v>97</v>
      </c>
      <c r="CC599" s="44" t="s">
        <v>1375</v>
      </c>
      <c r="CD599" s="44">
        <v>0</v>
      </c>
      <c r="CE599" s="44" t="s">
        <v>97</v>
      </c>
      <c r="CF599" s="44">
        <v>0</v>
      </c>
      <c r="CG599" s="44" t="s">
        <v>97</v>
      </c>
      <c r="CH599" s="44">
        <v>0</v>
      </c>
      <c r="CI599" s="44" t="s">
        <v>1402</v>
      </c>
      <c r="CJ599" s="44" t="s">
        <v>98</v>
      </c>
      <c r="CK599" s="44">
        <v>32</v>
      </c>
      <c r="CL599" s="44">
        <v>0</v>
      </c>
      <c r="CM599" s="44">
        <v>0</v>
      </c>
      <c r="CN599" s="44" t="s">
        <v>99</v>
      </c>
      <c r="CO599" s="44" t="s">
        <v>946</v>
      </c>
      <c r="CP599" s="44" t="s">
        <v>100</v>
      </c>
      <c r="CQ599" s="44" t="s">
        <v>126</v>
      </c>
      <c r="CR599" s="45">
        <v>46232</v>
      </c>
      <c r="CT599" s="44" t="s">
        <v>1432</v>
      </c>
    </row>
    <row r="600" spans="1:99" s="44" customFormat="1" x14ac:dyDescent="0.35">
      <c r="A600" s="43" t="s">
        <v>1403</v>
      </c>
      <c r="B600" s="81" t="s">
        <v>1421</v>
      </c>
      <c r="C600" s="44" t="s">
        <v>1404</v>
      </c>
      <c r="D600" s="44">
        <v>2025</v>
      </c>
      <c r="E600" s="64" t="s">
        <v>1405</v>
      </c>
      <c r="F600" s="43" t="s">
        <v>1406</v>
      </c>
      <c r="G600" s="44" t="s">
        <v>78</v>
      </c>
      <c r="H600" s="44">
        <v>1</v>
      </c>
      <c r="I600" s="44" t="s">
        <v>290</v>
      </c>
      <c r="J600" s="44" t="s">
        <v>79</v>
      </c>
      <c r="K600" s="44">
        <v>1</v>
      </c>
      <c r="L600" s="44" t="s">
        <v>80</v>
      </c>
      <c r="M600" s="44" t="s">
        <v>380</v>
      </c>
      <c r="N600" s="44">
        <v>-0.99099999999999999</v>
      </c>
      <c r="O600" s="44">
        <v>0.38700000000000001</v>
      </c>
      <c r="P600" s="91">
        <f>N600/O600</f>
        <v>-2.5607235142118863</v>
      </c>
      <c r="Q600" s="44" t="s">
        <v>312</v>
      </c>
      <c r="R600" s="91">
        <f>N600-1.96*O600</f>
        <v>-1.74952</v>
      </c>
      <c r="S600" s="91">
        <f>N600+1.96*O600</f>
        <v>-0.23248000000000002</v>
      </c>
      <c r="T600" s="44">
        <v>1</v>
      </c>
      <c r="U600" s="44" t="s">
        <v>312</v>
      </c>
      <c r="V600" s="44" t="s">
        <v>312</v>
      </c>
      <c r="W600" s="44" t="s">
        <v>312</v>
      </c>
      <c r="X600" s="44" t="str">
        <f t="shared" si="240"/>
        <v>NA</v>
      </c>
      <c r="Y600" s="91" t="str">
        <f t="shared" si="254"/>
        <v>NA</v>
      </c>
      <c r="Z600" s="91" t="str">
        <f t="shared" si="254"/>
        <v>NA</v>
      </c>
      <c r="AA600" s="91" t="str">
        <f t="shared" si="254"/>
        <v>NA</v>
      </c>
      <c r="AB600" s="44" t="str">
        <f t="shared" si="254"/>
        <v>NA</v>
      </c>
      <c r="AC600" s="91">
        <f t="shared" si="249"/>
        <v>-0.99099999999999999</v>
      </c>
      <c r="AD600" s="91" cm="1">
        <f t="array" ref="AD600">_xlfn.IFS(
AND(L600="marginal_effect",M600="level"),N600*AN600/BF600,
AND(L600="marginal_effect",M600="sd (Y)"),N600*BI600*AN600/BF600,
AND(L600="marginal_effect",M600="sd (X)"),N600/AQ600*AN600/BF600,
AND(L600="semi_elasticity",M600="level"),N600*AN600,
AND(L600="semi_elasticity",M600="sd (Y)"),N600*AN600*BI600,
AND(L600="semi_elasticity",M600="sd (X)"),N600*AN600/AQ600,
AND(L600="level-log",M600="level"),N600/BF600,
AND(L600="level-log",M600="sd (X)"),N600/BF600/AQ600,
AND(L600="level-log",M600="sd (Y)"),N600/BF600*BI600,
AND(L600="elasticity",M600="level"),N600,
AND(L600="elasticity",M600="sd (X)"),N600/AQ600,
AND(L600="elasticity",M600="sd (Y)"),N600*BI600,
AND(L600="marginal_effect",M600="percent_of_mean"),N600*AN600/BF600/10)</f>
        <v>-0.99099999999999999</v>
      </c>
      <c r="AE600" s="50">
        <f t="shared" si="250"/>
        <v>1</v>
      </c>
      <c r="AF600" s="91">
        <f t="shared" si="251"/>
        <v>0.38700000000000001</v>
      </c>
      <c r="AG600" s="91" cm="1">
        <f t="array" ref="AG600">_xlfn.IFS(
AND(L600="marginal_effect",M600="level"),O600*AN600/BF600,
AND(L600="marginal_effect",M600="sd (Y)"),O600*BI600*AN600/BF600,
AND(L600="marginal_effect",M600="sd (X)"),O600/AQ600*AN600/BF600,
AND(L600="semi_elasticity",M600="level"),O600*AN600,
AND(L600="semi_elasticity",M600="sd (Y)"),O600*AN600*BI600,
AND(L600="semi_elasticity",M600="sd (X)"),O600*AN600/AQ600,
AND(L600="level-log",M600="level"),O600/BF600,
AND(L600="level-log",M600="sd (X)"),O600/BF600/AQ600,
AND(L600="level-log",M600="sd (Y)"),O600/BF600*BI600,
AND(L600="elasticity",M600="level"),O600,
AND(L600="elasticity",M600="sd (X)"),O600/AQ600,
AND(L600="elasticity",M600="sd (Y)"),O600*BI600,
AND(L600="marginal_effect",M600="percent_of_mean"),O600*AN600/BF600/10)</f>
        <v>0.38700000000000001</v>
      </c>
      <c r="AH600" s="50">
        <f t="shared" si="252"/>
        <v>1</v>
      </c>
      <c r="AI600" s="91">
        <f t="shared" si="238"/>
        <v>-0.99099999999999999</v>
      </c>
      <c r="AJ600" s="44">
        <v>0</v>
      </c>
      <c r="AK600" s="44">
        <f t="shared" si="253"/>
        <v>1</v>
      </c>
      <c r="AL600" s="44" t="s">
        <v>2176</v>
      </c>
      <c r="AM600" s="76" t="s">
        <v>1411</v>
      </c>
      <c r="AN600" s="76">
        <v>3.4020000000000001</v>
      </c>
      <c r="AO600" s="76">
        <v>1</v>
      </c>
      <c r="AP600" s="76">
        <f t="shared" si="239"/>
        <v>3.4020000000000001</v>
      </c>
      <c r="AQ600" s="76">
        <v>0.34499999999999997</v>
      </c>
      <c r="AR600" s="76">
        <v>2.2650000000000001</v>
      </c>
      <c r="AS600" s="76">
        <v>3.9079999999999999</v>
      </c>
      <c r="AT600" s="44" t="s">
        <v>107</v>
      </c>
      <c r="AU600" s="44" t="s">
        <v>109</v>
      </c>
      <c r="AV600" s="44" t="s">
        <v>133</v>
      </c>
      <c r="AW600" s="44" t="s">
        <v>134</v>
      </c>
      <c r="AX600" s="44" t="s">
        <v>110</v>
      </c>
      <c r="AY600" s="76">
        <v>365</v>
      </c>
      <c r="AZ600" s="76">
        <v>365</v>
      </c>
      <c r="BA600" s="44" t="s">
        <v>391</v>
      </c>
      <c r="BB600" s="44" t="s">
        <v>134</v>
      </c>
      <c r="BC600" s="44" t="s">
        <v>134</v>
      </c>
      <c r="BD600" s="44" t="s">
        <v>134</v>
      </c>
      <c r="BE600" s="44" t="s">
        <v>1410</v>
      </c>
      <c r="BF600" s="44">
        <v>13.933999999999999</v>
      </c>
      <c r="BG600" s="44">
        <v>1</v>
      </c>
      <c r="BH600" s="44">
        <v>0.94</v>
      </c>
      <c r="BI600" s="44">
        <v>11.708</v>
      </c>
      <c r="BJ600" s="44">
        <v>16.571999999999999</v>
      </c>
      <c r="BK600" s="44" t="s">
        <v>91</v>
      </c>
      <c r="BL600" s="44" t="s">
        <v>116</v>
      </c>
      <c r="BM600" s="44">
        <v>1</v>
      </c>
      <c r="BN600" s="44" t="s">
        <v>1407</v>
      </c>
      <c r="BO600" s="44" t="s">
        <v>312</v>
      </c>
      <c r="BP600" s="44" t="s">
        <v>312</v>
      </c>
      <c r="BQ600" s="44" t="s">
        <v>117</v>
      </c>
      <c r="BR600" s="44" t="s">
        <v>134</v>
      </c>
      <c r="BS600" s="44" t="s">
        <v>312</v>
      </c>
      <c r="BT600" s="44" t="s">
        <v>312</v>
      </c>
      <c r="BU600" s="44">
        <v>2010</v>
      </c>
      <c r="BV600" s="44">
        <v>2019</v>
      </c>
      <c r="BW600" s="44" t="s">
        <v>901</v>
      </c>
      <c r="BX600" s="44" t="s">
        <v>95</v>
      </c>
      <c r="BY600" s="44" t="s">
        <v>1418</v>
      </c>
      <c r="BZ600" s="44">
        <v>0</v>
      </c>
      <c r="CA600" s="44">
        <v>0</v>
      </c>
      <c r="CB600" s="44" t="s">
        <v>97</v>
      </c>
      <c r="CC600" s="44" t="s">
        <v>1375</v>
      </c>
      <c r="CD600" s="44">
        <v>0</v>
      </c>
      <c r="CE600" s="44" t="s">
        <v>97</v>
      </c>
      <c r="CF600" s="44">
        <v>0</v>
      </c>
      <c r="CG600" s="44" t="s">
        <v>97</v>
      </c>
      <c r="CH600" s="44">
        <v>0</v>
      </c>
      <c r="CI600" s="44" t="s">
        <v>1402</v>
      </c>
      <c r="CJ600" s="44" t="s">
        <v>98</v>
      </c>
      <c r="CK600" s="44">
        <v>32</v>
      </c>
      <c r="CL600" s="44">
        <v>0</v>
      </c>
      <c r="CM600" s="44">
        <v>0</v>
      </c>
      <c r="CN600" s="44" t="s">
        <v>99</v>
      </c>
      <c r="CO600" s="44" t="s">
        <v>946</v>
      </c>
      <c r="CP600" s="44" t="s">
        <v>100</v>
      </c>
      <c r="CQ600" s="44" t="s">
        <v>126</v>
      </c>
      <c r="CR600" s="45">
        <v>46232</v>
      </c>
      <c r="CT600" s="44" t="s">
        <v>1432</v>
      </c>
    </row>
    <row r="601" spans="1:99" s="44" customFormat="1" x14ac:dyDescent="0.35">
      <c r="A601" s="43" t="s">
        <v>1403</v>
      </c>
      <c r="B601" s="81" t="s">
        <v>1422</v>
      </c>
      <c r="C601" s="44" t="s">
        <v>1404</v>
      </c>
      <c r="D601" s="44">
        <v>2025</v>
      </c>
      <c r="E601" s="64" t="s">
        <v>1405</v>
      </c>
      <c r="F601" s="43" t="s">
        <v>1406</v>
      </c>
      <c r="G601" s="44" t="s">
        <v>78</v>
      </c>
      <c r="H601" s="44">
        <v>1</v>
      </c>
      <c r="I601" s="44" t="s">
        <v>290</v>
      </c>
      <c r="J601" s="44" t="s">
        <v>79</v>
      </c>
      <c r="K601" s="44">
        <v>1</v>
      </c>
      <c r="L601" s="44" t="s">
        <v>80</v>
      </c>
      <c r="M601" s="44" t="s">
        <v>380</v>
      </c>
      <c r="N601" s="44">
        <f>-0.134+0.123</f>
        <v>-1.100000000000001E-2</v>
      </c>
      <c r="O601" s="44" t="s">
        <v>312</v>
      </c>
      <c r="P601" s="91" t="s">
        <v>312</v>
      </c>
      <c r="Q601" s="44" t="s">
        <v>312</v>
      </c>
      <c r="R601" s="91" t="s">
        <v>312</v>
      </c>
      <c r="S601" s="91" t="s">
        <v>312</v>
      </c>
      <c r="T601" s="44" t="s">
        <v>312</v>
      </c>
      <c r="U601" s="44" t="s">
        <v>312</v>
      </c>
      <c r="V601" s="44" t="s">
        <v>312</v>
      </c>
      <c r="W601" s="44" t="s">
        <v>312</v>
      </c>
      <c r="X601" s="44" t="str">
        <f t="shared" si="240"/>
        <v>NA</v>
      </c>
      <c r="Y601" s="91" t="str">
        <f t="shared" si="254"/>
        <v>NA</v>
      </c>
      <c r="Z601" s="91" t="str">
        <f t="shared" si="254"/>
        <v>NA</v>
      </c>
      <c r="AA601" s="91" t="str">
        <f t="shared" si="254"/>
        <v>NA</v>
      </c>
      <c r="AB601" s="44" t="str">
        <f t="shared" si="254"/>
        <v>NA</v>
      </c>
      <c r="AC601" s="91">
        <f t="shared" si="249"/>
        <v>-1.100000000000001E-2</v>
      </c>
      <c r="AD601" s="91" cm="1">
        <f t="array" ref="AD601">_xlfn.IFS(
AND(L601="marginal_effect",M601="level"),N601*AN601/BF601,
AND(L601="marginal_effect",M601="sd (Y)"),N601*BI601*AN601/BF601,
AND(L601="marginal_effect",M601="sd (X)"),N601/AQ601*AN601/BF601,
AND(L601="semi_elasticity",M601="level"),N601*AN601,
AND(L601="semi_elasticity",M601="sd (Y)"),N601*AN601*BI601,
AND(L601="semi_elasticity",M601="sd (X)"),N601*AN601/AQ601,
AND(L601="level-log",M601="level"),N601/BF601,
AND(L601="level-log",M601="sd (X)"),N601/BF601/AQ601,
AND(L601="level-log",M601="sd (Y)"),N601/BF601*BI601,
AND(L601="elasticity",M601="level"),N601,
AND(L601="elasticity",M601="sd (X)"),N601/AQ601,
AND(L601="elasticity",M601="sd (Y)"),N601*BI601,
AND(L601="marginal_effect",M601="percent_of_mean"),N601*AN601/BF601/10)</f>
        <v>-1.100000000000001E-2</v>
      </c>
      <c r="AE601" s="50">
        <f t="shared" si="250"/>
        <v>1</v>
      </c>
      <c r="AF601" s="91" t="str">
        <f t="shared" si="251"/>
        <v>NA</v>
      </c>
      <c r="AG601" s="91" t="str" cm="1">
        <f t="array" ref="AG601">_xlfn.IFS(
AND(L601="marginal_effect",M601="level"),O601*AN601/BF601,
AND(L601="marginal_effect",M601="sd (Y)"),O601*BI601*AN601/BF601,
AND(L601="marginal_effect",M601="sd (X)"),O601/AQ601*AN601/BF601,
AND(L601="semi_elasticity",M601="level"),O601*AN601,
AND(L601="semi_elasticity",M601="sd (Y)"),O601*AN601*BI601,
AND(L601="semi_elasticity",M601="sd (X)"),O601*AN601/AQ601,
AND(L601="level-log",M601="level"),O601/BF601,
AND(L601="level-log",M601="sd (X)"),O601/BF601/AQ601,
AND(L601="level-log",M601="sd (Y)"),O601/BF601*BI601,
AND(L601="elasticity",M601="level"),O601,
AND(L601="elasticity",M601="sd (X)"),O601/AQ601,
AND(L601="elasticity",M601="sd (Y)"),O601*BI601,
AND(L601="marginal_effect",M601="percent_of_mean"),O601*AN601/BF601/10)</f>
        <v>NA</v>
      </c>
      <c r="AH601" s="50">
        <f t="shared" si="252"/>
        <v>1</v>
      </c>
      <c r="AI601" s="91">
        <f t="shared" si="238"/>
        <v>-1.100000000000001E-2</v>
      </c>
      <c r="AJ601" s="44">
        <v>0</v>
      </c>
      <c r="AK601" s="44" t="e">
        <f t="shared" si="253"/>
        <v>#VALUE!</v>
      </c>
      <c r="AL601" s="44" t="s">
        <v>2176</v>
      </c>
      <c r="AM601" s="76" t="s">
        <v>1411</v>
      </c>
      <c r="AN601" s="76">
        <v>3.4020000000000001</v>
      </c>
      <c r="AO601" s="76">
        <v>1</v>
      </c>
      <c r="AP601" s="76">
        <f t="shared" si="239"/>
        <v>3.4020000000000001</v>
      </c>
      <c r="AQ601" s="76">
        <v>0.34499999999999997</v>
      </c>
      <c r="AR601" s="76">
        <v>2.2650000000000001</v>
      </c>
      <c r="AS601" s="76">
        <v>3.9079999999999999</v>
      </c>
      <c r="AT601" s="44" t="s">
        <v>107</v>
      </c>
      <c r="AU601" s="44" t="s">
        <v>109</v>
      </c>
      <c r="AV601" s="44" t="s">
        <v>133</v>
      </c>
      <c r="AW601" s="44" t="s">
        <v>134</v>
      </c>
      <c r="AX601" s="44" t="s">
        <v>110</v>
      </c>
      <c r="AY601" s="76">
        <v>365</v>
      </c>
      <c r="AZ601" s="76">
        <v>365</v>
      </c>
      <c r="BA601" s="44" t="s">
        <v>391</v>
      </c>
      <c r="BB601" s="44" t="s">
        <v>134</v>
      </c>
      <c r="BC601" s="44" t="s">
        <v>134</v>
      </c>
      <c r="BD601" s="44" t="s">
        <v>134</v>
      </c>
      <c r="BE601" s="44" t="s">
        <v>1410</v>
      </c>
      <c r="BF601" s="44">
        <v>13.933999999999999</v>
      </c>
      <c r="BG601" s="44">
        <v>1</v>
      </c>
      <c r="BH601" s="44">
        <v>0.94</v>
      </c>
      <c r="BI601" s="44">
        <v>11.708</v>
      </c>
      <c r="BJ601" s="44">
        <v>16.571999999999999</v>
      </c>
      <c r="BK601" s="44" t="s">
        <v>91</v>
      </c>
      <c r="BL601" s="44" t="s">
        <v>116</v>
      </c>
      <c r="BM601" s="44">
        <v>1</v>
      </c>
      <c r="BN601" s="44" t="s">
        <v>1407</v>
      </c>
      <c r="BO601" s="44" t="s">
        <v>312</v>
      </c>
      <c r="BP601" s="44" t="s">
        <v>312</v>
      </c>
      <c r="BQ601" s="44" t="s">
        <v>117</v>
      </c>
      <c r="BR601" s="44" t="s">
        <v>134</v>
      </c>
      <c r="BS601" s="44" t="s">
        <v>312</v>
      </c>
      <c r="BT601" s="44" t="s">
        <v>312</v>
      </c>
      <c r="BU601" s="44">
        <v>2010</v>
      </c>
      <c r="BV601" s="44">
        <v>2019</v>
      </c>
      <c r="BW601" s="44" t="s">
        <v>901</v>
      </c>
      <c r="BX601" s="44" t="s">
        <v>95</v>
      </c>
      <c r="BY601" s="44" t="s">
        <v>1418</v>
      </c>
      <c r="BZ601" s="44">
        <v>0</v>
      </c>
      <c r="CA601" s="44">
        <v>0</v>
      </c>
      <c r="CB601" s="44" t="s">
        <v>97</v>
      </c>
      <c r="CC601" s="44" t="s">
        <v>1375</v>
      </c>
      <c r="CD601" s="44">
        <v>0</v>
      </c>
      <c r="CE601" s="44" t="s">
        <v>97</v>
      </c>
      <c r="CF601" s="44">
        <v>0</v>
      </c>
      <c r="CG601" s="44" t="s">
        <v>97</v>
      </c>
      <c r="CH601" s="44">
        <v>0</v>
      </c>
      <c r="CI601" s="44" t="s">
        <v>1402</v>
      </c>
      <c r="CJ601" s="44" t="s">
        <v>98</v>
      </c>
      <c r="CK601" s="44">
        <v>32</v>
      </c>
      <c r="CL601" s="44">
        <v>0</v>
      </c>
      <c r="CM601" s="44">
        <v>0</v>
      </c>
      <c r="CN601" s="44" t="s">
        <v>99</v>
      </c>
      <c r="CO601" s="44" t="s">
        <v>946</v>
      </c>
      <c r="CP601" s="44" t="s">
        <v>100</v>
      </c>
      <c r="CQ601" s="44" t="s">
        <v>126</v>
      </c>
      <c r="CR601" s="45">
        <v>46232</v>
      </c>
      <c r="CT601" s="44" t="s">
        <v>1432</v>
      </c>
      <c r="CU601" s="44" t="s">
        <v>1419</v>
      </c>
    </row>
    <row r="602" spans="1:99" s="44" customFormat="1" x14ac:dyDescent="0.35">
      <c r="A602" s="43" t="s">
        <v>1403</v>
      </c>
      <c r="B602" s="81" t="s">
        <v>1423</v>
      </c>
      <c r="C602" s="44" t="s">
        <v>1404</v>
      </c>
      <c r="D602" s="44">
        <v>2025</v>
      </c>
      <c r="E602" s="64" t="s">
        <v>1405</v>
      </c>
      <c r="F602" s="43" t="s">
        <v>1406</v>
      </c>
      <c r="G602" s="44" t="s">
        <v>78</v>
      </c>
      <c r="H602" s="44">
        <v>1</v>
      </c>
      <c r="I602" s="44" t="s">
        <v>290</v>
      </c>
      <c r="J602" s="44" t="s">
        <v>79</v>
      </c>
      <c r="K602" s="44">
        <v>1</v>
      </c>
      <c r="L602" s="44" t="s">
        <v>80</v>
      </c>
      <c r="M602" s="44" t="s">
        <v>380</v>
      </c>
      <c r="N602" s="44">
        <v>-0.13400000000000001</v>
      </c>
      <c r="O602" s="44">
        <v>0.05</v>
      </c>
      <c r="P602" s="91">
        <f>N602/O602</f>
        <v>-2.68</v>
      </c>
      <c r="Q602" s="44" t="s">
        <v>312</v>
      </c>
      <c r="R602" s="91">
        <f>N602-1.96*O602</f>
        <v>-0.23200000000000001</v>
      </c>
      <c r="S602" s="91">
        <f>N602+1.96*O602</f>
        <v>-3.6000000000000004E-2</v>
      </c>
      <c r="T602" s="44">
        <v>1</v>
      </c>
      <c r="U602" s="44" t="s">
        <v>312</v>
      </c>
      <c r="V602" s="44" t="s">
        <v>312</v>
      </c>
      <c r="W602" s="44" t="s">
        <v>312</v>
      </c>
      <c r="X602" s="44" t="str">
        <f t="shared" si="240"/>
        <v>NA</v>
      </c>
      <c r="Y602" s="91" t="str">
        <f t="shared" si="254"/>
        <v>NA</v>
      </c>
      <c r="Z602" s="91" t="str">
        <f t="shared" si="254"/>
        <v>NA</v>
      </c>
      <c r="AA602" s="91" t="str">
        <f t="shared" si="254"/>
        <v>NA</v>
      </c>
      <c r="AB602" s="44" t="str">
        <f t="shared" si="254"/>
        <v>NA</v>
      </c>
      <c r="AC602" s="91">
        <f t="shared" si="249"/>
        <v>-0.13400000000000001</v>
      </c>
      <c r="AD602" s="91" cm="1">
        <f t="array" ref="AD602">_xlfn.IFS(
AND(L602="marginal_effect",M602="level"),N602*AN602/BF602,
AND(L602="marginal_effect",M602="sd (Y)"),N602*BI602*AN602/BF602,
AND(L602="marginal_effect",M602="sd (X)"),N602/AQ602*AN602/BF602,
AND(L602="semi_elasticity",M602="level"),N602*AN602,
AND(L602="semi_elasticity",M602="sd (Y)"),N602*AN602*BI602,
AND(L602="semi_elasticity",M602="sd (X)"),N602*AN602/AQ602,
AND(L602="level-log",M602="level"),N602/BF602,
AND(L602="level-log",M602="sd (X)"),N602/BF602/AQ602,
AND(L602="level-log",M602="sd (Y)"),N602/BF602*BI602,
AND(L602="elasticity",M602="level"),N602,
AND(L602="elasticity",M602="sd (X)"),N602/AQ602,
AND(L602="elasticity",M602="sd (Y)"),N602*BI602,
AND(L602="marginal_effect",M602="percent_of_mean"),N602*AN602/BF602/10)</f>
        <v>-0.13400000000000001</v>
      </c>
      <c r="AE602" s="50">
        <f t="shared" si="250"/>
        <v>1</v>
      </c>
      <c r="AF602" s="91">
        <f t="shared" si="251"/>
        <v>0.05</v>
      </c>
      <c r="AG602" s="91" cm="1">
        <f t="array" ref="AG602">_xlfn.IFS(
AND(L602="marginal_effect",M602="level"),O602*AN602/BF602,
AND(L602="marginal_effect",M602="sd (Y)"),O602*BI602*AN602/BF602,
AND(L602="marginal_effect",M602="sd (X)"),O602/AQ602*AN602/BF602,
AND(L602="semi_elasticity",M602="level"),O602*AN602,
AND(L602="semi_elasticity",M602="sd (Y)"),O602*AN602*BI602,
AND(L602="semi_elasticity",M602="sd (X)"),O602*AN602/AQ602,
AND(L602="level-log",M602="level"),O602/BF602,
AND(L602="level-log",M602="sd (X)"),O602/BF602/AQ602,
AND(L602="level-log",M602="sd (Y)"),O602/BF602*BI602,
AND(L602="elasticity",M602="level"),O602,
AND(L602="elasticity",M602="sd (X)"),O602/AQ602,
AND(L602="elasticity",M602="sd (Y)"),O602*BI602,
AND(L602="marginal_effect",M602="percent_of_mean"),O602*AN602/BF602/10)</f>
        <v>0.05</v>
      </c>
      <c r="AH602" s="50">
        <f t="shared" si="252"/>
        <v>1</v>
      </c>
      <c r="AI602" s="91">
        <f t="shared" si="238"/>
        <v>-0.13400000000000001</v>
      </c>
      <c r="AJ602" s="44">
        <v>0</v>
      </c>
      <c r="AK602" s="44">
        <f t="shared" si="253"/>
        <v>1</v>
      </c>
      <c r="AL602" s="44" t="s">
        <v>2176</v>
      </c>
      <c r="AM602" s="76" t="s">
        <v>1411</v>
      </c>
      <c r="AN602" s="76">
        <v>3.4020000000000001</v>
      </c>
      <c r="AO602" s="76">
        <v>1</v>
      </c>
      <c r="AP602" s="76">
        <f t="shared" si="239"/>
        <v>3.4020000000000001</v>
      </c>
      <c r="AQ602" s="76">
        <v>0.34499999999999997</v>
      </c>
      <c r="AR602" s="76">
        <v>2.2650000000000001</v>
      </c>
      <c r="AS602" s="76">
        <v>3.9079999999999999</v>
      </c>
      <c r="AT602" s="44" t="s">
        <v>107</v>
      </c>
      <c r="AU602" s="44" t="s">
        <v>109</v>
      </c>
      <c r="AV602" s="44" t="s">
        <v>133</v>
      </c>
      <c r="AW602" s="44" t="s">
        <v>134</v>
      </c>
      <c r="AX602" s="44" t="s">
        <v>110</v>
      </c>
      <c r="AY602" s="76">
        <v>365</v>
      </c>
      <c r="AZ602" s="76">
        <v>365</v>
      </c>
      <c r="BA602" s="44" t="s">
        <v>391</v>
      </c>
      <c r="BB602" s="44" t="s">
        <v>134</v>
      </c>
      <c r="BC602" s="44" t="s">
        <v>134</v>
      </c>
      <c r="BD602" s="44" t="s">
        <v>134</v>
      </c>
      <c r="BE602" s="44" t="s">
        <v>1410</v>
      </c>
      <c r="BF602" s="44">
        <v>13.933999999999999</v>
      </c>
      <c r="BG602" s="44">
        <v>1</v>
      </c>
      <c r="BH602" s="44">
        <v>0.94</v>
      </c>
      <c r="BI602" s="44">
        <v>11.708</v>
      </c>
      <c r="BJ602" s="44">
        <v>16.571999999999999</v>
      </c>
      <c r="BK602" s="44" t="s">
        <v>91</v>
      </c>
      <c r="BL602" s="44" t="s">
        <v>116</v>
      </c>
      <c r="BM602" s="44">
        <v>1</v>
      </c>
      <c r="BN602" s="44" t="s">
        <v>1407</v>
      </c>
      <c r="BO602" s="44" t="s">
        <v>312</v>
      </c>
      <c r="BP602" s="44" t="s">
        <v>312</v>
      </c>
      <c r="BQ602" s="44" t="s">
        <v>117</v>
      </c>
      <c r="BR602" s="44" t="s">
        <v>134</v>
      </c>
      <c r="BS602" s="44" t="s">
        <v>312</v>
      </c>
      <c r="BT602" s="44" t="s">
        <v>312</v>
      </c>
      <c r="BU602" s="44">
        <v>2010</v>
      </c>
      <c r="BV602" s="44">
        <v>2019</v>
      </c>
      <c r="BW602" s="44" t="s">
        <v>901</v>
      </c>
      <c r="BX602" s="44" t="s">
        <v>95</v>
      </c>
      <c r="BY602" s="44" t="s">
        <v>1418</v>
      </c>
      <c r="BZ602" s="44">
        <v>0</v>
      </c>
      <c r="CA602" s="44">
        <v>0</v>
      </c>
      <c r="CB602" s="44" t="s">
        <v>97</v>
      </c>
      <c r="CC602" s="44" t="s">
        <v>1375</v>
      </c>
      <c r="CD602" s="44">
        <v>0</v>
      </c>
      <c r="CE602" s="44" t="s">
        <v>97</v>
      </c>
      <c r="CF602" s="44">
        <v>0</v>
      </c>
      <c r="CG602" s="44" t="s">
        <v>97</v>
      </c>
      <c r="CH602" s="44">
        <v>0</v>
      </c>
      <c r="CI602" s="44" t="s">
        <v>1402</v>
      </c>
      <c r="CJ602" s="44" t="s">
        <v>98</v>
      </c>
      <c r="CK602" s="44">
        <v>32</v>
      </c>
      <c r="CL602" s="44">
        <v>0</v>
      </c>
      <c r="CM602" s="44">
        <v>0</v>
      </c>
      <c r="CN602" s="44" t="s">
        <v>99</v>
      </c>
      <c r="CO602" s="44" t="s">
        <v>946</v>
      </c>
      <c r="CP602" s="44" t="s">
        <v>100</v>
      </c>
      <c r="CQ602" s="44" t="s">
        <v>126</v>
      </c>
      <c r="CR602" s="45">
        <v>46232</v>
      </c>
      <c r="CT602" s="44" t="s">
        <v>1432</v>
      </c>
      <c r="CU602" s="44" t="s">
        <v>1419</v>
      </c>
    </row>
    <row r="603" spans="1:99" s="44" customFormat="1" x14ac:dyDescent="0.35">
      <c r="A603" s="43" t="s">
        <v>1403</v>
      </c>
      <c r="B603" s="81" t="s">
        <v>1424</v>
      </c>
      <c r="C603" s="44" t="s">
        <v>1404</v>
      </c>
      <c r="D603" s="44">
        <v>2025</v>
      </c>
      <c r="E603" s="64" t="s">
        <v>1405</v>
      </c>
      <c r="F603" s="43" t="s">
        <v>1406</v>
      </c>
      <c r="G603" s="44" t="s">
        <v>78</v>
      </c>
      <c r="H603" s="44">
        <v>1</v>
      </c>
      <c r="I603" s="44" t="s">
        <v>290</v>
      </c>
      <c r="J603" s="44" t="s">
        <v>79</v>
      </c>
      <c r="K603" s="44">
        <v>1</v>
      </c>
      <c r="L603" s="44" t="s">
        <v>80</v>
      </c>
      <c r="M603" s="44" t="s">
        <v>380</v>
      </c>
      <c r="N603" s="44">
        <f>-1.125+0.671</f>
        <v>-0.45399999999999996</v>
      </c>
      <c r="O603" s="44" t="s">
        <v>312</v>
      </c>
      <c r="P603" s="91" t="s">
        <v>312</v>
      </c>
      <c r="Q603" s="44" t="s">
        <v>312</v>
      </c>
      <c r="R603" s="91" t="s">
        <v>312</v>
      </c>
      <c r="S603" s="91" t="s">
        <v>312</v>
      </c>
      <c r="T603" s="44" t="s">
        <v>312</v>
      </c>
      <c r="U603" s="44" t="s">
        <v>312</v>
      </c>
      <c r="V603" s="44" t="s">
        <v>312</v>
      </c>
      <c r="W603" s="44" t="s">
        <v>312</v>
      </c>
      <c r="X603" s="44" t="str">
        <f t="shared" si="240"/>
        <v>NA</v>
      </c>
      <c r="Y603" s="91" t="str">
        <f t="shared" si="254"/>
        <v>NA</v>
      </c>
      <c r="Z603" s="91" t="str">
        <f t="shared" si="254"/>
        <v>NA</v>
      </c>
      <c r="AA603" s="91" t="str">
        <f t="shared" si="254"/>
        <v>NA</v>
      </c>
      <c r="AB603" s="44" t="str">
        <f t="shared" si="254"/>
        <v>NA</v>
      </c>
      <c r="AC603" s="91">
        <f t="shared" si="249"/>
        <v>-0.45399999999999996</v>
      </c>
      <c r="AD603" s="91" cm="1">
        <f t="array" ref="AD603">_xlfn.IFS(
AND(L603="marginal_effect",M603="level"),N603*AN603/BF603,
AND(L603="marginal_effect",M603="sd (Y)"),N603*BI603*AN603/BF603,
AND(L603="marginal_effect",M603="sd (X)"),N603/AQ603*AN603/BF603,
AND(L603="semi_elasticity",M603="level"),N603*AN603,
AND(L603="semi_elasticity",M603="sd (Y)"),N603*AN603*BI603,
AND(L603="semi_elasticity",M603="sd (X)"),N603*AN603/AQ603,
AND(L603="level-log",M603="level"),N603/BF603,
AND(L603="level-log",M603="sd (X)"),N603/BF603/AQ603,
AND(L603="level-log",M603="sd (Y)"),N603/BF603*BI603,
AND(L603="elasticity",M603="level"),N603,
AND(L603="elasticity",M603="sd (X)"),N603/AQ603,
AND(L603="elasticity",M603="sd (Y)"),N603*BI603,
AND(L603="marginal_effect",M603="percent_of_mean"),N603*AN603/BF603/10)</f>
        <v>-0.45399999999999996</v>
      </c>
      <c r="AE603" s="50">
        <f t="shared" si="250"/>
        <v>1</v>
      </c>
      <c r="AF603" s="91" t="str">
        <f t="shared" si="251"/>
        <v>NA</v>
      </c>
      <c r="AG603" s="91" t="str" cm="1">
        <f t="array" ref="AG603">_xlfn.IFS(
AND(L603="marginal_effect",M603="level"),O603*AN603/BF603,
AND(L603="marginal_effect",M603="sd (Y)"),O603*BI603*AN603/BF603,
AND(L603="marginal_effect",M603="sd (X)"),O603/AQ603*AN603/BF603,
AND(L603="semi_elasticity",M603="level"),O603*AN603,
AND(L603="semi_elasticity",M603="sd (Y)"),O603*AN603*BI603,
AND(L603="semi_elasticity",M603="sd (X)"),O603*AN603/AQ603,
AND(L603="level-log",M603="level"),O603/BF603,
AND(L603="level-log",M603="sd (X)"),O603/BF603/AQ603,
AND(L603="level-log",M603="sd (Y)"),O603/BF603*BI603,
AND(L603="elasticity",M603="level"),O603,
AND(L603="elasticity",M603="sd (X)"),O603/AQ603,
AND(L603="elasticity",M603="sd (Y)"),O603*BI603,
AND(L603="marginal_effect",M603="percent_of_mean"),O603*AN603/BF603/10)</f>
        <v>NA</v>
      </c>
      <c r="AH603" s="50">
        <f t="shared" si="252"/>
        <v>1</v>
      </c>
      <c r="AI603" s="91">
        <f t="shared" si="238"/>
        <v>-0.45399999999999996</v>
      </c>
      <c r="AJ603" s="44">
        <v>0</v>
      </c>
      <c r="AK603" s="44" t="e">
        <f t="shared" si="253"/>
        <v>#VALUE!</v>
      </c>
      <c r="AL603" s="44" t="s">
        <v>2176</v>
      </c>
      <c r="AM603" s="76" t="s">
        <v>1411</v>
      </c>
      <c r="AN603" s="76">
        <v>3.4020000000000001</v>
      </c>
      <c r="AO603" s="76">
        <v>1</v>
      </c>
      <c r="AP603" s="76">
        <f t="shared" si="239"/>
        <v>3.4020000000000001</v>
      </c>
      <c r="AQ603" s="76">
        <v>0.34499999999999997</v>
      </c>
      <c r="AR603" s="76">
        <v>2.2650000000000001</v>
      </c>
      <c r="AS603" s="76">
        <v>3.9079999999999999</v>
      </c>
      <c r="AT603" s="44" t="s">
        <v>107</v>
      </c>
      <c r="AU603" s="44" t="s">
        <v>109</v>
      </c>
      <c r="AV603" s="44" t="s">
        <v>133</v>
      </c>
      <c r="AW603" s="44" t="s">
        <v>134</v>
      </c>
      <c r="AX603" s="44" t="s">
        <v>110</v>
      </c>
      <c r="AY603" s="76">
        <v>365</v>
      </c>
      <c r="AZ603" s="76">
        <v>365</v>
      </c>
      <c r="BA603" s="44" t="s">
        <v>391</v>
      </c>
      <c r="BB603" s="44" t="s">
        <v>134</v>
      </c>
      <c r="BC603" s="44" t="s">
        <v>134</v>
      </c>
      <c r="BD603" s="44" t="s">
        <v>134</v>
      </c>
      <c r="BE603" s="44" t="s">
        <v>1410</v>
      </c>
      <c r="BF603" s="44">
        <v>13.933999999999999</v>
      </c>
      <c r="BG603" s="44">
        <v>1</v>
      </c>
      <c r="BH603" s="44">
        <v>0.94</v>
      </c>
      <c r="BI603" s="44">
        <v>11.708</v>
      </c>
      <c r="BJ603" s="44">
        <v>16.571999999999999</v>
      </c>
      <c r="BK603" s="44" t="s">
        <v>91</v>
      </c>
      <c r="BL603" s="44" t="s">
        <v>116</v>
      </c>
      <c r="BM603" s="44">
        <v>1</v>
      </c>
      <c r="BN603" s="44" t="s">
        <v>1407</v>
      </c>
      <c r="BO603" s="44" t="s">
        <v>312</v>
      </c>
      <c r="BP603" s="44" t="s">
        <v>312</v>
      </c>
      <c r="BQ603" s="44" t="s">
        <v>117</v>
      </c>
      <c r="BR603" s="44" t="s">
        <v>134</v>
      </c>
      <c r="BS603" s="44" t="s">
        <v>312</v>
      </c>
      <c r="BT603" s="44" t="s">
        <v>312</v>
      </c>
      <c r="BU603" s="44">
        <v>2010</v>
      </c>
      <c r="BV603" s="44">
        <v>2019</v>
      </c>
      <c r="BW603" s="44" t="s">
        <v>901</v>
      </c>
      <c r="BX603" s="44" t="s">
        <v>95</v>
      </c>
      <c r="BY603" s="44" t="s">
        <v>1418</v>
      </c>
      <c r="BZ603" s="44">
        <v>0</v>
      </c>
      <c r="CA603" s="44">
        <v>0</v>
      </c>
      <c r="CB603" s="44" t="s">
        <v>97</v>
      </c>
      <c r="CC603" s="44" t="s">
        <v>1375</v>
      </c>
      <c r="CD603" s="44">
        <v>0</v>
      </c>
      <c r="CE603" s="44" t="s">
        <v>97</v>
      </c>
      <c r="CF603" s="44">
        <v>0</v>
      </c>
      <c r="CG603" s="44" t="s">
        <v>97</v>
      </c>
      <c r="CH603" s="44">
        <v>0</v>
      </c>
      <c r="CI603" s="44" t="s">
        <v>1402</v>
      </c>
      <c r="CJ603" s="44" t="s">
        <v>98</v>
      </c>
      <c r="CK603" s="44">
        <v>32</v>
      </c>
      <c r="CL603" s="44">
        <v>0</v>
      </c>
      <c r="CM603" s="44">
        <v>0</v>
      </c>
      <c r="CN603" s="44" t="s">
        <v>99</v>
      </c>
      <c r="CO603" s="44" t="s">
        <v>946</v>
      </c>
      <c r="CP603" s="44" t="s">
        <v>100</v>
      </c>
      <c r="CQ603" s="44" t="s">
        <v>126</v>
      </c>
      <c r="CR603" s="45">
        <v>46232</v>
      </c>
      <c r="CT603" s="44" t="s">
        <v>1432</v>
      </c>
    </row>
    <row r="604" spans="1:99" s="44" customFormat="1" x14ac:dyDescent="0.35">
      <c r="A604" s="43" t="s">
        <v>1403</v>
      </c>
      <c r="B604" s="81" t="s">
        <v>1425</v>
      </c>
      <c r="C604" s="44" t="s">
        <v>1404</v>
      </c>
      <c r="D604" s="44">
        <v>2025</v>
      </c>
      <c r="E604" s="64" t="s">
        <v>1405</v>
      </c>
      <c r="F604" s="43" t="s">
        <v>1406</v>
      </c>
      <c r="G604" s="44" t="s">
        <v>78</v>
      </c>
      <c r="H604" s="44">
        <v>1</v>
      </c>
      <c r="I604" s="44" t="s">
        <v>290</v>
      </c>
      <c r="J604" s="44" t="s">
        <v>79</v>
      </c>
      <c r="K604" s="44">
        <v>1</v>
      </c>
      <c r="L604" s="44" t="s">
        <v>80</v>
      </c>
      <c r="M604" s="44" t="s">
        <v>380</v>
      </c>
      <c r="N604" s="44">
        <v>-1.125</v>
      </c>
      <c r="O604" s="44">
        <v>0.38900000000000001</v>
      </c>
      <c r="P604" s="91">
        <f>N604/O604</f>
        <v>-2.8920308483290489</v>
      </c>
      <c r="Q604" s="44" t="s">
        <v>312</v>
      </c>
      <c r="R604" s="91">
        <f>N604-1.96*O604</f>
        <v>-1.88744</v>
      </c>
      <c r="S604" s="91">
        <f>N604+1.96*O604</f>
        <v>-0.36255999999999999</v>
      </c>
      <c r="T604" s="44">
        <v>1</v>
      </c>
      <c r="U604" s="44">
        <v>11020</v>
      </c>
      <c r="V604" s="44" t="s">
        <v>312</v>
      </c>
      <c r="W604" s="44" t="s">
        <v>312</v>
      </c>
      <c r="X604" s="44">
        <f t="shared" si="240"/>
        <v>11020</v>
      </c>
      <c r="Y604" s="91">
        <f>P604/(P604^2 + X604)^(1/2)</f>
        <v>-2.7538950046510066E-2</v>
      </c>
      <c r="Z604" s="91">
        <f>((1-Y604^2)/X604)^(1/2)</f>
        <v>9.5223569494154812E-3</v>
      </c>
      <c r="AA604" s="91">
        <f>-Y604</f>
        <v>2.7538950046510066E-2</v>
      </c>
      <c r="AB604" s="44" t="s">
        <v>81</v>
      </c>
      <c r="AC604" s="91">
        <f t="shared" si="249"/>
        <v>-1.125</v>
      </c>
      <c r="AD604" s="91" cm="1">
        <f t="array" ref="AD604">_xlfn.IFS(
AND(L604="marginal_effect",M604="level"),N604*AN604/BF604,
AND(L604="marginal_effect",M604="sd (Y)"),N604*BI604*AN604/BF604,
AND(L604="marginal_effect",M604="sd (X)"),N604/AQ604*AN604/BF604,
AND(L604="semi_elasticity",M604="level"),N604*AN604,
AND(L604="semi_elasticity",M604="sd (Y)"),N604*AN604*BI604,
AND(L604="semi_elasticity",M604="sd (X)"),N604*AN604/AQ604,
AND(L604="level-log",M604="level"),N604/BF604,
AND(L604="level-log",M604="sd (X)"),N604/BF604/AQ604,
AND(L604="level-log",M604="sd (Y)"),N604/BF604*BI604,
AND(L604="elasticity",M604="level"),N604,
AND(L604="elasticity",M604="sd (X)"),N604/AQ604,
AND(L604="elasticity",M604="sd (Y)"),N604*BI604,
AND(L604="marginal_effect",M604="percent_of_mean"),N604*AN604/BF604/10)</f>
        <v>-1.125</v>
      </c>
      <c r="AE604" s="50">
        <f t="shared" si="250"/>
        <v>1</v>
      </c>
      <c r="AF604" s="91">
        <f t="shared" si="251"/>
        <v>0.38900000000000001</v>
      </c>
      <c r="AG604" s="91" cm="1">
        <f t="array" ref="AG604">_xlfn.IFS(
AND(L604="marginal_effect",M604="level"),O604*AN604/BF604,
AND(L604="marginal_effect",M604="sd (Y)"),O604*BI604*AN604/BF604,
AND(L604="marginal_effect",M604="sd (X)"),O604/AQ604*AN604/BF604,
AND(L604="semi_elasticity",M604="level"),O604*AN604,
AND(L604="semi_elasticity",M604="sd (Y)"),O604*AN604*BI604,
AND(L604="semi_elasticity",M604="sd (X)"),O604*AN604/AQ604,
AND(L604="level-log",M604="level"),O604/BF604,
AND(L604="level-log",M604="sd (X)"),O604/BF604/AQ604,
AND(L604="level-log",M604="sd (Y)"),O604/BF604*BI604,
AND(L604="elasticity",M604="level"),O604,
AND(L604="elasticity",M604="sd (X)"),O604/AQ604,
AND(L604="elasticity",M604="sd (Y)"),O604*BI604,
AND(L604="marginal_effect",M604="percent_of_mean"),O604*AN604/BF604/10)</f>
        <v>0.38900000000000001</v>
      </c>
      <c r="AH604" s="50">
        <f t="shared" si="252"/>
        <v>1</v>
      </c>
      <c r="AI604" s="91">
        <f t="shared" si="238"/>
        <v>-1.125</v>
      </c>
      <c r="AJ604" s="44">
        <v>0</v>
      </c>
      <c r="AK604" s="44">
        <f t="shared" si="253"/>
        <v>1</v>
      </c>
      <c r="AL604" s="44" t="s">
        <v>2176</v>
      </c>
      <c r="AM604" s="76" t="s">
        <v>1411</v>
      </c>
      <c r="AN604" s="76">
        <v>3.4020000000000001</v>
      </c>
      <c r="AO604" s="76">
        <v>1</v>
      </c>
      <c r="AP604" s="76">
        <f t="shared" si="239"/>
        <v>3.4020000000000001</v>
      </c>
      <c r="AQ604" s="76">
        <v>0.34499999999999997</v>
      </c>
      <c r="AR604" s="76">
        <v>2.2650000000000001</v>
      </c>
      <c r="AS604" s="76">
        <v>3.9079999999999999</v>
      </c>
      <c r="AT604" s="44" t="s">
        <v>107</v>
      </c>
      <c r="AU604" s="44" t="s">
        <v>109</v>
      </c>
      <c r="AV604" s="44" t="s">
        <v>133</v>
      </c>
      <c r="AW604" s="44" t="s">
        <v>134</v>
      </c>
      <c r="AX604" s="44" t="s">
        <v>110</v>
      </c>
      <c r="AY604" s="76">
        <v>365</v>
      </c>
      <c r="AZ604" s="76">
        <v>365</v>
      </c>
      <c r="BA604" s="44" t="s">
        <v>391</v>
      </c>
      <c r="BB604" s="44" t="s">
        <v>134</v>
      </c>
      <c r="BC604" s="44" t="s">
        <v>134</v>
      </c>
      <c r="BD604" s="44" t="s">
        <v>134</v>
      </c>
      <c r="BE604" s="44" t="s">
        <v>1410</v>
      </c>
      <c r="BF604" s="44">
        <v>13.933999999999999</v>
      </c>
      <c r="BG604" s="44">
        <v>1</v>
      </c>
      <c r="BH604" s="44">
        <v>0.94</v>
      </c>
      <c r="BI604" s="44">
        <v>11.708</v>
      </c>
      <c r="BJ604" s="44">
        <v>16.571999999999999</v>
      </c>
      <c r="BK604" s="44" t="s">
        <v>91</v>
      </c>
      <c r="BL604" s="44" t="s">
        <v>116</v>
      </c>
      <c r="BM604" s="44">
        <v>1</v>
      </c>
      <c r="BN604" s="44" t="s">
        <v>1407</v>
      </c>
      <c r="BO604" s="44" t="s">
        <v>312</v>
      </c>
      <c r="BP604" s="44" t="s">
        <v>312</v>
      </c>
      <c r="BQ604" s="44" t="s">
        <v>117</v>
      </c>
      <c r="BR604" s="44" t="s">
        <v>134</v>
      </c>
      <c r="BS604" s="44" t="s">
        <v>312</v>
      </c>
      <c r="BT604" s="44" t="s">
        <v>312</v>
      </c>
      <c r="BU604" s="44">
        <v>2010</v>
      </c>
      <c r="BV604" s="44">
        <v>2019</v>
      </c>
      <c r="BW604" s="44" t="s">
        <v>901</v>
      </c>
      <c r="BX604" s="44" t="s">
        <v>95</v>
      </c>
      <c r="BY604" s="44" t="s">
        <v>1418</v>
      </c>
      <c r="BZ604" s="44">
        <v>0</v>
      </c>
      <c r="CA604" s="44">
        <v>0</v>
      </c>
      <c r="CB604" s="44" t="s">
        <v>97</v>
      </c>
      <c r="CC604" s="44" t="s">
        <v>1375</v>
      </c>
      <c r="CD604" s="44">
        <v>0</v>
      </c>
      <c r="CE604" s="44" t="s">
        <v>97</v>
      </c>
      <c r="CF604" s="44">
        <v>0</v>
      </c>
      <c r="CG604" s="44" t="s">
        <v>97</v>
      </c>
      <c r="CH604" s="44">
        <v>0</v>
      </c>
      <c r="CI604" s="44" t="s">
        <v>1402</v>
      </c>
      <c r="CJ604" s="44" t="s">
        <v>98</v>
      </c>
      <c r="CK604" s="44">
        <v>32</v>
      </c>
      <c r="CL604" s="44">
        <v>0</v>
      </c>
      <c r="CM604" s="44">
        <v>0</v>
      </c>
      <c r="CN604" s="44" t="s">
        <v>99</v>
      </c>
      <c r="CO604" s="44" t="s">
        <v>946</v>
      </c>
      <c r="CP604" s="44" t="s">
        <v>100</v>
      </c>
      <c r="CQ604" s="44" t="s">
        <v>126</v>
      </c>
      <c r="CR604" s="45">
        <v>46232</v>
      </c>
      <c r="CT604" s="44" t="s">
        <v>1432</v>
      </c>
    </row>
    <row r="605" spans="1:99" s="44" customFormat="1" x14ac:dyDescent="0.35">
      <c r="A605" s="43" t="s">
        <v>1403</v>
      </c>
      <c r="B605" s="81" t="s">
        <v>1431</v>
      </c>
      <c r="C605" s="44" t="s">
        <v>1404</v>
      </c>
      <c r="D605" s="44">
        <v>2025</v>
      </c>
      <c r="E605" s="64" t="s">
        <v>1405</v>
      </c>
      <c r="F605" s="43" t="s">
        <v>1406</v>
      </c>
      <c r="G605" s="44" t="s">
        <v>78</v>
      </c>
      <c r="H605" s="44">
        <v>1</v>
      </c>
      <c r="I605" s="44" t="s">
        <v>290</v>
      </c>
      <c r="J605" s="44" t="s">
        <v>79</v>
      </c>
      <c r="K605" s="44">
        <v>1</v>
      </c>
      <c r="L605" s="44" t="s">
        <v>80</v>
      </c>
      <c r="M605" s="44" t="s">
        <v>380</v>
      </c>
      <c r="N605" s="44">
        <f>-1.088+0.717</f>
        <v>-0.37100000000000011</v>
      </c>
      <c r="O605" s="44" t="s">
        <v>312</v>
      </c>
      <c r="P605" s="91" t="s">
        <v>312</v>
      </c>
      <c r="Q605" s="44" t="s">
        <v>312</v>
      </c>
      <c r="R605" s="91" t="s">
        <v>312</v>
      </c>
      <c r="S605" s="91" t="s">
        <v>312</v>
      </c>
      <c r="T605" s="44" t="s">
        <v>312</v>
      </c>
      <c r="U605" s="44" t="s">
        <v>312</v>
      </c>
      <c r="V605" s="44" t="s">
        <v>312</v>
      </c>
      <c r="W605" s="44" t="s">
        <v>312</v>
      </c>
      <c r="X605" s="44" t="str">
        <f t="shared" si="240"/>
        <v>NA</v>
      </c>
      <c r="Y605" s="91" t="str">
        <f t="shared" ref="Y605:AB609" si="255">V605</f>
        <v>NA</v>
      </c>
      <c r="Z605" s="91" t="str">
        <f t="shared" si="255"/>
        <v>NA</v>
      </c>
      <c r="AA605" s="91" t="str">
        <f t="shared" si="255"/>
        <v>NA</v>
      </c>
      <c r="AB605" s="44" t="str">
        <f t="shared" si="255"/>
        <v>NA</v>
      </c>
      <c r="AC605" s="91">
        <f t="shared" si="249"/>
        <v>-0.37100000000000011</v>
      </c>
      <c r="AD605" s="91" cm="1">
        <f t="array" ref="AD605">_xlfn.IFS(
AND(L605="marginal_effect",M605="level"),N605*AN605/BF605,
AND(L605="marginal_effect",M605="sd (Y)"),N605*BI605*AN605/BF605,
AND(L605="marginal_effect",M605="sd (X)"),N605/AQ605*AN605/BF605,
AND(L605="semi_elasticity",M605="level"),N605*AN605,
AND(L605="semi_elasticity",M605="sd (Y)"),N605*AN605*BI605,
AND(L605="semi_elasticity",M605="sd (X)"),N605*AN605/AQ605,
AND(L605="level-log",M605="level"),N605/BF605,
AND(L605="level-log",M605="sd (X)"),N605/BF605/AQ605,
AND(L605="level-log",M605="sd (Y)"),N605/BF605*BI605,
AND(L605="elasticity",M605="level"),N605,
AND(L605="elasticity",M605="sd (X)"),N605/AQ605,
AND(L605="elasticity",M605="sd (Y)"),N605*BI605,
AND(L605="marginal_effect",M605="percent_of_mean"),N605*AN605/BF605/10)</f>
        <v>-0.37100000000000011</v>
      </c>
      <c r="AE605" s="50">
        <f t="shared" si="250"/>
        <v>1</v>
      </c>
      <c r="AF605" s="91" t="str">
        <f t="shared" si="251"/>
        <v>NA</v>
      </c>
      <c r="AG605" s="91" t="str" cm="1">
        <f t="array" ref="AG605">_xlfn.IFS(
AND(L605="marginal_effect",M605="level"),O605*AN605/BF605,
AND(L605="marginal_effect",M605="sd (Y)"),O605*BI605*AN605/BF605,
AND(L605="marginal_effect",M605="sd (X)"),O605/AQ605*AN605/BF605,
AND(L605="semi_elasticity",M605="level"),O605*AN605,
AND(L605="semi_elasticity",M605="sd (Y)"),O605*AN605*BI605,
AND(L605="semi_elasticity",M605="sd (X)"),O605*AN605/AQ605,
AND(L605="level-log",M605="level"),O605/BF605,
AND(L605="level-log",M605="sd (X)"),O605/BF605/AQ605,
AND(L605="level-log",M605="sd (Y)"),O605/BF605*BI605,
AND(L605="elasticity",M605="level"),O605,
AND(L605="elasticity",M605="sd (X)"),O605/AQ605,
AND(L605="elasticity",M605="sd (Y)"),O605*BI605,
AND(L605="marginal_effect",M605="percent_of_mean"),O605*AN605/BF605/10)</f>
        <v>NA</v>
      </c>
      <c r="AH605" s="50">
        <f t="shared" si="252"/>
        <v>1</v>
      </c>
      <c r="AI605" s="91">
        <f t="shared" si="238"/>
        <v>-0.37100000000000011</v>
      </c>
      <c r="AJ605" s="44">
        <v>0</v>
      </c>
      <c r="AK605" s="44" t="e">
        <f t="shared" si="253"/>
        <v>#VALUE!</v>
      </c>
      <c r="AL605" s="44" t="s">
        <v>2176</v>
      </c>
      <c r="AM605" s="76" t="s">
        <v>1411</v>
      </c>
      <c r="AN605" s="76">
        <v>3.4020000000000001</v>
      </c>
      <c r="AO605" s="76">
        <v>1</v>
      </c>
      <c r="AP605" s="76">
        <f t="shared" si="239"/>
        <v>3.4020000000000001</v>
      </c>
      <c r="AQ605" s="76">
        <v>0.34499999999999997</v>
      </c>
      <c r="AR605" s="76">
        <v>2.2650000000000001</v>
      </c>
      <c r="AS605" s="76">
        <v>3.9079999999999999</v>
      </c>
      <c r="AT605" s="44" t="s">
        <v>107</v>
      </c>
      <c r="AU605" s="44" t="s">
        <v>109</v>
      </c>
      <c r="AV605" s="44" t="s">
        <v>133</v>
      </c>
      <c r="AW605" s="44" t="s">
        <v>134</v>
      </c>
      <c r="AX605" s="44" t="s">
        <v>110</v>
      </c>
      <c r="AY605" s="76">
        <v>365</v>
      </c>
      <c r="AZ605" s="76">
        <v>365</v>
      </c>
      <c r="BA605" s="44" t="s">
        <v>391</v>
      </c>
      <c r="BB605" s="44" t="s">
        <v>134</v>
      </c>
      <c r="BC605" s="44" t="s">
        <v>134</v>
      </c>
      <c r="BD605" s="44" t="s">
        <v>134</v>
      </c>
      <c r="BE605" s="44" t="s">
        <v>1410</v>
      </c>
      <c r="BF605" s="44">
        <v>13.933999999999999</v>
      </c>
      <c r="BG605" s="44">
        <v>1</v>
      </c>
      <c r="BH605" s="44">
        <v>0.94</v>
      </c>
      <c r="BI605" s="44">
        <v>11.708</v>
      </c>
      <c r="BJ605" s="44">
        <v>16.571999999999999</v>
      </c>
      <c r="BK605" s="44" t="s">
        <v>91</v>
      </c>
      <c r="BL605" s="44" t="s">
        <v>116</v>
      </c>
      <c r="BM605" s="44">
        <v>1</v>
      </c>
      <c r="BN605" s="44" t="s">
        <v>1407</v>
      </c>
      <c r="BO605" s="44" t="s">
        <v>312</v>
      </c>
      <c r="BP605" s="44" t="s">
        <v>312</v>
      </c>
      <c r="BQ605" s="44" t="s">
        <v>117</v>
      </c>
      <c r="BR605" s="44" t="s">
        <v>134</v>
      </c>
      <c r="BS605" s="44" t="s">
        <v>312</v>
      </c>
      <c r="BT605" s="44" t="s">
        <v>312</v>
      </c>
      <c r="BU605" s="44">
        <v>2010</v>
      </c>
      <c r="BV605" s="44">
        <v>2019</v>
      </c>
      <c r="BW605" s="44" t="s">
        <v>901</v>
      </c>
      <c r="BX605" s="44" t="s">
        <v>95</v>
      </c>
      <c r="BY605" s="44" t="s">
        <v>1418</v>
      </c>
      <c r="BZ605" s="44">
        <v>0</v>
      </c>
      <c r="CA605" s="44">
        <v>0</v>
      </c>
      <c r="CB605" s="44" t="s">
        <v>97</v>
      </c>
      <c r="CC605" s="44" t="s">
        <v>1375</v>
      </c>
      <c r="CD605" s="44">
        <v>0</v>
      </c>
      <c r="CE605" s="44" t="s">
        <v>97</v>
      </c>
      <c r="CF605" s="44">
        <v>0</v>
      </c>
      <c r="CG605" s="44" t="s">
        <v>97</v>
      </c>
      <c r="CH605" s="44">
        <v>0</v>
      </c>
      <c r="CI605" s="44" t="s">
        <v>1402</v>
      </c>
      <c r="CJ605" s="44" t="s">
        <v>98</v>
      </c>
      <c r="CK605" s="44">
        <v>32</v>
      </c>
      <c r="CL605" s="44">
        <v>0</v>
      </c>
      <c r="CM605" s="44">
        <v>0</v>
      </c>
      <c r="CN605" s="44" t="s">
        <v>99</v>
      </c>
      <c r="CO605" s="44" t="s">
        <v>946</v>
      </c>
      <c r="CP605" s="44" t="s">
        <v>100</v>
      </c>
      <c r="CQ605" s="44" t="s">
        <v>126</v>
      </c>
      <c r="CR605" s="45">
        <v>46232</v>
      </c>
      <c r="CT605" s="44" t="s">
        <v>1433</v>
      </c>
    </row>
    <row r="606" spans="1:99" s="44" customFormat="1" x14ac:dyDescent="0.35">
      <c r="A606" s="43" t="s">
        <v>1403</v>
      </c>
      <c r="B606" s="81" t="s">
        <v>1426</v>
      </c>
      <c r="C606" s="44" t="s">
        <v>1404</v>
      </c>
      <c r="D606" s="44">
        <v>2025</v>
      </c>
      <c r="E606" s="64" t="s">
        <v>1405</v>
      </c>
      <c r="F606" s="43" t="s">
        <v>1406</v>
      </c>
      <c r="G606" s="44" t="s">
        <v>78</v>
      </c>
      <c r="H606" s="44">
        <v>1</v>
      </c>
      <c r="I606" s="44" t="s">
        <v>290</v>
      </c>
      <c r="J606" s="44" t="s">
        <v>79</v>
      </c>
      <c r="K606" s="44">
        <v>1</v>
      </c>
      <c r="L606" s="44" t="s">
        <v>80</v>
      </c>
      <c r="M606" s="44" t="s">
        <v>380</v>
      </c>
      <c r="N606" s="44">
        <v>-1.0880000000000001</v>
      </c>
      <c r="O606" s="44">
        <v>0.378</v>
      </c>
      <c r="P606" s="91">
        <f>N606/O606</f>
        <v>-2.8783068783068786</v>
      </c>
      <c r="Q606" s="44" t="s">
        <v>312</v>
      </c>
      <c r="R606" s="91">
        <f>N606-1.96*O606</f>
        <v>-1.8288800000000001</v>
      </c>
      <c r="S606" s="91">
        <f>N606+1.96*O606</f>
        <v>-0.3471200000000001</v>
      </c>
      <c r="T606" s="44">
        <v>1</v>
      </c>
      <c r="U606" s="44" t="s">
        <v>312</v>
      </c>
      <c r="V606" s="44" t="s">
        <v>312</v>
      </c>
      <c r="W606" s="44" t="s">
        <v>312</v>
      </c>
      <c r="X606" s="44" t="str">
        <f t="shared" si="240"/>
        <v>NA</v>
      </c>
      <c r="Y606" s="91" t="str">
        <f t="shared" si="255"/>
        <v>NA</v>
      </c>
      <c r="Z606" s="91" t="str">
        <f t="shared" si="255"/>
        <v>NA</v>
      </c>
      <c r="AA606" s="91" t="str">
        <f t="shared" si="255"/>
        <v>NA</v>
      </c>
      <c r="AB606" s="44" t="str">
        <f t="shared" si="255"/>
        <v>NA</v>
      </c>
      <c r="AC606" s="91">
        <f t="shared" si="249"/>
        <v>-1.0880000000000001</v>
      </c>
      <c r="AD606" s="91" cm="1">
        <f t="array" ref="AD606">_xlfn.IFS(
AND(L606="marginal_effect",M606="level"),N606*AN606/BF606,
AND(L606="marginal_effect",M606="sd (Y)"),N606*BI606*AN606/BF606,
AND(L606="marginal_effect",M606="sd (X)"),N606/AQ606*AN606/BF606,
AND(L606="semi_elasticity",M606="level"),N606*AN606,
AND(L606="semi_elasticity",M606="sd (Y)"),N606*AN606*BI606,
AND(L606="semi_elasticity",M606="sd (X)"),N606*AN606/AQ606,
AND(L606="level-log",M606="level"),N606/BF606,
AND(L606="level-log",M606="sd (X)"),N606/BF606/AQ606,
AND(L606="level-log",M606="sd (Y)"),N606/BF606*BI606,
AND(L606="elasticity",M606="level"),N606,
AND(L606="elasticity",M606="sd (X)"),N606/AQ606,
AND(L606="elasticity",M606="sd (Y)"),N606*BI606,
AND(L606="marginal_effect",M606="percent_of_mean"),N606*AN606/BF606/10)</f>
        <v>-1.0880000000000001</v>
      </c>
      <c r="AE606" s="50">
        <f t="shared" si="250"/>
        <v>1</v>
      </c>
      <c r="AF606" s="91">
        <f t="shared" si="251"/>
        <v>0.378</v>
      </c>
      <c r="AG606" s="91" cm="1">
        <f t="array" ref="AG606">_xlfn.IFS(
AND(L606="marginal_effect",M606="level"),O606*AN606/BF606,
AND(L606="marginal_effect",M606="sd (Y)"),O606*BI606*AN606/BF606,
AND(L606="marginal_effect",M606="sd (X)"),O606/AQ606*AN606/BF606,
AND(L606="semi_elasticity",M606="level"),O606*AN606,
AND(L606="semi_elasticity",M606="sd (Y)"),O606*AN606*BI606,
AND(L606="semi_elasticity",M606="sd (X)"),O606*AN606/AQ606,
AND(L606="level-log",M606="level"),O606/BF606,
AND(L606="level-log",M606="sd (X)"),O606/BF606/AQ606,
AND(L606="level-log",M606="sd (Y)"),O606/BF606*BI606,
AND(L606="elasticity",M606="level"),O606,
AND(L606="elasticity",M606="sd (X)"),O606/AQ606,
AND(L606="elasticity",M606="sd (Y)"),O606*BI606,
AND(L606="marginal_effect",M606="percent_of_mean"),O606*AN606/BF606/10)</f>
        <v>0.378</v>
      </c>
      <c r="AH606" s="50">
        <f t="shared" si="252"/>
        <v>1</v>
      </c>
      <c r="AI606" s="91">
        <f t="shared" si="238"/>
        <v>-1.0880000000000001</v>
      </c>
      <c r="AJ606" s="44">
        <v>0</v>
      </c>
      <c r="AK606" s="44">
        <f t="shared" si="253"/>
        <v>1</v>
      </c>
      <c r="AL606" s="44" t="s">
        <v>2176</v>
      </c>
      <c r="AM606" s="76" t="s">
        <v>1411</v>
      </c>
      <c r="AN606" s="76">
        <v>3.4020000000000001</v>
      </c>
      <c r="AO606" s="76">
        <v>1</v>
      </c>
      <c r="AP606" s="76">
        <f t="shared" si="239"/>
        <v>3.4020000000000001</v>
      </c>
      <c r="AQ606" s="76">
        <v>0.34499999999999997</v>
      </c>
      <c r="AR606" s="76">
        <v>2.2650000000000001</v>
      </c>
      <c r="AS606" s="76">
        <v>3.9079999999999999</v>
      </c>
      <c r="AT606" s="44" t="s">
        <v>107</v>
      </c>
      <c r="AU606" s="44" t="s">
        <v>109</v>
      </c>
      <c r="AV606" s="44" t="s">
        <v>133</v>
      </c>
      <c r="AW606" s="44" t="s">
        <v>134</v>
      </c>
      <c r="AX606" s="44" t="s">
        <v>110</v>
      </c>
      <c r="AY606" s="76">
        <v>365</v>
      </c>
      <c r="AZ606" s="76">
        <v>365</v>
      </c>
      <c r="BA606" s="44" t="s">
        <v>391</v>
      </c>
      <c r="BB606" s="44" t="s">
        <v>134</v>
      </c>
      <c r="BC606" s="44" t="s">
        <v>134</v>
      </c>
      <c r="BD606" s="44" t="s">
        <v>134</v>
      </c>
      <c r="BE606" s="44" t="s">
        <v>1410</v>
      </c>
      <c r="BF606" s="44">
        <v>13.933999999999999</v>
      </c>
      <c r="BG606" s="44">
        <v>1</v>
      </c>
      <c r="BH606" s="44">
        <v>0.94</v>
      </c>
      <c r="BI606" s="44">
        <v>11.708</v>
      </c>
      <c r="BJ606" s="44">
        <v>16.571999999999999</v>
      </c>
      <c r="BK606" s="44" t="s">
        <v>91</v>
      </c>
      <c r="BL606" s="44" t="s">
        <v>116</v>
      </c>
      <c r="BM606" s="44">
        <v>1</v>
      </c>
      <c r="BN606" s="44" t="s">
        <v>1407</v>
      </c>
      <c r="BO606" s="44" t="s">
        <v>312</v>
      </c>
      <c r="BP606" s="44" t="s">
        <v>312</v>
      </c>
      <c r="BQ606" s="44" t="s">
        <v>117</v>
      </c>
      <c r="BR606" s="44" t="s">
        <v>134</v>
      </c>
      <c r="BS606" s="44" t="s">
        <v>312</v>
      </c>
      <c r="BT606" s="44" t="s">
        <v>312</v>
      </c>
      <c r="BU606" s="44">
        <v>2010</v>
      </c>
      <c r="BV606" s="44">
        <v>2019</v>
      </c>
      <c r="BW606" s="44" t="s">
        <v>901</v>
      </c>
      <c r="BX606" s="44" t="s">
        <v>95</v>
      </c>
      <c r="BY606" s="44" t="s">
        <v>1418</v>
      </c>
      <c r="BZ606" s="44">
        <v>0</v>
      </c>
      <c r="CA606" s="44">
        <v>0</v>
      </c>
      <c r="CB606" s="44" t="s">
        <v>97</v>
      </c>
      <c r="CC606" s="44" t="s">
        <v>1375</v>
      </c>
      <c r="CD606" s="44">
        <v>0</v>
      </c>
      <c r="CE606" s="44" t="s">
        <v>97</v>
      </c>
      <c r="CF606" s="44">
        <v>0</v>
      </c>
      <c r="CG606" s="44" t="s">
        <v>97</v>
      </c>
      <c r="CH606" s="44">
        <v>0</v>
      </c>
      <c r="CI606" s="44" t="s">
        <v>1402</v>
      </c>
      <c r="CJ606" s="44" t="s">
        <v>98</v>
      </c>
      <c r="CK606" s="44">
        <v>32</v>
      </c>
      <c r="CL606" s="44">
        <v>0</v>
      </c>
      <c r="CM606" s="44">
        <v>0</v>
      </c>
      <c r="CN606" s="44" t="s">
        <v>99</v>
      </c>
      <c r="CO606" s="44" t="s">
        <v>946</v>
      </c>
      <c r="CP606" s="44" t="s">
        <v>100</v>
      </c>
      <c r="CQ606" s="44" t="s">
        <v>126</v>
      </c>
      <c r="CR606" s="45">
        <v>46232</v>
      </c>
      <c r="CT606" s="44" t="s">
        <v>1433</v>
      </c>
    </row>
    <row r="607" spans="1:99" s="44" customFormat="1" x14ac:dyDescent="0.35">
      <c r="A607" s="43" t="s">
        <v>1403</v>
      </c>
      <c r="B607" s="81" t="s">
        <v>1427</v>
      </c>
      <c r="C607" s="44" t="s">
        <v>1404</v>
      </c>
      <c r="D607" s="44">
        <v>2025</v>
      </c>
      <c r="E607" s="64" t="s">
        <v>1405</v>
      </c>
      <c r="F607" s="43" t="s">
        <v>1406</v>
      </c>
      <c r="G607" s="44" t="s">
        <v>78</v>
      </c>
      <c r="H607" s="44">
        <v>1</v>
      </c>
      <c r="I607" s="44" t="s">
        <v>290</v>
      </c>
      <c r="J607" s="44" t="s">
        <v>79</v>
      </c>
      <c r="K607" s="44">
        <v>1</v>
      </c>
      <c r="L607" s="44" t="s">
        <v>80</v>
      </c>
      <c r="M607" s="44" t="s">
        <v>380</v>
      </c>
      <c r="N607" s="44">
        <f>-0.135+0.11</f>
        <v>-2.5000000000000008E-2</v>
      </c>
      <c r="O607" s="44" t="s">
        <v>312</v>
      </c>
      <c r="P607" s="91" t="s">
        <v>312</v>
      </c>
      <c r="Q607" s="44" t="s">
        <v>312</v>
      </c>
      <c r="R607" s="91" t="s">
        <v>312</v>
      </c>
      <c r="S607" s="91" t="s">
        <v>312</v>
      </c>
      <c r="T607" s="44" t="s">
        <v>312</v>
      </c>
      <c r="U607" s="44" t="s">
        <v>312</v>
      </c>
      <c r="V607" s="44" t="s">
        <v>312</v>
      </c>
      <c r="W607" s="44" t="s">
        <v>312</v>
      </c>
      <c r="X607" s="44" t="str">
        <f t="shared" si="240"/>
        <v>NA</v>
      </c>
      <c r="Y607" s="91" t="str">
        <f t="shared" si="255"/>
        <v>NA</v>
      </c>
      <c r="Z607" s="91" t="str">
        <f t="shared" si="255"/>
        <v>NA</v>
      </c>
      <c r="AA607" s="91" t="str">
        <f t="shared" si="255"/>
        <v>NA</v>
      </c>
      <c r="AB607" s="44" t="str">
        <f t="shared" si="255"/>
        <v>NA</v>
      </c>
      <c r="AC607" s="91">
        <f t="shared" si="249"/>
        <v>-2.5000000000000008E-2</v>
      </c>
      <c r="AD607" s="91" cm="1">
        <f t="array" ref="AD607">_xlfn.IFS(
AND(L607="marginal_effect",M607="level"),N607*AN607/BF607,
AND(L607="marginal_effect",M607="sd (Y)"),N607*BI607*AN607/BF607,
AND(L607="marginal_effect",M607="sd (X)"),N607/AQ607*AN607/BF607,
AND(L607="semi_elasticity",M607="level"),N607*AN607,
AND(L607="semi_elasticity",M607="sd (Y)"),N607*AN607*BI607,
AND(L607="semi_elasticity",M607="sd (X)"),N607*AN607/AQ607,
AND(L607="level-log",M607="level"),N607/BF607,
AND(L607="level-log",M607="sd (X)"),N607/BF607/AQ607,
AND(L607="level-log",M607="sd (Y)"),N607/BF607*BI607,
AND(L607="elasticity",M607="level"),N607,
AND(L607="elasticity",M607="sd (X)"),N607/AQ607,
AND(L607="elasticity",M607="sd (Y)"),N607*BI607,
AND(L607="marginal_effect",M607="percent_of_mean"),N607*AN607/BF607/10)</f>
        <v>-2.5000000000000008E-2</v>
      </c>
      <c r="AE607" s="50">
        <f t="shared" si="250"/>
        <v>1</v>
      </c>
      <c r="AF607" s="91" t="str">
        <f t="shared" si="251"/>
        <v>NA</v>
      </c>
      <c r="AG607" s="91" t="str" cm="1">
        <f t="array" ref="AG607">_xlfn.IFS(
AND(L607="marginal_effect",M607="level"),O607*AN607/BF607,
AND(L607="marginal_effect",M607="sd (Y)"),O607*BI607*AN607/BF607,
AND(L607="marginal_effect",M607="sd (X)"),O607/AQ607*AN607/BF607,
AND(L607="semi_elasticity",M607="level"),O607*AN607,
AND(L607="semi_elasticity",M607="sd (Y)"),O607*AN607*BI607,
AND(L607="semi_elasticity",M607="sd (X)"),O607*AN607/AQ607,
AND(L607="level-log",M607="level"),O607/BF607,
AND(L607="level-log",M607="sd (X)"),O607/BF607/AQ607,
AND(L607="level-log",M607="sd (Y)"),O607/BF607*BI607,
AND(L607="elasticity",M607="level"),O607,
AND(L607="elasticity",M607="sd (X)"),O607/AQ607,
AND(L607="elasticity",M607="sd (Y)"),O607*BI607,
AND(L607="marginal_effect",M607="percent_of_mean"),O607*AN607/BF607/10)</f>
        <v>NA</v>
      </c>
      <c r="AH607" s="50">
        <f t="shared" si="252"/>
        <v>1</v>
      </c>
      <c r="AI607" s="91">
        <f t="shared" si="238"/>
        <v>-2.5000000000000008E-2</v>
      </c>
      <c r="AJ607" s="44">
        <v>0</v>
      </c>
      <c r="AK607" s="44" t="e">
        <f t="shared" si="253"/>
        <v>#VALUE!</v>
      </c>
      <c r="AL607" s="44" t="s">
        <v>2176</v>
      </c>
      <c r="AM607" s="76" t="s">
        <v>1411</v>
      </c>
      <c r="AN607" s="76">
        <v>3.4020000000000001</v>
      </c>
      <c r="AO607" s="76">
        <v>1</v>
      </c>
      <c r="AP607" s="76">
        <f t="shared" si="239"/>
        <v>3.4020000000000001</v>
      </c>
      <c r="AQ607" s="76">
        <v>0.34499999999999997</v>
      </c>
      <c r="AR607" s="76">
        <v>2.2650000000000001</v>
      </c>
      <c r="AS607" s="76">
        <v>3.9079999999999999</v>
      </c>
      <c r="AT607" s="44" t="s">
        <v>107</v>
      </c>
      <c r="AU607" s="44" t="s">
        <v>109</v>
      </c>
      <c r="AV607" s="44" t="s">
        <v>133</v>
      </c>
      <c r="AW607" s="44" t="s">
        <v>134</v>
      </c>
      <c r="AX607" s="44" t="s">
        <v>110</v>
      </c>
      <c r="AY607" s="76">
        <v>365</v>
      </c>
      <c r="AZ607" s="76">
        <v>365</v>
      </c>
      <c r="BA607" s="44" t="s">
        <v>391</v>
      </c>
      <c r="BB607" s="44" t="s">
        <v>134</v>
      </c>
      <c r="BC607" s="44" t="s">
        <v>134</v>
      </c>
      <c r="BD607" s="44" t="s">
        <v>134</v>
      </c>
      <c r="BE607" s="44" t="s">
        <v>1410</v>
      </c>
      <c r="BF607" s="44">
        <v>13.933999999999999</v>
      </c>
      <c r="BG607" s="44">
        <v>1</v>
      </c>
      <c r="BH607" s="44">
        <v>0.94</v>
      </c>
      <c r="BI607" s="44">
        <v>11.708</v>
      </c>
      <c r="BJ607" s="44">
        <v>16.571999999999999</v>
      </c>
      <c r="BK607" s="44" t="s">
        <v>91</v>
      </c>
      <c r="BL607" s="44" t="s">
        <v>116</v>
      </c>
      <c r="BM607" s="44">
        <v>1</v>
      </c>
      <c r="BN607" s="44" t="s">
        <v>1407</v>
      </c>
      <c r="BO607" s="44" t="s">
        <v>312</v>
      </c>
      <c r="BP607" s="44" t="s">
        <v>312</v>
      </c>
      <c r="BQ607" s="44" t="s">
        <v>117</v>
      </c>
      <c r="BR607" s="44" t="s">
        <v>134</v>
      </c>
      <c r="BS607" s="44" t="s">
        <v>312</v>
      </c>
      <c r="BT607" s="44" t="s">
        <v>312</v>
      </c>
      <c r="BU607" s="44">
        <v>2010</v>
      </c>
      <c r="BV607" s="44">
        <v>2019</v>
      </c>
      <c r="BW607" s="44" t="s">
        <v>901</v>
      </c>
      <c r="BX607" s="44" t="s">
        <v>95</v>
      </c>
      <c r="BY607" s="44" t="s">
        <v>1418</v>
      </c>
      <c r="BZ607" s="44">
        <v>0</v>
      </c>
      <c r="CA607" s="44">
        <v>0</v>
      </c>
      <c r="CB607" s="44" t="s">
        <v>97</v>
      </c>
      <c r="CC607" s="44" t="s">
        <v>1375</v>
      </c>
      <c r="CD607" s="44">
        <v>0</v>
      </c>
      <c r="CE607" s="44" t="s">
        <v>97</v>
      </c>
      <c r="CF607" s="44">
        <v>0</v>
      </c>
      <c r="CG607" s="44" t="s">
        <v>97</v>
      </c>
      <c r="CH607" s="44">
        <v>0</v>
      </c>
      <c r="CI607" s="44" t="s">
        <v>1402</v>
      </c>
      <c r="CJ607" s="44" t="s">
        <v>98</v>
      </c>
      <c r="CK607" s="44">
        <v>32</v>
      </c>
      <c r="CL607" s="44">
        <v>0</v>
      </c>
      <c r="CM607" s="44">
        <v>0</v>
      </c>
      <c r="CN607" s="44" t="s">
        <v>99</v>
      </c>
      <c r="CO607" s="44" t="s">
        <v>946</v>
      </c>
      <c r="CP607" s="44" t="s">
        <v>100</v>
      </c>
      <c r="CQ607" s="44" t="s">
        <v>126</v>
      </c>
      <c r="CR607" s="45">
        <v>46232</v>
      </c>
      <c r="CT607" s="44" t="s">
        <v>1433</v>
      </c>
      <c r="CU607" s="44" t="s">
        <v>1419</v>
      </c>
    </row>
    <row r="608" spans="1:99" s="44" customFormat="1" x14ac:dyDescent="0.35">
      <c r="A608" s="43" t="s">
        <v>1403</v>
      </c>
      <c r="B608" s="81" t="s">
        <v>1428</v>
      </c>
      <c r="C608" s="44" t="s">
        <v>1404</v>
      </c>
      <c r="D608" s="44">
        <v>2025</v>
      </c>
      <c r="E608" s="64" t="s">
        <v>1405</v>
      </c>
      <c r="F608" s="43" t="s">
        <v>1406</v>
      </c>
      <c r="G608" s="44" t="s">
        <v>78</v>
      </c>
      <c r="H608" s="44">
        <v>1</v>
      </c>
      <c r="I608" s="44" t="s">
        <v>290</v>
      </c>
      <c r="J608" s="44" t="s">
        <v>79</v>
      </c>
      <c r="K608" s="44">
        <v>1</v>
      </c>
      <c r="L608" s="44" t="s">
        <v>80</v>
      </c>
      <c r="M608" s="44" t="s">
        <v>380</v>
      </c>
      <c r="N608" s="44">
        <v>-0.13500000000000001</v>
      </c>
      <c r="O608" s="44">
        <v>4.9000000000000002E-2</v>
      </c>
      <c r="P608" s="91">
        <f>N608/O608</f>
        <v>-2.7551020408163267</v>
      </c>
      <c r="Q608" s="44" t="s">
        <v>312</v>
      </c>
      <c r="R608" s="91">
        <f>N608-1.96*O608</f>
        <v>-0.23104000000000002</v>
      </c>
      <c r="S608" s="91">
        <f>N608+1.96*O608</f>
        <v>-3.8960000000000009E-2</v>
      </c>
      <c r="T608" s="44">
        <v>1</v>
      </c>
      <c r="U608" s="44" t="s">
        <v>312</v>
      </c>
      <c r="V608" s="44" t="s">
        <v>312</v>
      </c>
      <c r="W608" s="44" t="s">
        <v>312</v>
      </c>
      <c r="X608" s="44" t="str">
        <f t="shared" si="240"/>
        <v>NA</v>
      </c>
      <c r="Y608" s="91" t="str">
        <f t="shared" si="255"/>
        <v>NA</v>
      </c>
      <c r="Z608" s="91" t="str">
        <f t="shared" si="255"/>
        <v>NA</v>
      </c>
      <c r="AA608" s="91" t="str">
        <f t="shared" si="255"/>
        <v>NA</v>
      </c>
      <c r="AB608" s="44" t="str">
        <f t="shared" si="255"/>
        <v>NA</v>
      </c>
      <c r="AC608" s="91">
        <f t="shared" si="249"/>
        <v>-0.13500000000000001</v>
      </c>
      <c r="AD608" s="91" cm="1">
        <f t="array" ref="AD608">_xlfn.IFS(
AND(L608="marginal_effect",M608="level"),N608*AN608/BF608,
AND(L608="marginal_effect",M608="sd (Y)"),N608*BI608*AN608/BF608,
AND(L608="marginal_effect",M608="sd (X)"),N608/AQ608*AN608/BF608,
AND(L608="semi_elasticity",M608="level"),N608*AN608,
AND(L608="semi_elasticity",M608="sd (Y)"),N608*AN608*BI608,
AND(L608="semi_elasticity",M608="sd (X)"),N608*AN608/AQ608,
AND(L608="level-log",M608="level"),N608/BF608,
AND(L608="level-log",M608="sd (X)"),N608/BF608/AQ608,
AND(L608="level-log",M608="sd (Y)"),N608/BF608*BI608,
AND(L608="elasticity",M608="level"),N608,
AND(L608="elasticity",M608="sd (X)"),N608/AQ608,
AND(L608="elasticity",M608="sd (Y)"),N608*BI608,
AND(L608="marginal_effect",M608="percent_of_mean"),N608*AN608/BF608/10)</f>
        <v>-0.13500000000000001</v>
      </c>
      <c r="AE608" s="50">
        <f t="shared" si="250"/>
        <v>1</v>
      </c>
      <c r="AF608" s="91">
        <f t="shared" si="251"/>
        <v>4.9000000000000002E-2</v>
      </c>
      <c r="AG608" s="91" cm="1">
        <f t="array" ref="AG608">_xlfn.IFS(
AND(L608="marginal_effect",M608="level"),O608*AN608/BF608,
AND(L608="marginal_effect",M608="sd (Y)"),O608*BI608*AN608/BF608,
AND(L608="marginal_effect",M608="sd (X)"),O608/AQ608*AN608/BF608,
AND(L608="semi_elasticity",M608="level"),O608*AN608,
AND(L608="semi_elasticity",M608="sd (Y)"),O608*AN608*BI608,
AND(L608="semi_elasticity",M608="sd (X)"),O608*AN608/AQ608,
AND(L608="level-log",M608="level"),O608/BF608,
AND(L608="level-log",M608="sd (X)"),O608/BF608/AQ608,
AND(L608="level-log",M608="sd (Y)"),O608/BF608*BI608,
AND(L608="elasticity",M608="level"),O608,
AND(L608="elasticity",M608="sd (X)"),O608/AQ608,
AND(L608="elasticity",M608="sd (Y)"),O608*BI608,
AND(L608="marginal_effect",M608="percent_of_mean"),O608*AN608/BF608/10)</f>
        <v>4.9000000000000002E-2</v>
      </c>
      <c r="AH608" s="50">
        <f t="shared" si="252"/>
        <v>1</v>
      </c>
      <c r="AI608" s="91">
        <f t="shared" si="238"/>
        <v>-0.13500000000000001</v>
      </c>
      <c r="AJ608" s="44">
        <v>0</v>
      </c>
      <c r="AK608" s="44">
        <f t="shared" si="253"/>
        <v>1</v>
      </c>
      <c r="AL608" s="44" t="s">
        <v>2176</v>
      </c>
      <c r="AM608" s="76" t="s">
        <v>1411</v>
      </c>
      <c r="AN608" s="76">
        <v>3.4020000000000001</v>
      </c>
      <c r="AO608" s="76">
        <v>1</v>
      </c>
      <c r="AP608" s="76">
        <f t="shared" si="239"/>
        <v>3.4020000000000001</v>
      </c>
      <c r="AQ608" s="76">
        <v>0.34499999999999997</v>
      </c>
      <c r="AR608" s="76">
        <v>2.2650000000000001</v>
      </c>
      <c r="AS608" s="76">
        <v>3.9079999999999999</v>
      </c>
      <c r="AT608" s="44" t="s">
        <v>107</v>
      </c>
      <c r="AU608" s="44" t="s">
        <v>109</v>
      </c>
      <c r="AV608" s="44" t="s">
        <v>133</v>
      </c>
      <c r="AW608" s="44" t="s">
        <v>134</v>
      </c>
      <c r="AX608" s="44" t="s">
        <v>110</v>
      </c>
      <c r="AY608" s="76">
        <v>365</v>
      </c>
      <c r="AZ608" s="76">
        <v>365</v>
      </c>
      <c r="BA608" s="44" t="s">
        <v>391</v>
      </c>
      <c r="BB608" s="44" t="s">
        <v>134</v>
      </c>
      <c r="BC608" s="44" t="s">
        <v>134</v>
      </c>
      <c r="BD608" s="44" t="s">
        <v>134</v>
      </c>
      <c r="BE608" s="44" t="s">
        <v>1410</v>
      </c>
      <c r="BF608" s="44">
        <v>13.933999999999999</v>
      </c>
      <c r="BG608" s="44">
        <v>1</v>
      </c>
      <c r="BH608" s="44">
        <v>0.94</v>
      </c>
      <c r="BI608" s="44">
        <v>11.708</v>
      </c>
      <c r="BJ608" s="44">
        <v>16.571999999999999</v>
      </c>
      <c r="BK608" s="44" t="s">
        <v>91</v>
      </c>
      <c r="BL608" s="44" t="s">
        <v>116</v>
      </c>
      <c r="BM608" s="44">
        <v>1</v>
      </c>
      <c r="BN608" s="44" t="s">
        <v>1407</v>
      </c>
      <c r="BO608" s="44" t="s">
        <v>312</v>
      </c>
      <c r="BP608" s="44" t="s">
        <v>312</v>
      </c>
      <c r="BQ608" s="44" t="s">
        <v>117</v>
      </c>
      <c r="BR608" s="44" t="s">
        <v>134</v>
      </c>
      <c r="BS608" s="44" t="s">
        <v>312</v>
      </c>
      <c r="BT608" s="44" t="s">
        <v>312</v>
      </c>
      <c r="BU608" s="44">
        <v>2010</v>
      </c>
      <c r="BV608" s="44">
        <v>2019</v>
      </c>
      <c r="BW608" s="44" t="s">
        <v>901</v>
      </c>
      <c r="BX608" s="44" t="s">
        <v>95</v>
      </c>
      <c r="BY608" s="44" t="s">
        <v>1418</v>
      </c>
      <c r="BZ608" s="44">
        <v>0</v>
      </c>
      <c r="CA608" s="44">
        <v>0</v>
      </c>
      <c r="CB608" s="44" t="s">
        <v>97</v>
      </c>
      <c r="CC608" s="44" t="s">
        <v>1375</v>
      </c>
      <c r="CD608" s="44">
        <v>0</v>
      </c>
      <c r="CE608" s="44" t="s">
        <v>97</v>
      </c>
      <c r="CF608" s="44">
        <v>0</v>
      </c>
      <c r="CG608" s="44" t="s">
        <v>97</v>
      </c>
      <c r="CH608" s="44">
        <v>0</v>
      </c>
      <c r="CI608" s="44" t="s">
        <v>1402</v>
      </c>
      <c r="CJ608" s="44" t="s">
        <v>98</v>
      </c>
      <c r="CK608" s="44">
        <v>32</v>
      </c>
      <c r="CL608" s="44">
        <v>0</v>
      </c>
      <c r="CM608" s="44">
        <v>0</v>
      </c>
      <c r="CN608" s="44" t="s">
        <v>99</v>
      </c>
      <c r="CO608" s="44" t="s">
        <v>946</v>
      </c>
      <c r="CP608" s="44" t="s">
        <v>100</v>
      </c>
      <c r="CQ608" s="44" t="s">
        <v>126</v>
      </c>
      <c r="CR608" s="45">
        <v>46232</v>
      </c>
      <c r="CT608" s="44" t="s">
        <v>1433</v>
      </c>
      <c r="CU608" s="44" t="s">
        <v>1419</v>
      </c>
    </row>
    <row r="609" spans="1:99" s="44" customFormat="1" x14ac:dyDescent="0.35">
      <c r="A609" s="43" t="s">
        <v>1403</v>
      </c>
      <c r="B609" s="81" t="s">
        <v>1429</v>
      </c>
      <c r="C609" s="44" t="s">
        <v>1404</v>
      </c>
      <c r="D609" s="44">
        <v>2025</v>
      </c>
      <c r="E609" s="64" t="s">
        <v>1405</v>
      </c>
      <c r="F609" s="43" t="s">
        <v>1406</v>
      </c>
      <c r="G609" s="44" t="s">
        <v>78</v>
      </c>
      <c r="H609" s="44">
        <v>1</v>
      </c>
      <c r="I609" s="44" t="s">
        <v>290</v>
      </c>
      <c r="J609" s="44" t="s">
        <v>79</v>
      </c>
      <c r="K609" s="44">
        <v>1</v>
      </c>
      <c r="L609" s="44" t="s">
        <v>80</v>
      </c>
      <c r="M609" s="44" t="s">
        <v>380</v>
      </c>
      <c r="N609" s="44">
        <f>-1.223+0.827</f>
        <v>-0.39600000000000013</v>
      </c>
      <c r="O609" s="44" t="s">
        <v>312</v>
      </c>
      <c r="P609" s="91" t="s">
        <v>312</v>
      </c>
      <c r="Q609" s="44" t="s">
        <v>312</v>
      </c>
      <c r="R609" s="91" t="s">
        <v>312</v>
      </c>
      <c r="S609" s="91" t="s">
        <v>312</v>
      </c>
      <c r="T609" s="44" t="s">
        <v>312</v>
      </c>
      <c r="U609" s="44" t="s">
        <v>312</v>
      </c>
      <c r="V609" s="44" t="s">
        <v>312</v>
      </c>
      <c r="W609" s="44" t="s">
        <v>312</v>
      </c>
      <c r="X609" s="44" t="str">
        <f t="shared" si="240"/>
        <v>NA</v>
      </c>
      <c r="Y609" s="91" t="str">
        <f t="shared" si="255"/>
        <v>NA</v>
      </c>
      <c r="Z609" s="91" t="str">
        <f t="shared" si="255"/>
        <v>NA</v>
      </c>
      <c r="AA609" s="91" t="str">
        <f t="shared" si="255"/>
        <v>NA</v>
      </c>
      <c r="AB609" s="44" t="str">
        <f t="shared" si="255"/>
        <v>NA</v>
      </c>
      <c r="AC609" s="91">
        <f t="shared" si="249"/>
        <v>-0.39600000000000013</v>
      </c>
      <c r="AD609" s="91" cm="1">
        <f t="array" ref="AD609">_xlfn.IFS(
AND(L609="marginal_effect",M609="level"),N609*AN609/BF609,
AND(L609="marginal_effect",M609="sd (Y)"),N609*BI609*AN609/BF609,
AND(L609="marginal_effect",M609="sd (X)"),N609/AQ609*AN609/BF609,
AND(L609="semi_elasticity",M609="level"),N609*AN609,
AND(L609="semi_elasticity",M609="sd (Y)"),N609*AN609*BI609,
AND(L609="semi_elasticity",M609="sd (X)"),N609*AN609/AQ609,
AND(L609="level-log",M609="level"),N609/BF609,
AND(L609="level-log",M609="sd (X)"),N609/BF609/AQ609,
AND(L609="level-log",M609="sd (Y)"),N609/BF609*BI609,
AND(L609="elasticity",M609="level"),N609,
AND(L609="elasticity",M609="sd (X)"),N609/AQ609,
AND(L609="elasticity",M609="sd (Y)"),N609*BI609,
AND(L609="marginal_effect",M609="percent_of_mean"),N609*AN609/BF609/10)</f>
        <v>-0.39600000000000013</v>
      </c>
      <c r="AE609" s="50">
        <f t="shared" si="250"/>
        <v>1</v>
      </c>
      <c r="AF609" s="91" t="str">
        <f t="shared" si="251"/>
        <v>NA</v>
      </c>
      <c r="AG609" s="91" t="str" cm="1">
        <f t="array" ref="AG609">_xlfn.IFS(
AND(L609="marginal_effect",M609="level"),O609*AN609/BF609,
AND(L609="marginal_effect",M609="sd (Y)"),O609*BI609*AN609/BF609,
AND(L609="marginal_effect",M609="sd (X)"),O609/AQ609*AN609/BF609,
AND(L609="semi_elasticity",M609="level"),O609*AN609,
AND(L609="semi_elasticity",M609="sd (Y)"),O609*AN609*BI609,
AND(L609="semi_elasticity",M609="sd (X)"),O609*AN609/AQ609,
AND(L609="level-log",M609="level"),O609/BF609,
AND(L609="level-log",M609="sd (X)"),O609/BF609/AQ609,
AND(L609="level-log",M609="sd (Y)"),O609/BF609*BI609,
AND(L609="elasticity",M609="level"),O609,
AND(L609="elasticity",M609="sd (X)"),O609/AQ609,
AND(L609="elasticity",M609="sd (Y)"),O609*BI609,
AND(L609="marginal_effect",M609="percent_of_mean"),O609*AN609/BF609/10)</f>
        <v>NA</v>
      </c>
      <c r="AH609" s="50">
        <f t="shared" si="252"/>
        <v>1</v>
      </c>
      <c r="AI609" s="91">
        <f t="shared" si="238"/>
        <v>-0.39600000000000013</v>
      </c>
      <c r="AJ609" s="44">
        <v>0</v>
      </c>
      <c r="AK609" s="44" t="e">
        <f t="shared" si="253"/>
        <v>#VALUE!</v>
      </c>
      <c r="AL609" s="44" t="s">
        <v>2176</v>
      </c>
      <c r="AM609" s="76" t="s">
        <v>1411</v>
      </c>
      <c r="AN609" s="76">
        <v>3.4020000000000001</v>
      </c>
      <c r="AO609" s="76">
        <v>1</v>
      </c>
      <c r="AP609" s="76">
        <f t="shared" si="239"/>
        <v>3.4020000000000001</v>
      </c>
      <c r="AQ609" s="76">
        <v>0.34499999999999997</v>
      </c>
      <c r="AR609" s="76">
        <v>2.2650000000000001</v>
      </c>
      <c r="AS609" s="76">
        <v>3.9079999999999999</v>
      </c>
      <c r="AT609" s="44" t="s">
        <v>107</v>
      </c>
      <c r="AU609" s="44" t="s">
        <v>109</v>
      </c>
      <c r="AV609" s="44" t="s">
        <v>133</v>
      </c>
      <c r="AW609" s="44" t="s">
        <v>134</v>
      </c>
      <c r="AX609" s="44" t="s">
        <v>110</v>
      </c>
      <c r="AY609" s="76">
        <v>365</v>
      </c>
      <c r="AZ609" s="76">
        <v>365</v>
      </c>
      <c r="BA609" s="44" t="s">
        <v>391</v>
      </c>
      <c r="BB609" s="44" t="s">
        <v>134</v>
      </c>
      <c r="BC609" s="44" t="s">
        <v>134</v>
      </c>
      <c r="BD609" s="44" t="s">
        <v>134</v>
      </c>
      <c r="BE609" s="44" t="s">
        <v>1410</v>
      </c>
      <c r="BF609" s="44">
        <v>13.933999999999999</v>
      </c>
      <c r="BG609" s="44">
        <v>1</v>
      </c>
      <c r="BH609" s="44">
        <v>0.94</v>
      </c>
      <c r="BI609" s="44">
        <v>11.708</v>
      </c>
      <c r="BJ609" s="44">
        <v>16.571999999999999</v>
      </c>
      <c r="BK609" s="44" t="s">
        <v>91</v>
      </c>
      <c r="BL609" s="44" t="s">
        <v>116</v>
      </c>
      <c r="BM609" s="44">
        <v>1</v>
      </c>
      <c r="BN609" s="44" t="s">
        <v>1407</v>
      </c>
      <c r="BO609" s="44" t="s">
        <v>312</v>
      </c>
      <c r="BP609" s="44" t="s">
        <v>312</v>
      </c>
      <c r="BQ609" s="44" t="s">
        <v>117</v>
      </c>
      <c r="BR609" s="44" t="s">
        <v>134</v>
      </c>
      <c r="BS609" s="44" t="s">
        <v>312</v>
      </c>
      <c r="BT609" s="44" t="s">
        <v>312</v>
      </c>
      <c r="BU609" s="44">
        <v>2010</v>
      </c>
      <c r="BV609" s="44">
        <v>2019</v>
      </c>
      <c r="BW609" s="44" t="s">
        <v>901</v>
      </c>
      <c r="BX609" s="44" t="s">
        <v>95</v>
      </c>
      <c r="BY609" s="44" t="s">
        <v>1418</v>
      </c>
      <c r="BZ609" s="44">
        <v>0</v>
      </c>
      <c r="CA609" s="44">
        <v>0</v>
      </c>
      <c r="CB609" s="44" t="s">
        <v>97</v>
      </c>
      <c r="CC609" s="44" t="s">
        <v>1375</v>
      </c>
      <c r="CD609" s="44">
        <v>0</v>
      </c>
      <c r="CE609" s="44" t="s">
        <v>97</v>
      </c>
      <c r="CF609" s="44">
        <v>0</v>
      </c>
      <c r="CG609" s="44" t="s">
        <v>97</v>
      </c>
      <c r="CH609" s="44">
        <v>0</v>
      </c>
      <c r="CI609" s="44" t="s">
        <v>1402</v>
      </c>
      <c r="CJ609" s="44" t="s">
        <v>98</v>
      </c>
      <c r="CK609" s="44">
        <v>32</v>
      </c>
      <c r="CL609" s="44">
        <v>0</v>
      </c>
      <c r="CM609" s="44">
        <v>0</v>
      </c>
      <c r="CN609" s="44" t="s">
        <v>99</v>
      </c>
      <c r="CO609" s="44" t="s">
        <v>946</v>
      </c>
      <c r="CP609" s="44" t="s">
        <v>100</v>
      </c>
      <c r="CQ609" s="44" t="s">
        <v>126</v>
      </c>
      <c r="CR609" s="45">
        <v>46232</v>
      </c>
      <c r="CT609" s="44" t="s">
        <v>1433</v>
      </c>
    </row>
    <row r="610" spans="1:99" s="44" customFormat="1" x14ac:dyDescent="0.35">
      <c r="A610" s="43" t="s">
        <v>1403</v>
      </c>
      <c r="B610" s="81" t="s">
        <v>1430</v>
      </c>
      <c r="C610" s="44" t="s">
        <v>1404</v>
      </c>
      <c r="D610" s="44">
        <v>2025</v>
      </c>
      <c r="E610" s="64" t="s">
        <v>1405</v>
      </c>
      <c r="F610" s="43" t="s">
        <v>1406</v>
      </c>
      <c r="G610" s="44" t="s">
        <v>78</v>
      </c>
      <c r="H610" s="44">
        <v>1</v>
      </c>
      <c r="I610" s="44" t="s">
        <v>290</v>
      </c>
      <c r="J610" s="44" t="s">
        <v>79</v>
      </c>
      <c r="K610" s="44">
        <v>1</v>
      </c>
      <c r="L610" s="44" t="s">
        <v>80</v>
      </c>
      <c r="M610" s="44" t="s">
        <v>380</v>
      </c>
      <c r="N610" s="44">
        <v>-1.2230000000000001</v>
      </c>
      <c r="O610" s="44">
        <v>0.38100000000000001</v>
      </c>
      <c r="P610" s="91">
        <f>N610/O610</f>
        <v>-3.2099737532808401</v>
      </c>
      <c r="Q610" s="44" t="s">
        <v>312</v>
      </c>
      <c r="R610" s="91">
        <f>N610-1.96*O610</f>
        <v>-1.96976</v>
      </c>
      <c r="S610" s="91">
        <f>N610+1.96*O610</f>
        <v>-0.47624000000000011</v>
      </c>
      <c r="T610" s="44">
        <v>1</v>
      </c>
      <c r="U610" s="44">
        <v>11020</v>
      </c>
      <c r="V610" s="44" t="s">
        <v>312</v>
      </c>
      <c r="W610" s="44" t="s">
        <v>312</v>
      </c>
      <c r="X610" s="44">
        <f t="shared" si="240"/>
        <v>11020</v>
      </c>
      <c r="Y610" s="91">
        <f>P610/(P610^2 + X610)^(1/2)</f>
        <v>-3.0563827629620639E-2</v>
      </c>
      <c r="Z610" s="91">
        <f>((1-Y610^2)/X610)^(1/2)</f>
        <v>9.5215194823266257E-3</v>
      </c>
      <c r="AA610" s="91">
        <f>-Y610</f>
        <v>3.0563827629620639E-2</v>
      </c>
      <c r="AB610" s="44" t="s">
        <v>81</v>
      </c>
      <c r="AC610" s="91">
        <f t="shared" si="249"/>
        <v>-1.2230000000000001</v>
      </c>
      <c r="AD610" s="91" cm="1">
        <f t="array" ref="AD610">_xlfn.IFS(
AND(L610="marginal_effect",M610="level"),N610*AN610/BF610,
AND(L610="marginal_effect",M610="sd (Y)"),N610*BI610*AN610/BF610,
AND(L610="marginal_effect",M610="sd (X)"),N610/AQ610*AN610/BF610,
AND(L610="semi_elasticity",M610="level"),N610*AN610,
AND(L610="semi_elasticity",M610="sd (Y)"),N610*AN610*BI610,
AND(L610="semi_elasticity",M610="sd (X)"),N610*AN610/AQ610,
AND(L610="level-log",M610="level"),N610/BF610,
AND(L610="level-log",M610="sd (X)"),N610/BF610/AQ610,
AND(L610="level-log",M610="sd (Y)"),N610/BF610*BI610,
AND(L610="elasticity",M610="level"),N610,
AND(L610="elasticity",M610="sd (X)"),N610/AQ610,
AND(L610="elasticity",M610="sd (Y)"),N610*BI610,
AND(L610="marginal_effect",M610="percent_of_mean"),N610*AN610/BF610/10)</f>
        <v>-1.2230000000000001</v>
      </c>
      <c r="AE610" s="50">
        <f t="shared" si="250"/>
        <v>1</v>
      </c>
      <c r="AF610" s="91">
        <f t="shared" si="251"/>
        <v>0.38100000000000001</v>
      </c>
      <c r="AG610" s="91" cm="1">
        <f t="array" ref="AG610">_xlfn.IFS(
AND(L610="marginal_effect",M610="level"),O610*AN610/BF610,
AND(L610="marginal_effect",M610="sd (Y)"),O610*BI610*AN610/BF610,
AND(L610="marginal_effect",M610="sd (X)"),O610/AQ610*AN610/BF610,
AND(L610="semi_elasticity",M610="level"),O610*AN610,
AND(L610="semi_elasticity",M610="sd (Y)"),O610*AN610*BI610,
AND(L610="semi_elasticity",M610="sd (X)"),O610*AN610/AQ610,
AND(L610="level-log",M610="level"),O610/BF610,
AND(L610="level-log",M610="sd (X)"),O610/BF610/AQ610,
AND(L610="level-log",M610="sd (Y)"),O610/BF610*BI610,
AND(L610="elasticity",M610="level"),O610,
AND(L610="elasticity",M610="sd (X)"),O610/AQ610,
AND(L610="elasticity",M610="sd (Y)"),O610*BI610,
AND(L610="marginal_effect",M610="percent_of_mean"),O610*AN610/BF610/10)</f>
        <v>0.38100000000000001</v>
      </c>
      <c r="AH610" s="50">
        <f t="shared" si="252"/>
        <v>1</v>
      </c>
      <c r="AI610" s="91">
        <f t="shared" si="238"/>
        <v>-1.2230000000000001</v>
      </c>
      <c r="AJ610" s="44">
        <v>0</v>
      </c>
      <c r="AK610" s="44">
        <f t="shared" si="253"/>
        <v>1</v>
      </c>
      <c r="AL610" s="44" t="s">
        <v>2176</v>
      </c>
      <c r="AM610" s="76" t="s">
        <v>1411</v>
      </c>
      <c r="AN610" s="76">
        <v>3.4020000000000001</v>
      </c>
      <c r="AO610" s="76">
        <v>1</v>
      </c>
      <c r="AP610" s="76">
        <f t="shared" si="239"/>
        <v>3.4020000000000001</v>
      </c>
      <c r="AQ610" s="76">
        <v>0.34499999999999997</v>
      </c>
      <c r="AR610" s="76">
        <v>2.2650000000000001</v>
      </c>
      <c r="AS610" s="76">
        <v>3.9079999999999999</v>
      </c>
      <c r="AT610" s="44" t="s">
        <v>107</v>
      </c>
      <c r="AU610" s="44" t="s">
        <v>109</v>
      </c>
      <c r="AV610" s="44" t="s">
        <v>133</v>
      </c>
      <c r="AW610" s="44" t="s">
        <v>134</v>
      </c>
      <c r="AX610" s="44" t="s">
        <v>110</v>
      </c>
      <c r="AY610" s="76">
        <v>365</v>
      </c>
      <c r="AZ610" s="76">
        <v>365</v>
      </c>
      <c r="BA610" s="44" t="s">
        <v>391</v>
      </c>
      <c r="BB610" s="44" t="s">
        <v>134</v>
      </c>
      <c r="BC610" s="44" t="s">
        <v>134</v>
      </c>
      <c r="BD610" s="44" t="s">
        <v>134</v>
      </c>
      <c r="BE610" s="44" t="s">
        <v>1410</v>
      </c>
      <c r="BF610" s="44">
        <v>13.933999999999999</v>
      </c>
      <c r="BG610" s="44">
        <v>1</v>
      </c>
      <c r="BH610" s="44">
        <v>0.94</v>
      </c>
      <c r="BI610" s="44">
        <v>11.708</v>
      </c>
      <c r="BJ610" s="44">
        <v>16.571999999999999</v>
      </c>
      <c r="BK610" s="44" t="s">
        <v>91</v>
      </c>
      <c r="BL610" s="44" t="s">
        <v>116</v>
      </c>
      <c r="BM610" s="44">
        <v>1</v>
      </c>
      <c r="BN610" s="44" t="s">
        <v>1407</v>
      </c>
      <c r="BO610" s="44" t="s">
        <v>312</v>
      </c>
      <c r="BP610" s="44" t="s">
        <v>312</v>
      </c>
      <c r="BQ610" s="44" t="s">
        <v>117</v>
      </c>
      <c r="BR610" s="44" t="s">
        <v>134</v>
      </c>
      <c r="BS610" s="44" t="s">
        <v>312</v>
      </c>
      <c r="BT610" s="44" t="s">
        <v>312</v>
      </c>
      <c r="BU610" s="44">
        <v>2010</v>
      </c>
      <c r="BV610" s="44">
        <v>2019</v>
      </c>
      <c r="BW610" s="44" t="s">
        <v>901</v>
      </c>
      <c r="BX610" s="44" t="s">
        <v>95</v>
      </c>
      <c r="BY610" s="44" t="s">
        <v>1418</v>
      </c>
      <c r="BZ610" s="44">
        <v>0</v>
      </c>
      <c r="CA610" s="44">
        <v>0</v>
      </c>
      <c r="CB610" s="44" t="s">
        <v>97</v>
      </c>
      <c r="CC610" s="44" t="s">
        <v>1375</v>
      </c>
      <c r="CD610" s="44">
        <v>0</v>
      </c>
      <c r="CE610" s="44" t="s">
        <v>97</v>
      </c>
      <c r="CF610" s="44">
        <v>0</v>
      </c>
      <c r="CG610" s="44" t="s">
        <v>97</v>
      </c>
      <c r="CH610" s="44">
        <v>0</v>
      </c>
      <c r="CI610" s="44" t="s">
        <v>1402</v>
      </c>
      <c r="CJ610" s="44" t="s">
        <v>98</v>
      </c>
      <c r="CK610" s="44">
        <v>32</v>
      </c>
      <c r="CL610" s="44">
        <v>0</v>
      </c>
      <c r="CM610" s="44">
        <v>0</v>
      </c>
      <c r="CN610" s="44" t="s">
        <v>99</v>
      </c>
      <c r="CO610" s="44" t="s">
        <v>946</v>
      </c>
      <c r="CP610" s="44" t="s">
        <v>100</v>
      </c>
      <c r="CQ610" s="44" t="s">
        <v>126</v>
      </c>
      <c r="CR610" s="45">
        <v>46232</v>
      </c>
      <c r="CT610" s="44" t="s">
        <v>1433</v>
      </c>
    </row>
    <row r="611" spans="1:99" s="44" customFormat="1" x14ac:dyDescent="0.35">
      <c r="A611" s="43" t="s">
        <v>1403</v>
      </c>
      <c r="B611" s="81" t="s">
        <v>1440</v>
      </c>
      <c r="C611" s="44" t="s">
        <v>1404</v>
      </c>
      <c r="D611" s="44">
        <v>2025</v>
      </c>
      <c r="E611" s="64" t="s">
        <v>1405</v>
      </c>
      <c r="F611" s="43" t="s">
        <v>1406</v>
      </c>
      <c r="G611" s="44" t="s">
        <v>78</v>
      </c>
      <c r="H611" s="44">
        <v>1</v>
      </c>
      <c r="I611" s="44" t="s">
        <v>290</v>
      </c>
      <c r="J611" s="44" t="s">
        <v>79</v>
      </c>
      <c r="K611" s="44">
        <v>1</v>
      </c>
      <c r="L611" s="44" t="s">
        <v>80</v>
      </c>
      <c r="M611" s="44" t="s">
        <v>380</v>
      </c>
      <c r="N611" s="44">
        <f>-0.961+0.52</f>
        <v>-0.44099999999999995</v>
      </c>
      <c r="O611" s="44" t="s">
        <v>312</v>
      </c>
      <c r="P611" s="91" t="s">
        <v>312</v>
      </c>
      <c r="Q611" s="44" t="s">
        <v>312</v>
      </c>
      <c r="R611" s="91" t="s">
        <v>312</v>
      </c>
      <c r="S611" s="91" t="s">
        <v>312</v>
      </c>
      <c r="T611" s="44" t="s">
        <v>312</v>
      </c>
      <c r="U611" s="44" t="s">
        <v>312</v>
      </c>
      <c r="V611" s="44" t="s">
        <v>312</v>
      </c>
      <c r="W611" s="44" t="s">
        <v>312</v>
      </c>
      <c r="X611" s="44" t="str">
        <f t="shared" si="240"/>
        <v>NA</v>
      </c>
      <c r="Y611" s="91" t="str">
        <f t="shared" ref="Y611:AB615" si="256">V611</f>
        <v>NA</v>
      </c>
      <c r="Z611" s="91" t="str">
        <f t="shared" si="256"/>
        <v>NA</v>
      </c>
      <c r="AA611" s="91" t="str">
        <f t="shared" si="256"/>
        <v>NA</v>
      </c>
      <c r="AB611" s="44" t="str">
        <f t="shared" si="256"/>
        <v>NA</v>
      </c>
      <c r="AC611" s="91">
        <f t="shared" si="249"/>
        <v>-0.44099999999999995</v>
      </c>
      <c r="AD611" s="91" cm="1">
        <f t="array" ref="AD611">_xlfn.IFS(
AND(L611="marginal_effect",M611="level"),N611*AN611/BF611,
AND(L611="marginal_effect",M611="sd (Y)"),N611*BI611*AN611/BF611,
AND(L611="marginal_effect",M611="sd (X)"),N611/AQ611*AN611/BF611,
AND(L611="semi_elasticity",M611="level"),N611*AN611,
AND(L611="semi_elasticity",M611="sd (Y)"),N611*AN611*BI611,
AND(L611="semi_elasticity",M611="sd (X)"),N611*AN611/AQ611,
AND(L611="level-log",M611="level"),N611/BF611,
AND(L611="level-log",M611="sd (X)"),N611/BF611/AQ611,
AND(L611="level-log",M611="sd (Y)"),N611/BF611*BI611,
AND(L611="elasticity",M611="level"),N611,
AND(L611="elasticity",M611="sd (X)"),N611/AQ611,
AND(L611="elasticity",M611="sd (Y)"),N611*BI611,
AND(L611="marginal_effect",M611="percent_of_mean"),N611*AN611/BF611/10)</f>
        <v>-0.44099999999999995</v>
      </c>
      <c r="AE611" s="50">
        <f t="shared" si="250"/>
        <v>1</v>
      </c>
      <c r="AF611" s="91" t="str">
        <f t="shared" si="251"/>
        <v>NA</v>
      </c>
      <c r="AG611" s="91" t="str" cm="1">
        <f t="array" ref="AG611">_xlfn.IFS(
AND(L611="marginal_effect",M611="level"),O611*AN611/BF611,
AND(L611="marginal_effect",M611="sd (Y)"),O611*BI611*AN611/BF611,
AND(L611="marginal_effect",M611="sd (X)"),O611/AQ611*AN611/BF611,
AND(L611="semi_elasticity",M611="level"),O611*AN611,
AND(L611="semi_elasticity",M611="sd (Y)"),O611*AN611*BI611,
AND(L611="semi_elasticity",M611="sd (X)"),O611*AN611/AQ611,
AND(L611="level-log",M611="level"),O611/BF611,
AND(L611="level-log",M611="sd (X)"),O611/BF611/AQ611,
AND(L611="level-log",M611="sd (Y)"),O611/BF611*BI611,
AND(L611="elasticity",M611="level"),O611,
AND(L611="elasticity",M611="sd (X)"),O611/AQ611,
AND(L611="elasticity",M611="sd (Y)"),O611*BI611,
AND(L611="marginal_effect",M611="percent_of_mean"),O611*AN611/BF611/10)</f>
        <v>NA</v>
      </c>
      <c r="AH611" s="50">
        <f t="shared" si="252"/>
        <v>1</v>
      </c>
      <c r="AI611" s="91">
        <f t="shared" si="238"/>
        <v>-0.44099999999999995</v>
      </c>
      <c r="AJ611" s="44">
        <v>0</v>
      </c>
      <c r="AK611" s="44" t="e">
        <f t="shared" si="253"/>
        <v>#VALUE!</v>
      </c>
      <c r="AL611" s="44" t="s">
        <v>2176</v>
      </c>
      <c r="AM611" s="76" t="s">
        <v>1411</v>
      </c>
      <c r="AN611" s="76">
        <v>3.4020000000000001</v>
      </c>
      <c r="AO611" s="76">
        <v>1</v>
      </c>
      <c r="AP611" s="76">
        <f t="shared" si="239"/>
        <v>3.4020000000000001</v>
      </c>
      <c r="AQ611" s="76">
        <v>0.34499999999999997</v>
      </c>
      <c r="AR611" s="76">
        <v>2.2650000000000001</v>
      </c>
      <c r="AS611" s="76">
        <v>3.9079999999999999</v>
      </c>
      <c r="AT611" s="44" t="s">
        <v>107</v>
      </c>
      <c r="AU611" s="44" t="s">
        <v>109</v>
      </c>
      <c r="AV611" s="44" t="s">
        <v>133</v>
      </c>
      <c r="AW611" s="44" t="s">
        <v>134</v>
      </c>
      <c r="AX611" s="44" t="s">
        <v>110</v>
      </c>
      <c r="AY611" s="76">
        <v>365</v>
      </c>
      <c r="AZ611" s="76">
        <v>365</v>
      </c>
      <c r="BA611" s="44" t="s">
        <v>391</v>
      </c>
      <c r="BB611" s="44" t="s">
        <v>134</v>
      </c>
      <c r="BC611" s="44" t="s">
        <v>134</v>
      </c>
      <c r="BD611" s="44" t="s">
        <v>134</v>
      </c>
      <c r="BE611" s="44" t="s">
        <v>1410</v>
      </c>
      <c r="BF611" s="44">
        <v>13.933999999999999</v>
      </c>
      <c r="BG611" s="44">
        <v>1</v>
      </c>
      <c r="BH611" s="44">
        <v>0.94</v>
      </c>
      <c r="BI611" s="44">
        <v>11.708</v>
      </c>
      <c r="BJ611" s="44">
        <v>16.571999999999999</v>
      </c>
      <c r="BK611" s="44" t="s">
        <v>91</v>
      </c>
      <c r="BL611" s="44" t="s">
        <v>116</v>
      </c>
      <c r="BM611" s="44">
        <v>1</v>
      </c>
      <c r="BN611" s="44" t="s">
        <v>1407</v>
      </c>
      <c r="BO611" s="44" t="s">
        <v>312</v>
      </c>
      <c r="BP611" s="44" t="s">
        <v>312</v>
      </c>
      <c r="BQ611" s="44" t="s">
        <v>117</v>
      </c>
      <c r="BR611" s="44" t="s">
        <v>134</v>
      </c>
      <c r="BS611" s="44" t="s">
        <v>312</v>
      </c>
      <c r="BT611" s="44" t="s">
        <v>312</v>
      </c>
      <c r="BU611" s="44">
        <v>2010</v>
      </c>
      <c r="BV611" s="44">
        <v>2019</v>
      </c>
      <c r="BW611" s="44" t="s">
        <v>901</v>
      </c>
      <c r="BX611" s="44" t="s">
        <v>95</v>
      </c>
      <c r="BY611" s="44" t="s">
        <v>1418</v>
      </c>
      <c r="BZ611" s="44">
        <v>0</v>
      </c>
      <c r="CA611" s="44">
        <v>0</v>
      </c>
      <c r="CB611" s="44" t="s">
        <v>97</v>
      </c>
      <c r="CC611" s="44" t="s">
        <v>1375</v>
      </c>
      <c r="CD611" s="44">
        <v>0</v>
      </c>
      <c r="CE611" s="44" t="s">
        <v>97</v>
      </c>
      <c r="CF611" s="44">
        <v>0</v>
      </c>
      <c r="CG611" s="44" t="s">
        <v>97</v>
      </c>
      <c r="CH611" s="44">
        <v>0</v>
      </c>
      <c r="CI611" s="44" t="s">
        <v>1402</v>
      </c>
      <c r="CJ611" s="44" t="s">
        <v>98</v>
      </c>
      <c r="CK611" s="44">
        <v>32</v>
      </c>
      <c r="CL611" s="44">
        <v>0</v>
      </c>
      <c r="CM611" s="44">
        <v>0</v>
      </c>
      <c r="CN611" s="44" t="s">
        <v>99</v>
      </c>
      <c r="CO611" s="44" t="s">
        <v>1446</v>
      </c>
      <c r="CP611" s="44" t="s">
        <v>100</v>
      </c>
      <c r="CQ611" s="44" t="s">
        <v>126</v>
      </c>
      <c r="CR611" s="45">
        <v>46232</v>
      </c>
      <c r="CT611" s="44" t="s">
        <v>1447</v>
      </c>
    </row>
    <row r="612" spans="1:99" s="44" customFormat="1" x14ac:dyDescent="0.35">
      <c r="A612" s="43" t="s">
        <v>1403</v>
      </c>
      <c r="B612" s="81" t="s">
        <v>1441</v>
      </c>
      <c r="C612" s="44" t="s">
        <v>1404</v>
      </c>
      <c r="D612" s="44">
        <v>2025</v>
      </c>
      <c r="E612" s="64" t="s">
        <v>1405</v>
      </c>
      <c r="F612" s="43" t="s">
        <v>1406</v>
      </c>
      <c r="G612" s="44" t="s">
        <v>78</v>
      </c>
      <c r="H612" s="44">
        <v>1</v>
      </c>
      <c r="I612" s="44" t="s">
        <v>290</v>
      </c>
      <c r="J612" s="44" t="s">
        <v>79</v>
      </c>
      <c r="K612" s="44">
        <v>1</v>
      </c>
      <c r="L612" s="44" t="s">
        <v>80</v>
      </c>
      <c r="M612" s="44" t="s">
        <v>380</v>
      </c>
      <c r="N612" s="44">
        <v>-0.96099999999999997</v>
      </c>
      <c r="O612" s="44">
        <v>0.36099999999999999</v>
      </c>
      <c r="P612" s="91">
        <f>N612/O612</f>
        <v>-2.662049861495845</v>
      </c>
      <c r="Q612" s="44" t="s">
        <v>312</v>
      </c>
      <c r="R612" s="91">
        <f>N612-1.96*O612</f>
        <v>-1.6685599999999998</v>
      </c>
      <c r="S612" s="91">
        <f>N612+1.96*O612</f>
        <v>-0.25344</v>
      </c>
      <c r="T612" s="44">
        <v>1</v>
      </c>
      <c r="U612" s="44" t="s">
        <v>312</v>
      </c>
      <c r="V612" s="44" t="s">
        <v>312</v>
      </c>
      <c r="W612" s="44" t="s">
        <v>312</v>
      </c>
      <c r="X612" s="44" t="str">
        <f t="shared" si="240"/>
        <v>NA</v>
      </c>
      <c r="Y612" s="91" t="str">
        <f t="shared" si="256"/>
        <v>NA</v>
      </c>
      <c r="Z612" s="91" t="str">
        <f t="shared" si="256"/>
        <v>NA</v>
      </c>
      <c r="AA612" s="91" t="str">
        <f t="shared" si="256"/>
        <v>NA</v>
      </c>
      <c r="AB612" s="44" t="str">
        <f t="shared" si="256"/>
        <v>NA</v>
      </c>
      <c r="AC612" s="91">
        <f t="shared" si="249"/>
        <v>-0.96099999999999997</v>
      </c>
      <c r="AD612" s="91" cm="1">
        <f t="array" ref="AD612">_xlfn.IFS(
AND(L612="marginal_effect",M612="level"),N612*AN612/BF612,
AND(L612="marginal_effect",M612="sd (Y)"),N612*BI612*AN612/BF612,
AND(L612="marginal_effect",M612="sd (X)"),N612/AQ612*AN612/BF612,
AND(L612="semi_elasticity",M612="level"),N612*AN612,
AND(L612="semi_elasticity",M612="sd (Y)"),N612*AN612*BI612,
AND(L612="semi_elasticity",M612="sd (X)"),N612*AN612/AQ612,
AND(L612="level-log",M612="level"),N612/BF612,
AND(L612="level-log",M612="sd (X)"),N612/BF612/AQ612,
AND(L612="level-log",M612="sd (Y)"),N612/BF612*BI612,
AND(L612="elasticity",M612="level"),N612,
AND(L612="elasticity",M612="sd (X)"),N612/AQ612,
AND(L612="elasticity",M612="sd (Y)"),N612*BI612,
AND(L612="marginal_effect",M612="percent_of_mean"),N612*AN612/BF612/10)</f>
        <v>-0.96099999999999997</v>
      </c>
      <c r="AE612" s="50">
        <f t="shared" si="250"/>
        <v>1</v>
      </c>
      <c r="AF612" s="91">
        <f t="shared" si="251"/>
        <v>0.36099999999999999</v>
      </c>
      <c r="AG612" s="91" cm="1">
        <f t="array" ref="AG612">_xlfn.IFS(
AND(L612="marginal_effect",M612="level"),O612*AN612/BF612,
AND(L612="marginal_effect",M612="sd (Y)"),O612*BI612*AN612/BF612,
AND(L612="marginal_effect",M612="sd (X)"),O612/AQ612*AN612/BF612,
AND(L612="semi_elasticity",M612="level"),O612*AN612,
AND(L612="semi_elasticity",M612="sd (Y)"),O612*AN612*BI612,
AND(L612="semi_elasticity",M612="sd (X)"),O612*AN612/AQ612,
AND(L612="level-log",M612="level"),O612/BF612,
AND(L612="level-log",M612="sd (X)"),O612/BF612/AQ612,
AND(L612="level-log",M612="sd (Y)"),O612/BF612*BI612,
AND(L612="elasticity",M612="level"),O612,
AND(L612="elasticity",M612="sd (X)"),O612/AQ612,
AND(L612="elasticity",M612="sd (Y)"),O612*BI612,
AND(L612="marginal_effect",M612="percent_of_mean"),O612*AN612/BF612/10)</f>
        <v>0.36099999999999999</v>
      </c>
      <c r="AH612" s="50">
        <f t="shared" si="252"/>
        <v>1</v>
      </c>
      <c r="AI612" s="91">
        <f t="shared" si="238"/>
        <v>-0.96099999999999997</v>
      </c>
      <c r="AJ612" s="44">
        <v>0</v>
      </c>
      <c r="AK612" s="44">
        <f t="shared" si="253"/>
        <v>1</v>
      </c>
      <c r="AL612" s="44" t="s">
        <v>2176</v>
      </c>
      <c r="AM612" s="76" t="s">
        <v>1411</v>
      </c>
      <c r="AN612" s="76">
        <v>3.4020000000000001</v>
      </c>
      <c r="AO612" s="76">
        <v>1</v>
      </c>
      <c r="AP612" s="76">
        <f t="shared" si="239"/>
        <v>3.4020000000000001</v>
      </c>
      <c r="AQ612" s="76">
        <v>0.34499999999999997</v>
      </c>
      <c r="AR612" s="76">
        <v>2.2650000000000001</v>
      </c>
      <c r="AS612" s="76">
        <v>3.9079999999999999</v>
      </c>
      <c r="AT612" s="44" t="s">
        <v>107</v>
      </c>
      <c r="AU612" s="44" t="s">
        <v>109</v>
      </c>
      <c r="AV612" s="44" t="s">
        <v>133</v>
      </c>
      <c r="AW612" s="44" t="s">
        <v>134</v>
      </c>
      <c r="AX612" s="44" t="s">
        <v>110</v>
      </c>
      <c r="AY612" s="76">
        <v>365</v>
      </c>
      <c r="AZ612" s="76">
        <v>365</v>
      </c>
      <c r="BA612" s="44" t="s">
        <v>391</v>
      </c>
      <c r="BB612" s="44" t="s">
        <v>134</v>
      </c>
      <c r="BC612" s="44" t="s">
        <v>134</v>
      </c>
      <c r="BD612" s="44" t="s">
        <v>134</v>
      </c>
      <c r="BE612" s="44" t="s">
        <v>1410</v>
      </c>
      <c r="BF612" s="44">
        <v>13.933999999999999</v>
      </c>
      <c r="BG612" s="44">
        <v>1</v>
      </c>
      <c r="BH612" s="44">
        <v>0.94</v>
      </c>
      <c r="BI612" s="44">
        <v>11.708</v>
      </c>
      <c r="BJ612" s="44">
        <v>16.571999999999999</v>
      </c>
      <c r="BK612" s="44" t="s">
        <v>91</v>
      </c>
      <c r="BL612" s="44" t="s">
        <v>116</v>
      </c>
      <c r="BM612" s="44">
        <v>1</v>
      </c>
      <c r="BN612" s="44" t="s">
        <v>1407</v>
      </c>
      <c r="BO612" s="44" t="s">
        <v>312</v>
      </c>
      <c r="BP612" s="44" t="s">
        <v>312</v>
      </c>
      <c r="BQ612" s="44" t="s">
        <v>117</v>
      </c>
      <c r="BR612" s="44" t="s">
        <v>134</v>
      </c>
      <c r="BS612" s="44" t="s">
        <v>312</v>
      </c>
      <c r="BT612" s="44" t="s">
        <v>312</v>
      </c>
      <c r="BU612" s="44">
        <v>2010</v>
      </c>
      <c r="BV612" s="44">
        <v>2019</v>
      </c>
      <c r="BW612" s="44" t="s">
        <v>901</v>
      </c>
      <c r="BX612" s="44" t="s">
        <v>95</v>
      </c>
      <c r="BY612" s="44" t="s">
        <v>1418</v>
      </c>
      <c r="BZ612" s="44">
        <v>0</v>
      </c>
      <c r="CA612" s="44">
        <v>0</v>
      </c>
      <c r="CB612" s="44" t="s">
        <v>97</v>
      </c>
      <c r="CC612" s="44" t="s">
        <v>1375</v>
      </c>
      <c r="CD612" s="44">
        <v>0</v>
      </c>
      <c r="CE612" s="44" t="s">
        <v>97</v>
      </c>
      <c r="CF612" s="44">
        <v>0</v>
      </c>
      <c r="CG612" s="44" t="s">
        <v>97</v>
      </c>
      <c r="CH612" s="44">
        <v>0</v>
      </c>
      <c r="CI612" s="44" t="s">
        <v>1402</v>
      </c>
      <c r="CJ612" s="44" t="s">
        <v>98</v>
      </c>
      <c r="CK612" s="44">
        <v>32</v>
      </c>
      <c r="CL612" s="44">
        <v>0</v>
      </c>
      <c r="CM612" s="44">
        <v>0</v>
      </c>
      <c r="CN612" s="44" t="s">
        <v>99</v>
      </c>
      <c r="CO612" s="44" t="s">
        <v>1446</v>
      </c>
      <c r="CP612" s="44" t="s">
        <v>100</v>
      </c>
      <c r="CQ612" s="44" t="s">
        <v>126</v>
      </c>
      <c r="CR612" s="45">
        <v>46232</v>
      </c>
      <c r="CT612" s="44" t="s">
        <v>1447</v>
      </c>
    </row>
    <row r="613" spans="1:99" s="44" customFormat="1" x14ac:dyDescent="0.35">
      <c r="A613" s="43" t="s">
        <v>1403</v>
      </c>
      <c r="B613" s="81" t="s">
        <v>1442</v>
      </c>
      <c r="C613" s="44" t="s">
        <v>1404</v>
      </c>
      <c r="D613" s="44">
        <v>2025</v>
      </c>
      <c r="E613" s="64" t="s">
        <v>1405</v>
      </c>
      <c r="F613" s="43" t="s">
        <v>1406</v>
      </c>
      <c r="G613" s="44" t="s">
        <v>78</v>
      </c>
      <c r="H613" s="44">
        <v>1</v>
      </c>
      <c r="I613" s="44" t="s">
        <v>290</v>
      </c>
      <c r="J613" s="44" t="s">
        <v>79</v>
      </c>
      <c r="K613" s="44">
        <v>1</v>
      </c>
      <c r="L613" s="44" t="s">
        <v>80</v>
      </c>
      <c r="M613" s="44" t="s">
        <v>380</v>
      </c>
      <c r="N613" s="44">
        <f>-0.135+0.184</f>
        <v>4.8999999999999988E-2</v>
      </c>
      <c r="O613" s="44" t="s">
        <v>312</v>
      </c>
      <c r="P613" s="91" t="s">
        <v>312</v>
      </c>
      <c r="Q613" s="44" t="s">
        <v>312</v>
      </c>
      <c r="R613" s="91" t="s">
        <v>312</v>
      </c>
      <c r="S613" s="91" t="s">
        <v>312</v>
      </c>
      <c r="T613" s="44" t="s">
        <v>312</v>
      </c>
      <c r="U613" s="44" t="s">
        <v>312</v>
      </c>
      <c r="V613" s="44" t="s">
        <v>312</v>
      </c>
      <c r="W613" s="44" t="s">
        <v>312</v>
      </c>
      <c r="X613" s="44" t="str">
        <f t="shared" si="240"/>
        <v>NA</v>
      </c>
      <c r="Y613" s="91" t="str">
        <f t="shared" si="256"/>
        <v>NA</v>
      </c>
      <c r="Z613" s="91" t="str">
        <f t="shared" si="256"/>
        <v>NA</v>
      </c>
      <c r="AA613" s="91" t="str">
        <f t="shared" si="256"/>
        <v>NA</v>
      </c>
      <c r="AB613" s="44" t="str">
        <f t="shared" si="256"/>
        <v>NA</v>
      </c>
      <c r="AC613" s="91">
        <f t="shared" si="249"/>
        <v>4.8999999999999988E-2</v>
      </c>
      <c r="AD613" s="91" cm="1">
        <f t="array" ref="AD613">_xlfn.IFS(
AND(L613="marginal_effect",M613="level"),N613*AN613/BF613,
AND(L613="marginal_effect",M613="sd (Y)"),N613*BI613*AN613/BF613,
AND(L613="marginal_effect",M613="sd (X)"),N613/AQ613*AN613/BF613,
AND(L613="semi_elasticity",M613="level"),N613*AN613,
AND(L613="semi_elasticity",M613="sd (Y)"),N613*AN613*BI613,
AND(L613="semi_elasticity",M613="sd (X)"),N613*AN613/AQ613,
AND(L613="level-log",M613="level"),N613/BF613,
AND(L613="level-log",M613="sd (X)"),N613/BF613/AQ613,
AND(L613="level-log",M613="sd (Y)"),N613/BF613*BI613,
AND(L613="elasticity",M613="level"),N613,
AND(L613="elasticity",M613="sd (X)"),N613/AQ613,
AND(L613="elasticity",M613="sd (Y)"),N613*BI613,
AND(L613="marginal_effect",M613="percent_of_mean"),N613*AN613/BF613/10)</f>
        <v>4.8999999999999988E-2</v>
      </c>
      <c r="AE613" s="50">
        <f t="shared" si="250"/>
        <v>1</v>
      </c>
      <c r="AF613" s="91" t="str">
        <f t="shared" si="251"/>
        <v>NA</v>
      </c>
      <c r="AG613" s="91" t="str" cm="1">
        <f t="array" ref="AG613">_xlfn.IFS(
AND(L613="marginal_effect",M613="level"),O613*AN613/BF613,
AND(L613="marginal_effect",M613="sd (Y)"),O613*BI613*AN613/BF613,
AND(L613="marginal_effect",M613="sd (X)"),O613/AQ613*AN613/BF613,
AND(L613="semi_elasticity",M613="level"),O613*AN613,
AND(L613="semi_elasticity",M613="sd (Y)"),O613*AN613*BI613,
AND(L613="semi_elasticity",M613="sd (X)"),O613*AN613/AQ613,
AND(L613="level-log",M613="level"),O613/BF613,
AND(L613="level-log",M613="sd (X)"),O613/BF613/AQ613,
AND(L613="level-log",M613="sd (Y)"),O613/BF613*BI613,
AND(L613="elasticity",M613="level"),O613,
AND(L613="elasticity",M613="sd (X)"),O613/AQ613,
AND(L613="elasticity",M613="sd (Y)"),O613*BI613,
AND(L613="marginal_effect",M613="percent_of_mean"),O613*AN613/BF613/10)</f>
        <v>NA</v>
      </c>
      <c r="AH613" s="50">
        <f t="shared" si="252"/>
        <v>1</v>
      </c>
      <c r="AI613" s="91">
        <f t="shared" si="238"/>
        <v>4.8999999999999988E-2</v>
      </c>
      <c r="AJ613" s="44">
        <v>0</v>
      </c>
      <c r="AK613" s="44" t="e">
        <f t="shared" si="253"/>
        <v>#VALUE!</v>
      </c>
      <c r="AL613" s="44" t="s">
        <v>2176</v>
      </c>
      <c r="AM613" s="76" t="s">
        <v>1411</v>
      </c>
      <c r="AN613" s="76">
        <v>3.4020000000000001</v>
      </c>
      <c r="AO613" s="76">
        <v>1</v>
      </c>
      <c r="AP613" s="76">
        <f t="shared" si="239"/>
        <v>3.4020000000000001</v>
      </c>
      <c r="AQ613" s="76">
        <v>0.34499999999999997</v>
      </c>
      <c r="AR613" s="76">
        <v>2.2650000000000001</v>
      </c>
      <c r="AS613" s="76">
        <v>3.9079999999999999</v>
      </c>
      <c r="AT613" s="44" t="s">
        <v>107</v>
      </c>
      <c r="AU613" s="44" t="s">
        <v>109</v>
      </c>
      <c r="AV613" s="44" t="s">
        <v>133</v>
      </c>
      <c r="AW613" s="44" t="s">
        <v>134</v>
      </c>
      <c r="AX613" s="44" t="s">
        <v>110</v>
      </c>
      <c r="AY613" s="76">
        <v>365</v>
      </c>
      <c r="AZ613" s="76">
        <v>365</v>
      </c>
      <c r="BA613" s="44" t="s">
        <v>391</v>
      </c>
      <c r="BB613" s="44" t="s">
        <v>134</v>
      </c>
      <c r="BC613" s="44" t="s">
        <v>134</v>
      </c>
      <c r="BD613" s="44" t="s">
        <v>134</v>
      </c>
      <c r="BE613" s="44" t="s">
        <v>1410</v>
      </c>
      <c r="BF613" s="44">
        <v>13.933999999999999</v>
      </c>
      <c r="BG613" s="44">
        <v>1</v>
      </c>
      <c r="BH613" s="44">
        <v>0.94</v>
      </c>
      <c r="BI613" s="44">
        <v>11.708</v>
      </c>
      <c r="BJ613" s="44">
        <v>16.571999999999999</v>
      </c>
      <c r="BK613" s="44" t="s">
        <v>91</v>
      </c>
      <c r="BL613" s="44" t="s">
        <v>116</v>
      </c>
      <c r="BM613" s="44">
        <v>1</v>
      </c>
      <c r="BN613" s="44" t="s">
        <v>1407</v>
      </c>
      <c r="BO613" s="44" t="s">
        <v>312</v>
      </c>
      <c r="BP613" s="44" t="s">
        <v>312</v>
      </c>
      <c r="BQ613" s="44" t="s">
        <v>117</v>
      </c>
      <c r="BR613" s="44" t="s">
        <v>134</v>
      </c>
      <c r="BS613" s="44" t="s">
        <v>312</v>
      </c>
      <c r="BT613" s="44" t="s">
        <v>312</v>
      </c>
      <c r="BU613" s="44">
        <v>2010</v>
      </c>
      <c r="BV613" s="44">
        <v>2019</v>
      </c>
      <c r="BW613" s="44" t="s">
        <v>901</v>
      </c>
      <c r="BX613" s="44" t="s">
        <v>95</v>
      </c>
      <c r="BY613" s="44" t="s">
        <v>1418</v>
      </c>
      <c r="BZ613" s="44">
        <v>0</v>
      </c>
      <c r="CA613" s="44">
        <v>0</v>
      </c>
      <c r="CB613" s="44" t="s">
        <v>97</v>
      </c>
      <c r="CC613" s="44" t="s">
        <v>1375</v>
      </c>
      <c r="CD613" s="44">
        <v>0</v>
      </c>
      <c r="CE613" s="44" t="s">
        <v>97</v>
      </c>
      <c r="CF613" s="44">
        <v>0</v>
      </c>
      <c r="CG613" s="44" t="s">
        <v>97</v>
      </c>
      <c r="CH613" s="44">
        <v>0</v>
      </c>
      <c r="CI613" s="44" t="s">
        <v>1402</v>
      </c>
      <c r="CJ613" s="44" t="s">
        <v>98</v>
      </c>
      <c r="CK613" s="44">
        <v>32</v>
      </c>
      <c r="CL613" s="44">
        <v>0</v>
      </c>
      <c r="CM613" s="44">
        <v>0</v>
      </c>
      <c r="CN613" s="44" t="s">
        <v>99</v>
      </c>
      <c r="CO613" s="44" t="s">
        <v>1446</v>
      </c>
      <c r="CP613" s="44" t="s">
        <v>100</v>
      </c>
      <c r="CQ613" s="44" t="s">
        <v>126</v>
      </c>
      <c r="CR613" s="45">
        <v>46232</v>
      </c>
      <c r="CT613" s="44" t="s">
        <v>1447</v>
      </c>
      <c r="CU613" s="44" t="s">
        <v>1419</v>
      </c>
    </row>
    <row r="614" spans="1:99" s="44" customFormat="1" x14ac:dyDescent="0.35">
      <c r="A614" s="43" t="s">
        <v>1403</v>
      </c>
      <c r="B614" s="81" t="s">
        <v>1443</v>
      </c>
      <c r="C614" s="44" t="s">
        <v>1404</v>
      </c>
      <c r="D614" s="44">
        <v>2025</v>
      </c>
      <c r="E614" s="64" t="s">
        <v>1405</v>
      </c>
      <c r="F614" s="43" t="s">
        <v>1406</v>
      </c>
      <c r="G614" s="44" t="s">
        <v>78</v>
      </c>
      <c r="H614" s="44">
        <v>1</v>
      </c>
      <c r="I614" s="44" t="s">
        <v>290</v>
      </c>
      <c r="J614" s="44" t="s">
        <v>79</v>
      </c>
      <c r="K614" s="44">
        <v>1</v>
      </c>
      <c r="L614" s="44" t="s">
        <v>80</v>
      </c>
      <c r="M614" s="44" t="s">
        <v>380</v>
      </c>
      <c r="N614" s="44">
        <v>-0.13500000000000001</v>
      </c>
      <c r="O614" s="44">
        <v>4.4999999999999998E-2</v>
      </c>
      <c r="P614" s="91">
        <f>N614/O614</f>
        <v>-3.0000000000000004</v>
      </c>
      <c r="Q614" s="44" t="s">
        <v>312</v>
      </c>
      <c r="R614" s="91">
        <f>N614-1.96*O614</f>
        <v>-0.22320000000000001</v>
      </c>
      <c r="S614" s="91">
        <f>N614+1.96*O614</f>
        <v>-4.6800000000000008E-2</v>
      </c>
      <c r="T614" s="44">
        <v>1</v>
      </c>
      <c r="U614" s="44" t="s">
        <v>312</v>
      </c>
      <c r="V614" s="44" t="s">
        <v>312</v>
      </c>
      <c r="W614" s="44" t="s">
        <v>312</v>
      </c>
      <c r="X614" s="44" t="str">
        <f t="shared" si="240"/>
        <v>NA</v>
      </c>
      <c r="Y614" s="91" t="str">
        <f t="shared" si="256"/>
        <v>NA</v>
      </c>
      <c r="Z614" s="91" t="str">
        <f t="shared" si="256"/>
        <v>NA</v>
      </c>
      <c r="AA614" s="91" t="str">
        <f t="shared" si="256"/>
        <v>NA</v>
      </c>
      <c r="AB614" s="44" t="str">
        <f t="shared" si="256"/>
        <v>NA</v>
      </c>
      <c r="AC614" s="91">
        <f t="shared" si="249"/>
        <v>-0.13500000000000001</v>
      </c>
      <c r="AD614" s="91" cm="1">
        <f t="array" ref="AD614">_xlfn.IFS(
AND(L614="marginal_effect",M614="level"),N614*AN614/BF614,
AND(L614="marginal_effect",M614="sd (Y)"),N614*BI614*AN614/BF614,
AND(L614="marginal_effect",M614="sd (X)"),N614/AQ614*AN614/BF614,
AND(L614="semi_elasticity",M614="level"),N614*AN614,
AND(L614="semi_elasticity",M614="sd (Y)"),N614*AN614*BI614,
AND(L614="semi_elasticity",M614="sd (X)"),N614*AN614/AQ614,
AND(L614="level-log",M614="level"),N614/BF614,
AND(L614="level-log",M614="sd (X)"),N614/BF614/AQ614,
AND(L614="level-log",M614="sd (Y)"),N614/BF614*BI614,
AND(L614="elasticity",M614="level"),N614,
AND(L614="elasticity",M614="sd (X)"),N614/AQ614,
AND(L614="elasticity",M614="sd (Y)"),N614*BI614,
AND(L614="marginal_effect",M614="percent_of_mean"),N614*AN614/BF614/10)</f>
        <v>-0.13500000000000001</v>
      </c>
      <c r="AE614" s="50">
        <f t="shared" si="250"/>
        <v>1</v>
      </c>
      <c r="AF614" s="91">
        <f t="shared" si="251"/>
        <v>4.4999999999999998E-2</v>
      </c>
      <c r="AG614" s="91" cm="1">
        <f t="array" ref="AG614">_xlfn.IFS(
AND(L614="marginal_effect",M614="level"),O614*AN614/BF614,
AND(L614="marginal_effect",M614="sd (Y)"),O614*BI614*AN614/BF614,
AND(L614="marginal_effect",M614="sd (X)"),O614/AQ614*AN614/BF614,
AND(L614="semi_elasticity",M614="level"),O614*AN614,
AND(L614="semi_elasticity",M614="sd (Y)"),O614*AN614*BI614,
AND(L614="semi_elasticity",M614="sd (X)"),O614*AN614/AQ614,
AND(L614="level-log",M614="level"),O614/BF614,
AND(L614="level-log",M614="sd (X)"),O614/BF614/AQ614,
AND(L614="level-log",M614="sd (Y)"),O614/BF614*BI614,
AND(L614="elasticity",M614="level"),O614,
AND(L614="elasticity",M614="sd (X)"),O614/AQ614,
AND(L614="elasticity",M614="sd (Y)"),O614*BI614,
AND(L614="marginal_effect",M614="percent_of_mean"),O614*AN614/BF614/10)</f>
        <v>4.4999999999999998E-2</v>
      </c>
      <c r="AH614" s="50">
        <f t="shared" si="252"/>
        <v>1</v>
      </c>
      <c r="AI614" s="91">
        <f t="shared" ref="AI614:AI645" si="257">AC614</f>
        <v>-0.13500000000000001</v>
      </c>
      <c r="AJ614" s="44">
        <v>0</v>
      </c>
      <c r="AK614" s="44">
        <f t="shared" si="253"/>
        <v>1</v>
      </c>
      <c r="AL614" s="44" t="s">
        <v>2176</v>
      </c>
      <c r="AM614" s="76" t="s">
        <v>1411</v>
      </c>
      <c r="AN614" s="76">
        <v>3.4020000000000001</v>
      </c>
      <c r="AO614" s="76">
        <v>1</v>
      </c>
      <c r="AP614" s="76">
        <f t="shared" si="239"/>
        <v>3.4020000000000001</v>
      </c>
      <c r="AQ614" s="76">
        <v>0.34499999999999997</v>
      </c>
      <c r="AR614" s="76">
        <v>2.2650000000000001</v>
      </c>
      <c r="AS614" s="76">
        <v>3.9079999999999999</v>
      </c>
      <c r="AT614" s="44" t="s">
        <v>107</v>
      </c>
      <c r="AU614" s="44" t="s">
        <v>109</v>
      </c>
      <c r="AV614" s="44" t="s">
        <v>133</v>
      </c>
      <c r="AW614" s="44" t="s">
        <v>134</v>
      </c>
      <c r="AX614" s="44" t="s">
        <v>110</v>
      </c>
      <c r="AY614" s="76">
        <v>365</v>
      </c>
      <c r="AZ614" s="76">
        <v>365</v>
      </c>
      <c r="BA614" s="44" t="s">
        <v>391</v>
      </c>
      <c r="BB614" s="44" t="s">
        <v>134</v>
      </c>
      <c r="BC614" s="44" t="s">
        <v>134</v>
      </c>
      <c r="BD614" s="44" t="s">
        <v>134</v>
      </c>
      <c r="BE614" s="44" t="s">
        <v>1410</v>
      </c>
      <c r="BF614" s="44">
        <v>13.933999999999999</v>
      </c>
      <c r="BG614" s="44">
        <v>1</v>
      </c>
      <c r="BH614" s="44">
        <v>0.94</v>
      </c>
      <c r="BI614" s="44">
        <v>11.708</v>
      </c>
      <c r="BJ614" s="44">
        <v>16.571999999999999</v>
      </c>
      <c r="BK614" s="44" t="s">
        <v>91</v>
      </c>
      <c r="BL614" s="44" t="s">
        <v>116</v>
      </c>
      <c r="BM614" s="44">
        <v>1</v>
      </c>
      <c r="BN614" s="44" t="s">
        <v>1407</v>
      </c>
      <c r="BO614" s="44" t="s">
        <v>312</v>
      </c>
      <c r="BP614" s="44" t="s">
        <v>312</v>
      </c>
      <c r="BQ614" s="44" t="s">
        <v>117</v>
      </c>
      <c r="BR614" s="44" t="s">
        <v>134</v>
      </c>
      <c r="BS614" s="44" t="s">
        <v>312</v>
      </c>
      <c r="BT614" s="44" t="s">
        <v>312</v>
      </c>
      <c r="BU614" s="44">
        <v>2010</v>
      </c>
      <c r="BV614" s="44">
        <v>2019</v>
      </c>
      <c r="BW614" s="44" t="s">
        <v>901</v>
      </c>
      <c r="BX614" s="44" t="s">
        <v>95</v>
      </c>
      <c r="BY614" s="44" t="s">
        <v>1418</v>
      </c>
      <c r="BZ614" s="44">
        <v>0</v>
      </c>
      <c r="CA614" s="44">
        <v>0</v>
      </c>
      <c r="CB614" s="44" t="s">
        <v>97</v>
      </c>
      <c r="CC614" s="44" t="s">
        <v>1375</v>
      </c>
      <c r="CD614" s="44">
        <v>0</v>
      </c>
      <c r="CE614" s="44" t="s">
        <v>97</v>
      </c>
      <c r="CF614" s="44">
        <v>0</v>
      </c>
      <c r="CG614" s="44" t="s">
        <v>97</v>
      </c>
      <c r="CH614" s="44">
        <v>0</v>
      </c>
      <c r="CI614" s="44" t="s">
        <v>1402</v>
      </c>
      <c r="CJ614" s="44" t="s">
        <v>98</v>
      </c>
      <c r="CK614" s="44">
        <v>32</v>
      </c>
      <c r="CL614" s="44">
        <v>0</v>
      </c>
      <c r="CM614" s="44">
        <v>0</v>
      </c>
      <c r="CN614" s="44" t="s">
        <v>99</v>
      </c>
      <c r="CO614" s="44" t="s">
        <v>1446</v>
      </c>
      <c r="CP614" s="44" t="s">
        <v>100</v>
      </c>
      <c r="CQ614" s="44" t="s">
        <v>126</v>
      </c>
      <c r="CR614" s="45">
        <v>46232</v>
      </c>
      <c r="CT614" s="44" t="s">
        <v>1447</v>
      </c>
      <c r="CU614" s="44" t="s">
        <v>1419</v>
      </c>
    </row>
    <row r="615" spans="1:99" s="44" customFormat="1" x14ac:dyDescent="0.35">
      <c r="A615" s="43" t="s">
        <v>1403</v>
      </c>
      <c r="B615" s="81" t="s">
        <v>1444</v>
      </c>
      <c r="C615" s="44" t="s">
        <v>1404</v>
      </c>
      <c r="D615" s="44">
        <v>2025</v>
      </c>
      <c r="E615" s="64" t="s">
        <v>1405</v>
      </c>
      <c r="F615" s="43" t="s">
        <v>1406</v>
      </c>
      <c r="G615" s="44" t="s">
        <v>78</v>
      </c>
      <c r="H615" s="44">
        <v>1</v>
      </c>
      <c r="I615" s="44" t="s">
        <v>290</v>
      </c>
      <c r="J615" s="44" t="s">
        <v>79</v>
      </c>
      <c r="K615" s="44">
        <v>1</v>
      </c>
      <c r="L615" s="44" t="s">
        <v>80</v>
      </c>
      <c r="M615" s="44" t="s">
        <v>380</v>
      </c>
      <c r="N615" s="44">
        <f>-1.096+0.704</f>
        <v>-0.39200000000000013</v>
      </c>
      <c r="O615" s="44" t="s">
        <v>312</v>
      </c>
      <c r="P615" s="91" t="s">
        <v>312</v>
      </c>
      <c r="Q615" s="44" t="s">
        <v>312</v>
      </c>
      <c r="R615" s="91" t="s">
        <v>312</v>
      </c>
      <c r="S615" s="91" t="s">
        <v>312</v>
      </c>
      <c r="T615" s="44" t="s">
        <v>312</v>
      </c>
      <c r="U615" s="44" t="s">
        <v>312</v>
      </c>
      <c r="V615" s="44" t="s">
        <v>312</v>
      </c>
      <c r="W615" s="44" t="s">
        <v>312</v>
      </c>
      <c r="X615" s="44" t="str">
        <f t="shared" si="240"/>
        <v>NA</v>
      </c>
      <c r="Y615" s="91" t="str">
        <f t="shared" si="256"/>
        <v>NA</v>
      </c>
      <c r="Z615" s="91" t="str">
        <f t="shared" si="256"/>
        <v>NA</v>
      </c>
      <c r="AA615" s="91" t="str">
        <f t="shared" si="256"/>
        <v>NA</v>
      </c>
      <c r="AB615" s="44" t="str">
        <f t="shared" si="256"/>
        <v>NA</v>
      </c>
      <c r="AC615" s="91">
        <f t="shared" si="249"/>
        <v>-0.39200000000000013</v>
      </c>
      <c r="AD615" s="91" cm="1">
        <f t="array" ref="AD615">_xlfn.IFS(
AND(L615="marginal_effect",M615="level"),N615*AN615/BF615,
AND(L615="marginal_effect",M615="sd (Y)"),N615*BI615*AN615/BF615,
AND(L615="marginal_effect",M615="sd (X)"),N615/AQ615*AN615/BF615,
AND(L615="semi_elasticity",M615="level"),N615*AN615,
AND(L615="semi_elasticity",M615="sd (Y)"),N615*AN615*BI615,
AND(L615="semi_elasticity",M615="sd (X)"),N615*AN615/AQ615,
AND(L615="level-log",M615="level"),N615/BF615,
AND(L615="level-log",M615="sd (X)"),N615/BF615/AQ615,
AND(L615="level-log",M615="sd (Y)"),N615/BF615*BI615,
AND(L615="elasticity",M615="level"),N615,
AND(L615="elasticity",M615="sd (X)"),N615/AQ615,
AND(L615="elasticity",M615="sd (Y)"),N615*BI615,
AND(L615="marginal_effect",M615="percent_of_mean"),N615*AN615/BF615/10)</f>
        <v>-0.39200000000000013</v>
      </c>
      <c r="AE615" s="50">
        <f t="shared" si="250"/>
        <v>1</v>
      </c>
      <c r="AF615" s="91" t="str">
        <f t="shared" si="251"/>
        <v>NA</v>
      </c>
      <c r="AG615" s="91" t="str" cm="1">
        <f t="array" ref="AG615">_xlfn.IFS(
AND(L615="marginal_effect",M615="level"),O615*AN615/BF615,
AND(L615="marginal_effect",M615="sd (Y)"),O615*BI615*AN615/BF615,
AND(L615="marginal_effect",M615="sd (X)"),O615/AQ615*AN615/BF615,
AND(L615="semi_elasticity",M615="level"),O615*AN615,
AND(L615="semi_elasticity",M615="sd (Y)"),O615*AN615*BI615,
AND(L615="semi_elasticity",M615="sd (X)"),O615*AN615/AQ615,
AND(L615="level-log",M615="level"),O615/BF615,
AND(L615="level-log",M615="sd (X)"),O615/BF615/AQ615,
AND(L615="level-log",M615="sd (Y)"),O615/BF615*BI615,
AND(L615="elasticity",M615="level"),O615,
AND(L615="elasticity",M615="sd (X)"),O615/AQ615,
AND(L615="elasticity",M615="sd (Y)"),O615*BI615,
AND(L615="marginal_effect",M615="percent_of_mean"),O615*AN615/BF615/10)</f>
        <v>NA</v>
      </c>
      <c r="AH615" s="50">
        <f t="shared" si="252"/>
        <v>1</v>
      </c>
      <c r="AI615" s="91">
        <f t="shared" si="257"/>
        <v>-0.39200000000000013</v>
      </c>
      <c r="AJ615" s="44">
        <v>0</v>
      </c>
      <c r="AK615" s="44" t="e">
        <f t="shared" si="253"/>
        <v>#VALUE!</v>
      </c>
      <c r="AL615" s="44" t="s">
        <v>2176</v>
      </c>
      <c r="AM615" s="76" t="s">
        <v>1411</v>
      </c>
      <c r="AN615" s="76">
        <v>3.4020000000000001</v>
      </c>
      <c r="AO615" s="76">
        <v>1</v>
      </c>
      <c r="AP615" s="76">
        <f t="shared" ref="AP615:AP636" si="258">AN615</f>
        <v>3.4020000000000001</v>
      </c>
      <c r="AQ615" s="76">
        <v>0.34499999999999997</v>
      </c>
      <c r="AR615" s="76">
        <v>2.2650000000000001</v>
      </c>
      <c r="AS615" s="76">
        <v>3.9079999999999999</v>
      </c>
      <c r="AT615" s="44" t="s">
        <v>107</v>
      </c>
      <c r="AU615" s="44" t="s">
        <v>109</v>
      </c>
      <c r="AV615" s="44" t="s">
        <v>133</v>
      </c>
      <c r="AW615" s="44" t="s">
        <v>134</v>
      </c>
      <c r="AX615" s="44" t="s">
        <v>110</v>
      </c>
      <c r="AY615" s="76">
        <v>365</v>
      </c>
      <c r="AZ615" s="76">
        <v>365</v>
      </c>
      <c r="BA615" s="44" t="s">
        <v>391</v>
      </c>
      <c r="BB615" s="44" t="s">
        <v>134</v>
      </c>
      <c r="BC615" s="44" t="s">
        <v>134</v>
      </c>
      <c r="BD615" s="44" t="s">
        <v>134</v>
      </c>
      <c r="BE615" s="44" t="s">
        <v>1410</v>
      </c>
      <c r="BF615" s="44">
        <v>13.933999999999999</v>
      </c>
      <c r="BG615" s="44">
        <v>1</v>
      </c>
      <c r="BH615" s="44">
        <v>0.94</v>
      </c>
      <c r="BI615" s="44">
        <v>11.708</v>
      </c>
      <c r="BJ615" s="44">
        <v>16.571999999999999</v>
      </c>
      <c r="BK615" s="44" t="s">
        <v>91</v>
      </c>
      <c r="BL615" s="44" t="s">
        <v>116</v>
      </c>
      <c r="BM615" s="44">
        <v>1</v>
      </c>
      <c r="BN615" s="44" t="s">
        <v>1407</v>
      </c>
      <c r="BO615" s="44" t="s">
        <v>312</v>
      </c>
      <c r="BP615" s="44" t="s">
        <v>312</v>
      </c>
      <c r="BQ615" s="44" t="s">
        <v>117</v>
      </c>
      <c r="BR615" s="44" t="s">
        <v>134</v>
      </c>
      <c r="BS615" s="44" t="s">
        <v>312</v>
      </c>
      <c r="BT615" s="44" t="s">
        <v>312</v>
      </c>
      <c r="BU615" s="44">
        <v>2010</v>
      </c>
      <c r="BV615" s="44">
        <v>2019</v>
      </c>
      <c r="BW615" s="44" t="s">
        <v>901</v>
      </c>
      <c r="BX615" s="44" t="s">
        <v>95</v>
      </c>
      <c r="BY615" s="44" t="s">
        <v>1418</v>
      </c>
      <c r="BZ615" s="44">
        <v>0</v>
      </c>
      <c r="CA615" s="44">
        <v>0</v>
      </c>
      <c r="CB615" s="44" t="s">
        <v>97</v>
      </c>
      <c r="CC615" s="44" t="s">
        <v>1375</v>
      </c>
      <c r="CD615" s="44">
        <v>0</v>
      </c>
      <c r="CE615" s="44" t="s">
        <v>97</v>
      </c>
      <c r="CF615" s="44">
        <v>0</v>
      </c>
      <c r="CG615" s="44" t="s">
        <v>97</v>
      </c>
      <c r="CH615" s="44">
        <v>0</v>
      </c>
      <c r="CI615" s="44" t="s">
        <v>1402</v>
      </c>
      <c r="CJ615" s="44" t="s">
        <v>98</v>
      </c>
      <c r="CK615" s="44">
        <v>32</v>
      </c>
      <c r="CL615" s="44">
        <v>0</v>
      </c>
      <c r="CM615" s="44">
        <v>0</v>
      </c>
      <c r="CN615" s="44" t="s">
        <v>99</v>
      </c>
      <c r="CO615" s="44" t="s">
        <v>1446</v>
      </c>
      <c r="CP615" s="44" t="s">
        <v>100</v>
      </c>
      <c r="CQ615" s="44" t="s">
        <v>126</v>
      </c>
      <c r="CR615" s="45">
        <v>46232</v>
      </c>
      <c r="CT615" s="44" t="s">
        <v>1447</v>
      </c>
    </row>
    <row r="616" spans="1:99" s="44" customFormat="1" x14ac:dyDescent="0.35">
      <c r="A616" s="43" t="s">
        <v>1403</v>
      </c>
      <c r="B616" s="81" t="s">
        <v>1445</v>
      </c>
      <c r="C616" s="44" t="s">
        <v>1404</v>
      </c>
      <c r="D616" s="44">
        <v>2025</v>
      </c>
      <c r="E616" s="64" t="s">
        <v>1405</v>
      </c>
      <c r="F616" s="43" t="s">
        <v>1406</v>
      </c>
      <c r="G616" s="44" t="s">
        <v>78</v>
      </c>
      <c r="H616" s="44">
        <v>1</v>
      </c>
      <c r="I616" s="44" t="s">
        <v>290</v>
      </c>
      <c r="J616" s="44" t="s">
        <v>79</v>
      </c>
      <c r="K616" s="44">
        <v>1</v>
      </c>
      <c r="L616" s="44" t="s">
        <v>80</v>
      </c>
      <c r="M616" s="44" t="s">
        <v>380</v>
      </c>
      <c r="N616" s="44">
        <v>-1.0960000000000001</v>
      </c>
      <c r="O616" s="44">
        <v>0.36199999999999999</v>
      </c>
      <c r="P616" s="91">
        <f>N616/O616</f>
        <v>-3.0276243093922655</v>
      </c>
      <c r="Q616" s="44" t="s">
        <v>312</v>
      </c>
      <c r="R616" s="91">
        <f>N616-1.96*O616</f>
        <v>-1.80552</v>
      </c>
      <c r="S616" s="91">
        <f>N616+1.96*O616</f>
        <v>-0.38648000000000016</v>
      </c>
      <c r="T616" s="44">
        <v>1</v>
      </c>
      <c r="U616" s="44">
        <v>11020</v>
      </c>
      <c r="V616" s="44" t="s">
        <v>312</v>
      </c>
      <c r="W616" s="44" t="s">
        <v>312</v>
      </c>
      <c r="X616" s="44">
        <f t="shared" ref="X616:X647" si="259">U616</f>
        <v>11020</v>
      </c>
      <c r="Y616" s="91">
        <f>P616/(P616^2 + X616)^(1/2)</f>
        <v>-2.8829070282951345E-2</v>
      </c>
      <c r="Z616" s="91">
        <f>((1-Y616^2)/X616)^(1/2)</f>
        <v>9.5220104401718842E-3</v>
      </c>
      <c r="AA616" s="91">
        <f>-Y616</f>
        <v>2.8829070282951345E-2</v>
      </c>
      <c r="AB616" s="44" t="s">
        <v>81</v>
      </c>
      <c r="AC616" s="91">
        <f t="shared" si="249"/>
        <v>-1.0960000000000001</v>
      </c>
      <c r="AD616" s="91" cm="1">
        <f t="array" ref="AD616">_xlfn.IFS(
AND(L616="marginal_effect",M616="level"),N616*AN616/BF616,
AND(L616="marginal_effect",M616="sd (Y)"),N616*BI616*AN616/BF616,
AND(L616="marginal_effect",M616="sd (X)"),N616/AQ616*AN616/BF616,
AND(L616="semi_elasticity",M616="level"),N616*AN616,
AND(L616="semi_elasticity",M616="sd (Y)"),N616*AN616*BI616,
AND(L616="semi_elasticity",M616="sd (X)"),N616*AN616/AQ616,
AND(L616="level-log",M616="level"),N616/BF616,
AND(L616="level-log",M616="sd (X)"),N616/BF616/AQ616,
AND(L616="level-log",M616="sd (Y)"),N616/BF616*BI616,
AND(L616="elasticity",M616="level"),N616,
AND(L616="elasticity",M616="sd (X)"),N616/AQ616,
AND(L616="elasticity",M616="sd (Y)"),N616*BI616,
AND(L616="marginal_effect",M616="percent_of_mean"),N616*AN616/BF616/10)</f>
        <v>-1.0960000000000001</v>
      </c>
      <c r="AE616" s="50">
        <f t="shared" si="250"/>
        <v>1</v>
      </c>
      <c r="AF616" s="91">
        <f t="shared" si="251"/>
        <v>0.36199999999999999</v>
      </c>
      <c r="AG616" s="91" cm="1">
        <f t="array" ref="AG616">_xlfn.IFS(
AND(L616="marginal_effect",M616="level"),O616*AN616/BF616,
AND(L616="marginal_effect",M616="sd (Y)"),O616*BI616*AN616/BF616,
AND(L616="marginal_effect",M616="sd (X)"),O616/AQ616*AN616/BF616,
AND(L616="semi_elasticity",M616="level"),O616*AN616,
AND(L616="semi_elasticity",M616="sd (Y)"),O616*AN616*BI616,
AND(L616="semi_elasticity",M616="sd (X)"),O616*AN616/AQ616,
AND(L616="level-log",M616="level"),O616/BF616,
AND(L616="level-log",M616="sd (X)"),O616/BF616/AQ616,
AND(L616="level-log",M616="sd (Y)"),O616/BF616*BI616,
AND(L616="elasticity",M616="level"),O616,
AND(L616="elasticity",M616="sd (X)"),O616/AQ616,
AND(L616="elasticity",M616="sd (Y)"),O616*BI616,
AND(L616="marginal_effect",M616="percent_of_mean"),O616*AN616/BF616/10)</f>
        <v>0.36199999999999999</v>
      </c>
      <c r="AH616" s="50">
        <f t="shared" si="252"/>
        <v>1</v>
      </c>
      <c r="AI616" s="91">
        <f t="shared" si="257"/>
        <v>-1.0960000000000001</v>
      </c>
      <c r="AJ616" s="44">
        <v>0</v>
      </c>
      <c r="AK616" s="44">
        <f t="shared" si="253"/>
        <v>1</v>
      </c>
      <c r="AL616" s="44" t="s">
        <v>2176</v>
      </c>
      <c r="AM616" s="76" t="s">
        <v>1411</v>
      </c>
      <c r="AN616" s="76">
        <v>3.4020000000000001</v>
      </c>
      <c r="AO616" s="76">
        <v>1</v>
      </c>
      <c r="AP616" s="76">
        <f t="shared" si="258"/>
        <v>3.4020000000000001</v>
      </c>
      <c r="AQ616" s="76">
        <v>0.34499999999999997</v>
      </c>
      <c r="AR616" s="76">
        <v>2.2650000000000001</v>
      </c>
      <c r="AS616" s="76">
        <v>3.9079999999999999</v>
      </c>
      <c r="AT616" s="44" t="s">
        <v>107</v>
      </c>
      <c r="AU616" s="44" t="s">
        <v>109</v>
      </c>
      <c r="AV616" s="44" t="s">
        <v>133</v>
      </c>
      <c r="AW616" s="44" t="s">
        <v>134</v>
      </c>
      <c r="AX616" s="44" t="s">
        <v>110</v>
      </c>
      <c r="AY616" s="76">
        <v>365</v>
      </c>
      <c r="AZ616" s="76">
        <v>365</v>
      </c>
      <c r="BA616" s="44" t="s">
        <v>391</v>
      </c>
      <c r="BB616" s="44" t="s">
        <v>134</v>
      </c>
      <c r="BC616" s="44" t="s">
        <v>134</v>
      </c>
      <c r="BD616" s="44" t="s">
        <v>134</v>
      </c>
      <c r="BE616" s="44" t="s">
        <v>1410</v>
      </c>
      <c r="BF616" s="44">
        <v>13.933999999999999</v>
      </c>
      <c r="BG616" s="44">
        <v>1</v>
      </c>
      <c r="BH616" s="44">
        <v>0.94</v>
      </c>
      <c r="BI616" s="44">
        <v>11.708</v>
      </c>
      <c r="BJ616" s="44">
        <v>16.571999999999999</v>
      </c>
      <c r="BK616" s="44" t="s">
        <v>91</v>
      </c>
      <c r="BL616" s="44" t="s">
        <v>116</v>
      </c>
      <c r="BM616" s="44">
        <v>1</v>
      </c>
      <c r="BN616" s="44" t="s">
        <v>1407</v>
      </c>
      <c r="BO616" s="44" t="s">
        <v>312</v>
      </c>
      <c r="BP616" s="44" t="s">
        <v>312</v>
      </c>
      <c r="BQ616" s="44" t="s">
        <v>117</v>
      </c>
      <c r="BR616" s="44" t="s">
        <v>134</v>
      </c>
      <c r="BS616" s="44" t="s">
        <v>312</v>
      </c>
      <c r="BT616" s="44" t="s">
        <v>312</v>
      </c>
      <c r="BU616" s="44">
        <v>2010</v>
      </c>
      <c r="BV616" s="44">
        <v>2019</v>
      </c>
      <c r="BW616" s="44" t="s">
        <v>901</v>
      </c>
      <c r="BX616" s="44" t="s">
        <v>95</v>
      </c>
      <c r="BY616" s="44" t="s">
        <v>1418</v>
      </c>
      <c r="BZ616" s="44">
        <v>0</v>
      </c>
      <c r="CA616" s="44">
        <v>0</v>
      </c>
      <c r="CB616" s="44" t="s">
        <v>97</v>
      </c>
      <c r="CC616" s="44" t="s">
        <v>1375</v>
      </c>
      <c r="CD616" s="44">
        <v>0</v>
      </c>
      <c r="CE616" s="44" t="s">
        <v>97</v>
      </c>
      <c r="CF616" s="44">
        <v>0</v>
      </c>
      <c r="CG616" s="44" t="s">
        <v>97</v>
      </c>
      <c r="CH616" s="44">
        <v>0</v>
      </c>
      <c r="CI616" s="44" t="s">
        <v>1402</v>
      </c>
      <c r="CJ616" s="44" t="s">
        <v>98</v>
      </c>
      <c r="CK616" s="44">
        <v>32</v>
      </c>
      <c r="CL616" s="44">
        <v>0</v>
      </c>
      <c r="CM616" s="44">
        <v>0</v>
      </c>
      <c r="CN616" s="44" t="s">
        <v>99</v>
      </c>
      <c r="CO616" s="44" t="s">
        <v>1446</v>
      </c>
      <c r="CP616" s="44" t="s">
        <v>100</v>
      </c>
      <c r="CQ616" s="44" t="s">
        <v>126</v>
      </c>
      <c r="CR616" s="45">
        <v>46232</v>
      </c>
      <c r="CT616" s="44" t="s">
        <v>1447</v>
      </c>
    </row>
    <row r="617" spans="1:99" s="44" customFormat="1" x14ac:dyDescent="0.35">
      <c r="A617" s="43" t="s">
        <v>1403</v>
      </c>
      <c r="B617" s="81" t="s">
        <v>1434</v>
      </c>
      <c r="C617" s="44" t="s">
        <v>1404</v>
      </c>
      <c r="D617" s="44">
        <v>2025</v>
      </c>
      <c r="E617" s="64" t="s">
        <v>1405</v>
      </c>
      <c r="F617" s="43" t="s">
        <v>1406</v>
      </c>
      <c r="G617" s="44" t="s">
        <v>78</v>
      </c>
      <c r="H617" s="44">
        <v>1</v>
      </c>
      <c r="I617" s="44" t="s">
        <v>290</v>
      </c>
      <c r="J617" s="44" t="s">
        <v>79</v>
      </c>
      <c r="K617" s="44">
        <v>1</v>
      </c>
      <c r="L617" s="44" t="s">
        <v>80</v>
      </c>
      <c r="M617" s="44" t="s">
        <v>380</v>
      </c>
      <c r="N617" s="44">
        <f>-0.965+0.511</f>
        <v>-0.45399999999999996</v>
      </c>
      <c r="O617" s="44" t="s">
        <v>312</v>
      </c>
      <c r="P617" s="91" t="s">
        <v>312</v>
      </c>
      <c r="Q617" s="44" t="s">
        <v>312</v>
      </c>
      <c r="R617" s="91" t="s">
        <v>312</v>
      </c>
      <c r="S617" s="91" t="s">
        <v>312</v>
      </c>
      <c r="T617" s="44" t="s">
        <v>312</v>
      </c>
      <c r="U617" s="44" t="s">
        <v>312</v>
      </c>
      <c r="V617" s="44" t="s">
        <v>312</v>
      </c>
      <c r="W617" s="44" t="s">
        <v>312</v>
      </c>
      <c r="X617" s="44" t="str">
        <f t="shared" si="259"/>
        <v>NA</v>
      </c>
      <c r="Y617" s="91" t="str">
        <f t="shared" ref="Y617:AB621" si="260">V617</f>
        <v>NA</v>
      </c>
      <c r="Z617" s="91" t="str">
        <f t="shared" si="260"/>
        <v>NA</v>
      </c>
      <c r="AA617" s="91" t="str">
        <f t="shared" si="260"/>
        <v>NA</v>
      </c>
      <c r="AB617" s="44" t="str">
        <f t="shared" si="260"/>
        <v>NA</v>
      </c>
      <c r="AC617" s="91">
        <f t="shared" si="249"/>
        <v>-0.45399999999999996</v>
      </c>
      <c r="AD617" s="91" cm="1">
        <f t="array" ref="AD617">_xlfn.IFS(
AND(L617="marginal_effect",M617="level"),N617*AN617/BF617,
AND(L617="marginal_effect",M617="sd (Y)"),N617*BI617*AN617/BF617,
AND(L617="marginal_effect",M617="sd (X)"),N617/AQ617*AN617/BF617,
AND(L617="semi_elasticity",M617="level"),N617*AN617,
AND(L617="semi_elasticity",M617="sd (Y)"),N617*AN617*BI617,
AND(L617="semi_elasticity",M617="sd (X)"),N617*AN617/AQ617,
AND(L617="level-log",M617="level"),N617/BF617,
AND(L617="level-log",M617="sd (X)"),N617/BF617/AQ617,
AND(L617="level-log",M617="sd (Y)"),N617/BF617*BI617,
AND(L617="elasticity",M617="level"),N617,
AND(L617="elasticity",M617="sd (X)"),N617/AQ617,
AND(L617="elasticity",M617="sd (Y)"),N617*BI617,
AND(L617="marginal_effect",M617="percent_of_mean"),N617*AN617/BF617/10)</f>
        <v>-0.45399999999999996</v>
      </c>
      <c r="AE617" s="50">
        <f t="shared" si="250"/>
        <v>1</v>
      </c>
      <c r="AF617" s="91" t="str">
        <f t="shared" si="251"/>
        <v>NA</v>
      </c>
      <c r="AG617" s="91" t="str" cm="1">
        <f t="array" ref="AG617">_xlfn.IFS(
AND(L617="marginal_effect",M617="level"),O617*AN617/BF617,
AND(L617="marginal_effect",M617="sd (Y)"),O617*BI617*AN617/BF617,
AND(L617="marginal_effect",M617="sd (X)"),O617/AQ617*AN617/BF617,
AND(L617="semi_elasticity",M617="level"),O617*AN617,
AND(L617="semi_elasticity",M617="sd (Y)"),O617*AN617*BI617,
AND(L617="semi_elasticity",M617="sd (X)"),O617*AN617/AQ617,
AND(L617="level-log",M617="level"),O617/BF617,
AND(L617="level-log",M617="sd (X)"),O617/BF617/AQ617,
AND(L617="level-log",M617="sd (Y)"),O617/BF617*BI617,
AND(L617="elasticity",M617="level"),O617,
AND(L617="elasticity",M617="sd (X)"),O617/AQ617,
AND(L617="elasticity",M617="sd (Y)"),O617*BI617,
AND(L617="marginal_effect",M617="percent_of_mean"),O617*AN617/BF617/10)</f>
        <v>NA</v>
      </c>
      <c r="AH617" s="50">
        <f t="shared" si="252"/>
        <v>1</v>
      </c>
      <c r="AI617" s="91">
        <f t="shared" si="257"/>
        <v>-0.45399999999999996</v>
      </c>
      <c r="AJ617" s="44">
        <v>0</v>
      </c>
      <c r="AK617" s="44" t="e">
        <f t="shared" si="253"/>
        <v>#VALUE!</v>
      </c>
      <c r="AL617" s="44" t="s">
        <v>2176</v>
      </c>
      <c r="AM617" s="76" t="s">
        <v>1411</v>
      </c>
      <c r="AN617" s="76">
        <v>3.4020000000000001</v>
      </c>
      <c r="AO617" s="76">
        <v>1</v>
      </c>
      <c r="AP617" s="76">
        <f t="shared" si="258"/>
        <v>3.4020000000000001</v>
      </c>
      <c r="AQ617" s="76">
        <v>0.34499999999999997</v>
      </c>
      <c r="AR617" s="76">
        <v>2.2650000000000001</v>
      </c>
      <c r="AS617" s="76">
        <v>3.9079999999999999</v>
      </c>
      <c r="AT617" s="44" t="s">
        <v>107</v>
      </c>
      <c r="AU617" s="44" t="s">
        <v>109</v>
      </c>
      <c r="AV617" s="44" t="s">
        <v>133</v>
      </c>
      <c r="AW617" s="44" t="s">
        <v>134</v>
      </c>
      <c r="AX617" s="44" t="s">
        <v>110</v>
      </c>
      <c r="AY617" s="76">
        <v>365</v>
      </c>
      <c r="AZ617" s="76">
        <v>365</v>
      </c>
      <c r="BA617" s="44" t="s">
        <v>391</v>
      </c>
      <c r="BB617" s="44" t="s">
        <v>134</v>
      </c>
      <c r="BC617" s="44" t="s">
        <v>134</v>
      </c>
      <c r="BD617" s="44" t="s">
        <v>134</v>
      </c>
      <c r="BE617" s="44" t="s">
        <v>1410</v>
      </c>
      <c r="BF617" s="44">
        <v>13.933999999999999</v>
      </c>
      <c r="BG617" s="44">
        <v>1</v>
      </c>
      <c r="BH617" s="44">
        <v>0.94</v>
      </c>
      <c r="BI617" s="44">
        <v>11.708</v>
      </c>
      <c r="BJ617" s="44">
        <v>16.571999999999999</v>
      </c>
      <c r="BK617" s="44" t="s">
        <v>91</v>
      </c>
      <c r="BL617" s="44" t="s">
        <v>116</v>
      </c>
      <c r="BM617" s="44">
        <v>1</v>
      </c>
      <c r="BN617" s="44" t="s">
        <v>1407</v>
      </c>
      <c r="BO617" s="44" t="s">
        <v>312</v>
      </c>
      <c r="BP617" s="44" t="s">
        <v>312</v>
      </c>
      <c r="BQ617" s="44" t="s">
        <v>117</v>
      </c>
      <c r="BR617" s="44" t="s">
        <v>134</v>
      </c>
      <c r="BS617" s="44" t="s">
        <v>312</v>
      </c>
      <c r="BT617" s="44" t="s">
        <v>312</v>
      </c>
      <c r="BU617" s="44">
        <v>2010</v>
      </c>
      <c r="BV617" s="44">
        <v>2019</v>
      </c>
      <c r="BW617" s="44" t="s">
        <v>901</v>
      </c>
      <c r="BX617" s="44" t="s">
        <v>95</v>
      </c>
      <c r="BY617" s="44" t="s">
        <v>1418</v>
      </c>
      <c r="BZ617" s="44">
        <v>0</v>
      </c>
      <c r="CA617" s="44">
        <v>0</v>
      </c>
      <c r="CB617" s="44" t="s">
        <v>97</v>
      </c>
      <c r="CC617" s="44" t="s">
        <v>1375</v>
      </c>
      <c r="CD617" s="44">
        <v>0</v>
      </c>
      <c r="CE617" s="44" t="s">
        <v>97</v>
      </c>
      <c r="CF617" s="44">
        <v>0</v>
      </c>
      <c r="CG617" s="44" t="s">
        <v>97</v>
      </c>
      <c r="CH617" s="44">
        <v>0</v>
      </c>
      <c r="CI617" s="44" t="s">
        <v>1402</v>
      </c>
      <c r="CJ617" s="44" t="s">
        <v>98</v>
      </c>
      <c r="CK617" s="44">
        <v>32</v>
      </c>
      <c r="CL617" s="44">
        <v>0</v>
      </c>
      <c r="CM617" s="44">
        <v>0</v>
      </c>
      <c r="CN617" s="44" t="s">
        <v>99</v>
      </c>
      <c r="CO617" s="44" t="s">
        <v>1446</v>
      </c>
      <c r="CP617" s="44" t="s">
        <v>100</v>
      </c>
      <c r="CQ617" s="44" t="s">
        <v>126</v>
      </c>
      <c r="CR617" s="45">
        <v>46232</v>
      </c>
      <c r="CT617" s="44" t="s">
        <v>1448</v>
      </c>
    </row>
    <row r="618" spans="1:99" s="44" customFormat="1" x14ac:dyDescent="0.35">
      <c r="A618" s="43" t="s">
        <v>1403</v>
      </c>
      <c r="B618" s="81" t="s">
        <v>1435</v>
      </c>
      <c r="C618" s="44" t="s">
        <v>1404</v>
      </c>
      <c r="D618" s="44">
        <v>2025</v>
      </c>
      <c r="E618" s="64" t="s">
        <v>1405</v>
      </c>
      <c r="F618" s="43" t="s">
        <v>1406</v>
      </c>
      <c r="G618" s="44" t="s">
        <v>78</v>
      </c>
      <c r="H618" s="44">
        <v>1</v>
      </c>
      <c r="I618" s="44" t="s">
        <v>290</v>
      </c>
      <c r="J618" s="44" t="s">
        <v>79</v>
      </c>
      <c r="K618" s="44">
        <v>1</v>
      </c>
      <c r="L618" s="44" t="s">
        <v>80</v>
      </c>
      <c r="M618" s="44" t="s">
        <v>380</v>
      </c>
      <c r="N618" s="44">
        <v>-0.96499999999999997</v>
      </c>
      <c r="O618" s="44">
        <v>0.35299999999999998</v>
      </c>
      <c r="P618" s="91">
        <f>N618/O618</f>
        <v>-2.7337110481586402</v>
      </c>
      <c r="Q618" s="44" t="s">
        <v>312</v>
      </c>
      <c r="R618" s="91">
        <f>N618-1.96*O618</f>
        <v>-1.6568799999999999</v>
      </c>
      <c r="S618" s="91">
        <f>N618+1.96*O618</f>
        <v>-0.27312000000000003</v>
      </c>
      <c r="T618" s="44">
        <v>1</v>
      </c>
      <c r="U618" s="44" t="s">
        <v>312</v>
      </c>
      <c r="V618" s="44" t="s">
        <v>312</v>
      </c>
      <c r="W618" s="44" t="s">
        <v>312</v>
      </c>
      <c r="X618" s="44" t="str">
        <f t="shared" si="259"/>
        <v>NA</v>
      </c>
      <c r="Y618" s="91" t="str">
        <f t="shared" si="260"/>
        <v>NA</v>
      </c>
      <c r="Z618" s="91" t="str">
        <f t="shared" si="260"/>
        <v>NA</v>
      </c>
      <c r="AA618" s="91" t="str">
        <f t="shared" si="260"/>
        <v>NA</v>
      </c>
      <c r="AB618" s="44" t="str">
        <f t="shared" si="260"/>
        <v>NA</v>
      </c>
      <c r="AC618" s="91">
        <f t="shared" si="249"/>
        <v>-0.96499999999999997</v>
      </c>
      <c r="AD618" s="91" cm="1">
        <f t="array" ref="AD618">_xlfn.IFS(
AND(L618="marginal_effect",M618="level"),N618*AN618/BF618,
AND(L618="marginal_effect",M618="sd (Y)"),N618*BI618*AN618/BF618,
AND(L618="marginal_effect",M618="sd (X)"),N618/AQ618*AN618/BF618,
AND(L618="semi_elasticity",M618="level"),N618*AN618,
AND(L618="semi_elasticity",M618="sd (Y)"),N618*AN618*BI618,
AND(L618="semi_elasticity",M618="sd (X)"),N618*AN618/AQ618,
AND(L618="level-log",M618="level"),N618/BF618,
AND(L618="level-log",M618="sd (X)"),N618/BF618/AQ618,
AND(L618="level-log",M618="sd (Y)"),N618/BF618*BI618,
AND(L618="elasticity",M618="level"),N618,
AND(L618="elasticity",M618="sd (X)"),N618/AQ618,
AND(L618="elasticity",M618="sd (Y)"),N618*BI618,
AND(L618="marginal_effect",M618="percent_of_mean"),N618*AN618/BF618/10)</f>
        <v>-0.96499999999999997</v>
      </c>
      <c r="AE618" s="50">
        <f t="shared" si="250"/>
        <v>1</v>
      </c>
      <c r="AF618" s="91">
        <f t="shared" si="251"/>
        <v>0.35299999999999998</v>
      </c>
      <c r="AG618" s="91" cm="1">
        <f t="array" ref="AG618">_xlfn.IFS(
AND(L618="marginal_effect",M618="level"),O618*AN618/BF618,
AND(L618="marginal_effect",M618="sd (Y)"),O618*BI618*AN618/BF618,
AND(L618="marginal_effect",M618="sd (X)"),O618/AQ618*AN618/BF618,
AND(L618="semi_elasticity",M618="level"),O618*AN618,
AND(L618="semi_elasticity",M618="sd (Y)"),O618*AN618*BI618,
AND(L618="semi_elasticity",M618="sd (X)"),O618*AN618/AQ618,
AND(L618="level-log",M618="level"),O618/BF618,
AND(L618="level-log",M618="sd (X)"),O618/BF618/AQ618,
AND(L618="level-log",M618="sd (Y)"),O618/BF618*BI618,
AND(L618="elasticity",M618="level"),O618,
AND(L618="elasticity",M618="sd (X)"),O618/AQ618,
AND(L618="elasticity",M618="sd (Y)"),O618*BI618,
AND(L618="marginal_effect",M618="percent_of_mean"),O618*AN618/BF618/10)</f>
        <v>0.35299999999999998</v>
      </c>
      <c r="AH618" s="50">
        <f t="shared" si="252"/>
        <v>1</v>
      </c>
      <c r="AI618" s="91">
        <f t="shared" si="257"/>
        <v>-0.96499999999999997</v>
      </c>
      <c r="AJ618" s="44">
        <v>0</v>
      </c>
      <c r="AK618" s="44">
        <f t="shared" si="253"/>
        <v>1</v>
      </c>
      <c r="AL618" s="44" t="s">
        <v>2176</v>
      </c>
      <c r="AM618" s="76" t="s">
        <v>1411</v>
      </c>
      <c r="AN618" s="76">
        <v>3.4020000000000001</v>
      </c>
      <c r="AO618" s="76">
        <v>1</v>
      </c>
      <c r="AP618" s="76">
        <f t="shared" si="258"/>
        <v>3.4020000000000001</v>
      </c>
      <c r="AQ618" s="76">
        <v>0.34499999999999997</v>
      </c>
      <c r="AR618" s="76">
        <v>2.2650000000000001</v>
      </c>
      <c r="AS618" s="76">
        <v>3.9079999999999999</v>
      </c>
      <c r="AT618" s="44" t="s">
        <v>107</v>
      </c>
      <c r="AU618" s="44" t="s">
        <v>109</v>
      </c>
      <c r="AV618" s="44" t="s">
        <v>133</v>
      </c>
      <c r="AW618" s="44" t="s">
        <v>134</v>
      </c>
      <c r="AX618" s="44" t="s">
        <v>110</v>
      </c>
      <c r="AY618" s="76">
        <v>365</v>
      </c>
      <c r="AZ618" s="76">
        <v>365</v>
      </c>
      <c r="BA618" s="44" t="s">
        <v>391</v>
      </c>
      <c r="BB618" s="44" t="s">
        <v>134</v>
      </c>
      <c r="BC618" s="44" t="s">
        <v>134</v>
      </c>
      <c r="BD618" s="44" t="s">
        <v>134</v>
      </c>
      <c r="BE618" s="44" t="s">
        <v>1410</v>
      </c>
      <c r="BF618" s="44">
        <v>13.933999999999999</v>
      </c>
      <c r="BG618" s="44">
        <v>1</v>
      </c>
      <c r="BH618" s="44">
        <v>0.94</v>
      </c>
      <c r="BI618" s="44">
        <v>11.708</v>
      </c>
      <c r="BJ618" s="44">
        <v>16.571999999999999</v>
      </c>
      <c r="BK618" s="44" t="s">
        <v>91</v>
      </c>
      <c r="BL618" s="44" t="s">
        <v>116</v>
      </c>
      <c r="BM618" s="44">
        <v>1</v>
      </c>
      <c r="BN618" s="44" t="s">
        <v>1407</v>
      </c>
      <c r="BO618" s="44" t="s">
        <v>312</v>
      </c>
      <c r="BP618" s="44" t="s">
        <v>312</v>
      </c>
      <c r="BQ618" s="44" t="s">
        <v>117</v>
      </c>
      <c r="BR618" s="44" t="s">
        <v>134</v>
      </c>
      <c r="BS618" s="44" t="s">
        <v>312</v>
      </c>
      <c r="BT618" s="44" t="s">
        <v>312</v>
      </c>
      <c r="BU618" s="44">
        <v>2010</v>
      </c>
      <c r="BV618" s="44">
        <v>2019</v>
      </c>
      <c r="BW618" s="44" t="s">
        <v>901</v>
      </c>
      <c r="BX618" s="44" t="s">
        <v>95</v>
      </c>
      <c r="BY618" s="44" t="s">
        <v>1418</v>
      </c>
      <c r="BZ618" s="44">
        <v>0</v>
      </c>
      <c r="CA618" s="44">
        <v>0</v>
      </c>
      <c r="CB618" s="44" t="s">
        <v>97</v>
      </c>
      <c r="CC618" s="44" t="s">
        <v>1375</v>
      </c>
      <c r="CD618" s="44">
        <v>0</v>
      </c>
      <c r="CE618" s="44" t="s">
        <v>97</v>
      </c>
      <c r="CF618" s="44">
        <v>0</v>
      </c>
      <c r="CG618" s="44" t="s">
        <v>97</v>
      </c>
      <c r="CH618" s="44">
        <v>0</v>
      </c>
      <c r="CI618" s="44" t="s">
        <v>1402</v>
      </c>
      <c r="CJ618" s="44" t="s">
        <v>98</v>
      </c>
      <c r="CK618" s="44">
        <v>32</v>
      </c>
      <c r="CL618" s="44">
        <v>0</v>
      </c>
      <c r="CM618" s="44">
        <v>0</v>
      </c>
      <c r="CN618" s="44" t="s">
        <v>99</v>
      </c>
      <c r="CO618" s="44" t="s">
        <v>1446</v>
      </c>
      <c r="CP618" s="44" t="s">
        <v>100</v>
      </c>
      <c r="CQ618" s="44" t="s">
        <v>126</v>
      </c>
      <c r="CR618" s="45">
        <v>46232</v>
      </c>
      <c r="CT618" s="44" t="s">
        <v>1448</v>
      </c>
    </row>
    <row r="619" spans="1:99" s="44" customFormat="1" x14ac:dyDescent="0.35">
      <c r="A619" s="43" t="s">
        <v>1403</v>
      </c>
      <c r="B619" s="81" t="s">
        <v>1436</v>
      </c>
      <c r="C619" s="44" t="s">
        <v>1404</v>
      </c>
      <c r="D619" s="44">
        <v>2025</v>
      </c>
      <c r="E619" s="64" t="s">
        <v>1405</v>
      </c>
      <c r="F619" s="43" t="s">
        <v>1406</v>
      </c>
      <c r="G619" s="44" t="s">
        <v>78</v>
      </c>
      <c r="H619" s="44">
        <v>1</v>
      </c>
      <c r="I619" s="44" t="s">
        <v>290</v>
      </c>
      <c r="J619" s="44" t="s">
        <v>79</v>
      </c>
      <c r="K619" s="44">
        <v>1</v>
      </c>
      <c r="L619" s="44" t="s">
        <v>80</v>
      </c>
      <c r="M619" s="44" t="s">
        <v>380</v>
      </c>
      <c r="N619" s="44">
        <f>-0.142+0.188</f>
        <v>4.6000000000000013E-2</v>
      </c>
      <c r="O619" s="44" t="s">
        <v>312</v>
      </c>
      <c r="P619" s="91" t="s">
        <v>312</v>
      </c>
      <c r="Q619" s="44" t="s">
        <v>312</v>
      </c>
      <c r="R619" s="91" t="s">
        <v>312</v>
      </c>
      <c r="S619" s="91" t="s">
        <v>312</v>
      </c>
      <c r="T619" s="44" t="s">
        <v>312</v>
      </c>
      <c r="U619" s="44" t="s">
        <v>312</v>
      </c>
      <c r="V619" s="44" t="s">
        <v>312</v>
      </c>
      <c r="W619" s="44" t="s">
        <v>312</v>
      </c>
      <c r="X619" s="44" t="str">
        <f t="shared" si="259"/>
        <v>NA</v>
      </c>
      <c r="Y619" s="91" t="str">
        <f t="shared" si="260"/>
        <v>NA</v>
      </c>
      <c r="Z619" s="91" t="str">
        <f t="shared" si="260"/>
        <v>NA</v>
      </c>
      <c r="AA619" s="91" t="str">
        <f t="shared" si="260"/>
        <v>NA</v>
      </c>
      <c r="AB619" s="44" t="str">
        <f t="shared" si="260"/>
        <v>NA</v>
      </c>
      <c r="AC619" s="91">
        <f t="shared" si="249"/>
        <v>4.6000000000000013E-2</v>
      </c>
      <c r="AD619" s="91" cm="1">
        <f t="array" ref="AD619">_xlfn.IFS(
AND(L619="marginal_effect",M619="level"),N619*AN619/BF619,
AND(L619="marginal_effect",M619="sd (Y)"),N619*BI619*AN619/BF619,
AND(L619="marginal_effect",M619="sd (X)"),N619/AQ619*AN619/BF619,
AND(L619="semi_elasticity",M619="level"),N619*AN619,
AND(L619="semi_elasticity",M619="sd (Y)"),N619*AN619*BI619,
AND(L619="semi_elasticity",M619="sd (X)"),N619*AN619/AQ619,
AND(L619="level-log",M619="level"),N619/BF619,
AND(L619="level-log",M619="sd (X)"),N619/BF619/AQ619,
AND(L619="level-log",M619="sd (Y)"),N619/BF619*BI619,
AND(L619="elasticity",M619="level"),N619,
AND(L619="elasticity",M619="sd (X)"),N619/AQ619,
AND(L619="elasticity",M619="sd (Y)"),N619*BI619,
AND(L619="marginal_effect",M619="percent_of_mean"),N619*AN619/BF619/10)</f>
        <v>4.6000000000000013E-2</v>
      </c>
      <c r="AE619" s="50">
        <f t="shared" si="250"/>
        <v>1</v>
      </c>
      <c r="AF619" s="91" t="str">
        <f t="shared" si="251"/>
        <v>NA</v>
      </c>
      <c r="AG619" s="91" t="str" cm="1">
        <f t="array" ref="AG619">_xlfn.IFS(
AND(L619="marginal_effect",M619="level"),O619*AN619/BF619,
AND(L619="marginal_effect",M619="sd (Y)"),O619*BI619*AN619/BF619,
AND(L619="marginal_effect",M619="sd (X)"),O619/AQ619*AN619/BF619,
AND(L619="semi_elasticity",M619="level"),O619*AN619,
AND(L619="semi_elasticity",M619="sd (Y)"),O619*AN619*BI619,
AND(L619="semi_elasticity",M619="sd (X)"),O619*AN619/AQ619,
AND(L619="level-log",M619="level"),O619/BF619,
AND(L619="level-log",M619="sd (X)"),O619/BF619/AQ619,
AND(L619="level-log",M619="sd (Y)"),O619/BF619*BI619,
AND(L619="elasticity",M619="level"),O619,
AND(L619="elasticity",M619="sd (X)"),O619/AQ619,
AND(L619="elasticity",M619="sd (Y)"),O619*BI619,
AND(L619="marginal_effect",M619="percent_of_mean"),O619*AN619/BF619/10)</f>
        <v>NA</v>
      </c>
      <c r="AH619" s="50">
        <f t="shared" si="252"/>
        <v>1</v>
      </c>
      <c r="AI619" s="91">
        <f t="shared" si="257"/>
        <v>4.6000000000000013E-2</v>
      </c>
      <c r="AJ619" s="44">
        <v>0</v>
      </c>
      <c r="AK619" s="44" t="e">
        <f t="shared" si="253"/>
        <v>#VALUE!</v>
      </c>
      <c r="AL619" s="44" t="s">
        <v>2176</v>
      </c>
      <c r="AM619" s="76" t="s">
        <v>1411</v>
      </c>
      <c r="AN619" s="76">
        <v>3.4020000000000001</v>
      </c>
      <c r="AO619" s="76">
        <v>1</v>
      </c>
      <c r="AP619" s="76">
        <f t="shared" si="258"/>
        <v>3.4020000000000001</v>
      </c>
      <c r="AQ619" s="76">
        <v>0.34499999999999997</v>
      </c>
      <c r="AR619" s="76">
        <v>2.2650000000000001</v>
      </c>
      <c r="AS619" s="76">
        <v>3.9079999999999999</v>
      </c>
      <c r="AT619" s="44" t="s">
        <v>107</v>
      </c>
      <c r="AU619" s="44" t="s">
        <v>109</v>
      </c>
      <c r="AV619" s="44" t="s">
        <v>133</v>
      </c>
      <c r="AW619" s="44" t="s">
        <v>134</v>
      </c>
      <c r="AX619" s="44" t="s">
        <v>110</v>
      </c>
      <c r="AY619" s="76">
        <v>365</v>
      </c>
      <c r="AZ619" s="76">
        <v>365</v>
      </c>
      <c r="BA619" s="44" t="s">
        <v>391</v>
      </c>
      <c r="BB619" s="44" t="s">
        <v>134</v>
      </c>
      <c r="BC619" s="44" t="s">
        <v>134</v>
      </c>
      <c r="BD619" s="44" t="s">
        <v>134</v>
      </c>
      <c r="BE619" s="44" t="s">
        <v>1410</v>
      </c>
      <c r="BF619" s="44">
        <v>13.933999999999999</v>
      </c>
      <c r="BG619" s="44">
        <v>1</v>
      </c>
      <c r="BH619" s="44">
        <v>0.94</v>
      </c>
      <c r="BI619" s="44">
        <v>11.708</v>
      </c>
      <c r="BJ619" s="44">
        <v>16.571999999999999</v>
      </c>
      <c r="BK619" s="44" t="s">
        <v>91</v>
      </c>
      <c r="BL619" s="44" t="s">
        <v>116</v>
      </c>
      <c r="BM619" s="44">
        <v>1</v>
      </c>
      <c r="BN619" s="44" t="s">
        <v>1407</v>
      </c>
      <c r="BO619" s="44" t="s">
        <v>312</v>
      </c>
      <c r="BP619" s="44" t="s">
        <v>312</v>
      </c>
      <c r="BQ619" s="44" t="s">
        <v>117</v>
      </c>
      <c r="BR619" s="44" t="s">
        <v>134</v>
      </c>
      <c r="BS619" s="44" t="s">
        <v>312</v>
      </c>
      <c r="BT619" s="44" t="s">
        <v>312</v>
      </c>
      <c r="BU619" s="44">
        <v>2010</v>
      </c>
      <c r="BV619" s="44">
        <v>2019</v>
      </c>
      <c r="BW619" s="44" t="s">
        <v>901</v>
      </c>
      <c r="BX619" s="44" t="s">
        <v>95</v>
      </c>
      <c r="BY619" s="44" t="s">
        <v>1418</v>
      </c>
      <c r="BZ619" s="44">
        <v>0</v>
      </c>
      <c r="CA619" s="44">
        <v>0</v>
      </c>
      <c r="CB619" s="44" t="s">
        <v>97</v>
      </c>
      <c r="CC619" s="44" t="s">
        <v>1375</v>
      </c>
      <c r="CD619" s="44">
        <v>0</v>
      </c>
      <c r="CE619" s="44" t="s">
        <v>97</v>
      </c>
      <c r="CF619" s="44">
        <v>0</v>
      </c>
      <c r="CG619" s="44" t="s">
        <v>97</v>
      </c>
      <c r="CH619" s="44">
        <v>0</v>
      </c>
      <c r="CI619" s="44" t="s">
        <v>1402</v>
      </c>
      <c r="CJ619" s="44" t="s">
        <v>98</v>
      </c>
      <c r="CK619" s="44">
        <v>32</v>
      </c>
      <c r="CL619" s="44">
        <v>0</v>
      </c>
      <c r="CM619" s="44">
        <v>0</v>
      </c>
      <c r="CN619" s="44" t="s">
        <v>99</v>
      </c>
      <c r="CO619" s="44" t="s">
        <v>1446</v>
      </c>
      <c r="CP619" s="44" t="s">
        <v>100</v>
      </c>
      <c r="CQ619" s="44" t="s">
        <v>126</v>
      </c>
      <c r="CR619" s="45">
        <v>46232</v>
      </c>
      <c r="CT619" s="44" t="s">
        <v>1448</v>
      </c>
      <c r="CU619" s="44" t="s">
        <v>1419</v>
      </c>
    </row>
    <row r="620" spans="1:99" s="44" customFormat="1" x14ac:dyDescent="0.35">
      <c r="A620" s="43" t="s">
        <v>1403</v>
      </c>
      <c r="B620" s="81" t="s">
        <v>1437</v>
      </c>
      <c r="C620" s="44" t="s">
        <v>1404</v>
      </c>
      <c r="D620" s="44">
        <v>2025</v>
      </c>
      <c r="E620" s="64" t="s">
        <v>1405</v>
      </c>
      <c r="F620" s="43" t="s">
        <v>1406</v>
      </c>
      <c r="G620" s="44" t="s">
        <v>78</v>
      </c>
      <c r="H620" s="44">
        <v>1</v>
      </c>
      <c r="I620" s="44" t="s">
        <v>290</v>
      </c>
      <c r="J620" s="44" t="s">
        <v>79</v>
      </c>
      <c r="K620" s="44">
        <v>1</v>
      </c>
      <c r="L620" s="44" t="s">
        <v>80</v>
      </c>
      <c r="M620" s="44" t="s">
        <v>380</v>
      </c>
      <c r="N620" s="44">
        <v>-0.14199999999999999</v>
      </c>
      <c r="O620" s="44">
        <v>4.3999999999999997E-2</v>
      </c>
      <c r="P620" s="91">
        <f>N620/O620</f>
        <v>-3.2272727272727271</v>
      </c>
      <c r="Q620" s="44" t="s">
        <v>312</v>
      </c>
      <c r="R620" s="91">
        <f>N620-1.96*O620</f>
        <v>-0.22824</v>
      </c>
      <c r="S620" s="91">
        <f>N620+1.96*O620</f>
        <v>-5.575999999999999E-2</v>
      </c>
      <c r="T620" s="44">
        <v>1</v>
      </c>
      <c r="U620" s="44" t="s">
        <v>312</v>
      </c>
      <c r="V620" s="44" t="s">
        <v>312</v>
      </c>
      <c r="W620" s="44" t="s">
        <v>312</v>
      </c>
      <c r="X620" s="44" t="str">
        <f t="shared" si="259"/>
        <v>NA</v>
      </c>
      <c r="Y620" s="91" t="str">
        <f t="shared" si="260"/>
        <v>NA</v>
      </c>
      <c r="Z620" s="91" t="str">
        <f t="shared" si="260"/>
        <v>NA</v>
      </c>
      <c r="AA620" s="91" t="str">
        <f t="shared" si="260"/>
        <v>NA</v>
      </c>
      <c r="AB620" s="44" t="str">
        <f t="shared" si="260"/>
        <v>NA</v>
      </c>
      <c r="AC620" s="91">
        <f t="shared" si="249"/>
        <v>-0.14199999999999999</v>
      </c>
      <c r="AD620" s="91" cm="1">
        <f t="array" ref="AD620">_xlfn.IFS(
AND(L620="marginal_effect",M620="level"),N620*AN620/BF620,
AND(L620="marginal_effect",M620="sd (Y)"),N620*BI620*AN620/BF620,
AND(L620="marginal_effect",M620="sd (X)"),N620/AQ620*AN620/BF620,
AND(L620="semi_elasticity",M620="level"),N620*AN620,
AND(L620="semi_elasticity",M620="sd (Y)"),N620*AN620*BI620,
AND(L620="semi_elasticity",M620="sd (X)"),N620*AN620/AQ620,
AND(L620="level-log",M620="level"),N620/BF620,
AND(L620="level-log",M620="sd (X)"),N620/BF620/AQ620,
AND(L620="level-log",M620="sd (Y)"),N620/BF620*BI620,
AND(L620="elasticity",M620="level"),N620,
AND(L620="elasticity",M620="sd (X)"),N620/AQ620,
AND(L620="elasticity",M620="sd (Y)"),N620*BI620,
AND(L620="marginal_effect",M620="percent_of_mean"),N620*AN620/BF620/10)</f>
        <v>-0.14199999999999999</v>
      </c>
      <c r="AE620" s="50">
        <f t="shared" si="250"/>
        <v>1</v>
      </c>
      <c r="AF620" s="91">
        <f t="shared" si="251"/>
        <v>4.3999999999999997E-2</v>
      </c>
      <c r="AG620" s="91" cm="1">
        <f t="array" ref="AG620">_xlfn.IFS(
AND(L620="marginal_effect",M620="level"),O620*AN620/BF620,
AND(L620="marginal_effect",M620="sd (Y)"),O620*BI620*AN620/BF620,
AND(L620="marginal_effect",M620="sd (X)"),O620/AQ620*AN620/BF620,
AND(L620="semi_elasticity",M620="level"),O620*AN620,
AND(L620="semi_elasticity",M620="sd (Y)"),O620*AN620*BI620,
AND(L620="semi_elasticity",M620="sd (X)"),O620*AN620/AQ620,
AND(L620="level-log",M620="level"),O620/BF620,
AND(L620="level-log",M620="sd (X)"),O620/BF620/AQ620,
AND(L620="level-log",M620="sd (Y)"),O620/BF620*BI620,
AND(L620="elasticity",M620="level"),O620,
AND(L620="elasticity",M620="sd (X)"),O620/AQ620,
AND(L620="elasticity",M620="sd (Y)"),O620*BI620,
AND(L620="marginal_effect",M620="percent_of_mean"),O620*AN620/BF620/10)</f>
        <v>4.3999999999999997E-2</v>
      </c>
      <c r="AH620" s="50">
        <f t="shared" si="252"/>
        <v>1</v>
      </c>
      <c r="AI620" s="91">
        <f t="shared" si="257"/>
        <v>-0.14199999999999999</v>
      </c>
      <c r="AJ620" s="44">
        <v>0</v>
      </c>
      <c r="AK620" s="44">
        <f t="shared" si="253"/>
        <v>1</v>
      </c>
      <c r="AL620" s="44" t="s">
        <v>2176</v>
      </c>
      <c r="AM620" s="76" t="s">
        <v>1411</v>
      </c>
      <c r="AN620" s="76">
        <v>3.4020000000000001</v>
      </c>
      <c r="AO620" s="76">
        <v>1</v>
      </c>
      <c r="AP620" s="76">
        <f t="shared" si="258"/>
        <v>3.4020000000000001</v>
      </c>
      <c r="AQ620" s="76">
        <v>0.34499999999999997</v>
      </c>
      <c r="AR620" s="76">
        <v>2.2650000000000001</v>
      </c>
      <c r="AS620" s="76">
        <v>3.9079999999999999</v>
      </c>
      <c r="AT620" s="44" t="s">
        <v>107</v>
      </c>
      <c r="AU620" s="44" t="s">
        <v>109</v>
      </c>
      <c r="AV620" s="44" t="s">
        <v>133</v>
      </c>
      <c r="AW620" s="44" t="s">
        <v>134</v>
      </c>
      <c r="AX620" s="44" t="s">
        <v>110</v>
      </c>
      <c r="AY620" s="76">
        <v>365</v>
      </c>
      <c r="AZ620" s="76">
        <v>365</v>
      </c>
      <c r="BA620" s="44" t="s">
        <v>391</v>
      </c>
      <c r="BB620" s="44" t="s">
        <v>134</v>
      </c>
      <c r="BC620" s="44" t="s">
        <v>134</v>
      </c>
      <c r="BD620" s="44" t="s">
        <v>134</v>
      </c>
      <c r="BE620" s="44" t="s">
        <v>1410</v>
      </c>
      <c r="BF620" s="44">
        <v>13.933999999999999</v>
      </c>
      <c r="BG620" s="44">
        <v>1</v>
      </c>
      <c r="BH620" s="44">
        <v>0.94</v>
      </c>
      <c r="BI620" s="44">
        <v>11.708</v>
      </c>
      <c r="BJ620" s="44">
        <v>16.571999999999999</v>
      </c>
      <c r="BK620" s="44" t="s">
        <v>91</v>
      </c>
      <c r="BL620" s="44" t="s">
        <v>116</v>
      </c>
      <c r="BM620" s="44">
        <v>1</v>
      </c>
      <c r="BN620" s="44" t="s">
        <v>1407</v>
      </c>
      <c r="BO620" s="44" t="s">
        <v>312</v>
      </c>
      <c r="BP620" s="44" t="s">
        <v>312</v>
      </c>
      <c r="BQ620" s="44" t="s">
        <v>117</v>
      </c>
      <c r="BR620" s="44" t="s">
        <v>134</v>
      </c>
      <c r="BS620" s="44" t="s">
        <v>312</v>
      </c>
      <c r="BT620" s="44" t="s">
        <v>312</v>
      </c>
      <c r="BU620" s="44">
        <v>2010</v>
      </c>
      <c r="BV620" s="44">
        <v>2019</v>
      </c>
      <c r="BW620" s="44" t="s">
        <v>901</v>
      </c>
      <c r="BX620" s="44" t="s">
        <v>95</v>
      </c>
      <c r="BY620" s="44" t="s">
        <v>1418</v>
      </c>
      <c r="BZ620" s="44">
        <v>0</v>
      </c>
      <c r="CA620" s="44">
        <v>0</v>
      </c>
      <c r="CB620" s="44" t="s">
        <v>97</v>
      </c>
      <c r="CC620" s="44" t="s">
        <v>1375</v>
      </c>
      <c r="CD620" s="44">
        <v>0</v>
      </c>
      <c r="CE620" s="44" t="s">
        <v>97</v>
      </c>
      <c r="CF620" s="44">
        <v>0</v>
      </c>
      <c r="CG620" s="44" t="s">
        <v>97</v>
      </c>
      <c r="CH620" s="44">
        <v>0</v>
      </c>
      <c r="CI620" s="44" t="s">
        <v>1402</v>
      </c>
      <c r="CJ620" s="44" t="s">
        <v>98</v>
      </c>
      <c r="CK620" s="44">
        <v>32</v>
      </c>
      <c r="CL620" s="44">
        <v>0</v>
      </c>
      <c r="CM620" s="44">
        <v>0</v>
      </c>
      <c r="CN620" s="44" t="s">
        <v>99</v>
      </c>
      <c r="CO620" s="44" t="s">
        <v>1446</v>
      </c>
      <c r="CP620" s="44" t="s">
        <v>100</v>
      </c>
      <c r="CQ620" s="44" t="s">
        <v>126</v>
      </c>
      <c r="CR620" s="45">
        <v>46232</v>
      </c>
      <c r="CT620" s="44" t="s">
        <v>1448</v>
      </c>
      <c r="CU620" s="44" t="s">
        <v>1419</v>
      </c>
    </row>
    <row r="621" spans="1:99" s="44" customFormat="1" x14ac:dyDescent="0.35">
      <c r="A621" s="43" t="s">
        <v>1403</v>
      </c>
      <c r="B621" s="81" t="s">
        <v>1438</v>
      </c>
      <c r="C621" s="44" t="s">
        <v>1404</v>
      </c>
      <c r="D621" s="44">
        <v>2025</v>
      </c>
      <c r="E621" s="64" t="s">
        <v>1405</v>
      </c>
      <c r="F621" s="43" t="s">
        <v>1406</v>
      </c>
      <c r="G621" s="44" t="s">
        <v>78</v>
      </c>
      <c r="H621" s="44">
        <v>1</v>
      </c>
      <c r="I621" s="44" t="s">
        <v>290</v>
      </c>
      <c r="J621" s="44" t="s">
        <v>79</v>
      </c>
      <c r="K621" s="44">
        <v>1</v>
      </c>
      <c r="L621" s="44" t="s">
        <v>80</v>
      </c>
      <c r="M621" s="44" t="s">
        <v>380</v>
      </c>
      <c r="N621" s="44">
        <f>-1.107+0.698</f>
        <v>-0.40900000000000003</v>
      </c>
      <c r="O621" s="44" t="s">
        <v>312</v>
      </c>
      <c r="P621" s="91" t="s">
        <v>312</v>
      </c>
      <c r="Q621" s="44" t="s">
        <v>312</v>
      </c>
      <c r="R621" s="91" t="s">
        <v>312</v>
      </c>
      <c r="S621" s="91" t="s">
        <v>312</v>
      </c>
      <c r="T621" s="44" t="s">
        <v>312</v>
      </c>
      <c r="U621" s="44" t="s">
        <v>312</v>
      </c>
      <c r="V621" s="44" t="s">
        <v>312</v>
      </c>
      <c r="W621" s="44" t="s">
        <v>312</v>
      </c>
      <c r="X621" s="44" t="str">
        <f t="shared" si="259"/>
        <v>NA</v>
      </c>
      <c r="Y621" s="91" t="str">
        <f t="shared" si="260"/>
        <v>NA</v>
      </c>
      <c r="Z621" s="91" t="str">
        <f t="shared" si="260"/>
        <v>NA</v>
      </c>
      <c r="AA621" s="91" t="str">
        <f t="shared" si="260"/>
        <v>NA</v>
      </c>
      <c r="AB621" s="44" t="str">
        <f t="shared" si="260"/>
        <v>NA</v>
      </c>
      <c r="AC621" s="91">
        <f t="shared" si="249"/>
        <v>-0.40900000000000003</v>
      </c>
      <c r="AD621" s="91" cm="1">
        <f t="array" ref="AD621">_xlfn.IFS(
AND(L621="marginal_effect",M621="level"),N621*AN621/BF621,
AND(L621="marginal_effect",M621="sd (Y)"),N621*BI621*AN621/BF621,
AND(L621="marginal_effect",M621="sd (X)"),N621/AQ621*AN621/BF621,
AND(L621="semi_elasticity",M621="level"),N621*AN621,
AND(L621="semi_elasticity",M621="sd (Y)"),N621*AN621*BI621,
AND(L621="semi_elasticity",M621="sd (X)"),N621*AN621/AQ621,
AND(L621="level-log",M621="level"),N621/BF621,
AND(L621="level-log",M621="sd (X)"),N621/BF621/AQ621,
AND(L621="level-log",M621="sd (Y)"),N621/BF621*BI621,
AND(L621="elasticity",M621="level"),N621,
AND(L621="elasticity",M621="sd (X)"),N621/AQ621,
AND(L621="elasticity",M621="sd (Y)"),N621*BI621,
AND(L621="marginal_effect",M621="percent_of_mean"),N621*AN621/BF621/10)</f>
        <v>-0.40900000000000003</v>
      </c>
      <c r="AE621" s="50">
        <f t="shared" si="250"/>
        <v>1</v>
      </c>
      <c r="AF621" s="91" t="str">
        <f t="shared" si="251"/>
        <v>NA</v>
      </c>
      <c r="AG621" s="91" t="str" cm="1">
        <f t="array" ref="AG621">_xlfn.IFS(
AND(L621="marginal_effect",M621="level"),O621*AN621/BF621,
AND(L621="marginal_effect",M621="sd (Y)"),O621*BI621*AN621/BF621,
AND(L621="marginal_effect",M621="sd (X)"),O621/AQ621*AN621/BF621,
AND(L621="semi_elasticity",M621="level"),O621*AN621,
AND(L621="semi_elasticity",M621="sd (Y)"),O621*AN621*BI621,
AND(L621="semi_elasticity",M621="sd (X)"),O621*AN621/AQ621,
AND(L621="level-log",M621="level"),O621/BF621,
AND(L621="level-log",M621="sd (X)"),O621/BF621/AQ621,
AND(L621="level-log",M621="sd (Y)"),O621/BF621*BI621,
AND(L621="elasticity",M621="level"),O621,
AND(L621="elasticity",M621="sd (X)"),O621/AQ621,
AND(L621="elasticity",M621="sd (Y)"),O621*BI621,
AND(L621="marginal_effect",M621="percent_of_mean"),O621*AN621/BF621/10)</f>
        <v>NA</v>
      </c>
      <c r="AH621" s="50">
        <f t="shared" si="252"/>
        <v>1</v>
      </c>
      <c r="AI621" s="91">
        <f t="shared" si="257"/>
        <v>-0.40900000000000003</v>
      </c>
      <c r="AJ621" s="44">
        <v>0</v>
      </c>
      <c r="AK621" s="44" t="e">
        <f t="shared" si="253"/>
        <v>#VALUE!</v>
      </c>
      <c r="AL621" s="44" t="s">
        <v>2176</v>
      </c>
      <c r="AM621" s="76" t="s">
        <v>1411</v>
      </c>
      <c r="AN621" s="76">
        <v>3.4020000000000001</v>
      </c>
      <c r="AO621" s="76">
        <v>1</v>
      </c>
      <c r="AP621" s="76">
        <f t="shared" si="258"/>
        <v>3.4020000000000001</v>
      </c>
      <c r="AQ621" s="76">
        <v>0.34499999999999997</v>
      </c>
      <c r="AR621" s="76">
        <v>2.2650000000000001</v>
      </c>
      <c r="AS621" s="76">
        <v>3.9079999999999999</v>
      </c>
      <c r="AT621" s="44" t="s">
        <v>107</v>
      </c>
      <c r="AU621" s="44" t="s">
        <v>109</v>
      </c>
      <c r="AV621" s="44" t="s">
        <v>133</v>
      </c>
      <c r="AW621" s="44" t="s">
        <v>134</v>
      </c>
      <c r="AX621" s="44" t="s">
        <v>110</v>
      </c>
      <c r="AY621" s="76">
        <v>365</v>
      </c>
      <c r="AZ621" s="76">
        <v>365</v>
      </c>
      <c r="BA621" s="44" t="s">
        <v>391</v>
      </c>
      <c r="BB621" s="44" t="s">
        <v>134</v>
      </c>
      <c r="BC621" s="44" t="s">
        <v>134</v>
      </c>
      <c r="BD621" s="44" t="s">
        <v>134</v>
      </c>
      <c r="BE621" s="44" t="s">
        <v>1410</v>
      </c>
      <c r="BF621" s="44">
        <v>13.933999999999999</v>
      </c>
      <c r="BG621" s="44">
        <v>1</v>
      </c>
      <c r="BH621" s="44">
        <v>0.94</v>
      </c>
      <c r="BI621" s="44">
        <v>11.708</v>
      </c>
      <c r="BJ621" s="44">
        <v>16.571999999999999</v>
      </c>
      <c r="BK621" s="44" t="s">
        <v>91</v>
      </c>
      <c r="BL621" s="44" t="s">
        <v>116</v>
      </c>
      <c r="BM621" s="44">
        <v>1</v>
      </c>
      <c r="BN621" s="44" t="s">
        <v>1407</v>
      </c>
      <c r="BO621" s="44" t="s">
        <v>312</v>
      </c>
      <c r="BP621" s="44" t="s">
        <v>312</v>
      </c>
      <c r="BQ621" s="44" t="s">
        <v>117</v>
      </c>
      <c r="BR621" s="44" t="s">
        <v>134</v>
      </c>
      <c r="BS621" s="44" t="s">
        <v>312</v>
      </c>
      <c r="BT621" s="44" t="s">
        <v>312</v>
      </c>
      <c r="BU621" s="44">
        <v>2010</v>
      </c>
      <c r="BV621" s="44">
        <v>2019</v>
      </c>
      <c r="BW621" s="44" t="s">
        <v>901</v>
      </c>
      <c r="BX621" s="44" t="s">
        <v>95</v>
      </c>
      <c r="BY621" s="44" t="s">
        <v>1418</v>
      </c>
      <c r="BZ621" s="44">
        <v>0</v>
      </c>
      <c r="CA621" s="44">
        <v>0</v>
      </c>
      <c r="CB621" s="44" t="s">
        <v>97</v>
      </c>
      <c r="CC621" s="44" t="s">
        <v>1375</v>
      </c>
      <c r="CD621" s="44">
        <v>0</v>
      </c>
      <c r="CE621" s="44" t="s">
        <v>97</v>
      </c>
      <c r="CF621" s="44">
        <v>0</v>
      </c>
      <c r="CG621" s="44" t="s">
        <v>97</v>
      </c>
      <c r="CH621" s="44">
        <v>0</v>
      </c>
      <c r="CI621" s="44" t="s">
        <v>1402</v>
      </c>
      <c r="CJ621" s="44" t="s">
        <v>98</v>
      </c>
      <c r="CK621" s="44">
        <v>32</v>
      </c>
      <c r="CL621" s="44">
        <v>0</v>
      </c>
      <c r="CM621" s="44">
        <v>0</v>
      </c>
      <c r="CN621" s="44" t="s">
        <v>99</v>
      </c>
      <c r="CO621" s="44" t="s">
        <v>1446</v>
      </c>
      <c r="CP621" s="44" t="s">
        <v>100</v>
      </c>
      <c r="CQ621" s="44" t="s">
        <v>126</v>
      </c>
      <c r="CR621" s="45">
        <v>46232</v>
      </c>
      <c r="CT621" s="44" t="s">
        <v>1448</v>
      </c>
    </row>
    <row r="622" spans="1:99" s="44" customFormat="1" x14ac:dyDescent="0.35">
      <c r="A622" s="43" t="s">
        <v>1403</v>
      </c>
      <c r="B622" s="81" t="s">
        <v>1439</v>
      </c>
      <c r="C622" s="44" t="s">
        <v>1404</v>
      </c>
      <c r="D622" s="44">
        <v>2025</v>
      </c>
      <c r="E622" s="64" t="s">
        <v>1405</v>
      </c>
      <c r="F622" s="43" t="s">
        <v>1406</v>
      </c>
      <c r="G622" s="44" t="s">
        <v>78</v>
      </c>
      <c r="H622" s="44">
        <v>1</v>
      </c>
      <c r="I622" s="44" t="s">
        <v>290</v>
      </c>
      <c r="J622" s="44" t="s">
        <v>79</v>
      </c>
      <c r="K622" s="44">
        <v>1</v>
      </c>
      <c r="L622" s="44" t="s">
        <v>80</v>
      </c>
      <c r="M622" s="44" t="s">
        <v>380</v>
      </c>
      <c r="N622" s="44">
        <v>-1.107</v>
      </c>
      <c r="O622" s="44">
        <v>0.35399999999999998</v>
      </c>
      <c r="P622" s="91">
        <f t="shared" ref="P622:P661" si="261">N622/O622</f>
        <v>-3.1271186440677967</v>
      </c>
      <c r="Q622" s="44" t="s">
        <v>312</v>
      </c>
      <c r="R622" s="91">
        <f t="shared" ref="R622:R661" si="262">N622-1.96*O622</f>
        <v>-1.80084</v>
      </c>
      <c r="S622" s="91">
        <f t="shared" ref="S622:S661" si="263">N622+1.96*O622</f>
        <v>-0.41316000000000008</v>
      </c>
      <c r="T622" s="44">
        <v>1</v>
      </c>
      <c r="U622" s="44">
        <v>11020</v>
      </c>
      <c r="V622" s="44" t="s">
        <v>312</v>
      </c>
      <c r="W622" s="44" t="s">
        <v>312</v>
      </c>
      <c r="X622" s="44">
        <f t="shared" si="259"/>
        <v>11020</v>
      </c>
      <c r="Y622" s="91">
        <f t="shared" ref="Y622:Y661" si="264">P622/(P622^2 + X622)^(1/2)</f>
        <v>-2.9775629785777E-2</v>
      </c>
      <c r="Z622" s="91">
        <f t="shared" ref="Z622:Z661" si="265">((1-Y622^2)/X622)^(1/2)</f>
        <v>9.5217461103568723E-3</v>
      </c>
      <c r="AA622" s="91">
        <f t="shared" ref="AA622:AA661" si="266">-Y622</f>
        <v>2.9775629785777E-2</v>
      </c>
      <c r="AB622" s="44" t="s">
        <v>81</v>
      </c>
      <c r="AC622" s="91">
        <f t="shared" si="249"/>
        <v>-1.107</v>
      </c>
      <c r="AD622" s="91" cm="1">
        <f t="array" ref="AD622">_xlfn.IFS(
AND(L622="marginal_effect",M622="level"),N622*AN622/BF622,
AND(L622="marginal_effect",M622="sd (Y)"),N622*BI622*AN622/BF622,
AND(L622="marginal_effect",M622="sd (X)"),N622/AQ622*AN622/BF622,
AND(L622="semi_elasticity",M622="level"),N622*AN622,
AND(L622="semi_elasticity",M622="sd (Y)"),N622*AN622*BI622,
AND(L622="semi_elasticity",M622="sd (X)"),N622*AN622/AQ622,
AND(L622="level-log",M622="level"),N622/BF622,
AND(L622="level-log",M622="sd (X)"),N622/BF622/AQ622,
AND(L622="level-log",M622="sd (Y)"),N622/BF622*BI622,
AND(L622="elasticity",M622="level"),N622,
AND(L622="elasticity",M622="sd (X)"),N622/AQ622,
AND(L622="elasticity",M622="sd (Y)"),N622*BI622,
AND(L622="marginal_effect",M622="percent_of_mean"),N622*AN622/BF622/10)</f>
        <v>-1.107</v>
      </c>
      <c r="AE622" s="50">
        <f t="shared" si="250"/>
        <v>1</v>
      </c>
      <c r="AF622" s="91">
        <f t="shared" si="251"/>
        <v>0.35399999999999998</v>
      </c>
      <c r="AG622" s="91" cm="1">
        <f t="array" ref="AG622">_xlfn.IFS(
AND(L622="marginal_effect",M622="level"),O622*AN622/BF622,
AND(L622="marginal_effect",M622="sd (Y)"),O622*BI622*AN622/BF622,
AND(L622="marginal_effect",M622="sd (X)"),O622/AQ622*AN622/BF622,
AND(L622="semi_elasticity",M622="level"),O622*AN622,
AND(L622="semi_elasticity",M622="sd (Y)"),O622*AN622*BI622,
AND(L622="semi_elasticity",M622="sd (X)"),O622*AN622/AQ622,
AND(L622="level-log",M622="level"),O622/BF622,
AND(L622="level-log",M622="sd (X)"),O622/BF622/AQ622,
AND(L622="level-log",M622="sd (Y)"),O622/BF622*BI622,
AND(L622="elasticity",M622="level"),O622,
AND(L622="elasticity",M622="sd (X)"),O622/AQ622,
AND(L622="elasticity",M622="sd (Y)"),O622*BI622,
AND(L622="marginal_effect",M622="percent_of_mean"),O622*AN622/BF622/10)</f>
        <v>0.35399999999999998</v>
      </c>
      <c r="AH622" s="50">
        <f t="shared" si="252"/>
        <v>1</v>
      </c>
      <c r="AI622" s="91">
        <f t="shared" si="257"/>
        <v>-1.107</v>
      </c>
      <c r="AJ622" s="44">
        <v>0</v>
      </c>
      <c r="AK622" s="44">
        <f t="shared" si="253"/>
        <v>1</v>
      </c>
      <c r="AL622" s="44" t="s">
        <v>2176</v>
      </c>
      <c r="AM622" s="76" t="s">
        <v>1411</v>
      </c>
      <c r="AN622" s="76">
        <v>3.4020000000000001</v>
      </c>
      <c r="AO622" s="76">
        <v>1</v>
      </c>
      <c r="AP622" s="76">
        <f t="shared" si="258"/>
        <v>3.4020000000000001</v>
      </c>
      <c r="AQ622" s="76">
        <v>0.34499999999999997</v>
      </c>
      <c r="AR622" s="76">
        <v>2.2650000000000001</v>
      </c>
      <c r="AS622" s="76">
        <v>3.9079999999999999</v>
      </c>
      <c r="AT622" s="44" t="s">
        <v>107</v>
      </c>
      <c r="AU622" s="44" t="s">
        <v>109</v>
      </c>
      <c r="AV622" s="44" t="s">
        <v>133</v>
      </c>
      <c r="AW622" s="44" t="s">
        <v>134</v>
      </c>
      <c r="AX622" s="44" t="s">
        <v>110</v>
      </c>
      <c r="AY622" s="76">
        <v>365</v>
      </c>
      <c r="AZ622" s="76">
        <v>365</v>
      </c>
      <c r="BA622" s="44" t="s">
        <v>391</v>
      </c>
      <c r="BB622" s="44" t="s">
        <v>134</v>
      </c>
      <c r="BC622" s="44" t="s">
        <v>134</v>
      </c>
      <c r="BD622" s="44" t="s">
        <v>134</v>
      </c>
      <c r="BE622" s="44" t="s">
        <v>1410</v>
      </c>
      <c r="BF622" s="44">
        <v>13.933999999999999</v>
      </c>
      <c r="BG622" s="44">
        <v>1</v>
      </c>
      <c r="BH622" s="44">
        <v>0.94</v>
      </c>
      <c r="BI622" s="44">
        <v>11.708</v>
      </c>
      <c r="BJ622" s="44">
        <v>16.571999999999999</v>
      </c>
      <c r="BK622" s="44" t="s">
        <v>91</v>
      </c>
      <c r="BL622" s="44" t="s">
        <v>116</v>
      </c>
      <c r="BM622" s="44">
        <v>1</v>
      </c>
      <c r="BN622" s="44" t="s">
        <v>1407</v>
      </c>
      <c r="BO622" s="44" t="s">
        <v>312</v>
      </c>
      <c r="BP622" s="44" t="s">
        <v>312</v>
      </c>
      <c r="BQ622" s="44" t="s">
        <v>117</v>
      </c>
      <c r="BR622" s="44" t="s">
        <v>134</v>
      </c>
      <c r="BS622" s="44" t="s">
        <v>312</v>
      </c>
      <c r="BT622" s="44" t="s">
        <v>312</v>
      </c>
      <c r="BU622" s="44">
        <v>2010</v>
      </c>
      <c r="BV622" s="44">
        <v>2019</v>
      </c>
      <c r="BW622" s="44" t="s">
        <v>901</v>
      </c>
      <c r="BX622" s="44" t="s">
        <v>95</v>
      </c>
      <c r="BY622" s="44" t="s">
        <v>1418</v>
      </c>
      <c r="BZ622" s="44">
        <v>0</v>
      </c>
      <c r="CA622" s="44">
        <v>0</v>
      </c>
      <c r="CB622" s="44" t="s">
        <v>97</v>
      </c>
      <c r="CC622" s="44" t="s">
        <v>1375</v>
      </c>
      <c r="CD622" s="44">
        <v>0</v>
      </c>
      <c r="CE622" s="44" t="s">
        <v>97</v>
      </c>
      <c r="CF622" s="44">
        <v>0</v>
      </c>
      <c r="CG622" s="44" t="s">
        <v>97</v>
      </c>
      <c r="CH622" s="44">
        <v>0</v>
      </c>
      <c r="CI622" s="44" t="s">
        <v>1402</v>
      </c>
      <c r="CJ622" s="44" t="s">
        <v>98</v>
      </c>
      <c r="CK622" s="44">
        <v>32</v>
      </c>
      <c r="CL622" s="44">
        <v>0</v>
      </c>
      <c r="CM622" s="44">
        <v>0</v>
      </c>
      <c r="CN622" s="44" t="s">
        <v>99</v>
      </c>
      <c r="CO622" s="44" t="s">
        <v>1446</v>
      </c>
      <c r="CP622" s="44" t="s">
        <v>100</v>
      </c>
      <c r="CQ622" s="44" t="s">
        <v>126</v>
      </c>
      <c r="CR622" s="45">
        <v>46232</v>
      </c>
      <c r="CT622" s="44" t="s">
        <v>1448</v>
      </c>
    </row>
    <row r="623" spans="1:99" s="47" customFormat="1" x14ac:dyDescent="0.35">
      <c r="A623" s="46" t="s">
        <v>2160</v>
      </c>
      <c r="B623" s="46" t="s">
        <v>2162</v>
      </c>
      <c r="C623" s="47" t="s">
        <v>2161</v>
      </c>
      <c r="D623" s="47">
        <v>2021</v>
      </c>
      <c r="E623" s="66" t="s">
        <v>1449</v>
      </c>
      <c r="F623" s="46" t="s">
        <v>1450</v>
      </c>
      <c r="G623" s="47" t="s">
        <v>78</v>
      </c>
      <c r="H623" s="47">
        <v>1</v>
      </c>
      <c r="I623" s="47" t="s">
        <v>290</v>
      </c>
      <c r="J623" s="47" t="s">
        <v>79</v>
      </c>
      <c r="K623" s="47">
        <v>34</v>
      </c>
      <c r="L623" s="47" t="s">
        <v>129</v>
      </c>
      <c r="M623" s="47" t="s">
        <v>380</v>
      </c>
      <c r="N623" s="47">
        <v>-8.9999999999999993E-3</v>
      </c>
      <c r="O623" s="47">
        <v>5.2999999999999999E-2</v>
      </c>
      <c r="P623" s="92">
        <f t="shared" si="261"/>
        <v>-0.16981132075471697</v>
      </c>
      <c r="Q623" s="47" t="s">
        <v>312</v>
      </c>
      <c r="R623" s="92">
        <f t="shared" si="262"/>
        <v>-0.11287999999999999</v>
      </c>
      <c r="S623" s="92">
        <f t="shared" si="263"/>
        <v>9.4880000000000006E-2</v>
      </c>
      <c r="T623" s="47">
        <v>1</v>
      </c>
      <c r="U623" s="47">
        <v>9376</v>
      </c>
      <c r="V623" s="47" t="s">
        <v>312</v>
      </c>
      <c r="W623" s="47" t="s">
        <v>312</v>
      </c>
      <c r="X623" s="47">
        <f t="shared" si="259"/>
        <v>9376</v>
      </c>
      <c r="Y623" s="92">
        <f t="shared" si="264"/>
        <v>-1.7537075539339367E-3</v>
      </c>
      <c r="Z623" s="92">
        <f t="shared" si="265"/>
        <v>1.0327388928722071E-2</v>
      </c>
      <c r="AA623" s="92">
        <f t="shared" si="266"/>
        <v>1.7537075539339367E-3</v>
      </c>
      <c r="AB623" s="47" t="s">
        <v>81</v>
      </c>
      <c r="AC623" s="92">
        <f t="shared" ref="AC623:AC636" si="267">N623*AN623/BF623</f>
        <v>-6.4173352435530087E-2</v>
      </c>
      <c r="AD623" s="92" cm="1">
        <f t="array" ref="AD623">_xlfn.IFS(
AND(L623="marginal_effect",M623="level"),N623*AN623/BF623,
AND(L623="marginal_effect",M623="sd (Y)"),N623*BI623*AN623/BF623,
AND(L623="marginal_effect",M623="sd (X)"),N623/AQ623*AN623/BF623,
AND(L623="semi_elasticity",M623="level"),N623*AN623,
AND(L623="semi_elasticity",M623="sd (Y)"),N623*AN623*BI623,
AND(L623="semi_elasticity",M623="sd (X)"),N623*AN623/AQ623,
AND(L623="level-log",M623="level"),N623/BF623,
AND(L623="level-log",M623="sd (X)"),N623/BF623/AQ623,
AND(L623="level-log",M623="sd (Y)"),N623/BF623*BI623,
AND(L623="elasticity",M623="level"),N623,
AND(L623="elasticity",M623="sd (X)"),N623/AQ623,
AND(L623="elasticity",M623="sd (Y)"),N623*BI623,
AND(L623="marginal_effect",M623="percent_of_mean"),N623*AN623/BF623/10)</f>
        <v>-6.4173352435530087E-2</v>
      </c>
      <c r="AE623" s="51">
        <f t="shared" si="250"/>
        <v>1</v>
      </c>
      <c r="AF623" s="92">
        <f t="shared" ref="AF623:AF636" si="268">O623*AN623/BF623</f>
        <v>0.37790974212034384</v>
      </c>
      <c r="AG623" s="92" cm="1">
        <f t="array" ref="AG623">_xlfn.IFS(
AND(L623="marginal_effect",M623="level"),O623*AN623/BF623,
AND(L623="marginal_effect",M623="sd (Y)"),O623*BI623*AN623/BF623,
AND(L623="marginal_effect",M623="sd (X)"),O623/AQ623*AN623/BF623,
AND(L623="semi_elasticity",M623="level"),O623*AN623,
AND(L623="semi_elasticity",M623="sd (Y)"),O623*AN623*BI623,
AND(L623="semi_elasticity",M623="sd (X)"),O623*AN623/AQ623,
AND(L623="level-log",M623="level"),O623/BF623,
AND(L623="level-log",M623="sd (X)"),O623/BF623/AQ623,
AND(L623="level-log",M623="sd (Y)"),O623/BF623*BI623,
AND(L623="elasticity",M623="level"),O623,
AND(L623="elasticity",M623="sd (X)"),O623/AQ623,
AND(L623="elasticity",M623="sd (Y)"),O623*BI623,
AND(L623="marginal_effect",M623="percent_of_mean"),O623*AN623/BF623/10)</f>
        <v>0.37790974212034384</v>
      </c>
      <c r="AH623" s="51">
        <f t="shared" si="252"/>
        <v>1</v>
      </c>
      <c r="AI623" s="92">
        <f t="shared" si="257"/>
        <v>-6.4173352435530087E-2</v>
      </c>
      <c r="AJ623" s="47">
        <v>0</v>
      </c>
      <c r="AK623" s="47">
        <f t="shared" si="253"/>
        <v>1</v>
      </c>
      <c r="AL623" s="47" t="s">
        <v>82</v>
      </c>
      <c r="AM623" s="47" t="s">
        <v>1333</v>
      </c>
      <c r="AN623" s="47">
        <v>49.77</v>
      </c>
      <c r="AO623" s="47">
        <v>0</v>
      </c>
      <c r="AP623" s="47">
        <f t="shared" si="258"/>
        <v>49.77</v>
      </c>
      <c r="AQ623" s="47">
        <v>18.54</v>
      </c>
      <c r="AR623" s="47">
        <v>6.27</v>
      </c>
      <c r="AS623" s="47">
        <v>110.6</v>
      </c>
      <c r="AT623" s="47" t="s">
        <v>107</v>
      </c>
      <c r="AU623" s="47" t="s">
        <v>109</v>
      </c>
      <c r="AV623" s="47" t="s">
        <v>133</v>
      </c>
      <c r="AW623" s="47" t="s">
        <v>109</v>
      </c>
      <c r="AX623" s="47" t="s">
        <v>110</v>
      </c>
      <c r="AY623" s="47">
        <v>365</v>
      </c>
      <c r="AZ623" s="76">
        <v>365</v>
      </c>
      <c r="BA623" s="47" t="s">
        <v>391</v>
      </c>
      <c r="BB623" s="47" t="s">
        <v>134</v>
      </c>
      <c r="BC623" s="47" t="s">
        <v>134</v>
      </c>
      <c r="BD623" s="47" t="s">
        <v>134</v>
      </c>
      <c r="BE623" s="47" t="s">
        <v>1451</v>
      </c>
      <c r="BF623" s="47">
        <v>6.98</v>
      </c>
      <c r="BG623" s="47">
        <v>0</v>
      </c>
      <c r="BH623" s="47">
        <v>13.26</v>
      </c>
      <c r="BI623" s="47">
        <v>0.13</v>
      </c>
      <c r="BJ623" s="47">
        <v>427.17</v>
      </c>
      <c r="BK623" s="47" t="s">
        <v>91</v>
      </c>
      <c r="BL623" s="47" t="s">
        <v>116</v>
      </c>
      <c r="BM623" s="47">
        <v>1</v>
      </c>
      <c r="BN623" s="47" t="s">
        <v>1452</v>
      </c>
      <c r="BO623" s="47" t="s">
        <v>312</v>
      </c>
      <c r="BP623" s="47" t="s">
        <v>312</v>
      </c>
      <c r="BQ623" s="47" t="s">
        <v>117</v>
      </c>
      <c r="BR623" s="47" t="s">
        <v>134</v>
      </c>
      <c r="BS623" s="47" t="s">
        <v>312</v>
      </c>
      <c r="BT623" s="47" t="s">
        <v>312</v>
      </c>
      <c r="BU623" s="47">
        <v>2000</v>
      </c>
      <c r="BV623" s="47">
        <v>2015</v>
      </c>
      <c r="BW623" s="47" t="s">
        <v>901</v>
      </c>
      <c r="BX623" s="47" t="s">
        <v>95</v>
      </c>
      <c r="BY623" s="47" t="s">
        <v>96</v>
      </c>
      <c r="BZ623" s="47">
        <v>0</v>
      </c>
      <c r="CA623" s="47">
        <v>0</v>
      </c>
      <c r="CB623" s="47" t="s">
        <v>97</v>
      </c>
      <c r="CC623" s="47" t="s">
        <v>314</v>
      </c>
      <c r="CD623" s="47">
        <v>1</v>
      </c>
      <c r="CE623" s="47" t="s">
        <v>1453</v>
      </c>
      <c r="CF623" s="47">
        <v>0</v>
      </c>
      <c r="CG623" s="47" t="s">
        <v>97</v>
      </c>
      <c r="CH623" s="47">
        <v>0</v>
      </c>
      <c r="CI623" s="47" t="s">
        <v>1454</v>
      </c>
      <c r="CJ623" s="47" t="s">
        <v>98</v>
      </c>
      <c r="CK623" s="47">
        <v>14</v>
      </c>
      <c r="CL623" s="47">
        <v>0</v>
      </c>
      <c r="CM623" s="47">
        <v>0</v>
      </c>
      <c r="CN623" s="47" t="s">
        <v>99</v>
      </c>
      <c r="CO623" s="47" t="s">
        <v>97</v>
      </c>
      <c r="CP623" s="47" t="s">
        <v>100</v>
      </c>
      <c r="CQ623" s="47" t="s">
        <v>126</v>
      </c>
      <c r="CR623" s="48">
        <v>46232</v>
      </c>
      <c r="CT623" s="47" t="s">
        <v>778</v>
      </c>
    </row>
    <row r="624" spans="1:99" s="47" customFormat="1" x14ac:dyDescent="0.35">
      <c r="A624" s="46" t="s">
        <v>2160</v>
      </c>
      <c r="B624" s="46" t="s">
        <v>2163</v>
      </c>
      <c r="C624" s="47" t="s">
        <v>2161</v>
      </c>
      <c r="D624" s="47">
        <v>2021</v>
      </c>
      <c r="E624" s="66" t="s">
        <v>1449</v>
      </c>
      <c r="F624" s="46" t="s">
        <v>1450</v>
      </c>
      <c r="G624" s="47" t="s">
        <v>78</v>
      </c>
      <c r="H624" s="47">
        <v>1</v>
      </c>
      <c r="I624" s="47" t="s">
        <v>290</v>
      </c>
      <c r="J624" s="47" t="s">
        <v>79</v>
      </c>
      <c r="K624" s="47">
        <v>34</v>
      </c>
      <c r="L624" s="47" t="s">
        <v>129</v>
      </c>
      <c r="M624" s="47" t="s">
        <v>380</v>
      </c>
      <c r="N624" s="47">
        <v>-0.34</v>
      </c>
      <c r="O624" s="47">
        <v>0.17</v>
      </c>
      <c r="P624" s="92">
        <f t="shared" si="261"/>
        <v>-2</v>
      </c>
      <c r="Q624" s="47" t="s">
        <v>312</v>
      </c>
      <c r="R624" s="92">
        <f t="shared" si="262"/>
        <v>-0.67320000000000002</v>
      </c>
      <c r="S624" s="92">
        <f t="shared" si="263"/>
        <v>-6.8000000000000282E-3</v>
      </c>
      <c r="T624" s="47">
        <v>1</v>
      </c>
      <c r="U624" s="47">
        <v>9376</v>
      </c>
      <c r="V624" s="47" t="s">
        <v>312</v>
      </c>
      <c r="W624" s="47" t="s">
        <v>312</v>
      </c>
      <c r="X624" s="47">
        <f t="shared" si="259"/>
        <v>9376</v>
      </c>
      <c r="Y624" s="92">
        <f t="shared" si="264"/>
        <v>-2.0650405139110022E-2</v>
      </c>
      <c r="Z624" s="92">
        <f t="shared" si="265"/>
        <v>1.0325202569555011E-2</v>
      </c>
      <c r="AA624" s="92">
        <f t="shared" si="266"/>
        <v>2.0650405139110022E-2</v>
      </c>
      <c r="AB624" s="47" t="s">
        <v>81</v>
      </c>
      <c r="AC624" s="92">
        <f t="shared" si="267"/>
        <v>-2.4243266475644698</v>
      </c>
      <c r="AD624" s="92" cm="1">
        <f t="array" ref="AD624">_xlfn.IFS(
AND(L624="marginal_effect",M624="level"),N624*AN624/BF624,
AND(L624="marginal_effect",M624="sd (Y)"),N624*BI624*AN624/BF624,
AND(L624="marginal_effect",M624="sd (X)"),N624/AQ624*AN624/BF624,
AND(L624="semi_elasticity",M624="level"),N624*AN624,
AND(L624="semi_elasticity",M624="sd (Y)"),N624*AN624*BI624,
AND(L624="semi_elasticity",M624="sd (X)"),N624*AN624/AQ624,
AND(L624="level-log",M624="level"),N624/BF624,
AND(L624="level-log",M624="sd (X)"),N624/BF624/AQ624,
AND(L624="level-log",M624="sd (Y)"),N624/BF624*BI624,
AND(L624="elasticity",M624="level"),N624,
AND(L624="elasticity",M624="sd (X)"),N624/AQ624,
AND(L624="elasticity",M624="sd (Y)"),N624*BI624,
AND(L624="marginal_effect",M624="percent_of_mean"),N624*AN624/BF624/10)</f>
        <v>-2.4243266475644698</v>
      </c>
      <c r="AE624" s="51">
        <f t="shared" si="250"/>
        <v>1</v>
      </c>
      <c r="AF624" s="92">
        <f t="shared" si="268"/>
        <v>1.2121633237822349</v>
      </c>
      <c r="AG624" s="92" cm="1">
        <f t="array" ref="AG624">_xlfn.IFS(
AND(L624="marginal_effect",M624="level"),O624*AN624/BF624,
AND(L624="marginal_effect",M624="sd (Y)"),O624*BI624*AN624/BF624,
AND(L624="marginal_effect",M624="sd (X)"),O624/AQ624*AN624/BF624,
AND(L624="semi_elasticity",M624="level"),O624*AN624,
AND(L624="semi_elasticity",M624="sd (Y)"),O624*AN624*BI624,
AND(L624="semi_elasticity",M624="sd (X)"),O624*AN624/AQ624,
AND(L624="level-log",M624="level"),O624/BF624,
AND(L624="level-log",M624="sd (X)"),O624/BF624/AQ624,
AND(L624="level-log",M624="sd (Y)"),O624/BF624*BI624,
AND(L624="elasticity",M624="level"),O624,
AND(L624="elasticity",M624="sd (X)"),O624/AQ624,
AND(L624="elasticity",M624="sd (Y)"),O624*BI624,
AND(L624="marginal_effect",M624="percent_of_mean"),O624*AN624/BF624/10)</f>
        <v>1.2121633237822349</v>
      </c>
      <c r="AH624" s="51">
        <f t="shared" si="252"/>
        <v>1</v>
      </c>
      <c r="AI624" s="92">
        <f t="shared" si="257"/>
        <v>-2.4243266475644698</v>
      </c>
      <c r="AJ624" s="47">
        <v>0</v>
      </c>
      <c r="AK624" s="47">
        <f t="shared" si="253"/>
        <v>1</v>
      </c>
      <c r="AL624" s="47" t="s">
        <v>82</v>
      </c>
      <c r="AM624" s="47" t="s">
        <v>1333</v>
      </c>
      <c r="AN624" s="47">
        <v>49.77</v>
      </c>
      <c r="AO624" s="47">
        <v>0</v>
      </c>
      <c r="AP624" s="47">
        <f t="shared" si="258"/>
        <v>49.77</v>
      </c>
      <c r="AQ624" s="47">
        <v>18.54</v>
      </c>
      <c r="AR624" s="47">
        <v>6.27</v>
      </c>
      <c r="AS624" s="47">
        <v>110.6</v>
      </c>
      <c r="AT624" s="47" t="s">
        <v>107</v>
      </c>
      <c r="AU624" s="47" t="s">
        <v>109</v>
      </c>
      <c r="AV624" s="47" t="s">
        <v>133</v>
      </c>
      <c r="AW624" s="47" t="s">
        <v>109</v>
      </c>
      <c r="AX624" s="47" t="s">
        <v>110</v>
      </c>
      <c r="AY624" s="47">
        <v>365</v>
      </c>
      <c r="AZ624" s="76">
        <v>365</v>
      </c>
      <c r="BA624" s="47" t="s">
        <v>391</v>
      </c>
      <c r="BB624" s="47" t="s">
        <v>134</v>
      </c>
      <c r="BC624" s="47" t="s">
        <v>134</v>
      </c>
      <c r="BD624" s="47" t="s">
        <v>134</v>
      </c>
      <c r="BE624" s="47" t="s">
        <v>1451</v>
      </c>
      <c r="BF624" s="47">
        <v>6.98</v>
      </c>
      <c r="BG624" s="47">
        <v>0</v>
      </c>
      <c r="BH624" s="47">
        <v>13.26</v>
      </c>
      <c r="BI624" s="47">
        <v>0.13</v>
      </c>
      <c r="BJ624" s="47">
        <v>427.17</v>
      </c>
      <c r="BK624" s="47" t="s">
        <v>91</v>
      </c>
      <c r="BL624" s="47" t="s">
        <v>116</v>
      </c>
      <c r="BM624" s="47">
        <v>1</v>
      </c>
      <c r="BN624" s="47" t="s">
        <v>1452</v>
      </c>
      <c r="BO624" s="47" t="s">
        <v>312</v>
      </c>
      <c r="BP624" s="47" t="s">
        <v>312</v>
      </c>
      <c r="BQ624" s="47" t="s">
        <v>117</v>
      </c>
      <c r="BR624" s="47" t="s">
        <v>134</v>
      </c>
      <c r="BS624" s="47" t="s">
        <v>312</v>
      </c>
      <c r="BT624" s="47" t="s">
        <v>312</v>
      </c>
      <c r="BU624" s="47">
        <v>2000</v>
      </c>
      <c r="BV624" s="47">
        <v>2015</v>
      </c>
      <c r="BW624" s="47" t="s">
        <v>901</v>
      </c>
      <c r="BX624" s="47" t="s">
        <v>95</v>
      </c>
      <c r="BY624" s="47" t="s">
        <v>748</v>
      </c>
      <c r="BZ624" s="47">
        <v>1</v>
      </c>
      <c r="CA624" s="47">
        <v>1</v>
      </c>
      <c r="CB624" s="47" t="s">
        <v>303</v>
      </c>
      <c r="CC624" s="47" t="s">
        <v>314</v>
      </c>
      <c r="CD624" s="47">
        <v>1</v>
      </c>
      <c r="CE624" s="47" t="s">
        <v>1453</v>
      </c>
      <c r="CF624" s="47">
        <v>0</v>
      </c>
      <c r="CG624" s="47" t="s">
        <v>97</v>
      </c>
      <c r="CH624" s="47">
        <v>0</v>
      </c>
      <c r="CI624" s="47" t="s">
        <v>1454</v>
      </c>
      <c r="CJ624" s="47" t="s">
        <v>98</v>
      </c>
      <c r="CK624" s="47">
        <v>14</v>
      </c>
      <c r="CL624" s="47">
        <v>1</v>
      </c>
      <c r="CM624" s="47">
        <v>1</v>
      </c>
      <c r="CN624" s="47" t="s">
        <v>99</v>
      </c>
      <c r="CO624" s="47" t="s">
        <v>97</v>
      </c>
      <c r="CP624" s="47" t="s">
        <v>100</v>
      </c>
      <c r="CQ624" s="47" t="s">
        <v>126</v>
      </c>
      <c r="CR624" s="48">
        <v>46232</v>
      </c>
      <c r="CT624" s="47" t="s">
        <v>779</v>
      </c>
    </row>
    <row r="625" spans="1:98" s="47" customFormat="1" x14ac:dyDescent="0.35">
      <c r="A625" s="46" t="s">
        <v>2160</v>
      </c>
      <c r="B625" s="46" t="s">
        <v>2164</v>
      </c>
      <c r="C625" s="47" t="s">
        <v>2161</v>
      </c>
      <c r="D625" s="47">
        <v>2021</v>
      </c>
      <c r="E625" s="66" t="s">
        <v>1449</v>
      </c>
      <c r="F625" s="46" t="s">
        <v>1450</v>
      </c>
      <c r="G625" s="47" t="s">
        <v>78</v>
      </c>
      <c r="H625" s="47">
        <v>1</v>
      </c>
      <c r="I625" s="47" t="s">
        <v>290</v>
      </c>
      <c r="J625" s="47" t="s">
        <v>79</v>
      </c>
      <c r="K625" s="47">
        <v>34</v>
      </c>
      <c r="L625" s="47" t="s">
        <v>129</v>
      </c>
      <c r="M625" s="47" t="s">
        <v>380</v>
      </c>
      <c r="N625" s="47">
        <v>-0.37</v>
      </c>
      <c r="O625" s="47">
        <v>1.7999999999999999E-2</v>
      </c>
      <c r="P625" s="92">
        <f t="shared" si="261"/>
        <v>-20.555555555555557</v>
      </c>
      <c r="Q625" s="47" t="s">
        <v>312</v>
      </c>
      <c r="R625" s="92">
        <f t="shared" si="262"/>
        <v>-0.40527999999999997</v>
      </c>
      <c r="S625" s="92">
        <f t="shared" si="263"/>
        <v>-0.33472000000000002</v>
      </c>
      <c r="T625" s="47">
        <v>1</v>
      </c>
      <c r="U625" s="47">
        <v>5144</v>
      </c>
      <c r="V625" s="47" t="s">
        <v>312</v>
      </c>
      <c r="W625" s="47" t="s">
        <v>312</v>
      </c>
      <c r="X625" s="47">
        <f t="shared" si="259"/>
        <v>5144</v>
      </c>
      <c r="Y625" s="92">
        <f t="shared" si="264"/>
        <v>-0.2755097091322215</v>
      </c>
      <c r="Z625" s="92">
        <f t="shared" si="265"/>
        <v>1.340317503886483E-2</v>
      </c>
      <c r="AA625" s="92">
        <f t="shared" si="266"/>
        <v>0.2755097091322215</v>
      </c>
      <c r="AB625" s="47" t="s">
        <v>81</v>
      </c>
      <c r="AC625" s="92">
        <f t="shared" si="267"/>
        <v>-2.3822639068564033</v>
      </c>
      <c r="AD625" s="92" cm="1">
        <f t="array" ref="AD625">_xlfn.IFS(
AND(L625="marginal_effect",M625="level"),N625*AN625/BF625,
AND(L625="marginal_effect",M625="sd (Y)"),N625*BI625*AN625/BF625,
AND(L625="marginal_effect",M625="sd (X)"),N625/AQ625*AN625/BF625,
AND(L625="semi_elasticity",M625="level"),N625*AN625,
AND(L625="semi_elasticity",M625="sd (Y)"),N625*AN625*BI625,
AND(L625="semi_elasticity",M625="sd (X)"),N625*AN625/AQ625,
AND(L625="level-log",M625="level"),N625/BF625,
AND(L625="level-log",M625="sd (X)"),N625/BF625/AQ625,
AND(L625="level-log",M625="sd (Y)"),N625/BF625*BI625,
AND(L625="elasticity",M625="level"),N625,
AND(L625="elasticity",M625="sd (X)"),N625/AQ625,
AND(L625="elasticity",M625="sd (Y)"),N625*BI625,
AND(L625="marginal_effect",M625="percent_of_mean"),N625*AN625/BF625/10)</f>
        <v>-2.3822639068564033</v>
      </c>
      <c r="AE625" s="51">
        <f t="shared" si="250"/>
        <v>1</v>
      </c>
      <c r="AF625" s="92">
        <f t="shared" si="268"/>
        <v>0.11589391979301422</v>
      </c>
      <c r="AG625" s="92" cm="1">
        <f t="array" ref="AG625">_xlfn.IFS(
AND(L625="marginal_effect",M625="level"),O625*AN625/BF625,
AND(L625="marginal_effect",M625="sd (Y)"),O625*BI625*AN625/BF625,
AND(L625="marginal_effect",M625="sd (X)"),O625/AQ625*AN625/BF625,
AND(L625="semi_elasticity",M625="level"),O625*AN625,
AND(L625="semi_elasticity",M625="sd (Y)"),O625*AN625*BI625,
AND(L625="semi_elasticity",M625="sd (X)"),O625*AN625/AQ625,
AND(L625="level-log",M625="level"),O625/BF625,
AND(L625="level-log",M625="sd (X)"),O625/BF625/AQ625,
AND(L625="level-log",M625="sd (Y)"),O625/BF625*BI625,
AND(L625="elasticity",M625="level"),O625,
AND(L625="elasticity",M625="sd (X)"),O625/AQ625,
AND(L625="elasticity",M625="sd (Y)"),O625*BI625,
AND(L625="marginal_effect",M625="percent_of_mean"),O625*AN625/BF625/10)</f>
        <v>0.11589391979301422</v>
      </c>
      <c r="AH625" s="51">
        <f t="shared" si="252"/>
        <v>1</v>
      </c>
      <c r="AI625" s="92">
        <f t="shared" si="257"/>
        <v>-2.3822639068564033</v>
      </c>
      <c r="AJ625" s="47">
        <v>0</v>
      </c>
      <c r="AK625" s="47">
        <f t="shared" si="253"/>
        <v>1</v>
      </c>
      <c r="AL625" s="47" t="s">
        <v>82</v>
      </c>
      <c r="AM625" s="47" t="s">
        <v>1333</v>
      </c>
      <c r="AN625" s="47">
        <v>49.77</v>
      </c>
      <c r="AO625" s="47">
        <v>1</v>
      </c>
      <c r="AP625" s="47">
        <f t="shared" si="258"/>
        <v>49.77</v>
      </c>
      <c r="AQ625" s="47">
        <v>18.54</v>
      </c>
      <c r="AR625" s="47">
        <v>6.27</v>
      </c>
      <c r="AS625" s="47">
        <v>110.6</v>
      </c>
      <c r="AT625" s="47" t="s">
        <v>107</v>
      </c>
      <c r="AU625" s="47" t="s">
        <v>109</v>
      </c>
      <c r="AV625" s="47" t="s">
        <v>133</v>
      </c>
      <c r="AW625" s="47" t="s">
        <v>109</v>
      </c>
      <c r="AX625" s="47" t="s">
        <v>110</v>
      </c>
      <c r="AY625" s="47">
        <v>365</v>
      </c>
      <c r="AZ625" s="76">
        <v>365</v>
      </c>
      <c r="BA625" s="47" t="s">
        <v>391</v>
      </c>
      <c r="BB625" s="47" t="s">
        <v>134</v>
      </c>
      <c r="BC625" s="47" t="s">
        <v>134</v>
      </c>
      <c r="BD625" s="47" t="s">
        <v>134</v>
      </c>
      <c r="BE625" s="47" t="s">
        <v>1451</v>
      </c>
      <c r="BF625" s="47">
        <v>7.73</v>
      </c>
      <c r="BG625" s="47">
        <v>0</v>
      </c>
      <c r="BH625" s="47">
        <v>13.72</v>
      </c>
      <c r="BI625" s="47" t="s">
        <v>312</v>
      </c>
      <c r="BJ625" s="47" t="s">
        <v>312</v>
      </c>
      <c r="BK625" s="47" t="s">
        <v>91</v>
      </c>
      <c r="BL625" s="47" t="s">
        <v>116</v>
      </c>
      <c r="BM625" s="47">
        <v>1</v>
      </c>
      <c r="BN625" s="47" t="s">
        <v>1452</v>
      </c>
      <c r="BO625" s="47" t="s">
        <v>312</v>
      </c>
      <c r="BP625" s="47" t="s">
        <v>312</v>
      </c>
      <c r="BQ625" s="47" t="s">
        <v>117</v>
      </c>
      <c r="BR625" s="47" t="s">
        <v>134</v>
      </c>
      <c r="BS625" s="47" t="s">
        <v>312</v>
      </c>
      <c r="BT625" s="47" t="s">
        <v>312</v>
      </c>
      <c r="BU625" s="47">
        <v>2000</v>
      </c>
      <c r="BV625" s="47">
        <v>2015</v>
      </c>
      <c r="BW625" s="47" t="s">
        <v>901</v>
      </c>
      <c r="BX625" s="47" t="s">
        <v>95</v>
      </c>
      <c r="BY625" s="47" t="s">
        <v>748</v>
      </c>
      <c r="BZ625" s="47">
        <v>1</v>
      </c>
      <c r="CA625" s="47">
        <v>1</v>
      </c>
      <c r="CB625" s="47" t="s">
        <v>303</v>
      </c>
      <c r="CC625" s="47" t="s">
        <v>314</v>
      </c>
      <c r="CD625" s="47">
        <v>1</v>
      </c>
      <c r="CE625" s="47" t="s">
        <v>1453</v>
      </c>
      <c r="CF625" s="47">
        <v>0</v>
      </c>
      <c r="CG625" s="47" t="s">
        <v>97</v>
      </c>
      <c r="CH625" s="47">
        <v>0</v>
      </c>
      <c r="CI625" s="47" t="s">
        <v>1454</v>
      </c>
      <c r="CJ625" s="47" t="s">
        <v>98</v>
      </c>
      <c r="CK625" s="47">
        <v>14</v>
      </c>
      <c r="CL625" s="47">
        <v>0</v>
      </c>
      <c r="CM625" s="47">
        <v>0</v>
      </c>
      <c r="CN625" s="47" t="s">
        <v>99</v>
      </c>
      <c r="CO625" s="47" t="s">
        <v>1455</v>
      </c>
      <c r="CP625" s="47" t="s">
        <v>100</v>
      </c>
      <c r="CQ625" s="47" t="s">
        <v>126</v>
      </c>
      <c r="CR625" s="48">
        <v>46232</v>
      </c>
      <c r="CT625" s="47" t="s">
        <v>449</v>
      </c>
    </row>
    <row r="626" spans="1:98" s="47" customFormat="1" x14ac:dyDescent="0.35">
      <c r="A626" s="46" t="s">
        <v>2160</v>
      </c>
      <c r="B626" s="46" t="s">
        <v>2165</v>
      </c>
      <c r="C626" s="47" t="s">
        <v>2161</v>
      </c>
      <c r="D626" s="47">
        <v>2021</v>
      </c>
      <c r="E626" s="66" t="s">
        <v>1449</v>
      </c>
      <c r="F626" s="46" t="s">
        <v>1450</v>
      </c>
      <c r="G626" s="47" t="s">
        <v>78</v>
      </c>
      <c r="H626" s="47">
        <v>1</v>
      </c>
      <c r="I626" s="47" t="s">
        <v>290</v>
      </c>
      <c r="J626" s="47" t="s">
        <v>79</v>
      </c>
      <c r="K626" s="47">
        <v>34</v>
      </c>
      <c r="L626" s="47" t="s">
        <v>129</v>
      </c>
      <c r="M626" s="47" t="s">
        <v>380</v>
      </c>
      <c r="N626" s="47">
        <v>-0.17</v>
      </c>
      <c r="O626" s="47">
        <v>0.25</v>
      </c>
      <c r="P626" s="92">
        <f t="shared" si="261"/>
        <v>-0.68</v>
      </c>
      <c r="Q626" s="47" t="s">
        <v>312</v>
      </c>
      <c r="R626" s="92">
        <f t="shared" si="262"/>
        <v>-0.66</v>
      </c>
      <c r="S626" s="92">
        <f t="shared" si="263"/>
        <v>0.31999999999999995</v>
      </c>
      <c r="T626" s="47">
        <v>1</v>
      </c>
      <c r="U626" s="47">
        <v>4232</v>
      </c>
      <c r="V626" s="47" t="s">
        <v>312</v>
      </c>
      <c r="W626" s="47" t="s">
        <v>312</v>
      </c>
      <c r="X626" s="47">
        <f t="shared" si="259"/>
        <v>4232</v>
      </c>
      <c r="Y626" s="92">
        <f t="shared" si="264"/>
        <v>-1.0452311843700128E-2</v>
      </c>
      <c r="Z626" s="92">
        <f t="shared" si="265"/>
        <v>1.5371046828970777E-2</v>
      </c>
      <c r="AA626" s="92">
        <f t="shared" si="266"/>
        <v>1.0452311843700128E-2</v>
      </c>
      <c r="AB626" s="47" t="s">
        <v>81</v>
      </c>
      <c r="AC626" s="92">
        <f t="shared" si="267"/>
        <v>-1.407803660565724</v>
      </c>
      <c r="AD626" s="92" cm="1">
        <f t="array" ref="AD626">_xlfn.IFS(
AND(L626="marginal_effect",M626="level"),N626*AN626/BF626,
AND(L626="marginal_effect",M626="sd (Y)"),N626*BI626*AN626/BF626,
AND(L626="marginal_effect",M626="sd (X)"),N626/AQ626*AN626/BF626,
AND(L626="semi_elasticity",M626="level"),N626*AN626,
AND(L626="semi_elasticity",M626="sd (Y)"),N626*AN626*BI626,
AND(L626="semi_elasticity",M626="sd (X)"),N626*AN626/AQ626,
AND(L626="level-log",M626="level"),N626/BF626,
AND(L626="level-log",M626="sd (X)"),N626/BF626/AQ626,
AND(L626="level-log",M626="sd (Y)"),N626/BF626*BI626,
AND(L626="elasticity",M626="level"),N626,
AND(L626="elasticity",M626="sd (X)"),N626/AQ626,
AND(L626="elasticity",M626="sd (Y)"),N626*BI626,
AND(L626="marginal_effect",M626="percent_of_mean"),N626*AN626/BF626/10)</f>
        <v>-1.407803660565724</v>
      </c>
      <c r="AE626" s="51">
        <f t="shared" si="250"/>
        <v>1</v>
      </c>
      <c r="AF626" s="92">
        <f t="shared" si="268"/>
        <v>2.0702995008319469</v>
      </c>
      <c r="AG626" s="92" cm="1">
        <f t="array" ref="AG626">_xlfn.IFS(
AND(L626="marginal_effect",M626="level"),O626*AN626/BF626,
AND(L626="marginal_effect",M626="sd (Y)"),O626*BI626*AN626/BF626,
AND(L626="marginal_effect",M626="sd (X)"),O626/AQ626*AN626/BF626,
AND(L626="semi_elasticity",M626="level"),O626*AN626,
AND(L626="semi_elasticity",M626="sd (Y)"),O626*AN626*BI626,
AND(L626="semi_elasticity",M626="sd (X)"),O626*AN626/AQ626,
AND(L626="level-log",M626="level"),O626/BF626,
AND(L626="level-log",M626="sd (X)"),O626/BF626/AQ626,
AND(L626="level-log",M626="sd (Y)"),O626/BF626*BI626,
AND(L626="elasticity",M626="level"),O626,
AND(L626="elasticity",M626="sd (X)"),O626/AQ626,
AND(L626="elasticity",M626="sd (Y)"),O626*BI626,
AND(L626="marginal_effect",M626="percent_of_mean"),O626*AN626/BF626/10)</f>
        <v>2.0702995008319469</v>
      </c>
      <c r="AH626" s="51">
        <f t="shared" si="252"/>
        <v>1</v>
      </c>
      <c r="AI626" s="92">
        <f t="shared" si="257"/>
        <v>-1.407803660565724</v>
      </c>
      <c r="AJ626" s="47">
        <v>0</v>
      </c>
      <c r="AK626" s="47">
        <f t="shared" si="253"/>
        <v>1</v>
      </c>
      <c r="AL626" s="47" t="s">
        <v>82</v>
      </c>
      <c r="AM626" s="47" t="s">
        <v>1333</v>
      </c>
      <c r="AN626" s="47">
        <v>49.77</v>
      </c>
      <c r="AO626" s="47">
        <v>1</v>
      </c>
      <c r="AP626" s="47">
        <f t="shared" si="258"/>
        <v>49.77</v>
      </c>
      <c r="AQ626" s="47">
        <v>18.54</v>
      </c>
      <c r="AR626" s="47">
        <v>6.27</v>
      </c>
      <c r="AS626" s="47">
        <v>110.6</v>
      </c>
      <c r="AT626" s="47" t="s">
        <v>107</v>
      </c>
      <c r="AU626" s="47" t="s">
        <v>109</v>
      </c>
      <c r="AV626" s="47" t="s">
        <v>133</v>
      </c>
      <c r="AW626" s="47" t="s">
        <v>109</v>
      </c>
      <c r="AX626" s="47" t="s">
        <v>110</v>
      </c>
      <c r="AY626" s="47">
        <v>365</v>
      </c>
      <c r="AZ626" s="76">
        <v>365</v>
      </c>
      <c r="BA626" s="47" t="s">
        <v>391</v>
      </c>
      <c r="BB626" s="47" t="s">
        <v>134</v>
      </c>
      <c r="BC626" s="47" t="s">
        <v>134</v>
      </c>
      <c r="BD626" s="47" t="s">
        <v>134</v>
      </c>
      <c r="BE626" s="47" t="s">
        <v>1451</v>
      </c>
      <c r="BF626" s="47">
        <v>6.01</v>
      </c>
      <c r="BG626" s="47">
        <v>0</v>
      </c>
      <c r="BH626" s="47">
        <v>13.1</v>
      </c>
      <c r="BI626" s="47" t="s">
        <v>312</v>
      </c>
      <c r="BJ626" s="47" t="s">
        <v>312</v>
      </c>
      <c r="BK626" s="47" t="s">
        <v>91</v>
      </c>
      <c r="BL626" s="47" t="s">
        <v>116</v>
      </c>
      <c r="BM626" s="47">
        <v>1</v>
      </c>
      <c r="BN626" s="47" t="s">
        <v>1452</v>
      </c>
      <c r="BO626" s="47" t="s">
        <v>312</v>
      </c>
      <c r="BP626" s="47" t="s">
        <v>312</v>
      </c>
      <c r="BQ626" s="47" t="s">
        <v>117</v>
      </c>
      <c r="BR626" s="47" t="s">
        <v>134</v>
      </c>
      <c r="BS626" s="47" t="s">
        <v>312</v>
      </c>
      <c r="BT626" s="47" t="s">
        <v>312</v>
      </c>
      <c r="BU626" s="47">
        <v>2000</v>
      </c>
      <c r="BV626" s="47">
        <v>2015</v>
      </c>
      <c r="BW626" s="47" t="s">
        <v>901</v>
      </c>
      <c r="BX626" s="47" t="s">
        <v>95</v>
      </c>
      <c r="BY626" s="47" t="s">
        <v>748</v>
      </c>
      <c r="BZ626" s="47">
        <v>1</v>
      </c>
      <c r="CA626" s="47">
        <v>1</v>
      </c>
      <c r="CB626" s="47" t="s">
        <v>303</v>
      </c>
      <c r="CC626" s="47" t="s">
        <v>314</v>
      </c>
      <c r="CD626" s="47">
        <v>1</v>
      </c>
      <c r="CE626" s="47" t="s">
        <v>1453</v>
      </c>
      <c r="CF626" s="47">
        <v>0</v>
      </c>
      <c r="CG626" s="47" t="s">
        <v>97</v>
      </c>
      <c r="CH626" s="47">
        <v>0</v>
      </c>
      <c r="CI626" s="47" t="s">
        <v>1454</v>
      </c>
      <c r="CJ626" s="47" t="s">
        <v>98</v>
      </c>
      <c r="CK626" s="47">
        <v>14</v>
      </c>
      <c r="CL626" s="47">
        <v>0</v>
      </c>
      <c r="CM626" s="47">
        <v>0</v>
      </c>
      <c r="CN626" s="47" t="s">
        <v>99</v>
      </c>
      <c r="CO626" s="47" t="s">
        <v>1455</v>
      </c>
      <c r="CP626" s="47" t="s">
        <v>100</v>
      </c>
      <c r="CQ626" s="47" t="s">
        <v>126</v>
      </c>
      <c r="CR626" s="48">
        <v>46232</v>
      </c>
      <c r="CT626" s="47" t="s">
        <v>450</v>
      </c>
    </row>
    <row r="627" spans="1:98" s="47" customFormat="1" x14ac:dyDescent="0.35">
      <c r="A627" s="46" t="s">
        <v>2160</v>
      </c>
      <c r="B627" s="46" t="s">
        <v>2166</v>
      </c>
      <c r="C627" s="47" t="s">
        <v>2161</v>
      </c>
      <c r="D627" s="47">
        <v>2021</v>
      </c>
      <c r="E627" s="66" t="s">
        <v>1449</v>
      </c>
      <c r="F627" s="46" t="s">
        <v>1450</v>
      </c>
      <c r="G627" s="47" t="s">
        <v>78</v>
      </c>
      <c r="H627" s="47">
        <v>1</v>
      </c>
      <c r="I627" s="47" t="s">
        <v>290</v>
      </c>
      <c r="J627" s="47" t="s">
        <v>79</v>
      </c>
      <c r="K627" s="47">
        <v>34</v>
      </c>
      <c r="L627" s="47" t="s">
        <v>129</v>
      </c>
      <c r="M627" s="47" t="s">
        <v>380</v>
      </c>
      <c r="N627" s="47">
        <v>-0.16</v>
      </c>
      <c r="O627" s="47">
        <v>0.18</v>
      </c>
      <c r="P627" s="92">
        <f t="shared" si="261"/>
        <v>-0.88888888888888895</v>
      </c>
      <c r="Q627" s="47" t="s">
        <v>312</v>
      </c>
      <c r="R627" s="92">
        <f t="shared" si="262"/>
        <v>-0.51280000000000003</v>
      </c>
      <c r="S627" s="92">
        <f t="shared" si="263"/>
        <v>0.1928</v>
      </c>
      <c r="T627" s="47">
        <v>1</v>
      </c>
      <c r="U627" s="47">
        <v>7068</v>
      </c>
      <c r="V627" s="47" t="s">
        <v>312</v>
      </c>
      <c r="W627" s="47" t="s">
        <v>312</v>
      </c>
      <c r="X627" s="47">
        <f t="shared" si="259"/>
        <v>7068</v>
      </c>
      <c r="Y627" s="92">
        <f t="shared" si="264"/>
        <v>-1.0572432811446916E-2</v>
      </c>
      <c r="Z627" s="92">
        <f t="shared" si="265"/>
        <v>1.1893986912877779E-2</v>
      </c>
      <c r="AA627" s="92">
        <f t="shared" si="266"/>
        <v>1.0572432811446916E-2</v>
      </c>
      <c r="AB627" s="47" t="s">
        <v>81</v>
      </c>
      <c r="AC627" s="92">
        <f t="shared" si="267"/>
        <v>-1.2782022471910113</v>
      </c>
      <c r="AD627" s="92" cm="1">
        <f t="array" ref="AD627">_xlfn.IFS(
AND(L627="marginal_effect",M627="level"),N627*AN627/BF627,
AND(L627="marginal_effect",M627="sd (Y)"),N627*BI627*AN627/BF627,
AND(L627="marginal_effect",M627="sd (X)"),N627/AQ627*AN627/BF627,
AND(L627="semi_elasticity",M627="level"),N627*AN627,
AND(L627="semi_elasticity",M627="sd (Y)"),N627*AN627*BI627,
AND(L627="semi_elasticity",M627="sd (X)"),N627*AN627/AQ627,
AND(L627="level-log",M627="level"),N627/BF627,
AND(L627="level-log",M627="sd (X)"),N627/BF627/AQ627,
AND(L627="level-log",M627="sd (Y)"),N627/BF627*BI627,
AND(L627="elasticity",M627="level"),N627,
AND(L627="elasticity",M627="sd (X)"),N627/AQ627,
AND(L627="elasticity",M627="sd (Y)"),N627*BI627,
AND(L627="marginal_effect",M627="percent_of_mean"),N627*AN627/BF627/10)</f>
        <v>-1.2782022471910113</v>
      </c>
      <c r="AE627" s="51">
        <f t="shared" si="250"/>
        <v>1</v>
      </c>
      <c r="AF627" s="92">
        <f t="shared" si="268"/>
        <v>1.4379775280898877</v>
      </c>
      <c r="AG627" s="92" cm="1">
        <f t="array" ref="AG627">_xlfn.IFS(
AND(L627="marginal_effect",M627="level"),O627*AN627/BF627,
AND(L627="marginal_effect",M627="sd (Y)"),O627*BI627*AN627/BF627,
AND(L627="marginal_effect",M627="sd (X)"),O627/AQ627*AN627/BF627,
AND(L627="semi_elasticity",M627="level"),O627*AN627,
AND(L627="semi_elasticity",M627="sd (Y)"),O627*AN627*BI627,
AND(L627="semi_elasticity",M627="sd (X)"),O627*AN627/AQ627,
AND(L627="level-log",M627="level"),O627/BF627,
AND(L627="level-log",M627="sd (X)"),O627/BF627/AQ627,
AND(L627="level-log",M627="sd (Y)"),O627/BF627*BI627,
AND(L627="elasticity",M627="level"),O627,
AND(L627="elasticity",M627="sd (X)"),O627/AQ627,
AND(L627="elasticity",M627="sd (Y)"),O627*BI627,
AND(L627="marginal_effect",M627="percent_of_mean"),O627*AN627/BF627/10)</f>
        <v>1.4379775280898877</v>
      </c>
      <c r="AH627" s="51">
        <f t="shared" si="252"/>
        <v>1</v>
      </c>
      <c r="AI627" s="92">
        <f t="shared" si="257"/>
        <v>-1.2782022471910113</v>
      </c>
      <c r="AJ627" s="47">
        <v>0</v>
      </c>
      <c r="AK627" s="47">
        <f t="shared" si="253"/>
        <v>1</v>
      </c>
      <c r="AL627" s="47" t="s">
        <v>82</v>
      </c>
      <c r="AM627" s="47" t="s">
        <v>1333</v>
      </c>
      <c r="AN627" s="47">
        <v>49.77</v>
      </c>
      <c r="AO627" s="47">
        <v>1</v>
      </c>
      <c r="AP627" s="47">
        <f t="shared" si="258"/>
        <v>49.77</v>
      </c>
      <c r="AQ627" s="47">
        <v>18.54</v>
      </c>
      <c r="AR627" s="47">
        <v>6.27</v>
      </c>
      <c r="AS627" s="47">
        <v>110.6</v>
      </c>
      <c r="AT627" s="47" t="s">
        <v>107</v>
      </c>
      <c r="AU627" s="47" t="s">
        <v>109</v>
      </c>
      <c r="AV627" s="47" t="s">
        <v>133</v>
      </c>
      <c r="AW627" s="47" t="s">
        <v>109</v>
      </c>
      <c r="AX627" s="47" t="s">
        <v>110</v>
      </c>
      <c r="AY627" s="47">
        <v>365</v>
      </c>
      <c r="AZ627" s="76">
        <v>365</v>
      </c>
      <c r="BA627" s="47" t="s">
        <v>391</v>
      </c>
      <c r="BB627" s="47" t="s">
        <v>134</v>
      </c>
      <c r="BC627" s="47" t="s">
        <v>134</v>
      </c>
      <c r="BD627" s="47" t="s">
        <v>134</v>
      </c>
      <c r="BE627" s="47" t="s">
        <v>1451</v>
      </c>
      <c r="BF627" s="47">
        <v>6.23</v>
      </c>
      <c r="BG627" s="47">
        <v>0</v>
      </c>
      <c r="BH627" s="47">
        <v>12.43</v>
      </c>
      <c r="BI627" s="47" t="s">
        <v>312</v>
      </c>
      <c r="BJ627" s="47" t="s">
        <v>312</v>
      </c>
      <c r="BK627" s="47" t="s">
        <v>91</v>
      </c>
      <c r="BL627" s="47" t="s">
        <v>116</v>
      </c>
      <c r="BM627" s="47">
        <v>1</v>
      </c>
      <c r="BN627" s="47" t="s">
        <v>1452</v>
      </c>
      <c r="BO627" s="47" t="s">
        <v>312</v>
      </c>
      <c r="BP627" s="47" t="s">
        <v>312</v>
      </c>
      <c r="BQ627" s="47" t="s">
        <v>117</v>
      </c>
      <c r="BR627" s="47" t="s">
        <v>134</v>
      </c>
      <c r="BS627" s="47" t="s">
        <v>312</v>
      </c>
      <c r="BT627" s="47" t="s">
        <v>312</v>
      </c>
      <c r="BU627" s="47">
        <v>2000</v>
      </c>
      <c r="BV627" s="47">
        <v>2015</v>
      </c>
      <c r="BW627" s="47" t="s">
        <v>901</v>
      </c>
      <c r="BX627" s="47" t="s">
        <v>95</v>
      </c>
      <c r="BY627" s="47" t="s">
        <v>748</v>
      </c>
      <c r="BZ627" s="47">
        <v>1</v>
      </c>
      <c r="CA627" s="47">
        <v>1</v>
      </c>
      <c r="CB627" s="47" t="s">
        <v>303</v>
      </c>
      <c r="CC627" s="47" t="s">
        <v>314</v>
      </c>
      <c r="CD627" s="47">
        <v>1</v>
      </c>
      <c r="CE627" s="47" t="s">
        <v>1453</v>
      </c>
      <c r="CF627" s="47">
        <v>0</v>
      </c>
      <c r="CG627" s="47" t="s">
        <v>97</v>
      </c>
      <c r="CH627" s="47">
        <v>0</v>
      </c>
      <c r="CI627" s="47" t="s">
        <v>1454</v>
      </c>
      <c r="CJ627" s="47" t="s">
        <v>98</v>
      </c>
      <c r="CK627" s="47">
        <v>14</v>
      </c>
      <c r="CL627" s="47">
        <v>0</v>
      </c>
      <c r="CM627" s="47">
        <v>0</v>
      </c>
      <c r="CN627" s="47" t="s">
        <v>99</v>
      </c>
      <c r="CO627" s="47" t="s">
        <v>941</v>
      </c>
      <c r="CP627" s="47" t="s">
        <v>100</v>
      </c>
      <c r="CQ627" s="47" t="s">
        <v>126</v>
      </c>
      <c r="CR627" s="48">
        <v>46232</v>
      </c>
      <c r="CT627" s="47" t="s">
        <v>451</v>
      </c>
    </row>
    <row r="628" spans="1:98" s="47" customFormat="1" x14ac:dyDescent="0.35">
      <c r="A628" s="46" t="s">
        <v>2160</v>
      </c>
      <c r="B628" s="46" t="s">
        <v>2167</v>
      </c>
      <c r="C628" s="47" t="s">
        <v>2161</v>
      </c>
      <c r="D628" s="47">
        <v>2021</v>
      </c>
      <c r="E628" s="66" t="s">
        <v>1449</v>
      </c>
      <c r="F628" s="46" t="s">
        <v>1450</v>
      </c>
      <c r="G628" s="47" t="s">
        <v>78</v>
      </c>
      <c r="H628" s="47">
        <v>1</v>
      </c>
      <c r="I628" s="47" t="s">
        <v>290</v>
      </c>
      <c r="J628" s="47" t="s">
        <v>79</v>
      </c>
      <c r="K628" s="47">
        <v>34</v>
      </c>
      <c r="L628" s="47" t="s">
        <v>129</v>
      </c>
      <c r="M628" s="47" t="s">
        <v>380</v>
      </c>
      <c r="N628" s="47">
        <v>-1.03</v>
      </c>
      <c r="O628" s="47">
        <v>0.42</v>
      </c>
      <c r="P628" s="92">
        <f t="shared" si="261"/>
        <v>-2.4523809523809526</v>
      </c>
      <c r="Q628" s="47" t="s">
        <v>312</v>
      </c>
      <c r="R628" s="92">
        <f t="shared" si="262"/>
        <v>-1.8532</v>
      </c>
      <c r="S628" s="92">
        <f t="shared" si="263"/>
        <v>-0.20680000000000009</v>
      </c>
      <c r="T628" s="47">
        <v>1</v>
      </c>
      <c r="U628" s="47">
        <v>2308</v>
      </c>
      <c r="V628" s="47" t="s">
        <v>312</v>
      </c>
      <c r="W628" s="47" t="s">
        <v>312</v>
      </c>
      <c r="X628" s="47">
        <f t="shared" si="259"/>
        <v>2308</v>
      </c>
      <c r="Y628" s="92">
        <f t="shared" si="264"/>
        <v>-5.0980598193172987E-2</v>
      </c>
      <c r="Z628" s="92">
        <f t="shared" si="265"/>
        <v>2.0788205088478305E-2</v>
      </c>
      <c r="AA628" s="92">
        <f t="shared" si="266"/>
        <v>5.0980598193172987E-2</v>
      </c>
      <c r="AB628" s="47" t="s">
        <v>81</v>
      </c>
      <c r="AC628" s="92">
        <f t="shared" si="267"/>
        <v>-5.424666666666667</v>
      </c>
      <c r="AD628" s="92" cm="1">
        <f t="array" ref="AD628">_xlfn.IFS(
AND(L628="marginal_effect",M628="level"),N628*AN628/BF628,
AND(L628="marginal_effect",M628="sd (Y)"),N628*BI628*AN628/BF628,
AND(L628="marginal_effect",M628="sd (X)"),N628/AQ628*AN628/BF628,
AND(L628="semi_elasticity",M628="level"),N628*AN628,
AND(L628="semi_elasticity",M628="sd (Y)"),N628*AN628*BI628,
AND(L628="semi_elasticity",M628="sd (X)"),N628*AN628/AQ628,
AND(L628="level-log",M628="level"),N628/BF628,
AND(L628="level-log",M628="sd (X)"),N628/BF628/AQ628,
AND(L628="level-log",M628="sd (Y)"),N628/BF628*BI628,
AND(L628="elasticity",M628="level"),N628,
AND(L628="elasticity",M628="sd (X)"),N628/AQ628,
AND(L628="elasticity",M628="sd (Y)"),N628*BI628,
AND(L628="marginal_effect",M628="percent_of_mean"),N628*AN628/BF628/10)</f>
        <v>-5.424666666666667</v>
      </c>
      <c r="AE628" s="51">
        <f t="shared" si="250"/>
        <v>1</v>
      </c>
      <c r="AF628" s="92">
        <f t="shared" si="268"/>
        <v>2.2120000000000002</v>
      </c>
      <c r="AG628" s="92" cm="1">
        <f t="array" ref="AG628">_xlfn.IFS(
AND(L628="marginal_effect",M628="level"),O628*AN628/BF628,
AND(L628="marginal_effect",M628="sd (Y)"),O628*BI628*AN628/BF628,
AND(L628="marginal_effect",M628="sd (X)"),O628/AQ628*AN628/BF628,
AND(L628="semi_elasticity",M628="level"),O628*AN628,
AND(L628="semi_elasticity",M628="sd (Y)"),O628*AN628*BI628,
AND(L628="semi_elasticity",M628="sd (X)"),O628*AN628/AQ628,
AND(L628="level-log",M628="level"),O628/BF628,
AND(L628="level-log",M628="sd (X)"),O628/BF628/AQ628,
AND(L628="level-log",M628="sd (Y)"),O628/BF628*BI628,
AND(L628="elasticity",M628="level"),O628,
AND(L628="elasticity",M628="sd (X)"),O628/AQ628,
AND(L628="elasticity",M628="sd (Y)"),O628*BI628,
AND(L628="marginal_effect",M628="percent_of_mean"),O628*AN628/BF628/10)</f>
        <v>2.2120000000000002</v>
      </c>
      <c r="AH628" s="51">
        <f t="shared" si="252"/>
        <v>1</v>
      </c>
      <c r="AI628" s="92">
        <f t="shared" si="257"/>
        <v>-5.424666666666667</v>
      </c>
      <c r="AJ628" s="47">
        <v>0</v>
      </c>
      <c r="AK628" s="47">
        <f t="shared" si="253"/>
        <v>1</v>
      </c>
      <c r="AL628" s="47" t="s">
        <v>82</v>
      </c>
      <c r="AM628" s="47" t="s">
        <v>1333</v>
      </c>
      <c r="AN628" s="47">
        <v>49.77</v>
      </c>
      <c r="AO628" s="47">
        <v>1</v>
      </c>
      <c r="AP628" s="47">
        <f t="shared" si="258"/>
        <v>49.77</v>
      </c>
      <c r="AQ628" s="47">
        <v>18.54</v>
      </c>
      <c r="AR628" s="47">
        <v>6.27</v>
      </c>
      <c r="AS628" s="47">
        <v>110.6</v>
      </c>
      <c r="AT628" s="47" t="s">
        <v>107</v>
      </c>
      <c r="AU628" s="47" t="s">
        <v>109</v>
      </c>
      <c r="AV628" s="47" t="s">
        <v>133</v>
      </c>
      <c r="AW628" s="47" t="s">
        <v>109</v>
      </c>
      <c r="AX628" s="47" t="s">
        <v>110</v>
      </c>
      <c r="AY628" s="47">
        <v>365</v>
      </c>
      <c r="AZ628" s="76">
        <v>365</v>
      </c>
      <c r="BA628" s="47" t="s">
        <v>391</v>
      </c>
      <c r="BB628" s="47" t="s">
        <v>134</v>
      </c>
      <c r="BC628" s="47" t="s">
        <v>134</v>
      </c>
      <c r="BD628" s="47" t="s">
        <v>134</v>
      </c>
      <c r="BE628" s="47" t="s">
        <v>1451</v>
      </c>
      <c r="BF628" s="47">
        <v>9.4499999999999993</v>
      </c>
      <c r="BG628" s="47">
        <v>0</v>
      </c>
      <c r="BH628" s="47">
        <v>15.41</v>
      </c>
      <c r="BI628" s="47" t="s">
        <v>312</v>
      </c>
      <c r="BJ628" s="47" t="s">
        <v>312</v>
      </c>
      <c r="BK628" s="47" t="s">
        <v>91</v>
      </c>
      <c r="BL628" s="47" t="s">
        <v>116</v>
      </c>
      <c r="BM628" s="47">
        <v>1</v>
      </c>
      <c r="BN628" s="47" t="s">
        <v>1452</v>
      </c>
      <c r="BO628" s="47" t="s">
        <v>312</v>
      </c>
      <c r="BP628" s="47" t="s">
        <v>312</v>
      </c>
      <c r="BQ628" s="47" t="s">
        <v>117</v>
      </c>
      <c r="BR628" s="47" t="s">
        <v>134</v>
      </c>
      <c r="BS628" s="47" t="s">
        <v>312</v>
      </c>
      <c r="BT628" s="47" t="s">
        <v>312</v>
      </c>
      <c r="BU628" s="47">
        <v>2000</v>
      </c>
      <c r="BV628" s="47">
        <v>2015</v>
      </c>
      <c r="BW628" s="47" t="s">
        <v>901</v>
      </c>
      <c r="BX628" s="47" t="s">
        <v>95</v>
      </c>
      <c r="BY628" s="47" t="s">
        <v>748</v>
      </c>
      <c r="BZ628" s="47">
        <v>1</v>
      </c>
      <c r="CA628" s="47">
        <v>1</v>
      </c>
      <c r="CB628" s="47" t="s">
        <v>303</v>
      </c>
      <c r="CC628" s="47" t="s">
        <v>314</v>
      </c>
      <c r="CD628" s="47">
        <v>1</v>
      </c>
      <c r="CE628" s="47" t="s">
        <v>1453</v>
      </c>
      <c r="CF628" s="47">
        <v>0</v>
      </c>
      <c r="CG628" s="47" t="s">
        <v>97</v>
      </c>
      <c r="CH628" s="47">
        <v>0</v>
      </c>
      <c r="CI628" s="47" t="s">
        <v>1454</v>
      </c>
      <c r="CJ628" s="47" t="s">
        <v>98</v>
      </c>
      <c r="CK628" s="47">
        <v>14</v>
      </c>
      <c r="CL628" s="47">
        <v>0</v>
      </c>
      <c r="CM628" s="47">
        <v>0</v>
      </c>
      <c r="CN628" s="47" t="s">
        <v>99</v>
      </c>
      <c r="CO628" s="47" t="s">
        <v>941</v>
      </c>
      <c r="CP628" s="47" t="s">
        <v>100</v>
      </c>
      <c r="CQ628" s="47" t="s">
        <v>126</v>
      </c>
      <c r="CR628" s="48">
        <v>46232</v>
      </c>
      <c r="CT628" s="47" t="s">
        <v>452</v>
      </c>
    </row>
    <row r="629" spans="1:98" s="47" customFormat="1" x14ac:dyDescent="0.35">
      <c r="A629" s="46" t="s">
        <v>2160</v>
      </c>
      <c r="B629" s="46" t="s">
        <v>2168</v>
      </c>
      <c r="C629" s="47" t="s">
        <v>2161</v>
      </c>
      <c r="D629" s="47">
        <v>2021</v>
      </c>
      <c r="E629" s="66" t="s">
        <v>1449</v>
      </c>
      <c r="F629" s="46" t="s">
        <v>1450</v>
      </c>
      <c r="G629" s="47" t="s">
        <v>78</v>
      </c>
      <c r="H629" s="47">
        <v>1</v>
      </c>
      <c r="I629" s="47" t="s">
        <v>290</v>
      </c>
      <c r="J629" s="47" t="s">
        <v>79</v>
      </c>
      <c r="K629" s="47">
        <v>34</v>
      </c>
      <c r="L629" s="47" t="s">
        <v>129</v>
      </c>
      <c r="M629" s="47" t="s">
        <v>380</v>
      </c>
      <c r="N629" s="47">
        <v>-0.15</v>
      </c>
      <c r="O629" s="47">
        <v>0.19</v>
      </c>
      <c r="P629" s="92">
        <f t="shared" si="261"/>
        <v>-0.78947368421052633</v>
      </c>
      <c r="Q629" s="47" t="s">
        <v>312</v>
      </c>
      <c r="R629" s="92">
        <f t="shared" si="262"/>
        <v>-0.52239999999999998</v>
      </c>
      <c r="S629" s="92">
        <f t="shared" si="263"/>
        <v>0.22240000000000001</v>
      </c>
      <c r="T629" s="47">
        <v>1</v>
      </c>
      <c r="U629" s="47">
        <v>4296</v>
      </c>
      <c r="V629" s="47" t="s">
        <v>312</v>
      </c>
      <c r="W629" s="47" t="s">
        <v>312</v>
      </c>
      <c r="X629" s="47">
        <f t="shared" si="259"/>
        <v>4296</v>
      </c>
      <c r="Y629" s="92">
        <f t="shared" si="264"/>
        <v>-1.2044090774544764E-2</v>
      </c>
      <c r="Z629" s="92">
        <f t="shared" si="265"/>
        <v>1.5255848314423365E-2</v>
      </c>
      <c r="AA629" s="92">
        <f t="shared" si="266"/>
        <v>1.2044090774544764E-2</v>
      </c>
      <c r="AB629" s="47" t="s">
        <v>81</v>
      </c>
      <c r="AC629" s="92">
        <f t="shared" si="267"/>
        <v>-1.0455882352941177</v>
      </c>
      <c r="AD629" s="92" cm="1">
        <f t="array" ref="AD629">_xlfn.IFS(
AND(L629="marginal_effect",M629="level"),N629*AN629/BF629,
AND(L629="marginal_effect",M629="sd (Y)"),N629*BI629*AN629/BF629,
AND(L629="marginal_effect",M629="sd (X)"),N629/AQ629*AN629/BF629,
AND(L629="semi_elasticity",M629="level"),N629*AN629,
AND(L629="semi_elasticity",M629="sd (Y)"),N629*AN629*BI629,
AND(L629="semi_elasticity",M629="sd (X)"),N629*AN629/AQ629,
AND(L629="level-log",M629="level"),N629/BF629,
AND(L629="level-log",M629="sd (X)"),N629/BF629/AQ629,
AND(L629="level-log",M629="sd (Y)"),N629/BF629*BI629,
AND(L629="elasticity",M629="level"),N629,
AND(L629="elasticity",M629="sd (X)"),N629/AQ629,
AND(L629="elasticity",M629="sd (Y)"),N629*BI629,
AND(L629="marginal_effect",M629="percent_of_mean"),N629*AN629/BF629/10)</f>
        <v>-1.0455882352941177</v>
      </c>
      <c r="AE629" s="51">
        <f t="shared" si="250"/>
        <v>1</v>
      </c>
      <c r="AF629" s="92">
        <f t="shared" si="268"/>
        <v>1.3244117647058824</v>
      </c>
      <c r="AG629" s="92" cm="1">
        <f t="array" ref="AG629">_xlfn.IFS(
AND(L629="marginal_effect",M629="level"),O629*AN629/BF629,
AND(L629="marginal_effect",M629="sd (Y)"),O629*BI629*AN629/BF629,
AND(L629="marginal_effect",M629="sd (X)"),O629/AQ629*AN629/BF629,
AND(L629="semi_elasticity",M629="level"),O629*AN629,
AND(L629="semi_elasticity",M629="sd (Y)"),O629*AN629*BI629,
AND(L629="semi_elasticity",M629="sd (X)"),O629*AN629/AQ629,
AND(L629="level-log",M629="level"),O629/BF629,
AND(L629="level-log",M629="sd (X)"),O629/BF629/AQ629,
AND(L629="level-log",M629="sd (Y)"),O629/BF629*BI629,
AND(L629="elasticity",M629="level"),O629,
AND(L629="elasticity",M629="sd (X)"),O629/AQ629,
AND(L629="elasticity",M629="sd (Y)"),O629*BI629,
AND(L629="marginal_effect",M629="percent_of_mean"),O629*AN629/BF629/10)</f>
        <v>1.3244117647058824</v>
      </c>
      <c r="AH629" s="51">
        <f t="shared" si="252"/>
        <v>1</v>
      </c>
      <c r="AI629" s="92">
        <f t="shared" si="257"/>
        <v>-1.0455882352941177</v>
      </c>
      <c r="AJ629" s="47">
        <v>0</v>
      </c>
      <c r="AK629" s="47">
        <f t="shared" si="253"/>
        <v>1</v>
      </c>
      <c r="AL629" s="47" t="s">
        <v>82</v>
      </c>
      <c r="AM629" s="47" t="s">
        <v>1333</v>
      </c>
      <c r="AN629" s="47">
        <v>49.77</v>
      </c>
      <c r="AO629" s="47">
        <v>1</v>
      </c>
      <c r="AP629" s="47">
        <f t="shared" si="258"/>
        <v>49.77</v>
      </c>
      <c r="AQ629" s="47">
        <v>18.54</v>
      </c>
      <c r="AR629" s="47">
        <v>6.27</v>
      </c>
      <c r="AS629" s="47">
        <v>110.6</v>
      </c>
      <c r="AT629" s="47" t="s">
        <v>107</v>
      </c>
      <c r="AU629" s="47" t="s">
        <v>109</v>
      </c>
      <c r="AV629" s="47" t="s">
        <v>133</v>
      </c>
      <c r="AW629" s="47" t="s">
        <v>109</v>
      </c>
      <c r="AX629" s="47" t="s">
        <v>110</v>
      </c>
      <c r="AY629" s="47">
        <v>365</v>
      </c>
      <c r="AZ629" s="76">
        <v>365</v>
      </c>
      <c r="BA629" s="47" t="s">
        <v>391</v>
      </c>
      <c r="BB629" s="47" t="s">
        <v>134</v>
      </c>
      <c r="BC629" s="47" t="s">
        <v>134</v>
      </c>
      <c r="BD629" s="47" t="s">
        <v>134</v>
      </c>
      <c r="BE629" s="47" t="s">
        <v>1451</v>
      </c>
      <c r="BF629" s="47">
        <v>7.14</v>
      </c>
      <c r="BG629" s="47">
        <v>0</v>
      </c>
      <c r="BH629" s="47">
        <v>12.29</v>
      </c>
      <c r="BI629" s="47" t="s">
        <v>312</v>
      </c>
      <c r="BJ629" s="47" t="s">
        <v>312</v>
      </c>
      <c r="BK629" s="47" t="s">
        <v>91</v>
      </c>
      <c r="BL629" s="47" t="s">
        <v>116</v>
      </c>
      <c r="BM629" s="47">
        <v>1</v>
      </c>
      <c r="BN629" s="47" t="s">
        <v>1452</v>
      </c>
      <c r="BO629" s="47" t="s">
        <v>312</v>
      </c>
      <c r="BP629" s="47" t="s">
        <v>312</v>
      </c>
      <c r="BQ629" s="47" t="s">
        <v>117</v>
      </c>
      <c r="BR629" s="47" t="s">
        <v>134</v>
      </c>
      <c r="BS629" s="47" t="s">
        <v>312</v>
      </c>
      <c r="BT629" s="47" t="s">
        <v>312</v>
      </c>
      <c r="BU629" s="47">
        <v>2000</v>
      </c>
      <c r="BV629" s="47">
        <v>2015</v>
      </c>
      <c r="BW629" s="47" t="s">
        <v>901</v>
      </c>
      <c r="BX629" s="47" t="s">
        <v>95</v>
      </c>
      <c r="BY629" s="47" t="s">
        <v>748</v>
      </c>
      <c r="BZ629" s="47">
        <v>1</v>
      </c>
      <c r="CA629" s="47">
        <v>1</v>
      </c>
      <c r="CB629" s="47" t="s">
        <v>303</v>
      </c>
      <c r="CC629" s="47" t="s">
        <v>314</v>
      </c>
      <c r="CD629" s="47">
        <v>1</v>
      </c>
      <c r="CE629" s="47" t="s">
        <v>1453</v>
      </c>
      <c r="CF629" s="47">
        <v>0</v>
      </c>
      <c r="CG629" s="47" t="s">
        <v>97</v>
      </c>
      <c r="CH629" s="47">
        <v>0</v>
      </c>
      <c r="CI629" s="47" t="s">
        <v>1454</v>
      </c>
      <c r="CJ629" s="47" t="s">
        <v>98</v>
      </c>
      <c r="CK629" s="47">
        <v>14</v>
      </c>
      <c r="CL629" s="47">
        <v>0</v>
      </c>
      <c r="CM629" s="47">
        <v>0</v>
      </c>
      <c r="CN629" s="47" t="s">
        <v>99</v>
      </c>
      <c r="CO629" s="47" t="s">
        <v>1456</v>
      </c>
      <c r="CP629" s="47" t="s">
        <v>100</v>
      </c>
      <c r="CQ629" s="47" t="s">
        <v>126</v>
      </c>
      <c r="CR629" s="48">
        <v>46232</v>
      </c>
      <c r="CT629" s="47" t="s">
        <v>521</v>
      </c>
    </row>
    <row r="630" spans="1:98" s="47" customFormat="1" x14ac:dyDescent="0.35">
      <c r="A630" s="46" t="s">
        <v>2160</v>
      </c>
      <c r="B630" s="46" t="s">
        <v>2169</v>
      </c>
      <c r="C630" s="47" t="s">
        <v>2161</v>
      </c>
      <c r="D630" s="47">
        <v>2021</v>
      </c>
      <c r="E630" s="66" t="s">
        <v>1449</v>
      </c>
      <c r="F630" s="46" t="s">
        <v>1450</v>
      </c>
      <c r="G630" s="47" t="s">
        <v>78</v>
      </c>
      <c r="H630" s="47">
        <v>1</v>
      </c>
      <c r="I630" s="47" t="s">
        <v>290</v>
      </c>
      <c r="J630" s="47" t="s">
        <v>79</v>
      </c>
      <c r="K630" s="47">
        <v>34</v>
      </c>
      <c r="L630" s="47" t="s">
        <v>129</v>
      </c>
      <c r="M630" s="47" t="s">
        <v>380</v>
      </c>
      <c r="N630" s="47">
        <v>-0.63</v>
      </c>
      <c r="O630" s="47">
        <v>0.44</v>
      </c>
      <c r="P630" s="92">
        <f t="shared" si="261"/>
        <v>-1.4318181818181819</v>
      </c>
      <c r="Q630" s="47" t="s">
        <v>312</v>
      </c>
      <c r="R630" s="92">
        <f t="shared" si="262"/>
        <v>-1.4923999999999999</v>
      </c>
      <c r="S630" s="92">
        <f t="shared" si="263"/>
        <v>0.23239999999999994</v>
      </c>
      <c r="T630" s="47">
        <v>1</v>
      </c>
      <c r="U630" s="47">
        <v>5080</v>
      </c>
      <c r="V630" s="47" t="s">
        <v>312</v>
      </c>
      <c r="W630" s="47" t="s">
        <v>312</v>
      </c>
      <c r="X630" s="47">
        <f t="shared" si="259"/>
        <v>5080</v>
      </c>
      <c r="Y630" s="92">
        <f t="shared" si="264"/>
        <v>-2.0084841173296827E-2</v>
      </c>
      <c r="Z630" s="92">
        <f t="shared" si="265"/>
        <v>1.4027508121032704E-2</v>
      </c>
      <c r="AA630" s="92">
        <f t="shared" si="266"/>
        <v>2.0084841173296827E-2</v>
      </c>
      <c r="AB630" s="47" t="s">
        <v>81</v>
      </c>
      <c r="AC630" s="92">
        <f t="shared" si="267"/>
        <v>-4.5707142857142857</v>
      </c>
      <c r="AD630" s="92" cm="1">
        <f t="array" ref="AD630">_xlfn.IFS(
AND(L630="marginal_effect",M630="level"),N630*AN630/BF630,
AND(L630="marginal_effect",M630="sd (Y)"),N630*BI630*AN630/BF630,
AND(L630="marginal_effect",M630="sd (X)"),N630/AQ630*AN630/BF630,
AND(L630="semi_elasticity",M630="level"),N630*AN630,
AND(L630="semi_elasticity",M630="sd (Y)"),N630*AN630*BI630,
AND(L630="semi_elasticity",M630="sd (X)"),N630*AN630/AQ630,
AND(L630="level-log",M630="level"),N630/BF630,
AND(L630="level-log",M630="sd (X)"),N630/BF630/AQ630,
AND(L630="level-log",M630="sd (Y)"),N630/BF630*BI630,
AND(L630="elasticity",M630="level"),N630,
AND(L630="elasticity",M630="sd (X)"),N630/AQ630,
AND(L630="elasticity",M630="sd (Y)"),N630*BI630,
AND(L630="marginal_effect",M630="percent_of_mean"),N630*AN630/BF630/10)</f>
        <v>-4.5707142857142857</v>
      </c>
      <c r="AE630" s="51">
        <f t="shared" si="250"/>
        <v>1</v>
      </c>
      <c r="AF630" s="92">
        <f t="shared" si="268"/>
        <v>3.1922448979591835</v>
      </c>
      <c r="AG630" s="92" cm="1">
        <f t="array" ref="AG630">_xlfn.IFS(
AND(L630="marginal_effect",M630="level"),O630*AN630/BF630,
AND(L630="marginal_effect",M630="sd (Y)"),O630*BI630*AN630/BF630,
AND(L630="marginal_effect",M630="sd (X)"),O630/AQ630*AN630/BF630,
AND(L630="semi_elasticity",M630="level"),O630*AN630,
AND(L630="semi_elasticity",M630="sd (Y)"),O630*AN630*BI630,
AND(L630="semi_elasticity",M630="sd (X)"),O630*AN630/AQ630,
AND(L630="level-log",M630="level"),O630/BF630,
AND(L630="level-log",M630="sd (X)"),O630/BF630/AQ630,
AND(L630="level-log",M630="sd (Y)"),O630/BF630*BI630,
AND(L630="elasticity",M630="level"),O630,
AND(L630="elasticity",M630="sd (X)"),O630/AQ630,
AND(L630="elasticity",M630="sd (Y)"),O630*BI630,
AND(L630="marginal_effect",M630="percent_of_mean"),O630*AN630/BF630/10)</f>
        <v>3.1922448979591835</v>
      </c>
      <c r="AH630" s="51">
        <f t="shared" si="252"/>
        <v>1</v>
      </c>
      <c r="AI630" s="92">
        <f t="shared" si="257"/>
        <v>-4.5707142857142857</v>
      </c>
      <c r="AJ630" s="47">
        <v>0</v>
      </c>
      <c r="AK630" s="47">
        <f t="shared" ref="AK630:AK661" si="269">IF(P630=(AC630/AF630),1,0)</f>
        <v>1</v>
      </c>
      <c r="AL630" s="47" t="s">
        <v>82</v>
      </c>
      <c r="AM630" s="47" t="s">
        <v>1333</v>
      </c>
      <c r="AN630" s="47">
        <v>49.77</v>
      </c>
      <c r="AO630" s="47">
        <v>1</v>
      </c>
      <c r="AP630" s="47">
        <f t="shared" si="258"/>
        <v>49.77</v>
      </c>
      <c r="AQ630" s="47">
        <v>18.54</v>
      </c>
      <c r="AR630" s="47">
        <v>6.27</v>
      </c>
      <c r="AS630" s="47">
        <v>110.6</v>
      </c>
      <c r="AT630" s="47" t="s">
        <v>107</v>
      </c>
      <c r="AU630" s="47" t="s">
        <v>109</v>
      </c>
      <c r="AV630" s="47" t="s">
        <v>133</v>
      </c>
      <c r="AW630" s="47" t="s">
        <v>109</v>
      </c>
      <c r="AX630" s="47" t="s">
        <v>110</v>
      </c>
      <c r="AY630" s="47">
        <v>365</v>
      </c>
      <c r="AZ630" s="76">
        <v>365</v>
      </c>
      <c r="BA630" s="47" t="s">
        <v>391</v>
      </c>
      <c r="BB630" s="47" t="s">
        <v>134</v>
      </c>
      <c r="BC630" s="47" t="s">
        <v>134</v>
      </c>
      <c r="BD630" s="47" t="s">
        <v>134</v>
      </c>
      <c r="BE630" s="47" t="s">
        <v>1451</v>
      </c>
      <c r="BF630" s="47">
        <v>6.86</v>
      </c>
      <c r="BG630" s="47">
        <v>0</v>
      </c>
      <c r="BH630" s="47">
        <v>14.02</v>
      </c>
      <c r="BI630" s="47" t="s">
        <v>312</v>
      </c>
      <c r="BJ630" s="47" t="s">
        <v>312</v>
      </c>
      <c r="BK630" s="47" t="s">
        <v>91</v>
      </c>
      <c r="BL630" s="47" t="s">
        <v>116</v>
      </c>
      <c r="BM630" s="47">
        <v>1</v>
      </c>
      <c r="BN630" s="47" t="s">
        <v>1452</v>
      </c>
      <c r="BO630" s="47" t="s">
        <v>312</v>
      </c>
      <c r="BP630" s="47" t="s">
        <v>312</v>
      </c>
      <c r="BQ630" s="47" t="s">
        <v>117</v>
      </c>
      <c r="BR630" s="47" t="s">
        <v>134</v>
      </c>
      <c r="BS630" s="47" t="s">
        <v>312</v>
      </c>
      <c r="BT630" s="47" t="s">
        <v>312</v>
      </c>
      <c r="BU630" s="47">
        <v>2000</v>
      </c>
      <c r="BV630" s="47">
        <v>2015</v>
      </c>
      <c r="BW630" s="47" t="s">
        <v>901</v>
      </c>
      <c r="BX630" s="47" t="s">
        <v>95</v>
      </c>
      <c r="BY630" s="47" t="s">
        <v>748</v>
      </c>
      <c r="BZ630" s="47">
        <v>1</v>
      </c>
      <c r="CA630" s="47">
        <v>1</v>
      </c>
      <c r="CB630" s="47" t="s">
        <v>303</v>
      </c>
      <c r="CC630" s="47" t="s">
        <v>314</v>
      </c>
      <c r="CD630" s="47">
        <v>1</v>
      </c>
      <c r="CE630" s="47" t="s">
        <v>1453</v>
      </c>
      <c r="CF630" s="47">
        <v>0</v>
      </c>
      <c r="CG630" s="47" t="s">
        <v>97</v>
      </c>
      <c r="CH630" s="47">
        <v>0</v>
      </c>
      <c r="CI630" s="47" t="s">
        <v>1454</v>
      </c>
      <c r="CJ630" s="47" t="s">
        <v>98</v>
      </c>
      <c r="CK630" s="47">
        <v>14</v>
      </c>
      <c r="CL630" s="47">
        <v>0</v>
      </c>
      <c r="CM630" s="47">
        <v>0</v>
      </c>
      <c r="CN630" s="47" t="s">
        <v>99</v>
      </c>
      <c r="CO630" s="47" t="s">
        <v>1456</v>
      </c>
      <c r="CP630" s="47" t="s">
        <v>100</v>
      </c>
      <c r="CQ630" s="47" t="s">
        <v>126</v>
      </c>
      <c r="CR630" s="48">
        <v>46232</v>
      </c>
      <c r="CT630" s="47" t="s">
        <v>510</v>
      </c>
    </row>
    <row r="631" spans="1:98" s="47" customFormat="1" x14ac:dyDescent="0.35">
      <c r="A631" s="46" t="s">
        <v>2160</v>
      </c>
      <c r="B631" s="46" t="s">
        <v>2170</v>
      </c>
      <c r="C631" s="47" t="s">
        <v>2161</v>
      </c>
      <c r="D631" s="47">
        <v>2021</v>
      </c>
      <c r="E631" s="66" t="s">
        <v>1449</v>
      </c>
      <c r="F631" s="46" t="s">
        <v>1450</v>
      </c>
      <c r="G631" s="47" t="s">
        <v>78</v>
      </c>
      <c r="H631" s="47">
        <v>1</v>
      </c>
      <c r="I631" s="47" t="s">
        <v>290</v>
      </c>
      <c r="J631" s="47" t="s">
        <v>79</v>
      </c>
      <c r="K631" s="47">
        <v>34</v>
      </c>
      <c r="L631" s="47" t="s">
        <v>129</v>
      </c>
      <c r="M631" s="47" t="s">
        <v>380</v>
      </c>
      <c r="N631" s="47">
        <v>-0.23</v>
      </c>
      <c r="O631" s="47">
        <v>0.19</v>
      </c>
      <c r="P631" s="92">
        <f t="shared" si="261"/>
        <v>-1.2105263157894737</v>
      </c>
      <c r="Q631" s="47" t="s">
        <v>312</v>
      </c>
      <c r="R631" s="92">
        <f t="shared" si="262"/>
        <v>-0.60240000000000005</v>
      </c>
      <c r="S631" s="92">
        <f t="shared" si="263"/>
        <v>0.1424</v>
      </c>
      <c r="T631" s="47">
        <v>1</v>
      </c>
      <c r="U631" s="47">
        <v>1874</v>
      </c>
      <c r="V631" s="47" t="s">
        <v>312</v>
      </c>
      <c r="W631" s="47" t="s">
        <v>312</v>
      </c>
      <c r="X631" s="47">
        <f t="shared" si="259"/>
        <v>1874</v>
      </c>
      <c r="Y631" s="92">
        <f t="shared" si="264"/>
        <v>-2.7952439096555752E-2</v>
      </c>
      <c r="Z631" s="92">
        <f t="shared" si="265"/>
        <v>2.3091145340633008E-2</v>
      </c>
      <c r="AA631" s="92">
        <f t="shared" si="266"/>
        <v>2.7952439096555752E-2</v>
      </c>
      <c r="AB631" s="47" t="s">
        <v>81</v>
      </c>
      <c r="AC631" s="92">
        <f t="shared" si="267"/>
        <v>-1.3218360277136258</v>
      </c>
      <c r="AD631" s="92" cm="1">
        <f t="array" ref="AD631">_xlfn.IFS(
AND(L631="marginal_effect",M631="level"),N631*AN631/BF631,
AND(L631="marginal_effect",M631="sd (Y)"),N631*BI631*AN631/BF631,
AND(L631="marginal_effect",M631="sd (X)"),N631/AQ631*AN631/BF631,
AND(L631="semi_elasticity",M631="level"),N631*AN631,
AND(L631="semi_elasticity",M631="sd (Y)"),N631*AN631*BI631,
AND(L631="semi_elasticity",M631="sd (X)"),N631*AN631/AQ631,
AND(L631="level-log",M631="level"),N631/BF631,
AND(L631="level-log",M631="sd (X)"),N631/BF631/AQ631,
AND(L631="level-log",M631="sd (Y)"),N631/BF631*BI631,
AND(L631="elasticity",M631="level"),N631,
AND(L631="elasticity",M631="sd (X)"),N631/AQ631,
AND(L631="elasticity",M631="sd (Y)"),N631*BI631,
AND(L631="marginal_effect",M631="percent_of_mean"),N631*AN631/BF631/10)</f>
        <v>-1.3218360277136258</v>
      </c>
      <c r="AE631" s="51">
        <f t="shared" si="250"/>
        <v>1</v>
      </c>
      <c r="AF631" s="92">
        <f t="shared" si="268"/>
        <v>1.0919515011547345</v>
      </c>
      <c r="AG631" s="92" cm="1">
        <f t="array" ref="AG631">_xlfn.IFS(
AND(L631="marginal_effect",M631="level"),O631*AN631/BF631,
AND(L631="marginal_effect",M631="sd (Y)"),O631*BI631*AN631/BF631,
AND(L631="marginal_effect",M631="sd (X)"),O631/AQ631*AN631/BF631,
AND(L631="semi_elasticity",M631="level"),O631*AN631,
AND(L631="semi_elasticity",M631="sd (Y)"),O631*AN631*BI631,
AND(L631="semi_elasticity",M631="sd (X)"),O631*AN631/AQ631,
AND(L631="level-log",M631="level"),O631/BF631,
AND(L631="level-log",M631="sd (X)"),O631/BF631/AQ631,
AND(L631="level-log",M631="sd (Y)"),O631/BF631*BI631,
AND(L631="elasticity",M631="level"),O631,
AND(L631="elasticity",M631="sd (X)"),O631/AQ631,
AND(L631="elasticity",M631="sd (Y)"),O631*BI631,
AND(L631="marginal_effect",M631="percent_of_mean"),O631*AN631/BF631/10)</f>
        <v>1.0919515011547345</v>
      </c>
      <c r="AH631" s="51">
        <f t="shared" si="252"/>
        <v>1</v>
      </c>
      <c r="AI631" s="92">
        <f t="shared" si="257"/>
        <v>-1.3218360277136258</v>
      </c>
      <c r="AJ631" s="47">
        <v>0</v>
      </c>
      <c r="AK631" s="47">
        <f t="shared" si="269"/>
        <v>1</v>
      </c>
      <c r="AL631" s="47" t="s">
        <v>82</v>
      </c>
      <c r="AM631" s="47" t="s">
        <v>1333</v>
      </c>
      <c r="AN631" s="47">
        <v>49.77</v>
      </c>
      <c r="AO631" s="47">
        <v>1</v>
      </c>
      <c r="AP631" s="47">
        <f t="shared" si="258"/>
        <v>49.77</v>
      </c>
      <c r="AQ631" s="47">
        <v>18.54</v>
      </c>
      <c r="AR631" s="47">
        <v>6.27</v>
      </c>
      <c r="AS631" s="47">
        <v>110.6</v>
      </c>
      <c r="AT631" s="47" t="s">
        <v>107</v>
      </c>
      <c r="AU631" s="47" t="s">
        <v>109</v>
      </c>
      <c r="AV631" s="47" t="s">
        <v>133</v>
      </c>
      <c r="AW631" s="47" t="s">
        <v>109</v>
      </c>
      <c r="AX631" s="47" t="s">
        <v>110</v>
      </c>
      <c r="AY631" s="47">
        <v>365</v>
      </c>
      <c r="AZ631" s="76">
        <v>365</v>
      </c>
      <c r="BA631" s="47" t="s">
        <v>391</v>
      </c>
      <c r="BB631" s="47" t="s">
        <v>134</v>
      </c>
      <c r="BC631" s="47" t="s">
        <v>134</v>
      </c>
      <c r="BD631" s="47" t="s">
        <v>114</v>
      </c>
      <c r="BE631" s="47" t="s">
        <v>1451</v>
      </c>
      <c r="BF631" s="47">
        <v>8.66</v>
      </c>
      <c r="BG631" s="47">
        <v>0</v>
      </c>
      <c r="BH631" s="47">
        <v>13.48</v>
      </c>
      <c r="BI631" s="47" t="s">
        <v>312</v>
      </c>
      <c r="BJ631" s="47" t="s">
        <v>312</v>
      </c>
      <c r="BK631" s="47" t="s">
        <v>91</v>
      </c>
      <c r="BL631" s="47" t="s">
        <v>116</v>
      </c>
      <c r="BM631" s="47">
        <v>1</v>
      </c>
      <c r="BN631" s="47" t="s">
        <v>1452</v>
      </c>
      <c r="BO631" s="47" t="s">
        <v>312</v>
      </c>
      <c r="BP631" s="47" t="s">
        <v>312</v>
      </c>
      <c r="BQ631" s="47" t="s">
        <v>117</v>
      </c>
      <c r="BR631" s="47" t="s">
        <v>134</v>
      </c>
      <c r="BS631" s="47" t="s">
        <v>312</v>
      </c>
      <c r="BT631" s="47" t="s">
        <v>312</v>
      </c>
      <c r="BU631" s="47">
        <v>2000</v>
      </c>
      <c r="BV631" s="47">
        <v>2015</v>
      </c>
      <c r="BW631" s="47" t="s">
        <v>901</v>
      </c>
      <c r="BX631" s="47" t="s">
        <v>95</v>
      </c>
      <c r="BY631" s="47" t="s">
        <v>748</v>
      </c>
      <c r="BZ631" s="47">
        <v>1</v>
      </c>
      <c r="CA631" s="47">
        <v>1</v>
      </c>
      <c r="CB631" s="47" t="s">
        <v>303</v>
      </c>
      <c r="CC631" s="47" t="s">
        <v>314</v>
      </c>
      <c r="CD631" s="47">
        <v>1</v>
      </c>
      <c r="CE631" s="47" t="s">
        <v>1453</v>
      </c>
      <c r="CF631" s="47">
        <v>0</v>
      </c>
      <c r="CG631" s="47" t="s">
        <v>97</v>
      </c>
      <c r="CH631" s="47">
        <v>0</v>
      </c>
      <c r="CI631" s="47" t="s">
        <v>1454</v>
      </c>
      <c r="CJ631" s="47" t="s">
        <v>98</v>
      </c>
      <c r="CK631" s="47">
        <v>14</v>
      </c>
      <c r="CL631" s="47">
        <v>0</v>
      </c>
      <c r="CM631" s="47">
        <v>0</v>
      </c>
      <c r="CN631" s="47" t="s">
        <v>99</v>
      </c>
      <c r="CO631" s="47" t="s">
        <v>1457</v>
      </c>
      <c r="CP631" s="47" t="s">
        <v>100</v>
      </c>
      <c r="CQ631" s="47" t="s">
        <v>126</v>
      </c>
      <c r="CR631" s="48">
        <v>46232</v>
      </c>
      <c r="CT631" s="47" t="s">
        <v>704</v>
      </c>
    </row>
    <row r="632" spans="1:98" s="47" customFormat="1" x14ac:dyDescent="0.35">
      <c r="A632" s="46" t="s">
        <v>2160</v>
      </c>
      <c r="B632" s="46" t="s">
        <v>2171</v>
      </c>
      <c r="C632" s="47" t="s">
        <v>2161</v>
      </c>
      <c r="D632" s="47">
        <v>2021</v>
      </c>
      <c r="E632" s="66" t="s">
        <v>1449</v>
      </c>
      <c r="F632" s="46" t="s">
        <v>1450</v>
      </c>
      <c r="G632" s="47" t="s">
        <v>78</v>
      </c>
      <c r="H632" s="47">
        <v>1</v>
      </c>
      <c r="I632" s="47" t="s">
        <v>290</v>
      </c>
      <c r="J632" s="47" t="s">
        <v>79</v>
      </c>
      <c r="K632" s="47">
        <v>34</v>
      </c>
      <c r="L632" s="47" t="s">
        <v>129</v>
      </c>
      <c r="M632" s="47" t="s">
        <v>380</v>
      </c>
      <c r="N632" s="47">
        <v>-0.49</v>
      </c>
      <c r="O632" s="47">
        <v>0.31</v>
      </c>
      <c r="P632" s="92">
        <f t="shared" si="261"/>
        <v>-1.5806451612903225</v>
      </c>
      <c r="Q632" s="47" t="s">
        <v>312</v>
      </c>
      <c r="R632" s="92">
        <f t="shared" si="262"/>
        <v>-1.0975999999999999</v>
      </c>
      <c r="S632" s="92">
        <f t="shared" si="263"/>
        <v>0.11760000000000004</v>
      </c>
      <c r="T632" s="47">
        <v>1</v>
      </c>
      <c r="U632" s="47">
        <v>7502</v>
      </c>
      <c r="V632" s="47" t="s">
        <v>312</v>
      </c>
      <c r="W632" s="47" t="s">
        <v>312</v>
      </c>
      <c r="X632" s="47">
        <f t="shared" si="259"/>
        <v>7502</v>
      </c>
      <c r="Y632" s="92">
        <f t="shared" si="264"/>
        <v>-1.8246247032113895E-2</v>
      </c>
      <c r="Z632" s="92">
        <f t="shared" si="265"/>
        <v>1.1543544040725117E-2</v>
      </c>
      <c r="AA632" s="92">
        <f t="shared" si="266"/>
        <v>1.8246247032113895E-2</v>
      </c>
      <c r="AB632" s="47" t="s">
        <v>81</v>
      </c>
      <c r="AC632" s="92">
        <f t="shared" si="267"/>
        <v>-3.6838821752265858</v>
      </c>
      <c r="AD632" s="92" cm="1">
        <f t="array" ref="AD632">_xlfn.IFS(
AND(L632="marginal_effect",M632="level"),N632*AN632/BF632,
AND(L632="marginal_effect",M632="sd (Y)"),N632*BI632*AN632/BF632,
AND(L632="marginal_effect",M632="sd (X)"),N632/AQ632*AN632/BF632,
AND(L632="semi_elasticity",M632="level"),N632*AN632,
AND(L632="semi_elasticity",M632="sd (Y)"),N632*AN632*BI632,
AND(L632="semi_elasticity",M632="sd (X)"),N632*AN632/AQ632,
AND(L632="level-log",M632="level"),N632/BF632,
AND(L632="level-log",M632="sd (X)"),N632/BF632/AQ632,
AND(L632="level-log",M632="sd (Y)"),N632/BF632*BI632,
AND(L632="elasticity",M632="level"),N632,
AND(L632="elasticity",M632="sd (X)"),N632/AQ632,
AND(L632="elasticity",M632="sd (Y)"),N632*BI632,
AND(L632="marginal_effect",M632="percent_of_mean"),N632*AN632/BF632/10)</f>
        <v>-3.6838821752265858</v>
      </c>
      <c r="AE632" s="51">
        <f t="shared" si="250"/>
        <v>1</v>
      </c>
      <c r="AF632" s="92">
        <f t="shared" si="268"/>
        <v>2.330619335347432</v>
      </c>
      <c r="AG632" s="92" cm="1">
        <f t="array" ref="AG632">_xlfn.IFS(
AND(L632="marginal_effect",M632="level"),O632*AN632/BF632,
AND(L632="marginal_effect",M632="sd (Y)"),O632*BI632*AN632/BF632,
AND(L632="marginal_effect",M632="sd (X)"),O632/AQ632*AN632/BF632,
AND(L632="semi_elasticity",M632="level"),O632*AN632,
AND(L632="semi_elasticity",M632="sd (Y)"),O632*AN632*BI632,
AND(L632="semi_elasticity",M632="sd (X)"),O632*AN632/AQ632,
AND(L632="level-log",M632="level"),O632/BF632,
AND(L632="level-log",M632="sd (X)"),O632/BF632/AQ632,
AND(L632="level-log",M632="sd (Y)"),O632/BF632*BI632,
AND(L632="elasticity",M632="level"),O632,
AND(L632="elasticity",M632="sd (X)"),O632/AQ632,
AND(L632="elasticity",M632="sd (Y)"),O632*BI632,
AND(L632="marginal_effect",M632="percent_of_mean"),O632*AN632/BF632/10)</f>
        <v>2.330619335347432</v>
      </c>
      <c r="AH632" s="51">
        <f t="shared" si="252"/>
        <v>1</v>
      </c>
      <c r="AI632" s="92">
        <f t="shared" si="257"/>
        <v>-3.6838821752265858</v>
      </c>
      <c r="AJ632" s="47">
        <v>0</v>
      </c>
      <c r="AK632" s="47">
        <f t="shared" si="269"/>
        <v>1</v>
      </c>
      <c r="AL632" s="47" t="s">
        <v>82</v>
      </c>
      <c r="AM632" s="47" t="s">
        <v>1333</v>
      </c>
      <c r="AN632" s="47">
        <v>49.77</v>
      </c>
      <c r="AO632" s="47">
        <v>1</v>
      </c>
      <c r="AP632" s="47">
        <f t="shared" si="258"/>
        <v>49.77</v>
      </c>
      <c r="AQ632" s="47">
        <v>18.54</v>
      </c>
      <c r="AR632" s="47">
        <v>6.27</v>
      </c>
      <c r="AS632" s="47">
        <v>110.6</v>
      </c>
      <c r="AT632" s="47" t="s">
        <v>107</v>
      </c>
      <c r="AU632" s="47" t="s">
        <v>109</v>
      </c>
      <c r="AV632" s="47" t="s">
        <v>133</v>
      </c>
      <c r="AW632" s="47" t="s">
        <v>109</v>
      </c>
      <c r="AX632" s="47" t="s">
        <v>110</v>
      </c>
      <c r="AY632" s="47">
        <v>365</v>
      </c>
      <c r="AZ632" s="76">
        <v>365</v>
      </c>
      <c r="BA632" s="47" t="s">
        <v>391</v>
      </c>
      <c r="BB632" s="47" t="s">
        <v>134</v>
      </c>
      <c r="BC632" s="47" t="s">
        <v>134</v>
      </c>
      <c r="BD632" s="47" t="s">
        <v>90</v>
      </c>
      <c r="BE632" s="47" t="s">
        <v>1451</v>
      </c>
      <c r="BF632" s="47">
        <v>6.62</v>
      </c>
      <c r="BG632" s="47">
        <v>0</v>
      </c>
      <c r="BH632" s="47">
        <v>13.19</v>
      </c>
      <c r="BI632" s="47" t="s">
        <v>312</v>
      </c>
      <c r="BJ632" s="47" t="s">
        <v>312</v>
      </c>
      <c r="BK632" s="47" t="s">
        <v>91</v>
      </c>
      <c r="BL632" s="47" t="s">
        <v>116</v>
      </c>
      <c r="BM632" s="47">
        <v>1</v>
      </c>
      <c r="BN632" s="47" t="s">
        <v>1452</v>
      </c>
      <c r="BO632" s="47" t="s">
        <v>312</v>
      </c>
      <c r="BP632" s="47" t="s">
        <v>312</v>
      </c>
      <c r="BQ632" s="47" t="s">
        <v>117</v>
      </c>
      <c r="BR632" s="47" t="s">
        <v>134</v>
      </c>
      <c r="BS632" s="47" t="s">
        <v>312</v>
      </c>
      <c r="BT632" s="47" t="s">
        <v>312</v>
      </c>
      <c r="BU632" s="47">
        <v>2000</v>
      </c>
      <c r="BV632" s="47">
        <v>2015</v>
      </c>
      <c r="BW632" s="47" t="s">
        <v>901</v>
      </c>
      <c r="BX632" s="47" t="s">
        <v>95</v>
      </c>
      <c r="BY632" s="47" t="s">
        <v>748</v>
      </c>
      <c r="BZ632" s="47">
        <v>1</v>
      </c>
      <c r="CA632" s="47">
        <v>1</v>
      </c>
      <c r="CB632" s="47" t="s">
        <v>303</v>
      </c>
      <c r="CC632" s="47" t="s">
        <v>314</v>
      </c>
      <c r="CD632" s="47">
        <v>1</v>
      </c>
      <c r="CE632" s="47" t="s">
        <v>1453</v>
      </c>
      <c r="CF632" s="47">
        <v>0</v>
      </c>
      <c r="CG632" s="47" t="s">
        <v>97</v>
      </c>
      <c r="CH632" s="47">
        <v>0</v>
      </c>
      <c r="CI632" s="47" t="s">
        <v>1454</v>
      </c>
      <c r="CJ632" s="47" t="s">
        <v>98</v>
      </c>
      <c r="CK632" s="47">
        <v>14</v>
      </c>
      <c r="CL632" s="47">
        <v>0</v>
      </c>
      <c r="CM632" s="47">
        <v>0</v>
      </c>
      <c r="CN632" s="47" t="s">
        <v>99</v>
      </c>
      <c r="CO632" s="47" t="s">
        <v>1457</v>
      </c>
      <c r="CP632" s="47" t="s">
        <v>100</v>
      </c>
      <c r="CQ632" s="47" t="s">
        <v>126</v>
      </c>
      <c r="CR632" s="48">
        <v>46232</v>
      </c>
      <c r="CT632" s="47" t="s">
        <v>457</v>
      </c>
    </row>
    <row r="633" spans="1:98" s="47" customFormat="1" x14ac:dyDescent="0.35">
      <c r="A633" s="46" t="s">
        <v>2160</v>
      </c>
      <c r="B633" s="46" t="s">
        <v>2172</v>
      </c>
      <c r="C633" s="47" t="s">
        <v>2161</v>
      </c>
      <c r="D633" s="47">
        <v>2021</v>
      </c>
      <c r="E633" s="66" t="s">
        <v>1449</v>
      </c>
      <c r="F633" s="46" t="s">
        <v>1450</v>
      </c>
      <c r="G633" s="47" t="s">
        <v>78</v>
      </c>
      <c r="H633" s="47">
        <v>1</v>
      </c>
      <c r="I633" s="47" t="s">
        <v>290</v>
      </c>
      <c r="J633" s="47" t="s">
        <v>79</v>
      </c>
      <c r="K633" s="47">
        <v>34</v>
      </c>
      <c r="L633" s="47" t="s">
        <v>129</v>
      </c>
      <c r="M633" s="47" t="s">
        <v>380</v>
      </c>
      <c r="N633" s="47">
        <v>-0.51</v>
      </c>
      <c r="O633" s="47">
        <v>0.2</v>
      </c>
      <c r="P633" s="92">
        <f t="shared" si="261"/>
        <v>-2.5499999999999998</v>
      </c>
      <c r="Q633" s="47" t="s">
        <v>312</v>
      </c>
      <c r="R633" s="92">
        <f t="shared" si="262"/>
        <v>-0.90200000000000002</v>
      </c>
      <c r="S633" s="92">
        <f t="shared" si="263"/>
        <v>-0.11799999999999999</v>
      </c>
      <c r="T633" s="47">
        <v>1</v>
      </c>
      <c r="U633" s="47">
        <v>7017</v>
      </c>
      <c r="V633" s="47" t="s">
        <v>312</v>
      </c>
      <c r="W633" s="47" t="s">
        <v>312</v>
      </c>
      <c r="X633" s="47">
        <f t="shared" si="259"/>
        <v>7017</v>
      </c>
      <c r="Y633" s="92">
        <f t="shared" si="264"/>
        <v>-3.0427292523998117E-2</v>
      </c>
      <c r="Z633" s="92">
        <f t="shared" si="265"/>
        <v>1.1932271578038476E-2</v>
      </c>
      <c r="AA633" s="92">
        <f t="shared" si="266"/>
        <v>3.0427292523998117E-2</v>
      </c>
      <c r="AB633" s="47" t="s">
        <v>81</v>
      </c>
      <c r="AC633" s="92">
        <f t="shared" si="267"/>
        <v>-3.610625889046942</v>
      </c>
      <c r="AD633" s="92" cm="1">
        <f t="array" ref="AD633">_xlfn.IFS(
AND(L633="marginal_effect",M633="level"),N633*AN633/BF633,
AND(L633="marginal_effect",M633="sd (Y)"),N633*BI633*AN633/BF633,
AND(L633="marginal_effect",M633="sd (X)"),N633/AQ633*AN633/BF633,
AND(L633="semi_elasticity",M633="level"),N633*AN633,
AND(L633="semi_elasticity",M633="sd (Y)"),N633*AN633*BI633,
AND(L633="semi_elasticity",M633="sd (X)"),N633*AN633/AQ633,
AND(L633="level-log",M633="level"),N633/BF633,
AND(L633="level-log",M633="sd (X)"),N633/BF633/AQ633,
AND(L633="level-log",M633="sd (Y)"),N633/BF633*BI633,
AND(L633="elasticity",M633="level"),N633,
AND(L633="elasticity",M633="sd (X)"),N633/AQ633,
AND(L633="elasticity",M633="sd (Y)"),N633*BI633,
AND(L633="marginal_effect",M633="percent_of_mean"),N633*AN633/BF633/10)</f>
        <v>-3.610625889046942</v>
      </c>
      <c r="AE633" s="51">
        <f t="shared" si="250"/>
        <v>1</v>
      </c>
      <c r="AF633" s="92">
        <f t="shared" si="268"/>
        <v>1.4159317211948792</v>
      </c>
      <c r="AG633" s="92" cm="1">
        <f t="array" ref="AG633">_xlfn.IFS(
AND(L633="marginal_effect",M633="level"),O633*AN633/BF633,
AND(L633="marginal_effect",M633="sd (Y)"),O633*BI633*AN633/BF633,
AND(L633="marginal_effect",M633="sd (X)"),O633/AQ633*AN633/BF633,
AND(L633="semi_elasticity",M633="level"),O633*AN633,
AND(L633="semi_elasticity",M633="sd (Y)"),O633*AN633*BI633,
AND(L633="semi_elasticity",M633="sd (X)"),O633*AN633/AQ633,
AND(L633="level-log",M633="level"),O633/BF633,
AND(L633="level-log",M633="sd (X)"),O633/BF633/AQ633,
AND(L633="level-log",M633="sd (Y)"),O633/BF633*BI633,
AND(L633="elasticity",M633="level"),O633,
AND(L633="elasticity",M633="sd (X)"),O633/AQ633,
AND(L633="elasticity",M633="sd (Y)"),O633*BI633,
AND(L633="marginal_effect",M633="percent_of_mean"),O633*AN633/BF633/10)</f>
        <v>1.4159317211948792</v>
      </c>
      <c r="AH633" s="51">
        <f t="shared" si="252"/>
        <v>1</v>
      </c>
      <c r="AI633" s="92">
        <f t="shared" si="257"/>
        <v>-3.610625889046942</v>
      </c>
      <c r="AJ633" s="47">
        <v>0</v>
      </c>
      <c r="AK633" s="47">
        <f t="shared" si="269"/>
        <v>1</v>
      </c>
      <c r="AL633" s="47" t="s">
        <v>82</v>
      </c>
      <c r="AM633" s="47" t="s">
        <v>1333</v>
      </c>
      <c r="AN633" s="47">
        <v>49.77</v>
      </c>
      <c r="AO633" s="47">
        <v>1</v>
      </c>
      <c r="AP633" s="47">
        <f t="shared" si="258"/>
        <v>49.77</v>
      </c>
      <c r="AQ633" s="47">
        <v>18.54</v>
      </c>
      <c r="AR633" s="47">
        <v>6.27</v>
      </c>
      <c r="AS633" s="47">
        <v>110.6</v>
      </c>
      <c r="AT633" s="47" t="s">
        <v>107</v>
      </c>
      <c r="AU633" s="47" t="s">
        <v>109</v>
      </c>
      <c r="AV633" s="47" t="s">
        <v>133</v>
      </c>
      <c r="AW633" s="47" t="s">
        <v>85</v>
      </c>
      <c r="AX633" s="47" t="s">
        <v>110</v>
      </c>
      <c r="AY633" s="47">
        <v>365</v>
      </c>
      <c r="AZ633" s="76">
        <v>365</v>
      </c>
      <c r="BA633" s="47" t="s">
        <v>391</v>
      </c>
      <c r="BB633" s="47" t="s">
        <v>134</v>
      </c>
      <c r="BC633" s="47" t="s">
        <v>134</v>
      </c>
      <c r="BD633" s="47" t="s">
        <v>134</v>
      </c>
      <c r="BE633" s="47" t="s">
        <v>1451</v>
      </c>
      <c r="BF633" s="47">
        <v>7.03</v>
      </c>
      <c r="BG633" s="47">
        <v>0</v>
      </c>
      <c r="BH633" s="47">
        <v>11.99</v>
      </c>
      <c r="BI633" s="47" t="s">
        <v>312</v>
      </c>
      <c r="BJ633" s="47" t="s">
        <v>312</v>
      </c>
      <c r="BK633" s="47" t="s">
        <v>91</v>
      </c>
      <c r="BL633" s="47" t="s">
        <v>116</v>
      </c>
      <c r="BM633" s="47">
        <v>1</v>
      </c>
      <c r="BN633" s="47" t="s">
        <v>1452</v>
      </c>
      <c r="BO633" s="47" t="s">
        <v>312</v>
      </c>
      <c r="BP633" s="47" t="s">
        <v>312</v>
      </c>
      <c r="BQ633" s="47" t="s">
        <v>117</v>
      </c>
      <c r="BR633" s="47" t="s">
        <v>134</v>
      </c>
      <c r="BS633" s="47" t="s">
        <v>312</v>
      </c>
      <c r="BT633" s="47" t="s">
        <v>312</v>
      </c>
      <c r="BU633" s="47">
        <v>2000</v>
      </c>
      <c r="BV633" s="47">
        <v>2015</v>
      </c>
      <c r="BW633" s="47" t="s">
        <v>901</v>
      </c>
      <c r="BX633" s="47" t="s">
        <v>95</v>
      </c>
      <c r="BY633" s="47" t="s">
        <v>748</v>
      </c>
      <c r="BZ633" s="47">
        <v>1</v>
      </c>
      <c r="CA633" s="47">
        <v>1</v>
      </c>
      <c r="CB633" s="47" t="s">
        <v>303</v>
      </c>
      <c r="CC633" s="47" t="s">
        <v>314</v>
      </c>
      <c r="CD633" s="47">
        <v>1</v>
      </c>
      <c r="CE633" s="47" t="s">
        <v>1453</v>
      </c>
      <c r="CF633" s="47">
        <v>0</v>
      </c>
      <c r="CG633" s="47" t="s">
        <v>97</v>
      </c>
      <c r="CH633" s="47">
        <v>0</v>
      </c>
      <c r="CI633" s="47" t="s">
        <v>1454</v>
      </c>
      <c r="CJ633" s="47" t="s">
        <v>98</v>
      </c>
      <c r="CK633" s="47">
        <v>14</v>
      </c>
      <c r="CL633" s="47">
        <v>0</v>
      </c>
      <c r="CM633" s="47">
        <v>0</v>
      </c>
      <c r="CN633" s="47" t="s">
        <v>99</v>
      </c>
      <c r="CO633" s="47" t="s">
        <v>108</v>
      </c>
      <c r="CP633" s="47" t="s">
        <v>100</v>
      </c>
      <c r="CQ633" s="47" t="s">
        <v>126</v>
      </c>
      <c r="CR633" s="48">
        <v>46232</v>
      </c>
      <c r="CT633" s="47" t="s">
        <v>660</v>
      </c>
    </row>
    <row r="634" spans="1:98" s="47" customFormat="1" x14ac:dyDescent="0.35">
      <c r="A634" s="46" t="s">
        <v>2160</v>
      </c>
      <c r="B634" s="46" t="s">
        <v>2173</v>
      </c>
      <c r="C634" s="47" t="s">
        <v>2161</v>
      </c>
      <c r="D634" s="47">
        <v>2021</v>
      </c>
      <c r="E634" s="66" t="s">
        <v>1449</v>
      </c>
      <c r="F634" s="46" t="s">
        <v>1450</v>
      </c>
      <c r="G634" s="47" t="s">
        <v>78</v>
      </c>
      <c r="H634" s="47">
        <v>1</v>
      </c>
      <c r="I634" s="47" t="s">
        <v>290</v>
      </c>
      <c r="J634" s="47" t="s">
        <v>79</v>
      </c>
      <c r="K634" s="47">
        <v>34</v>
      </c>
      <c r="L634" s="47" t="s">
        <v>129</v>
      </c>
      <c r="M634" s="47" t="s">
        <v>380</v>
      </c>
      <c r="N634" s="47">
        <v>0.09</v>
      </c>
      <c r="O634" s="47">
        <v>0.37</v>
      </c>
      <c r="P634" s="92">
        <f t="shared" si="261"/>
        <v>0.24324324324324323</v>
      </c>
      <c r="Q634" s="47" t="s">
        <v>312</v>
      </c>
      <c r="R634" s="92">
        <f t="shared" si="262"/>
        <v>-0.63519999999999999</v>
      </c>
      <c r="S634" s="92">
        <f t="shared" si="263"/>
        <v>0.81519999999999992</v>
      </c>
      <c r="T634" s="47">
        <v>1</v>
      </c>
      <c r="U634" s="47">
        <v>2359</v>
      </c>
      <c r="V634" s="47" t="s">
        <v>312</v>
      </c>
      <c r="W634" s="47" t="s">
        <v>312</v>
      </c>
      <c r="X634" s="47">
        <f t="shared" si="259"/>
        <v>2359</v>
      </c>
      <c r="Y634" s="92">
        <f t="shared" si="264"/>
        <v>5.0080812783770958E-3</v>
      </c>
      <c r="Z634" s="92">
        <f t="shared" si="265"/>
        <v>2.0588778588883618E-2</v>
      </c>
      <c r="AA634" s="92">
        <f t="shared" si="266"/>
        <v>-5.0080812783770958E-3</v>
      </c>
      <c r="AB634" s="47" t="s">
        <v>81</v>
      </c>
      <c r="AC634" s="92">
        <f t="shared" si="267"/>
        <v>0.65775330396475784</v>
      </c>
      <c r="AD634" s="92" cm="1">
        <f t="array" ref="AD634">_xlfn.IFS(
AND(L634="marginal_effect",M634="level"),N634*AN634/BF634,
AND(L634="marginal_effect",M634="sd (Y)"),N634*BI634*AN634/BF634,
AND(L634="marginal_effect",M634="sd (X)"),N634/AQ634*AN634/BF634,
AND(L634="semi_elasticity",M634="level"),N634*AN634,
AND(L634="semi_elasticity",M634="sd (Y)"),N634*AN634*BI634,
AND(L634="semi_elasticity",M634="sd (X)"),N634*AN634/AQ634,
AND(L634="level-log",M634="level"),N634/BF634,
AND(L634="level-log",M634="sd (X)"),N634/BF634/AQ634,
AND(L634="level-log",M634="sd (Y)"),N634/BF634*BI634,
AND(L634="elasticity",M634="level"),N634,
AND(L634="elasticity",M634="sd (X)"),N634/AQ634,
AND(L634="elasticity",M634="sd (Y)"),N634*BI634,
AND(L634="marginal_effect",M634="percent_of_mean"),N634*AN634/BF634/10)</f>
        <v>0.65775330396475784</v>
      </c>
      <c r="AE634" s="51">
        <f t="shared" si="250"/>
        <v>1</v>
      </c>
      <c r="AF634" s="92">
        <f t="shared" si="268"/>
        <v>2.7040969162995596</v>
      </c>
      <c r="AG634" s="92" cm="1">
        <f t="array" ref="AG634">_xlfn.IFS(
AND(L634="marginal_effect",M634="level"),O634*AN634/BF634,
AND(L634="marginal_effect",M634="sd (Y)"),O634*BI634*AN634/BF634,
AND(L634="marginal_effect",M634="sd (X)"),O634/AQ634*AN634/BF634,
AND(L634="semi_elasticity",M634="level"),O634*AN634,
AND(L634="semi_elasticity",M634="sd (Y)"),O634*AN634*BI634,
AND(L634="semi_elasticity",M634="sd (X)"),O634*AN634/AQ634,
AND(L634="level-log",M634="level"),O634/BF634,
AND(L634="level-log",M634="sd (X)"),O634/BF634/AQ634,
AND(L634="level-log",M634="sd (Y)"),O634/BF634*BI634,
AND(L634="elasticity",M634="level"),O634,
AND(L634="elasticity",M634="sd (X)"),O634/AQ634,
AND(L634="elasticity",M634="sd (Y)"),O634*BI634,
AND(L634="marginal_effect",M634="percent_of_mean"),O634*AN634/BF634/10)</f>
        <v>2.7040969162995596</v>
      </c>
      <c r="AH634" s="51">
        <f t="shared" si="252"/>
        <v>1</v>
      </c>
      <c r="AI634" s="92">
        <f t="shared" si="257"/>
        <v>0.65775330396475784</v>
      </c>
      <c r="AJ634" s="47">
        <v>0</v>
      </c>
      <c r="AK634" s="47">
        <f t="shared" si="269"/>
        <v>1</v>
      </c>
      <c r="AL634" s="47" t="s">
        <v>82</v>
      </c>
      <c r="AM634" s="47" t="s">
        <v>1333</v>
      </c>
      <c r="AN634" s="47">
        <v>49.77</v>
      </c>
      <c r="AO634" s="47">
        <v>1</v>
      </c>
      <c r="AP634" s="47">
        <f t="shared" si="258"/>
        <v>49.77</v>
      </c>
      <c r="AQ634" s="47">
        <v>18.54</v>
      </c>
      <c r="AR634" s="47">
        <v>6.27</v>
      </c>
      <c r="AS634" s="47">
        <v>110.6</v>
      </c>
      <c r="AT634" s="47" t="s">
        <v>107</v>
      </c>
      <c r="AU634" s="47" t="s">
        <v>109</v>
      </c>
      <c r="AV634" s="47" t="s">
        <v>133</v>
      </c>
      <c r="AW634" s="47" t="s">
        <v>109</v>
      </c>
      <c r="AX634" s="47" t="s">
        <v>110</v>
      </c>
      <c r="AY634" s="47">
        <v>365</v>
      </c>
      <c r="AZ634" s="76">
        <v>365</v>
      </c>
      <c r="BA634" s="47" t="s">
        <v>391</v>
      </c>
      <c r="BB634" s="47" t="s">
        <v>134</v>
      </c>
      <c r="BC634" s="47" t="s">
        <v>134</v>
      </c>
      <c r="BD634" s="47" t="s">
        <v>134</v>
      </c>
      <c r="BE634" s="47" t="s">
        <v>1451</v>
      </c>
      <c r="BF634" s="47">
        <v>6.81</v>
      </c>
      <c r="BG634" s="47">
        <v>0</v>
      </c>
      <c r="BH634" s="47">
        <v>16.899999999999999</v>
      </c>
      <c r="BI634" s="47" t="s">
        <v>312</v>
      </c>
      <c r="BJ634" s="47" t="s">
        <v>312</v>
      </c>
      <c r="BK634" s="47" t="s">
        <v>91</v>
      </c>
      <c r="BL634" s="47" t="s">
        <v>116</v>
      </c>
      <c r="BM634" s="47">
        <v>1</v>
      </c>
      <c r="BN634" s="47" t="s">
        <v>1452</v>
      </c>
      <c r="BO634" s="47" t="s">
        <v>312</v>
      </c>
      <c r="BP634" s="47" t="s">
        <v>312</v>
      </c>
      <c r="BQ634" s="47" t="s">
        <v>117</v>
      </c>
      <c r="BR634" s="47" t="s">
        <v>134</v>
      </c>
      <c r="BS634" s="47" t="s">
        <v>312</v>
      </c>
      <c r="BT634" s="47" t="s">
        <v>312</v>
      </c>
      <c r="BU634" s="47">
        <v>2000</v>
      </c>
      <c r="BV634" s="47">
        <v>2015</v>
      </c>
      <c r="BW634" s="47" t="s">
        <v>901</v>
      </c>
      <c r="BX634" s="47" t="s">
        <v>95</v>
      </c>
      <c r="BY634" s="47" t="s">
        <v>748</v>
      </c>
      <c r="BZ634" s="47">
        <v>1</v>
      </c>
      <c r="CA634" s="47">
        <v>1</v>
      </c>
      <c r="CB634" s="47" t="s">
        <v>303</v>
      </c>
      <c r="CC634" s="47" t="s">
        <v>314</v>
      </c>
      <c r="CD634" s="47">
        <v>1</v>
      </c>
      <c r="CE634" s="47" t="s">
        <v>1453</v>
      </c>
      <c r="CF634" s="47">
        <v>0</v>
      </c>
      <c r="CG634" s="47" t="s">
        <v>97</v>
      </c>
      <c r="CH634" s="47">
        <v>0</v>
      </c>
      <c r="CI634" s="47" t="s">
        <v>1454</v>
      </c>
      <c r="CJ634" s="47" t="s">
        <v>98</v>
      </c>
      <c r="CK634" s="47">
        <v>14</v>
      </c>
      <c r="CL634" s="47">
        <v>0</v>
      </c>
      <c r="CM634" s="47">
        <v>0</v>
      </c>
      <c r="CN634" s="47" t="s">
        <v>99</v>
      </c>
      <c r="CO634" s="47" t="s">
        <v>108</v>
      </c>
      <c r="CP634" s="47" t="s">
        <v>100</v>
      </c>
      <c r="CQ634" s="47" t="s">
        <v>126</v>
      </c>
      <c r="CR634" s="48">
        <v>46232</v>
      </c>
      <c r="CT634" s="47" t="s">
        <v>661</v>
      </c>
    </row>
    <row r="635" spans="1:98" s="47" customFormat="1" x14ac:dyDescent="0.35">
      <c r="A635" s="46" t="s">
        <v>2160</v>
      </c>
      <c r="B635" s="46" t="s">
        <v>2174</v>
      </c>
      <c r="C635" s="47" t="s">
        <v>2161</v>
      </c>
      <c r="D635" s="47">
        <v>2021</v>
      </c>
      <c r="E635" s="66" t="s">
        <v>1449</v>
      </c>
      <c r="F635" s="46" t="s">
        <v>1450</v>
      </c>
      <c r="G635" s="47" t="s">
        <v>78</v>
      </c>
      <c r="H635" s="47">
        <v>1</v>
      </c>
      <c r="I635" s="47" t="s">
        <v>290</v>
      </c>
      <c r="J635" s="47" t="s">
        <v>79</v>
      </c>
      <c r="K635" s="47">
        <v>34</v>
      </c>
      <c r="L635" s="47" t="s">
        <v>129</v>
      </c>
      <c r="M635" s="47" t="s">
        <v>380</v>
      </c>
      <c r="N635" s="47">
        <v>-0.36</v>
      </c>
      <c r="O635" s="47">
        <v>0.21</v>
      </c>
      <c r="P635" s="92">
        <f t="shared" si="261"/>
        <v>-1.7142857142857142</v>
      </c>
      <c r="Q635" s="47" t="s">
        <v>312</v>
      </c>
      <c r="R635" s="92">
        <f t="shared" si="262"/>
        <v>-0.77159999999999995</v>
      </c>
      <c r="S635" s="92">
        <f t="shared" si="263"/>
        <v>5.1599999999999979E-2</v>
      </c>
      <c r="T635" s="47">
        <v>1</v>
      </c>
      <c r="U635" s="47">
        <v>9376</v>
      </c>
      <c r="V635" s="47" t="s">
        <v>312</v>
      </c>
      <c r="W635" s="47" t="s">
        <v>312</v>
      </c>
      <c r="X635" s="47">
        <f t="shared" si="259"/>
        <v>9376</v>
      </c>
      <c r="Y635" s="92">
        <f t="shared" si="264"/>
        <v>-1.7701348628619863E-2</v>
      </c>
      <c r="Z635" s="92">
        <f t="shared" si="265"/>
        <v>1.0325786700028254E-2</v>
      </c>
      <c r="AA635" s="92">
        <f t="shared" si="266"/>
        <v>1.7701348628619863E-2</v>
      </c>
      <c r="AB635" s="47" t="s">
        <v>81</v>
      </c>
      <c r="AC635" s="92">
        <f t="shared" si="267"/>
        <v>-2.5669340974212034</v>
      </c>
      <c r="AD635" s="92" cm="1">
        <f t="array" ref="AD635">_xlfn.IFS(
AND(L635="marginal_effect",M635="level"),N635*AN635/BF635,
AND(L635="marginal_effect",M635="sd (Y)"),N635*BI635*AN635/BF635,
AND(L635="marginal_effect",M635="sd (X)"),N635/AQ635*AN635/BF635,
AND(L635="semi_elasticity",M635="level"),N635*AN635,
AND(L635="semi_elasticity",M635="sd (Y)"),N635*AN635*BI635,
AND(L635="semi_elasticity",M635="sd (X)"),N635*AN635/AQ635,
AND(L635="level-log",M635="level"),N635/BF635,
AND(L635="level-log",M635="sd (X)"),N635/BF635/AQ635,
AND(L635="level-log",M635="sd (Y)"),N635/BF635*BI635,
AND(L635="elasticity",M635="level"),N635,
AND(L635="elasticity",M635="sd (X)"),N635/AQ635,
AND(L635="elasticity",M635="sd (Y)"),N635*BI635,
AND(L635="marginal_effect",M635="percent_of_mean"),N635*AN635/BF635/10)</f>
        <v>-2.5669340974212034</v>
      </c>
      <c r="AE635" s="51">
        <f t="shared" si="250"/>
        <v>1</v>
      </c>
      <c r="AF635" s="92">
        <f t="shared" si="268"/>
        <v>1.497378223495702</v>
      </c>
      <c r="AG635" s="92" cm="1">
        <f t="array" ref="AG635">_xlfn.IFS(
AND(L635="marginal_effect",M635="level"),O635*AN635/BF635,
AND(L635="marginal_effect",M635="sd (Y)"),O635*BI635*AN635/BF635,
AND(L635="marginal_effect",M635="sd (X)"),O635/AQ635*AN635/BF635,
AND(L635="semi_elasticity",M635="level"),O635*AN635,
AND(L635="semi_elasticity",M635="sd (Y)"),O635*AN635*BI635,
AND(L635="semi_elasticity",M635="sd (X)"),O635*AN635/AQ635,
AND(L635="level-log",M635="level"),O635/BF635,
AND(L635="level-log",M635="sd (X)"),O635/BF635/AQ635,
AND(L635="level-log",M635="sd (Y)"),O635/BF635*BI635,
AND(L635="elasticity",M635="level"),O635,
AND(L635="elasticity",M635="sd (X)"),O635/AQ635,
AND(L635="elasticity",M635="sd (Y)"),O635*BI635,
AND(L635="marginal_effect",M635="percent_of_mean"),O635*AN635/BF635/10)</f>
        <v>1.497378223495702</v>
      </c>
      <c r="AH635" s="51">
        <f t="shared" si="252"/>
        <v>1</v>
      </c>
      <c r="AI635" s="92">
        <f t="shared" si="257"/>
        <v>-2.5669340974212034</v>
      </c>
      <c r="AJ635" s="47">
        <v>0</v>
      </c>
      <c r="AK635" s="47">
        <f t="shared" si="269"/>
        <v>1</v>
      </c>
      <c r="AL635" s="47" t="s">
        <v>82</v>
      </c>
      <c r="AM635" s="47" t="s">
        <v>1333</v>
      </c>
      <c r="AN635" s="47">
        <v>49.77</v>
      </c>
      <c r="AO635" s="47">
        <v>0</v>
      </c>
      <c r="AP635" s="47">
        <f t="shared" si="258"/>
        <v>49.77</v>
      </c>
      <c r="AQ635" s="47">
        <v>18.54</v>
      </c>
      <c r="AR635" s="47">
        <v>6.27</v>
      </c>
      <c r="AS635" s="47">
        <v>110.6</v>
      </c>
      <c r="AT635" s="47" t="s">
        <v>107</v>
      </c>
      <c r="AU635" s="47" t="s">
        <v>109</v>
      </c>
      <c r="AV635" s="47" t="s">
        <v>133</v>
      </c>
      <c r="AW635" s="47" t="s">
        <v>109</v>
      </c>
      <c r="AX635" s="47" t="s">
        <v>110</v>
      </c>
      <c r="AY635" s="47">
        <v>365</v>
      </c>
      <c r="AZ635" s="76">
        <v>365</v>
      </c>
      <c r="BA635" s="47" t="s">
        <v>391</v>
      </c>
      <c r="BB635" s="47" t="s">
        <v>134</v>
      </c>
      <c r="BC635" s="47" t="s">
        <v>134</v>
      </c>
      <c r="BD635" s="47" t="s">
        <v>134</v>
      </c>
      <c r="BE635" s="47" t="s">
        <v>1451</v>
      </c>
      <c r="BF635" s="47">
        <v>6.98</v>
      </c>
      <c r="BG635" s="47">
        <v>0</v>
      </c>
      <c r="BH635" s="47">
        <v>13.26</v>
      </c>
      <c r="BI635" s="47">
        <v>0.13</v>
      </c>
      <c r="BJ635" s="47">
        <v>427.17</v>
      </c>
      <c r="BK635" s="47" t="s">
        <v>91</v>
      </c>
      <c r="BL635" s="47" t="s">
        <v>116</v>
      </c>
      <c r="BM635" s="47">
        <v>1</v>
      </c>
      <c r="BN635" s="47" t="s">
        <v>1452</v>
      </c>
      <c r="BO635" s="47" t="s">
        <v>312</v>
      </c>
      <c r="BP635" s="47" t="s">
        <v>312</v>
      </c>
      <c r="BQ635" s="47" t="s">
        <v>117</v>
      </c>
      <c r="BR635" s="47" t="s">
        <v>134</v>
      </c>
      <c r="BS635" s="47" t="s">
        <v>312</v>
      </c>
      <c r="BT635" s="47" t="s">
        <v>312</v>
      </c>
      <c r="BU635" s="47">
        <v>2000</v>
      </c>
      <c r="BV635" s="47">
        <v>2015</v>
      </c>
      <c r="BW635" s="47" t="s">
        <v>901</v>
      </c>
      <c r="BX635" s="47" t="s">
        <v>95</v>
      </c>
      <c r="BY635" s="47" t="s">
        <v>748</v>
      </c>
      <c r="BZ635" s="47">
        <v>1</v>
      </c>
      <c r="CA635" s="47">
        <v>1</v>
      </c>
      <c r="CB635" s="47" t="s">
        <v>303</v>
      </c>
      <c r="CC635" s="47" t="s">
        <v>314</v>
      </c>
      <c r="CD635" s="47">
        <v>1</v>
      </c>
      <c r="CE635" s="47" t="s">
        <v>1453</v>
      </c>
      <c r="CF635" s="47">
        <v>0</v>
      </c>
      <c r="CG635" s="47" t="s">
        <v>97</v>
      </c>
      <c r="CH635" s="47">
        <v>0</v>
      </c>
      <c r="CI635" s="47" t="s">
        <v>1454</v>
      </c>
      <c r="CJ635" s="47" t="s">
        <v>98</v>
      </c>
      <c r="CK635" s="47">
        <v>14</v>
      </c>
      <c r="CL635" s="47">
        <v>0</v>
      </c>
      <c r="CM635" s="47">
        <v>0</v>
      </c>
      <c r="CN635" s="47" t="s">
        <v>124</v>
      </c>
      <c r="CO635" s="47" t="s">
        <v>97</v>
      </c>
      <c r="CP635" s="47" t="s">
        <v>100</v>
      </c>
      <c r="CQ635" s="47" t="s">
        <v>126</v>
      </c>
      <c r="CR635" s="48">
        <v>46233</v>
      </c>
      <c r="CT635" s="47" t="s">
        <v>673</v>
      </c>
    </row>
    <row r="636" spans="1:98" s="47" customFormat="1" x14ac:dyDescent="0.35">
      <c r="A636" s="46" t="s">
        <v>2160</v>
      </c>
      <c r="B636" s="46" t="s">
        <v>2175</v>
      </c>
      <c r="C636" s="47" t="s">
        <v>2161</v>
      </c>
      <c r="D636" s="47">
        <v>2021</v>
      </c>
      <c r="E636" s="66" t="s">
        <v>1449</v>
      </c>
      <c r="F636" s="46" t="s">
        <v>1450</v>
      </c>
      <c r="G636" s="47" t="s">
        <v>78</v>
      </c>
      <c r="H636" s="47">
        <v>1</v>
      </c>
      <c r="I636" s="47" t="s">
        <v>290</v>
      </c>
      <c r="J636" s="47" t="s">
        <v>79</v>
      </c>
      <c r="K636" s="47">
        <v>34</v>
      </c>
      <c r="L636" s="47" t="s">
        <v>129</v>
      </c>
      <c r="M636" s="47" t="s">
        <v>380</v>
      </c>
      <c r="N636" s="47">
        <v>-0.33</v>
      </c>
      <c r="O636" s="47">
        <v>0.17</v>
      </c>
      <c r="P636" s="92">
        <f t="shared" si="261"/>
        <v>-1.9411764705882353</v>
      </c>
      <c r="Q636" s="47" t="s">
        <v>312</v>
      </c>
      <c r="R636" s="92">
        <f t="shared" si="262"/>
        <v>-0.66320000000000001</v>
      </c>
      <c r="S636" s="92">
        <f t="shared" si="263"/>
        <v>3.1999999999999806E-3</v>
      </c>
      <c r="T636" s="47">
        <v>1</v>
      </c>
      <c r="U636" s="47">
        <v>9376</v>
      </c>
      <c r="V636" s="47" t="s">
        <v>312</v>
      </c>
      <c r="W636" s="47" t="s">
        <v>312</v>
      </c>
      <c r="X636" s="47">
        <f t="shared" si="259"/>
        <v>9376</v>
      </c>
      <c r="Y636" s="92">
        <f t="shared" si="264"/>
        <v>-2.0043287976242278E-2</v>
      </c>
      <c r="Z636" s="92">
        <f t="shared" si="265"/>
        <v>1.0325330169579356E-2</v>
      </c>
      <c r="AA636" s="92">
        <f t="shared" si="266"/>
        <v>2.0043287976242278E-2</v>
      </c>
      <c r="AB636" s="47" t="s">
        <v>81</v>
      </c>
      <c r="AC636" s="92">
        <f t="shared" si="267"/>
        <v>-2.3530229226361032</v>
      </c>
      <c r="AD636" s="92" cm="1">
        <f t="array" ref="AD636">_xlfn.IFS(
AND(L636="marginal_effect",M636="level"),N636*AN636/BF636,
AND(L636="marginal_effect",M636="sd (Y)"),N636*BI636*AN636/BF636,
AND(L636="marginal_effect",M636="sd (X)"),N636/AQ636*AN636/BF636,
AND(L636="semi_elasticity",M636="level"),N636*AN636,
AND(L636="semi_elasticity",M636="sd (Y)"),N636*AN636*BI636,
AND(L636="semi_elasticity",M636="sd (X)"),N636*AN636/AQ636,
AND(L636="level-log",M636="level"),N636/BF636,
AND(L636="level-log",M636="sd (X)"),N636/BF636/AQ636,
AND(L636="level-log",M636="sd (Y)"),N636/BF636*BI636,
AND(L636="elasticity",M636="level"),N636,
AND(L636="elasticity",M636="sd (X)"),N636/AQ636,
AND(L636="elasticity",M636="sd (Y)"),N636*BI636,
AND(L636="marginal_effect",M636="percent_of_mean"),N636*AN636/BF636/10)</f>
        <v>-2.3530229226361032</v>
      </c>
      <c r="AE636" s="51">
        <f t="shared" si="250"/>
        <v>1</v>
      </c>
      <c r="AF636" s="92">
        <f t="shared" si="268"/>
        <v>1.2121633237822349</v>
      </c>
      <c r="AG636" s="92" cm="1">
        <f t="array" ref="AG636">_xlfn.IFS(
AND(L636="marginal_effect",M636="level"),O636*AN636/BF636,
AND(L636="marginal_effect",M636="sd (Y)"),O636*BI636*AN636/BF636,
AND(L636="marginal_effect",M636="sd (X)"),O636/AQ636*AN636/BF636,
AND(L636="semi_elasticity",M636="level"),O636*AN636,
AND(L636="semi_elasticity",M636="sd (Y)"),O636*AN636*BI636,
AND(L636="semi_elasticity",M636="sd (X)"),O636*AN636/AQ636,
AND(L636="level-log",M636="level"),O636/BF636,
AND(L636="level-log",M636="sd (X)"),O636/BF636/AQ636,
AND(L636="level-log",M636="sd (Y)"),O636/BF636*BI636,
AND(L636="elasticity",M636="level"),O636,
AND(L636="elasticity",M636="sd (X)"),O636/AQ636,
AND(L636="elasticity",M636="sd (Y)"),O636*BI636,
AND(L636="marginal_effect",M636="percent_of_mean"),O636*AN636/BF636/10)</f>
        <v>1.2121633237822349</v>
      </c>
      <c r="AH636" s="51">
        <f t="shared" si="252"/>
        <v>1</v>
      </c>
      <c r="AI636" s="92">
        <f t="shared" si="257"/>
        <v>-2.3530229226361032</v>
      </c>
      <c r="AJ636" s="47">
        <v>0</v>
      </c>
      <c r="AK636" s="47">
        <f t="shared" si="269"/>
        <v>1</v>
      </c>
      <c r="AL636" s="47" t="s">
        <v>82</v>
      </c>
      <c r="AM636" s="47" t="s">
        <v>1333</v>
      </c>
      <c r="AN636" s="47">
        <v>49.77</v>
      </c>
      <c r="AO636" s="47">
        <v>0</v>
      </c>
      <c r="AP636" s="47">
        <f t="shared" si="258"/>
        <v>49.77</v>
      </c>
      <c r="AQ636" s="47">
        <v>18.54</v>
      </c>
      <c r="AR636" s="47">
        <v>6.27</v>
      </c>
      <c r="AS636" s="47">
        <v>110.6</v>
      </c>
      <c r="AT636" s="47" t="s">
        <v>107</v>
      </c>
      <c r="AU636" s="47" t="s">
        <v>109</v>
      </c>
      <c r="AV636" s="47" t="s">
        <v>133</v>
      </c>
      <c r="AW636" s="47" t="s">
        <v>109</v>
      </c>
      <c r="AX636" s="47" t="s">
        <v>110</v>
      </c>
      <c r="AY636" s="47">
        <v>365</v>
      </c>
      <c r="AZ636" s="76">
        <v>365</v>
      </c>
      <c r="BA636" s="47" t="s">
        <v>391</v>
      </c>
      <c r="BB636" s="47" t="s">
        <v>134</v>
      </c>
      <c r="BC636" s="47" t="s">
        <v>134</v>
      </c>
      <c r="BD636" s="47" t="s">
        <v>134</v>
      </c>
      <c r="BE636" s="47" t="s">
        <v>1451</v>
      </c>
      <c r="BF636" s="47">
        <v>6.98</v>
      </c>
      <c r="BG636" s="47">
        <v>0</v>
      </c>
      <c r="BH636" s="47">
        <v>13.26</v>
      </c>
      <c r="BI636" s="47">
        <v>0.13</v>
      </c>
      <c r="BJ636" s="47">
        <v>427.17</v>
      </c>
      <c r="BK636" s="47" t="s">
        <v>91</v>
      </c>
      <c r="BL636" s="47" t="s">
        <v>116</v>
      </c>
      <c r="BM636" s="47">
        <v>1</v>
      </c>
      <c r="BN636" s="47" t="s">
        <v>1452</v>
      </c>
      <c r="BO636" s="47" t="s">
        <v>312</v>
      </c>
      <c r="BP636" s="47" t="s">
        <v>312</v>
      </c>
      <c r="BQ636" s="47" t="s">
        <v>117</v>
      </c>
      <c r="BR636" s="47" t="s">
        <v>134</v>
      </c>
      <c r="BS636" s="47" t="s">
        <v>312</v>
      </c>
      <c r="BT636" s="47" t="s">
        <v>312</v>
      </c>
      <c r="BU636" s="47">
        <v>2000</v>
      </c>
      <c r="BV636" s="47">
        <v>2015</v>
      </c>
      <c r="BW636" s="47" t="s">
        <v>901</v>
      </c>
      <c r="BX636" s="47" t="s">
        <v>95</v>
      </c>
      <c r="BY636" s="47" t="s">
        <v>748</v>
      </c>
      <c r="BZ636" s="47">
        <v>1</v>
      </c>
      <c r="CA636" s="47">
        <v>1</v>
      </c>
      <c r="CB636" s="47" t="s">
        <v>303</v>
      </c>
      <c r="CC636" s="47" t="s">
        <v>314</v>
      </c>
      <c r="CD636" s="47">
        <v>1</v>
      </c>
      <c r="CE636" s="47" t="s">
        <v>1453</v>
      </c>
      <c r="CF636" s="47">
        <v>0</v>
      </c>
      <c r="CG636" s="47" t="s">
        <v>97</v>
      </c>
      <c r="CH636" s="47">
        <v>0</v>
      </c>
      <c r="CI636" s="47" t="s">
        <v>1454</v>
      </c>
      <c r="CJ636" s="47" t="s">
        <v>98</v>
      </c>
      <c r="CK636" s="47">
        <v>14</v>
      </c>
      <c r="CL636" s="47">
        <v>0</v>
      </c>
      <c r="CM636" s="47">
        <v>0</v>
      </c>
      <c r="CN636" s="47" t="s">
        <v>124</v>
      </c>
      <c r="CO636" s="47" t="s">
        <v>97</v>
      </c>
      <c r="CP636" s="47" t="s">
        <v>100</v>
      </c>
      <c r="CQ636" s="47" t="s">
        <v>126</v>
      </c>
      <c r="CR636" s="48">
        <v>46233</v>
      </c>
      <c r="CT636" s="47" t="s">
        <v>672</v>
      </c>
    </row>
    <row r="637" spans="1:98" s="55" customFormat="1" x14ac:dyDescent="0.35">
      <c r="A637" s="54" t="s">
        <v>1459</v>
      </c>
      <c r="B637" s="54" t="s">
        <v>1467</v>
      </c>
      <c r="C637" s="55" t="s">
        <v>1460</v>
      </c>
      <c r="D637" s="55">
        <v>2022</v>
      </c>
      <c r="E637" s="60" t="s">
        <v>1461</v>
      </c>
      <c r="F637" s="54" t="s">
        <v>998</v>
      </c>
      <c r="G637" s="55" t="s">
        <v>78</v>
      </c>
      <c r="H637" s="55">
        <v>1</v>
      </c>
      <c r="I637" s="55" t="s">
        <v>290</v>
      </c>
      <c r="J637" s="55" t="s">
        <v>79</v>
      </c>
      <c r="K637" s="55">
        <v>81</v>
      </c>
      <c r="L637" s="55" t="s">
        <v>104</v>
      </c>
      <c r="M637" s="55" t="s">
        <v>380</v>
      </c>
      <c r="N637" s="55">
        <v>-7.1999999999999998E-3</v>
      </c>
      <c r="O637" s="55">
        <v>1.6999999999999999E-3</v>
      </c>
      <c r="P637" s="88">
        <f t="shared" si="261"/>
        <v>-4.2352941176470589</v>
      </c>
      <c r="Q637" s="55" t="s">
        <v>312</v>
      </c>
      <c r="R637" s="88">
        <f t="shared" si="262"/>
        <v>-1.0532E-2</v>
      </c>
      <c r="S637" s="88">
        <f t="shared" si="263"/>
        <v>-3.8679999999999999E-3</v>
      </c>
      <c r="T637" s="55">
        <v>1</v>
      </c>
      <c r="U637" s="55">
        <v>66374</v>
      </c>
      <c r="V637" s="55" t="s">
        <v>312</v>
      </c>
      <c r="W637" s="55" t="s">
        <v>312</v>
      </c>
      <c r="X637" s="55">
        <f t="shared" si="259"/>
        <v>66374</v>
      </c>
      <c r="Y637" s="88">
        <f t="shared" si="264"/>
        <v>-1.6437126707391281E-2</v>
      </c>
      <c r="Z637" s="88">
        <f t="shared" si="265"/>
        <v>3.8809882503562745E-3</v>
      </c>
      <c r="AA637" s="88">
        <f t="shared" si="266"/>
        <v>1.6437126707391281E-2</v>
      </c>
      <c r="AB637" s="55" t="s">
        <v>81</v>
      </c>
      <c r="AC637" s="88">
        <f>N637*AN637</f>
        <v>-7.3051200000000011E-2</v>
      </c>
      <c r="AD637" s="88" cm="1">
        <f t="array" ref="AD637">_xlfn.IFS(
AND(L637="marginal_effect",M637="level"),N637*AN637/BF637,
AND(L637="marginal_effect",M637="sd (Y)"),N637*BI637*AN637/BF637,
AND(L637="marginal_effect",M637="sd (X)"),N637/AQ637*AN637/BF637,
AND(L637="semi_elasticity",M637="level"),N637*AN637,
AND(L637="semi_elasticity",M637="sd (Y)"),N637*AN637*BI637,
AND(L637="semi_elasticity",M637="sd (X)"),N637*AN637/AQ637,
AND(L637="level-log",M637="level"),N637/BF637,
AND(L637="level-log",M637="sd (X)"),N637/BF637/AQ637,
AND(L637="level-log",M637="sd (Y)"),N637/BF637*BI637,
AND(L637="elasticity",M637="level"),N637,
AND(L637="elasticity",M637="sd (X)"),N637/AQ637,
AND(L637="elasticity",M637="sd (Y)"),N637*BI637,
AND(L637="marginal_effect",M637="percent_of_mean"),N637*AN637/BF637/10)</f>
        <v>-7.3051200000000011E-2</v>
      </c>
      <c r="AE637" s="56">
        <f t="shared" si="250"/>
        <v>1</v>
      </c>
      <c r="AF637" s="88">
        <f>O637*AN637</f>
        <v>1.7248200000000002E-2</v>
      </c>
      <c r="AG637" s="88" cm="1">
        <f t="array" ref="AG637">_xlfn.IFS(
AND(L637="marginal_effect",M637="level"),O637*AN637/BF637,
AND(L637="marginal_effect",M637="sd (Y)"),O637*BI637*AN637/BF637,
AND(L637="marginal_effect",M637="sd (X)"),O637/AQ637*AN637/BF637,
AND(L637="semi_elasticity",M637="level"),O637*AN637,
AND(L637="semi_elasticity",M637="sd (Y)"),O637*AN637*BI637,
AND(L637="semi_elasticity",M637="sd (X)"),O637*AN637/AQ637,
AND(L637="level-log",M637="level"),O637/BF637,
AND(L637="level-log",M637="sd (X)"),O637/BF637/AQ637,
AND(L637="level-log",M637="sd (Y)"),O637/BF637*BI637,
AND(L637="elasticity",M637="level"),O637,
AND(L637="elasticity",M637="sd (X)"),O637/AQ637,
AND(L637="elasticity",M637="sd (Y)"),O637*BI637,
AND(L637="marginal_effect",M637="percent_of_mean"),O637*AN637/BF637/10)</f>
        <v>1.7248200000000002E-2</v>
      </c>
      <c r="AH637" s="56">
        <f t="shared" si="252"/>
        <v>1</v>
      </c>
      <c r="AI637" s="88">
        <f t="shared" si="257"/>
        <v>-7.3051200000000011E-2</v>
      </c>
      <c r="AJ637" s="55">
        <v>0</v>
      </c>
      <c r="AK637" s="55">
        <f t="shared" si="269"/>
        <v>1</v>
      </c>
      <c r="AL637" s="55" t="s">
        <v>148</v>
      </c>
      <c r="AM637" s="55" t="s">
        <v>1466</v>
      </c>
      <c r="AN637" s="55">
        <v>10.146000000000001</v>
      </c>
      <c r="AO637" s="55">
        <v>0</v>
      </c>
      <c r="AP637" s="55">
        <f t="shared" ref="AP637:AP668" si="270">AN637*10</f>
        <v>101.46000000000001</v>
      </c>
      <c r="AQ637" s="55">
        <v>48.17</v>
      </c>
      <c r="AR637" s="55">
        <v>18</v>
      </c>
      <c r="AS637" s="55">
        <v>300</v>
      </c>
      <c r="AT637" s="55" t="s">
        <v>83</v>
      </c>
      <c r="AU637" s="55" t="s">
        <v>109</v>
      </c>
      <c r="AV637" s="55" t="s">
        <v>133</v>
      </c>
      <c r="AW637" s="55" t="s">
        <v>109</v>
      </c>
      <c r="AX637" s="55" t="s">
        <v>86</v>
      </c>
      <c r="AY637" s="55">
        <v>0</v>
      </c>
      <c r="AZ637" s="55">
        <v>0</v>
      </c>
      <c r="BA637" s="55" t="s">
        <v>87</v>
      </c>
      <c r="BB637" s="55" t="s">
        <v>88</v>
      </c>
      <c r="BC637" s="55" t="s">
        <v>89</v>
      </c>
      <c r="BD637" s="55" t="s">
        <v>90</v>
      </c>
      <c r="BE637" s="55" t="s">
        <v>1458</v>
      </c>
      <c r="BF637" s="55">
        <v>101.57</v>
      </c>
      <c r="BG637" s="55">
        <v>0</v>
      </c>
      <c r="BH637" s="55">
        <v>65.849999999999994</v>
      </c>
      <c r="BI637" s="55">
        <v>5</v>
      </c>
      <c r="BJ637" s="55">
        <v>430</v>
      </c>
      <c r="BK637" s="55" t="s">
        <v>91</v>
      </c>
      <c r="BL637" s="55" t="s">
        <v>84</v>
      </c>
      <c r="BM637" s="55">
        <v>1</v>
      </c>
      <c r="BN637" s="55" t="s">
        <v>428</v>
      </c>
      <c r="BO637" s="60" t="s">
        <v>1463</v>
      </c>
      <c r="BP637" s="55" t="s">
        <v>1464</v>
      </c>
      <c r="BQ637" s="55" t="s">
        <v>117</v>
      </c>
      <c r="BR637" s="55" t="s">
        <v>134</v>
      </c>
      <c r="BS637" s="55">
        <v>29.22</v>
      </c>
      <c r="BT637" s="55">
        <v>0.01</v>
      </c>
      <c r="BU637" s="57">
        <v>42552</v>
      </c>
      <c r="BV637" s="57">
        <v>42643</v>
      </c>
      <c r="BW637" s="55" t="s">
        <v>94</v>
      </c>
      <c r="BX637" s="55" t="s">
        <v>95</v>
      </c>
      <c r="BY637" s="55" t="s">
        <v>96</v>
      </c>
      <c r="BZ637" s="55">
        <v>0</v>
      </c>
      <c r="CA637" s="55">
        <v>0</v>
      </c>
      <c r="CB637" s="55" t="s">
        <v>97</v>
      </c>
      <c r="CC637" s="55" t="s">
        <v>509</v>
      </c>
      <c r="CD637" s="55">
        <v>1</v>
      </c>
      <c r="CE637" s="55" t="s">
        <v>1462</v>
      </c>
      <c r="CF637" s="55">
        <v>0</v>
      </c>
      <c r="CG637" s="55" t="s">
        <v>97</v>
      </c>
      <c r="CH637" s="55">
        <v>1</v>
      </c>
      <c r="CI637" s="55" t="s">
        <v>1465</v>
      </c>
      <c r="CJ637" s="55" t="s">
        <v>98</v>
      </c>
      <c r="CK637" s="55">
        <v>179</v>
      </c>
      <c r="CL637" s="55">
        <v>0</v>
      </c>
      <c r="CM637" s="55">
        <v>0</v>
      </c>
      <c r="CN637" s="55" t="s">
        <v>99</v>
      </c>
      <c r="CO637" s="55" t="s">
        <v>97</v>
      </c>
      <c r="CP637" s="55" t="s">
        <v>100</v>
      </c>
      <c r="CQ637" s="55" t="s">
        <v>126</v>
      </c>
      <c r="CR637" s="57">
        <v>46233</v>
      </c>
      <c r="CT637" s="55" t="s">
        <v>437</v>
      </c>
    </row>
    <row r="638" spans="1:98" s="55" customFormat="1" x14ac:dyDescent="0.35">
      <c r="A638" s="54" t="s">
        <v>1459</v>
      </c>
      <c r="B638" s="54" t="s">
        <v>1831</v>
      </c>
      <c r="C638" s="55" t="s">
        <v>1460</v>
      </c>
      <c r="D638" s="55">
        <v>2022</v>
      </c>
      <c r="E638" s="60" t="s">
        <v>1461</v>
      </c>
      <c r="F638" s="54" t="s">
        <v>998</v>
      </c>
      <c r="G638" s="55" t="s">
        <v>78</v>
      </c>
      <c r="H638" s="55">
        <v>1</v>
      </c>
      <c r="I638" s="55" t="s">
        <v>290</v>
      </c>
      <c r="J638" s="55" t="s">
        <v>79</v>
      </c>
      <c r="K638" s="55">
        <v>81</v>
      </c>
      <c r="L638" s="55" t="s">
        <v>104</v>
      </c>
      <c r="M638" s="55" t="s">
        <v>380</v>
      </c>
      <c r="N638" s="55">
        <v>-3.2000000000000002E-3</v>
      </c>
      <c r="O638" s="55">
        <v>1.4E-3</v>
      </c>
      <c r="P638" s="88">
        <f t="shared" si="261"/>
        <v>-2.285714285714286</v>
      </c>
      <c r="Q638" s="55" t="s">
        <v>312</v>
      </c>
      <c r="R638" s="88">
        <f t="shared" si="262"/>
        <v>-5.9439999999999996E-3</v>
      </c>
      <c r="S638" s="88">
        <f t="shared" si="263"/>
        <v>-4.5600000000000024E-4</v>
      </c>
      <c r="T638" s="55">
        <v>1</v>
      </c>
      <c r="U638" s="55">
        <v>66374</v>
      </c>
      <c r="V638" s="55" t="s">
        <v>312</v>
      </c>
      <c r="W638" s="55" t="s">
        <v>312</v>
      </c>
      <c r="X638" s="55">
        <f t="shared" si="259"/>
        <v>66374</v>
      </c>
      <c r="Y638" s="88">
        <f t="shared" si="264"/>
        <v>-8.8716797351015286E-3</v>
      </c>
      <c r="Z638" s="88">
        <f t="shared" si="265"/>
        <v>3.8813598841069175E-3</v>
      </c>
      <c r="AA638" s="88">
        <f t="shared" si="266"/>
        <v>8.8716797351015286E-3</v>
      </c>
      <c r="AB638" s="55" t="s">
        <v>81</v>
      </c>
      <c r="AC638" s="88">
        <f>N638*AN638</f>
        <v>-3.2467200000000002E-2</v>
      </c>
      <c r="AD638" s="88" cm="1">
        <f t="array" ref="AD638">_xlfn.IFS(
AND(L638="marginal_effect",M638="level"),N638*AN638/BF638,
AND(L638="marginal_effect",M638="sd (Y)"),N638*BI638*AN638/BF638,
AND(L638="marginal_effect",M638="sd (X)"),N638/AQ638*AN638/BF638,
AND(L638="semi_elasticity",M638="level"),N638*AN638,
AND(L638="semi_elasticity",M638="sd (Y)"),N638*AN638*BI638,
AND(L638="semi_elasticity",M638="sd (X)"),N638*AN638/AQ638,
AND(L638="level-log",M638="level"),N638/BF638,
AND(L638="level-log",M638="sd (X)"),N638/BF638/AQ638,
AND(L638="level-log",M638="sd (Y)"),N638/BF638*BI638,
AND(L638="elasticity",M638="level"),N638,
AND(L638="elasticity",M638="sd (X)"),N638/AQ638,
AND(L638="elasticity",M638="sd (Y)"),N638*BI638,
AND(L638="marginal_effect",M638="percent_of_mean"),N638*AN638/BF638/10)</f>
        <v>-3.2467200000000002E-2</v>
      </c>
      <c r="AE638" s="56">
        <f t="shared" si="250"/>
        <v>1</v>
      </c>
      <c r="AF638" s="88">
        <f>O638*AN638</f>
        <v>1.4204400000000001E-2</v>
      </c>
      <c r="AG638" s="88" cm="1">
        <f t="array" ref="AG638">_xlfn.IFS(
AND(L638="marginal_effect",M638="level"),O638*AN638/BF638,
AND(L638="marginal_effect",M638="sd (Y)"),O638*BI638*AN638/BF638,
AND(L638="marginal_effect",M638="sd (X)"),O638/AQ638*AN638/BF638,
AND(L638="semi_elasticity",M638="level"),O638*AN638,
AND(L638="semi_elasticity",M638="sd (Y)"),O638*AN638*BI638,
AND(L638="semi_elasticity",M638="sd (X)"),O638*AN638/AQ638,
AND(L638="level-log",M638="level"),O638/BF638,
AND(L638="level-log",M638="sd (X)"),O638/BF638/AQ638,
AND(L638="level-log",M638="sd (Y)"),O638/BF638*BI638,
AND(L638="elasticity",M638="level"),O638,
AND(L638="elasticity",M638="sd (X)"),O638/AQ638,
AND(L638="elasticity",M638="sd (Y)"),O638*BI638,
AND(L638="marginal_effect",M638="percent_of_mean"),O638*AN638/BF638/10)</f>
        <v>1.4204400000000001E-2</v>
      </c>
      <c r="AH638" s="56">
        <f t="shared" si="252"/>
        <v>1</v>
      </c>
      <c r="AI638" s="88">
        <f t="shared" si="257"/>
        <v>-3.2467200000000002E-2</v>
      </c>
      <c r="AJ638" s="55">
        <v>0</v>
      </c>
      <c r="AK638" s="55">
        <f t="shared" si="269"/>
        <v>1</v>
      </c>
      <c r="AL638" s="55" t="s">
        <v>148</v>
      </c>
      <c r="AM638" s="55" t="s">
        <v>1466</v>
      </c>
      <c r="AN638" s="55">
        <v>10.146000000000001</v>
      </c>
      <c r="AO638" s="55">
        <v>0</v>
      </c>
      <c r="AP638" s="55">
        <f t="shared" si="270"/>
        <v>101.46000000000001</v>
      </c>
      <c r="AQ638" s="55">
        <v>48.17</v>
      </c>
      <c r="AR638" s="55">
        <v>18</v>
      </c>
      <c r="AS638" s="55">
        <v>300</v>
      </c>
      <c r="AT638" s="55" t="s">
        <v>83</v>
      </c>
      <c r="AU638" s="55" t="s">
        <v>109</v>
      </c>
      <c r="AV638" s="55" t="s">
        <v>133</v>
      </c>
      <c r="AW638" s="55" t="s">
        <v>109</v>
      </c>
      <c r="AX638" s="55" t="s">
        <v>86</v>
      </c>
      <c r="AY638" s="55">
        <v>0</v>
      </c>
      <c r="AZ638" s="55">
        <v>0</v>
      </c>
      <c r="BA638" s="55" t="s">
        <v>87</v>
      </c>
      <c r="BB638" s="55" t="s">
        <v>88</v>
      </c>
      <c r="BC638" s="55" t="s">
        <v>89</v>
      </c>
      <c r="BD638" s="55" t="s">
        <v>90</v>
      </c>
      <c r="BE638" s="55" t="s">
        <v>1458</v>
      </c>
      <c r="BF638" s="55">
        <v>101.57</v>
      </c>
      <c r="BG638" s="55">
        <v>0</v>
      </c>
      <c r="BH638" s="55">
        <v>65.849999999999994</v>
      </c>
      <c r="BI638" s="55">
        <v>5</v>
      </c>
      <c r="BJ638" s="55">
        <v>430</v>
      </c>
      <c r="BK638" s="55" t="s">
        <v>91</v>
      </c>
      <c r="BL638" s="55" t="s">
        <v>84</v>
      </c>
      <c r="BM638" s="55">
        <v>1</v>
      </c>
      <c r="BN638" s="55" t="s">
        <v>428</v>
      </c>
      <c r="BO638" s="60" t="s">
        <v>1463</v>
      </c>
      <c r="BP638" s="55" t="s">
        <v>1464</v>
      </c>
      <c r="BQ638" s="55" t="s">
        <v>117</v>
      </c>
      <c r="BR638" s="55" t="s">
        <v>134</v>
      </c>
      <c r="BS638" s="55">
        <v>29.22</v>
      </c>
      <c r="BT638" s="55">
        <v>0.01</v>
      </c>
      <c r="BU638" s="57">
        <v>42552</v>
      </c>
      <c r="BV638" s="57">
        <v>42643</v>
      </c>
      <c r="BW638" s="55" t="s">
        <v>94</v>
      </c>
      <c r="BX638" s="55" t="s">
        <v>95</v>
      </c>
      <c r="BY638" s="55" t="s">
        <v>96</v>
      </c>
      <c r="BZ638" s="55">
        <v>0</v>
      </c>
      <c r="CA638" s="55">
        <v>0</v>
      </c>
      <c r="CB638" s="55" t="s">
        <v>97</v>
      </c>
      <c r="CC638" s="55" t="s">
        <v>1490</v>
      </c>
      <c r="CD638" s="55">
        <v>1</v>
      </c>
      <c r="CE638" s="55" t="s">
        <v>1462</v>
      </c>
      <c r="CF638" s="55">
        <v>0</v>
      </c>
      <c r="CG638" s="55" t="s">
        <v>97</v>
      </c>
      <c r="CH638" s="55">
        <v>1</v>
      </c>
      <c r="CI638" s="55" t="s">
        <v>1465</v>
      </c>
      <c r="CJ638" s="55" t="s">
        <v>98</v>
      </c>
      <c r="CK638" s="55">
        <v>179</v>
      </c>
      <c r="CL638" s="55">
        <v>0</v>
      </c>
      <c r="CM638" s="55">
        <v>0</v>
      </c>
      <c r="CN638" s="55" t="s">
        <v>99</v>
      </c>
      <c r="CO638" s="55" t="s">
        <v>97</v>
      </c>
      <c r="CP638" s="55" t="s">
        <v>100</v>
      </c>
      <c r="CQ638" s="55" t="s">
        <v>126</v>
      </c>
      <c r="CR638" s="57">
        <v>46233</v>
      </c>
      <c r="CT638" s="55" t="s">
        <v>438</v>
      </c>
    </row>
    <row r="639" spans="1:98" s="55" customFormat="1" x14ac:dyDescent="0.35">
      <c r="A639" s="54" t="s">
        <v>1459</v>
      </c>
      <c r="B639" s="54" t="s">
        <v>1468</v>
      </c>
      <c r="C639" s="55" t="s">
        <v>1460</v>
      </c>
      <c r="D639" s="55">
        <v>2022</v>
      </c>
      <c r="E639" s="60" t="s">
        <v>1461</v>
      </c>
      <c r="F639" s="54" t="s">
        <v>998</v>
      </c>
      <c r="G639" s="55" t="s">
        <v>78</v>
      </c>
      <c r="H639" s="55">
        <v>1</v>
      </c>
      <c r="I639" s="55" t="s">
        <v>290</v>
      </c>
      <c r="J639" s="55" t="s">
        <v>79</v>
      </c>
      <c r="K639" s="55">
        <v>81</v>
      </c>
      <c r="L639" s="55" t="s">
        <v>104</v>
      </c>
      <c r="M639" s="55" t="s">
        <v>380</v>
      </c>
      <c r="N639" s="55">
        <v>-3.5000000000000001E-3</v>
      </c>
      <c r="O639" s="55">
        <v>1.4E-3</v>
      </c>
      <c r="P639" s="88">
        <f t="shared" si="261"/>
        <v>-2.5</v>
      </c>
      <c r="Q639" s="55" t="s">
        <v>312</v>
      </c>
      <c r="R639" s="88">
        <f t="shared" si="262"/>
        <v>-6.2439999999999996E-3</v>
      </c>
      <c r="S639" s="88">
        <f t="shared" si="263"/>
        <v>-7.5600000000000016E-4</v>
      </c>
      <c r="T639" s="55">
        <v>1</v>
      </c>
      <c r="U639" s="55">
        <v>66374</v>
      </c>
      <c r="V639" s="55" t="s">
        <v>312</v>
      </c>
      <c r="W639" s="55" t="s">
        <v>312</v>
      </c>
      <c r="X639" s="55">
        <f t="shared" si="259"/>
        <v>66374</v>
      </c>
      <c r="Y639" s="88">
        <f t="shared" si="264"/>
        <v>-9.7033247559408908E-3</v>
      </c>
      <c r="Z639" s="88">
        <f t="shared" si="265"/>
        <v>3.8813299023763566E-3</v>
      </c>
      <c r="AA639" s="88">
        <f t="shared" si="266"/>
        <v>9.7033247559408908E-3</v>
      </c>
      <c r="AB639" s="55" t="s">
        <v>81</v>
      </c>
      <c r="AC639" s="88">
        <f>N639*AN639</f>
        <v>-3.5511000000000001E-2</v>
      </c>
      <c r="AD639" s="88" cm="1">
        <f t="array" ref="AD639">_xlfn.IFS(
AND(L639="marginal_effect",M639="level"),N639*AN639/BF639,
AND(L639="marginal_effect",M639="sd (Y)"),N639*BI639*AN639/BF639,
AND(L639="marginal_effect",M639="sd (X)"),N639/AQ639*AN639/BF639,
AND(L639="semi_elasticity",M639="level"),N639*AN639,
AND(L639="semi_elasticity",M639="sd (Y)"),N639*AN639*BI639,
AND(L639="semi_elasticity",M639="sd (X)"),N639*AN639/AQ639,
AND(L639="level-log",M639="level"),N639/BF639,
AND(L639="level-log",M639="sd (X)"),N639/BF639/AQ639,
AND(L639="level-log",M639="sd (Y)"),N639/BF639*BI639,
AND(L639="elasticity",M639="level"),N639,
AND(L639="elasticity",M639="sd (X)"),N639/AQ639,
AND(L639="elasticity",M639="sd (Y)"),N639*BI639,
AND(L639="marginal_effect",M639="percent_of_mean"),N639*AN639/BF639/10)</f>
        <v>-3.5511000000000001E-2</v>
      </c>
      <c r="AE639" s="56">
        <f t="shared" si="250"/>
        <v>1</v>
      </c>
      <c r="AF639" s="88">
        <f>O639*AN639</f>
        <v>1.4204400000000001E-2</v>
      </c>
      <c r="AG639" s="88" cm="1">
        <f t="array" ref="AG639">_xlfn.IFS(
AND(L639="marginal_effect",M639="level"),O639*AN639/BF639,
AND(L639="marginal_effect",M639="sd (Y)"),O639*BI639*AN639/BF639,
AND(L639="marginal_effect",M639="sd (X)"),O639/AQ639*AN639/BF639,
AND(L639="semi_elasticity",M639="level"),O639*AN639,
AND(L639="semi_elasticity",M639="sd (Y)"),O639*AN639*BI639,
AND(L639="semi_elasticity",M639="sd (X)"),O639*AN639/AQ639,
AND(L639="level-log",M639="level"),O639/BF639,
AND(L639="level-log",M639="sd (X)"),O639/BF639/AQ639,
AND(L639="level-log",M639="sd (Y)"),O639/BF639*BI639,
AND(L639="elasticity",M639="level"),O639,
AND(L639="elasticity",M639="sd (X)"),O639/AQ639,
AND(L639="elasticity",M639="sd (Y)"),O639*BI639,
AND(L639="marginal_effect",M639="percent_of_mean"),O639*AN639/BF639/10)</f>
        <v>1.4204400000000001E-2</v>
      </c>
      <c r="AH639" s="56">
        <f t="shared" si="252"/>
        <v>1</v>
      </c>
      <c r="AI639" s="88">
        <f t="shared" si="257"/>
        <v>-3.5511000000000001E-2</v>
      </c>
      <c r="AJ639" s="55">
        <v>0</v>
      </c>
      <c r="AK639" s="55">
        <f t="shared" si="269"/>
        <v>1</v>
      </c>
      <c r="AL639" s="55" t="s">
        <v>148</v>
      </c>
      <c r="AM639" s="55" t="s">
        <v>1466</v>
      </c>
      <c r="AN639" s="55">
        <v>10.146000000000001</v>
      </c>
      <c r="AO639" s="55">
        <v>0</v>
      </c>
      <c r="AP639" s="55">
        <f t="shared" si="270"/>
        <v>101.46000000000001</v>
      </c>
      <c r="AQ639" s="55">
        <v>48.17</v>
      </c>
      <c r="AR639" s="55">
        <v>18</v>
      </c>
      <c r="AS639" s="55">
        <v>300</v>
      </c>
      <c r="AT639" s="55" t="s">
        <v>83</v>
      </c>
      <c r="AU639" s="55" t="s">
        <v>109</v>
      </c>
      <c r="AV639" s="55" t="s">
        <v>133</v>
      </c>
      <c r="AW639" s="55" t="s">
        <v>109</v>
      </c>
      <c r="AX639" s="55" t="s">
        <v>86</v>
      </c>
      <c r="AY639" s="55">
        <v>0</v>
      </c>
      <c r="AZ639" s="55">
        <v>0</v>
      </c>
      <c r="BA639" s="55" t="s">
        <v>87</v>
      </c>
      <c r="BB639" s="55" t="s">
        <v>88</v>
      </c>
      <c r="BC639" s="55" t="s">
        <v>89</v>
      </c>
      <c r="BD639" s="55" t="s">
        <v>90</v>
      </c>
      <c r="BE639" s="55" t="s">
        <v>1458</v>
      </c>
      <c r="BF639" s="55">
        <v>101.57</v>
      </c>
      <c r="BG639" s="55">
        <v>0</v>
      </c>
      <c r="BH639" s="55">
        <v>65.849999999999994</v>
      </c>
      <c r="BI639" s="55">
        <v>5</v>
      </c>
      <c r="BJ639" s="55">
        <v>430</v>
      </c>
      <c r="BK639" s="55" t="s">
        <v>91</v>
      </c>
      <c r="BL639" s="55" t="s">
        <v>84</v>
      </c>
      <c r="BM639" s="55">
        <v>1</v>
      </c>
      <c r="BN639" s="55" t="s">
        <v>428</v>
      </c>
      <c r="BO639" s="60" t="s">
        <v>1463</v>
      </c>
      <c r="BP639" s="55" t="s">
        <v>1464</v>
      </c>
      <c r="BQ639" s="55" t="s">
        <v>117</v>
      </c>
      <c r="BR639" s="55" t="s">
        <v>134</v>
      </c>
      <c r="BS639" s="55">
        <v>29.22</v>
      </c>
      <c r="BT639" s="55">
        <v>0.01</v>
      </c>
      <c r="BU639" s="57">
        <v>42552</v>
      </c>
      <c r="BV639" s="57">
        <v>42643</v>
      </c>
      <c r="BW639" s="55" t="s">
        <v>94</v>
      </c>
      <c r="BX639" s="55" t="s">
        <v>95</v>
      </c>
      <c r="BY639" s="55" t="s">
        <v>96</v>
      </c>
      <c r="BZ639" s="55">
        <v>0</v>
      </c>
      <c r="CA639" s="55">
        <v>0</v>
      </c>
      <c r="CB639" s="55" t="s">
        <v>97</v>
      </c>
      <c r="CC639" s="55" t="s">
        <v>314</v>
      </c>
      <c r="CD639" s="55">
        <v>1</v>
      </c>
      <c r="CE639" s="55" t="s">
        <v>1462</v>
      </c>
      <c r="CF639" s="55">
        <v>0</v>
      </c>
      <c r="CG639" s="55" t="s">
        <v>97</v>
      </c>
      <c r="CH639" s="55">
        <v>1</v>
      </c>
      <c r="CI639" s="55" t="s">
        <v>1465</v>
      </c>
      <c r="CJ639" s="55" t="s">
        <v>98</v>
      </c>
      <c r="CK639" s="55">
        <v>179</v>
      </c>
      <c r="CL639" s="55">
        <v>0</v>
      </c>
      <c r="CM639" s="55">
        <v>1</v>
      </c>
      <c r="CN639" s="55" t="s">
        <v>99</v>
      </c>
      <c r="CO639" s="55" t="s">
        <v>97</v>
      </c>
      <c r="CP639" s="55" t="s">
        <v>100</v>
      </c>
      <c r="CQ639" s="55" t="s">
        <v>126</v>
      </c>
      <c r="CR639" s="57">
        <v>46233</v>
      </c>
      <c r="CT639" s="55" t="s">
        <v>439</v>
      </c>
    </row>
    <row r="640" spans="1:98" s="55" customFormat="1" x14ac:dyDescent="0.35">
      <c r="A640" s="54" t="s">
        <v>1459</v>
      </c>
      <c r="B640" s="54" t="s">
        <v>1469</v>
      </c>
      <c r="C640" s="55" t="s">
        <v>1460</v>
      </c>
      <c r="D640" s="55">
        <v>2022</v>
      </c>
      <c r="E640" s="60" t="s">
        <v>1461</v>
      </c>
      <c r="F640" s="54" t="s">
        <v>998</v>
      </c>
      <c r="G640" s="55" t="s">
        <v>78</v>
      </c>
      <c r="H640" s="55">
        <v>1</v>
      </c>
      <c r="I640" s="55" t="s">
        <v>290</v>
      </c>
      <c r="J640" s="55" t="s">
        <v>79</v>
      </c>
      <c r="K640" s="55">
        <v>81</v>
      </c>
      <c r="L640" s="55" t="s">
        <v>104</v>
      </c>
      <c r="M640" s="55" t="s">
        <v>380</v>
      </c>
      <c r="N640" s="55">
        <v>-1.9E-3</v>
      </c>
      <c r="O640" s="55">
        <v>1.2999999999999999E-3</v>
      </c>
      <c r="P640" s="88">
        <f t="shared" si="261"/>
        <v>-1.4615384615384617</v>
      </c>
      <c r="Q640" s="55" t="s">
        <v>312</v>
      </c>
      <c r="R640" s="88">
        <f t="shared" si="262"/>
        <v>-4.4479999999999997E-3</v>
      </c>
      <c r="S640" s="88">
        <f t="shared" si="263"/>
        <v>6.4799999999999992E-4</v>
      </c>
      <c r="T640" s="55">
        <v>1</v>
      </c>
      <c r="U640" s="55">
        <v>66374</v>
      </c>
      <c r="V640" s="55" t="s">
        <v>312</v>
      </c>
      <c r="W640" s="55" t="s">
        <v>312</v>
      </c>
      <c r="X640" s="55">
        <f t="shared" si="259"/>
        <v>66374</v>
      </c>
      <c r="Y640" s="88">
        <f t="shared" si="264"/>
        <v>-5.672888725149575E-3</v>
      </c>
      <c r="Z640" s="88">
        <f t="shared" si="265"/>
        <v>3.881450180365498E-3</v>
      </c>
      <c r="AA640" s="88">
        <f t="shared" si="266"/>
        <v>5.672888725149575E-3</v>
      </c>
      <c r="AB640" s="55" t="s">
        <v>81</v>
      </c>
      <c r="AC640" s="88">
        <f>N640*AN640</f>
        <v>-1.92774E-2</v>
      </c>
      <c r="AD640" s="88" cm="1">
        <f t="array" ref="AD640">_xlfn.IFS(
AND(L640="marginal_effect",M640="level"),N640*AN640/BF640,
AND(L640="marginal_effect",M640="sd (Y)"),N640*BI640*AN640/BF640,
AND(L640="marginal_effect",M640="sd (X)"),N640/AQ640*AN640/BF640,
AND(L640="semi_elasticity",M640="level"),N640*AN640,
AND(L640="semi_elasticity",M640="sd (Y)"),N640*AN640*BI640,
AND(L640="semi_elasticity",M640="sd (X)"),N640*AN640/AQ640,
AND(L640="level-log",M640="level"),N640/BF640,
AND(L640="level-log",M640="sd (X)"),N640/BF640/AQ640,
AND(L640="level-log",M640="sd (Y)"),N640/BF640*BI640,
AND(L640="elasticity",M640="level"),N640,
AND(L640="elasticity",M640="sd (X)"),N640/AQ640,
AND(L640="elasticity",M640="sd (Y)"),N640*BI640,
AND(L640="marginal_effect",M640="percent_of_mean"),N640*AN640/BF640/10)</f>
        <v>-1.92774E-2</v>
      </c>
      <c r="AE640" s="56">
        <f t="shared" si="250"/>
        <v>1</v>
      </c>
      <c r="AF640" s="88">
        <f>O640*AN640</f>
        <v>1.31898E-2</v>
      </c>
      <c r="AG640" s="88" cm="1">
        <f t="array" ref="AG640">_xlfn.IFS(
AND(L640="marginal_effect",M640="level"),O640*AN640/BF640,
AND(L640="marginal_effect",M640="sd (Y)"),O640*BI640*AN640/BF640,
AND(L640="marginal_effect",M640="sd (X)"),O640/AQ640*AN640/BF640,
AND(L640="semi_elasticity",M640="level"),O640*AN640,
AND(L640="semi_elasticity",M640="sd (Y)"),O640*AN640*BI640,
AND(L640="semi_elasticity",M640="sd (X)"),O640*AN640/AQ640,
AND(L640="level-log",M640="level"),O640/BF640,
AND(L640="level-log",M640="sd (X)"),O640/BF640/AQ640,
AND(L640="level-log",M640="sd (Y)"),O640/BF640*BI640,
AND(L640="elasticity",M640="level"),O640,
AND(L640="elasticity",M640="sd (X)"),O640/AQ640,
AND(L640="elasticity",M640="sd (Y)"),O640*BI640,
AND(L640="marginal_effect",M640="percent_of_mean"),O640*AN640/BF640/10)</f>
        <v>1.31898E-2</v>
      </c>
      <c r="AH640" s="56">
        <f t="shared" si="252"/>
        <v>1</v>
      </c>
      <c r="AI640" s="88">
        <f t="shared" si="257"/>
        <v>-1.92774E-2</v>
      </c>
      <c r="AJ640" s="55">
        <v>0</v>
      </c>
      <c r="AK640" s="55">
        <f t="shared" si="269"/>
        <v>1</v>
      </c>
      <c r="AL640" s="55" t="s">
        <v>148</v>
      </c>
      <c r="AM640" s="55" t="s">
        <v>1466</v>
      </c>
      <c r="AN640" s="55">
        <v>10.146000000000001</v>
      </c>
      <c r="AO640" s="55">
        <v>0</v>
      </c>
      <c r="AP640" s="55">
        <f t="shared" si="270"/>
        <v>101.46000000000001</v>
      </c>
      <c r="AQ640" s="55">
        <v>48.17</v>
      </c>
      <c r="AR640" s="55">
        <v>18</v>
      </c>
      <c r="AS640" s="55">
        <v>300</v>
      </c>
      <c r="AT640" s="55" t="s">
        <v>83</v>
      </c>
      <c r="AU640" s="55" t="s">
        <v>109</v>
      </c>
      <c r="AV640" s="55" t="s">
        <v>133</v>
      </c>
      <c r="AW640" s="55" t="s">
        <v>109</v>
      </c>
      <c r="AX640" s="55" t="s">
        <v>86</v>
      </c>
      <c r="AY640" s="55">
        <v>0</v>
      </c>
      <c r="AZ640" s="55">
        <v>0</v>
      </c>
      <c r="BA640" s="55" t="s">
        <v>87</v>
      </c>
      <c r="BB640" s="55" t="s">
        <v>88</v>
      </c>
      <c r="BC640" s="55" t="s">
        <v>89</v>
      </c>
      <c r="BD640" s="55" t="s">
        <v>90</v>
      </c>
      <c r="BE640" s="55" t="s">
        <v>1458</v>
      </c>
      <c r="BF640" s="55">
        <v>101.57</v>
      </c>
      <c r="BG640" s="55">
        <v>0</v>
      </c>
      <c r="BH640" s="55">
        <v>65.849999999999994</v>
      </c>
      <c r="BI640" s="55">
        <v>5</v>
      </c>
      <c r="BJ640" s="55">
        <v>430</v>
      </c>
      <c r="BK640" s="55" t="s">
        <v>91</v>
      </c>
      <c r="BL640" s="55" t="s">
        <v>84</v>
      </c>
      <c r="BM640" s="55">
        <v>1</v>
      </c>
      <c r="BN640" s="55" t="s">
        <v>428</v>
      </c>
      <c r="BO640" s="60" t="s">
        <v>1463</v>
      </c>
      <c r="BP640" s="55" t="s">
        <v>1464</v>
      </c>
      <c r="BQ640" s="55" t="s">
        <v>117</v>
      </c>
      <c r="BR640" s="55" t="s">
        <v>134</v>
      </c>
      <c r="BS640" s="55">
        <v>29.22</v>
      </c>
      <c r="BT640" s="55">
        <v>0.01</v>
      </c>
      <c r="BU640" s="57">
        <v>42552</v>
      </c>
      <c r="BV640" s="57">
        <v>42643</v>
      </c>
      <c r="BW640" s="55" t="s">
        <v>94</v>
      </c>
      <c r="BX640" s="55" t="s">
        <v>95</v>
      </c>
      <c r="BY640" s="55" t="s">
        <v>96</v>
      </c>
      <c r="BZ640" s="55">
        <v>0</v>
      </c>
      <c r="CA640" s="55">
        <v>0</v>
      </c>
      <c r="CB640" s="55" t="s">
        <v>97</v>
      </c>
      <c r="CC640" s="55" t="s">
        <v>314</v>
      </c>
      <c r="CD640" s="55">
        <v>1</v>
      </c>
      <c r="CE640" s="55" t="s">
        <v>1462</v>
      </c>
      <c r="CF640" s="55">
        <v>0</v>
      </c>
      <c r="CG640" s="55" t="s">
        <v>97</v>
      </c>
      <c r="CH640" s="55">
        <v>1</v>
      </c>
      <c r="CI640" s="55" t="s">
        <v>1465</v>
      </c>
      <c r="CJ640" s="55" t="s">
        <v>98</v>
      </c>
      <c r="CK640" s="55">
        <v>179</v>
      </c>
      <c r="CL640" s="55">
        <v>0</v>
      </c>
      <c r="CM640" s="55">
        <v>0</v>
      </c>
      <c r="CN640" s="55" t="s">
        <v>99</v>
      </c>
      <c r="CO640" s="55" t="s">
        <v>97</v>
      </c>
      <c r="CP640" s="55" t="s">
        <v>100</v>
      </c>
      <c r="CQ640" s="55" t="s">
        <v>126</v>
      </c>
      <c r="CR640" s="57">
        <v>46233</v>
      </c>
      <c r="CT640" s="55" t="s">
        <v>440</v>
      </c>
    </row>
    <row r="641" spans="1:98" s="55" customFormat="1" x14ac:dyDescent="0.35">
      <c r="A641" s="54" t="s">
        <v>1459</v>
      </c>
      <c r="B641" s="54" t="s">
        <v>1470</v>
      </c>
      <c r="C641" s="55" t="s">
        <v>1460</v>
      </c>
      <c r="D641" s="55">
        <v>2022</v>
      </c>
      <c r="E641" s="60" t="s">
        <v>1461</v>
      </c>
      <c r="F641" s="54" t="s">
        <v>998</v>
      </c>
      <c r="G641" s="55" t="s">
        <v>78</v>
      </c>
      <c r="H641" s="55">
        <v>1</v>
      </c>
      <c r="I641" s="55" t="s">
        <v>290</v>
      </c>
      <c r="J641" s="55" t="s">
        <v>79</v>
      </c>
      <c r="K641" s="55">
        <v>81</v>
      </c>
      <c r="L641" s="55" t="s">
        <v>104</v>
      </c>
      <c r="M641" s="55" t="s">
        <v>380</v>
      </c>
      <c r="N641" s="55">
        <v>-3.7000000000000002E-3</v>
      </c>
      <c r="O641" s="55">
        <v>1.5E-3</v>
      </c>
      <c r="P641" s="88">
        <f t="shared" si="261"/>
        <v>-2.4666666666666668</v>
      </c>
      <c r="Q641" s="55" t="s">
        <v>312</v>
      </c>
      <c r="R641" s="88">
        <f t="shared" si="262"/>
        <v>-6.6400000000000001E-3</v>
      </c>
      <c r="S641" s="88">
        <f t="shared" si="263"/>
        <v>-7.6000000000000026E-4</v>
      </c>
      <c r="T641" s="55">
        <v>1</v>
      </c>
      <c r="U641" s="55">
        <v>36496</v>
      </c>
      <c r="V641" s="55" t="s">
        <v>312</v>
      </c>
      <c r="W641" s="55" t="s">
        <v>312</v>
      </c>
      <c r="X641" s="55">
        <f t="shared" si="259"/>
        <v>36496</v>
      </c>
      <c r="Y641" s="88">
        <f t="shared" si="264"/>
        <v>-1.2910754775030899E-2</v>
      </c>
      <c r="Z641" s="88">
        <f t="shared" si="265"/>
        <v>5.234089773661175E-3</v>
      </c>
      <c r="AA641" s="88">
        <f t="shared" si="266"/>
        <v>1.2910754775030899E-2</v>
      </c>
      <c r="AB641" s="55" t="s">
        <v>81</v>
      </c>
      <c r="AC641" s="88">
        <f>N641*AN641</f>
        <v>-3.7540200000000003E-2</v>
      </c>
      <c r="AD641" s="88" cm="1">
        <f t="array" ref="AD641">_xlfn.IFS(
AND(L641="marginal_effect",M641="level"),N641*AN641/BF641,
AND(L641="marginal_effect",M641="sd (Y)"),N641*BI641*AN641/BF641,
AND(L641="marginal_effect",M641="sd (X)"),N641/AQ641*AN641/BF641,
AND(L641="semi_elasticity",M641="level"),N641*AN641,
AND(L641="semi_elasticity",M641="sd (Y)"),N641*AN641*BI641,
AND(L641="semi_elasticity",M641="sd (X)"),N641*AN641/AQ641,
AND(L641="level-log",M641="level"),N641/BF641,
AND(L641="level-log",M641="sd (X)"),N641/BF641/AQ641,
AND(L641="level-log",M641="sd (Y)"),N641/BF641*BI641,
AND(L641="elasticity",M641="level"),N641,
AND(L641="elasticity",M641="sd (X)"),N641/AQ641,
AND(L641="elasticity",M641="sd (Y)"),N641*BI641,
AND(L641="marginal_effect",M641="percent_of_mean"),N641*AN641/BF641/10)</f>
        <v>-3.7540200000000003E-2</v>
      </c>
      <c r="AE641" s="56">
        <f t="shared" si="250"/>
        <v>1</v>
      </c>
      <c r="AF641" s="88">
        <f>O641*AN641</f>
        <v>1.5219000000000002E-2</v>
      </c>
      <c r="AG641" s="88" cm="1">
        <f t="array" ref="AG641">_xlfn.IFS(
AND(L641="marginal_effect",M641="level"),O641*AN641/BF641,
AND(L641="marginal_effect",M641="sd (Y)"),O641*BI641*AN641/BF641,
AND(L641="marginal_effect",M641="sd (X)"),O641/AQ641*AN641/BF641,
AND(L641="semi_elasticity",M641="level"),O641*AN641,
AND(L641="semi_elasticity",M641="sd (Y)"),O641*AN641*BI641,
AND(L641="semi_elasticity",M641="sd (X)"),O641*AN641/AQ641,
AND(L641="level-log",M641="level"),O641/BF641,
AND(L641="level-log",M641="sd (X)"),O641/BF641/AQ641,
AND(L641="level-log",M641="sd (Y)"),O641/BF641*BI641,
AND(L641="elasticity",M641="level"),O641,
AND(L641="elasticity",M641="sd (X)"),O641/AQ641,
AND(L641="elasticity",M641="sd (Y)"),O641*BI641,
AND(L641="marginal_effect",M641="percent_of_mean"),O641*AN641/BF641/10)</f>
        <v>1.5219000000000002E-2</v>
      </c>
      <c r="AH641" s="56">
        <f t="shared" si="252"/>
        <v>1</v>
      </c>
      <c r="AI641" s="88">
        <f t="shared" si="257"/>
        <v>-3.7540200000000003E-2</v>
      </c>
      <c r="AJ641" s="55">
        <v>0</v>
      </c>
      <c r="AK641" s="55">
        <f t="shared" si="269"/>
        <v>1</v>
      </c>
      <c r="AL641" s="55" t="s">
        <v>148</v>
      </c>
      <c r="AM641" s="55" t="s">
        <v>1466</v>
      </c>
      <c r="AN641" s="55">
        <v>10.146000000000001</v>
      </c>
      <c r="AO641" s="55">
        <v>0</v>
      </c>
      <c r="AP641" s="55">
        <f t="shared" si="270"/>
        <v>101.46000000000001</v>
      </c>
      <c r="AQ641" s="55">
        <v>48.17</v>
      </c>
      <c r="AR641" s="55">
        <v>18</v>
      </c>
      <c r="AS641" s="55">
        <v>300</v>
      </c>
      <c r="AT641" s="55" t="s">
        <v>83</v>
      </c>
      <c r="AU641" s="55" t="s">
        <v>109</v>
      </c>
      <c r="AV641" s="55" t="s">
        <v>133</v>
      </c>
      <c r="AW641" s="55" t="s">
        <v>109</v>
      </c>
      <c r="AX641" s="55" t="s">
        <v>86</v>
      </c>
      <c r="AY641" s="55">
        <v>0</v>
      </c>
      <c r="AZ641" s="55">
        <v>0</v>
      </c>
      <c r="BA641" s="55" t="s">
        <v>87</v>
      </c>
      <c r="BB641" s="55" t="s">
        <v>88</v>
      </c>
      <c r="BC641" s="55" t="s">
        <v>89</v>
      </c>
      <c r="BD641" s="55" t="s">
        <v>90</v>
      </c>
      <c r="BE641" s="55" t="s">
        <v>1458</v>
      </c>
      <c r="BF641" s="55">
        <v>101.57</v>
      </c>
      <c r="BG641" s="55">
        <v>0</v>
      </c>
      <c r="BH641" s="55">
        <v>65.849999999999994</v>
      </c>
      <c r="BI641" s="55">
        <v>5</v>
      </c>
      <c r="BJ641" s="55">
        <v>430</v>
      </c>
      <c r="BK641" s="55" t="s">
        <v>91</v>
      </c>
      <c r="BL641" s="55" t="s">
        <v>84</v>
      </c>
      <c r="BM641" s="55">
        <v>1</v>
      </c>
      <c r="BN641" s="55" t="s">
        <v>428</v>
      </c>
      <c r="BO641" s="60" t="s">
        <v>1463</v>
      </c>
      <c r="BP641" s="55" t="s">
        <v>1464</v>
      </c>
      <c r="BQ641" s="55" t="s">
        <v>117</v>
      </c>
      <c r="BR641" s="55" t="s">
        <v>134</v>
      </c>
      <c r="BS641" s="55">
        <v>29.22</v>
      </c>
      <c r="BT641" s="55">
        <v>0.01</v>
      </c>
      <c r="BU641" s="57">
        <v>42552</v>
      </c>
      <c r="BV641" s="57">
        <v>42643</v>
      </c>
      <c r="BW641" s="55" t="s">
        <v>94</v>
      </c>
      <c r="BX641" s="55" t="s">
        <v>95</v>
      </c>
      <c r="BY641" s="55" t="s">
        <v>96</v>
      </c>
      <c r="BZ641" s="55">
        <v>0</v>
      </c>
      <c r="CA641" s="55">
        <v>0</v>
      </c>
      <c r="CB641" s="55" t="s">
        <v>97</v>
      </c>
      <c r="CC641" s="55" t="s">
        <v>1490</v>
      </c>
      <c r="CD641" s="55">
        <v>1</v>
      </c>
      <c r="CE641" s="55" t="s">
        <v>1462</v>
      </c>
      <c r="CF641" s="55">
        <v>0</v>
      </c>
      <c r="CG641" s="55" t="s">
        <v>97</v>
      </c>
      <c r="CH641" s="55">
        <v>1</v>
      </c>
      <c r="CI641" s="55" t="s">
        <v>1465</v>
      </c>
      <c r="CJ641" s="55" t="s">
        <v>98</v>
      </c>
      <c r="CK641" s="55">
        <v>179</v>
      </c>
      <c r="CL641" s="55">
        <v>0</v>
      </c>
      <c r="CM641" s="55">
        <v>0</v>
      </c>
      <c r="CN641" s="55" t="s">
        <v>99</v>
      </c>
      <c r="CO641" s="55" t="s">
        <v>97</v>
      </c>
      <c r="CP641" s="55" t="s">
        <v>100</v>
      </c>
      <c r="CQ641" s="55" t="s">
        <v>126</v>
      </c>
      <c r="CR641" s="57">
        <v>46233</v>
      </c>
      <c r="CT641" s="55" t="s">
        <v>778</v>
      </c>
    </row>
    <row r="642" spans="1:98" s="55" customFormat="1" x14ac:dyDescent="0.35">
      <c r="A642" s="54" t="s">
        <v>1459</v>
      </c>
      <c r="B642" s="54" t="s">
        <v>1471</v>
      </c>
      <c r="C642" s="55" t="s">
        <v>1460</v>
      </c>
      <c r="D642" s="55">
        <v>2022</v>
      </c>
      <c r="E642" s="60" t="s">
        <v>1461</v>
      </c>
      <c r="F642" s="54" t="s">
        <v>998</v>
      </c>
      <c r="G642" s="55" t="s">
        <v>78</v>
      </c>
      <c r="H642" s="55">
        <v>1</v>
      </c>
      <c r="I642" s="55" t="s">
        <v>290</v>
      </c>
      <c r="J642" s="55" t="s">
        <v>79</v>
      </c>
      <c r="K642" s="55">
        <v>81</v>
      </c>
      <c r="L642" s="55" t="s">
        <v>129</v>
      </c>
      <c r="M642" s="55" t="s">
        <v>380</v>
      </c>
      <c r="N642" s="55">
        <v>-0.7157</v>
      </c>
      <c r="O642" s="55">
        <v>0.16270000000000001</v>
      </c>
      <c r="P642" s="88">
        <f t="shared" si="261"/>
        <v>-4.3988936693300547</v>
      </c>
      <c r="Q642" s="55" t="s">
        <v>312</v>
      </c>
      <c r="R642" s="88">
        <f t="shared" si="262"/>
        <v>-1.034592</v>
      </c>
      <c r="S642" s="88">
        <f t="shared" si="263"/>
        <v>-0.39680799999999999</v>
      </c>
      <c r="T642" s="55">
        <v>1</v>
      </c>
      <c r="U642" s="55">
        <v>66374</v>
      </c>
      <c r="V642" s="55" t="s">
        <v>312</v>
      </c>
      <c r="W642" s="55" t="s">
        <v>312</v>
      </c>
      <c r="X642" s="55">
        <f t="shared" si="259"/>
        <v>66374</v>
      </c>
      <c r="Y642" s="88">
        <f t="shared" si="264"/>
        <v>-1.7071873036339162E-2</v>
      </c>
      <c r="Z642" s="88">
        <f t="shared" si="265"/>
        <v>3.8809469652261869E-3</v>
      </c>
      <c r="AA642" s="88">
        <f t="shared" si="266"/>
        <v>1.7071873036339162E-2</v>
      </c>
      <c r="AB642" s="55" t="s">
        <v>81</v>
      </c>
      <c r="AC642" s="88">
        <f>N642*AN642/BF642</f>
        <v>-7.149248990843754E-2</v>
      </c>
      <c r="AD642" s="88" cm="1">
        <f t="array" ref="AD642">_xlfn.IFS(
AND(L642="marginal_effect",M642="level"),N642*AN642/BF642,
AND(L642="marginal_effect",M642="sd (Y)"),N642*BI642*AN642/BF642,
AND(L642="marginal_effect",M642="sd (X)"),N642/AQ642*AN642/BF642,
AND(L642="semi_elasticity",M642="level"),N642*AN642,
AND(L642="semi_elasticity",M642="sd (Y)"),N642*AN642*BI642,
AND(L642="semi_elasticity",M642="sd (X)"),N642*AN642/AQ642,
AND(L642="level-log",M642="level"),N642/BF642,
AND(L642="level-log",M642="sd (X)"),N642/BF642/AQ642,
AND(L642="level-log",M642="sd (Y)"),N642/BF642*BI642,
AND(L642="elasticity",M642="level"),N642,
AND(L642="elasticity",M642="sd (X)"),N642/AQ642,
AND(L642="elasticity",M642="sd (Y)"),N642*BI642,
AND(L642="marginal_effect",M642="percent_of_mean"),N642*AN642/BF642/10)</f>
        <v>-7.149248990843754E-2</v>
      </c>
      <c r="AE642" s="56">
        <f t="shared" si="250"/>
        <v>1</v>
      </c>
      <c r="AF642" s="88">
        <f>O642*AN642/BF642</f>
        <v>1.6252379639657383E-2</v>
      </c>
      <c r="AG642" s="88" cm="1">
        <f t="array" ref="AG642">_xlfn.IFS(
AND(L642="marginal_effect",M642="level"),O642*AN642/BF642,
AND(L642="marginal_effect",M642="sd (Y)"),O642*BI642*AN642/BF642,
AND(L642="marginal_effect",M642="sd (X)"),O642/AQ642*AN642/BF642,
AND(L642="semi_elasticity",M642="level"),O642*AN642,
AND(L642="semi_elasticity",M642="sd (Y)"),O642*AN642*BI642,
AND(L642="semi_elasticity",M642="sd (X)"),O642*AN642/AQ642,
AND(L642="level-log",M642="level"),O642/BF642,
AND(L642="level-log",M642="sd (X)"),O642/BF642/AQ642,
AND(L642="level-log",M642="sd (Y)"),O642/BF642*BI642,
AND(L642="elasticity",M642="level"),O642,
AND(L642="elasticity",M642="sd (X)"),O642/AQ642,
AND(L642="elasticity",M642="sd (Y)"),O642*BI642,
AND(L642="marginal_effect",M642="percent_of_mean"),O642*AN642/BF642/10)</f>
        <v>1.6252379639657383E-2</v>
      </c>
      <c r="AH642" s="56">
        <f t="shared" si="252"/>
        <v>1</v>
      </c>
      <c r="AI642" s="88">
        <f t="shared" si="257"/>
        <v>-7.149248990843754E-2</v>
      </c>
      <c r="AJ642" s="55">
        <v>0</v>
      </c>
      <c r="AK642" s="55">
        <f t="shared" si="269"/>
        <v>1</v>
      </c>
      <c r="AL642" s="55" t="s">
        <v>148</v>
      </c>
      <c r="AM642" s="55" t="s">
        <v>1466</v>
      </c>
      <c r="AN642" s="55">
        <v>10.146000000000001</v>
      </c>
      <c r="AO642" s="55">
        <v>0</v>
      </c>
      <c r="AP642" s="55">
        <f t="shared" si="270"/>
        <v>101.46000000000001</v>
      </c>
      <c r="AQ642" s="55">
        <v>48.17</v>
      </c>
      <c r="AR642" s="55">
        <v>18</v>
      </c>
      <c r="AS642" s="55">
        <v>300</v>
      </c>
      <c r="AT642" s="55" t="s">
        <v>83</v>
      </c>
      <c r="AU642" s="55" t="s">
        <v>109</v>
      </c>
      <c r="AV642" s="55" t="s">
        <v>133</v>
      </c>
      <c r="AW642" s="55" t="s">
        <v>109</v>
      </c>
      <c r="AX642" s="55" t="s">
        <v>86</v>
      </c>
      <c r="AY642" s="55">
        <v>0</v>
      </c>
      <c r="AZ642" s="55">
        <v>0</v>
      </c>
      <c r="BA642" s="55" t="s">
        <v>87</v>
      </c>
      <c r="BB642" s="55" t="s">
        <v>88</v>
      </c>
      <c r="BC642" s="55" t="s">
        <v>89</v>
      </c>
      <c r="BD642" s="55" t="s">
        <v>90</v>
      </c>
      <c r="BE642" s="55" t="s">
        <v>1458</v>
      </c>
      <c r="BF642" s="55">
        <v>101.57</v>
      </c>
      <c r="BG642" s="55">
        <v>0</v>
      </c>
      <c r="BH642" s="55">
        <v>65.849999999999994</v>
      </c>
      <c r="BI642" s="55">
        <v>5</v>
      </c>
      <c r="BJ642" s="55">
        <v>430</v>
      </c>
      <c r="BK642" s="55" t="s">
        <v>91</v>
      </c>
      <c r="BL642" s="55" t="s">
        <v>84</v>
      </c>
      <c r="BM642" s="55">
        <v>1</v>
      </c>
      <c r="BN642" s="55" t="s">
        <v>428</v>
      </c>
      <c r="BO642" s="60" t="s">
        <v>1463</v>
      </c>
      <c r="BP642" s="55" t="s">
        <v>1464</v>
      </c>
      <c r="BQ642" s="55" t="s">
        <v>117</v>
      </c>
      <c r="BR642" s="55" t="s">
        <v>134</v>
      </c>
      <c r="BS642" s="55">
        <v>29.22</v>
      </c>
      <c r="BT642" s="55">
        <v>0.01</v>
      </c>
      <c r="BU642" s="57">
        <v>42552</v>
      </c>
      <c r="BV642" s="57">
        <v>42643</v>
      </c>
      <c r="BW642" s="55" t="s">
        <v>94</v>
      </c>
      <c r="BX642" s="55" t="s">
        <v>95</v>
      </c>
      <c r="BY642" s="55" t="s">
        <v>96</v>
      </c>
      <c r="BZ642" s="55">
        <v>0</v>
      </c>
      <c r="CA642" s="55">
        <v>0</v>
      </c>
      <c r="CB642" s="55" t="s">
        <v>97</v>
      </c>
      <c r="CC642" s="55" t="s">
        <v>509</v>
      </c>
      <c r="CD642" s="55">
        <v>1</v>
      </c>
      <c r="CE642" s="55" t="s">
        <v>1462</v>
      </c>
      <c r="CF642" s="55">
        <v>0</v>
      </c>
      <c r="CG642" s="55" t="s">
        <v>97</v>
      </c>
      <c r="CH642" s="55">
        <v>1</v>
      </c>
      <c r="CI642" s="55" t="s">
        <v>1465</v>
      </c>
      <c r="CJ642" s="55" t="s">
        <v>98</v>
      </c>
      <c r="CK642" s="55">
        <v>179</v>
      </c>
      <c r="CL642" s="55">
        <v>0</v>
      </c>
      <c r="CM642" s="55">
        <v>0</v>
      </c>
      <c r="CN642" s="55" t="s">
        <v>99</v>
      </c>
      <c r="CO642" s="55" t="s">
        <v>97</v>
      </c>
      <c r="CP642" s="55" t="s">
        <v>100</v>
      </c>
      <c r="CQ642" s="55" t="s">
        <v>126</v>
      </c>
      <c r="CR642" s="57">
        <v>46233</v>
      </c>
      <c r="CT642" s="55" t="s">
        <v>437</v>
      </c>
    </row>
    <row r="643" spans="1:98" s="55" customFormat="1" x14ac:dyDescent="0.35">
      <c r="A643" s="54" t="s">
        <v>1459</v>
      </c>
      <c r="B643" s="54" t="s">
        <v>1472</v>
      </c>
      <c r="C643" s="55" t="s">
        <v>1460</v>
      </c>
      <c r="D643" s="55">
        <v>2022</v>
      </c>
      <c r="E643" s="60" t="s">
        <v>1461</v>
      </c>
      <c r="F643" s="54" t="s">
        <v>998</v>
      </c>
      <c r="G643" s="55" t="s">
        <v>78</v>
      </c>
      <c r="H643" s="55">
        <v>1</v>
      </c>
      <c r="I643" s="55" t="s">
        <v>290</v>
      </c>
      <c r="J643" s="55" t="s">
        <v>79</v>
      </c>
      <c r="K643" s="55">
        <v>81</v>
      </c>
      <c r="L643" s="55" t="s">
        <v>129</v>
      </c>
      <c r="M643" s="55" t="s">
        <v>380</v>
      </c>
      <c r="N643" s="55">
        <v>-0.33110000000000001</v>
      </c>
      <c r="O643" s="55">
        <v>0.13220000000000001</v>
      </c>
      <c r="P643" s="88">
        <f t="shared" si="261"/>
        <v>-2.5045385779122538</v>
      </c>
      <c r="Q643" s="55" t="s">
        <v>312</v>
      </c>
      <c r="R643" s="88">
        <f t="shared" si="262"/>
        <v>-0.59021199999999996</v>
      </c>
      <c r="S643" s="88">
        <f t="shared" si="263"/>
        <v>-7.1987999999999996E-2</v>
      </c>
      <c r="T643" s="55">
        <v>1</v>
      </c>
      <c r="U643" s="55">
        <v>66374</v>
      </c>
      <c r="V643" s="55" t="s">
        <v>312</v>
      </c>
      <c r="W643" s="55" t="s">
        <v>312</v>
      </c>
      <c r="X643" s="55">
        <f t="shared" si="259"/>
        <v>66374</v>
      </c>
      <c r="Y643" s="88">
        <f t="shared" si="264"/>
        <v>-9.7209388109877354E-3</v>
      </c>
      <c r="Z643" s="88">
        <f t="shared" si="265"/>
        <v>3.881329238334578E-3</v>
      </c>
      <c r="AA643" s="88">
        <f t="shared" si="266"/>
        <v>9.7209388109877354E-3</v>
      </c>
      <c r="AB643" s="55" t="s">
        <v>81</v>
      </c>
      <c r="AC643" s="88">
        <f>N643*AN643/BF643</f>
        <v>-3.3074141971054453E-2</v>
      </c>
      <c r="AD643" s="88" cm="1">
        <f t="array" ref="AD643">_xlfn.IFS(
AND(L643="marginal_effect",M643="level"),N643*AN643/BF643,
AND(L643="marginal_effect",M643="sd (Y)"),N643*BI643*AN643/BF643,
AND(L643="marginal_effect",M643="sd (X)"),N643/AQ643*AN643/BF643,
AND(L643="semi_elasticity",M643="level"),N643*AN643,
AND(L643="semi_elasticity",M643="sd (Y)"),N643*AN643*BI643,
AND(L643="semi_elasticity",M643="sd (X)"),N643*AN643/AQ643,
AND(L643="level-log",M643="level"),N643/BF643,
AND(L643="level-log",M643="sd (X)"),N643/BF643/AQ643,
AND(L643="level-log",M643="sd (Y)"),N643/BF643*BI643,
AND(L643="elasticity",M643="level"),N643,
AND(L643="elasticity",M643="sd (X)"),N643/AQ643,
AND(L643="elasticity",M643="sd (Y)"),N643*BI643,
AND(L643="marginal_effect",M643="percent_of_mean"),N643*AN643/BF643/10)</f>
        <v>-3.3074141971054453E-2</v>
      </c>
      <c r="AE643" s="56">
        <f t="shared" si="250"/>
        <v>1</v>
      </c>
      <c r="AF643" s="88">
        <f>O643*AN643/BF643</f>
        <v>1.320568278034853E-2</v>
      </c>
      <c r="AG643" s="88" cm="1">
        <f t="array" ref="AG643">_xlfn.IFS(
AND(L643="marginal_effect",M643="level"),O643*AN643/BF643,
AND(L643="marginal_effect",M643="sd (Y)"),O643*BI643*AN643/BF643,
AND(L643="marginal_effect",M643="sd (X)"),O643/AQ643*AN643/BF643,
AND(L643="semi_elasticity",M643="level"),O643*AN643,
AND(L643="semi_elasticity",M643="sd (Y)"),O643*AN643*BI643,
AND(L643="semi_elasticity",M643="sd (X)"),O643*AN643/AQ643,
AND(L643="level-log",M643="level"),O643/BF643,
AND(L643="level-log",M643="sd (X)"),O643/BF643/AQ643,
AND(L643="level-log",M643="sd (Y)"),O643/BF643*BI643,
AND(L643="elasticity",M643="level"),O643,
AND(L643="elasticity",M643="sd (X)"),O643/AQ643,
AND(L643="elasticity",M643="sd (Y)"),O643*BI643,
AND(L643="marginal_effect",M643="percent_of_mean"),O643*AN643/BF643/10)</f>
        <v>1.320568278034853E-2</v>
      </c>
      <c r="AH643" s="56">
        <f t="shared" si="252"/>
        <v>1</v>
      </c>
      <c r="AI643" s="88">
        <f t="shared" si="257"/>
        <v>-3.3074141971054453E-2</v>
      </c>
      <c r="AJ643" s="55">
        <v>0</v>
      </c>
      <c r="AK643" s="55">
        <f t="shared" si="269"/>
        <v>1</v>
      </c>
      <c r="AL643" s="55" t="s">
        <v>148</v>
      </c>
      <c r="AM643" s="55" t="s">
        <v>1466</v>
      </c>
      <c r="AN643" s="55">
        <v>10.146000000000001</v>
      </c>
      <c r="AO643" s="55">
        <v>0</v>
      </c>
      <c r="AP643" s="55">
        <f t="shared" si="270"/>
        <v>101.46000000000001</v>
      </c>
      <c r="AQ643" s="55">
        <v>48.17</v>
      </c>
      <c r="AR643" s="55">
        <v>18</v>
      </c>
      <c r="AS643" s="55">
        <v>300</v>
      </c>
      <c r="AT643" s="55" t="s">
        <v>83</v>
      </c>
      <c r="AU643" s="55" t="s">
        <v>109</v>
      </c>
      <c r="AV643" s="55" t="s">
        <v>133</v>
      </c>
      <c r="AW643" s="55" t="s">
        <v>109</v>
      </c>
      <c r="AX643" s="55" t="s">
        <v>86</v>
      </c>
      <c r="AY643" s="55">
        <v>0</v>
      </c>
      <c r="AZ643" s="55">
        <v>0</v>
      </c>
      <c r="BA643" s="55" t="s">
        <v>87</v>
      </c>
      <c r="BB643" s="55" t="s">
        <v>88</v>
      </c>
      <c r="BC643" s="55" t="s">
        <v>89</v>
      </c>
      <c r="BD643" s="55" t="s">
        <v>90</v>
      </c>
      <c r="BE643" s="55" t="s">
        <v>1458</v>
      </c>
      <c r="BF643" s="55">
        <v>101.57</v>
      </c>
      <c r="BG643" s="55">
        <v>0</v>
      </c>
      <c r="BH643" s="55">
        <v>65.849999999999994</v>
      </c>
      <c r="BI643" s="55">
        <v>5</v>
      </c>
      <c r="BJ643" s="55">
        <v>430</v>
      </c>
      <c r="BK643" s="55" t="s">
        <v>91</v>
      </c>
      <c r="BL643" s="55" t="s">
        <v>84</v>
      </c>
      <c r="BM643" s="55">
        <v>1</v>
      </c>
      <c r="BN643" s="55" t="s">
        <v>428</v>
      </c>
      <c r="BO643" s="60" t="s">
        <v>1463</v>
      </c>
      <c r="BP643" s="55" t="s">
        <v>1464</v>
      </c>
      <c r="BQ643" s="55" t="s">
        <v>117</v>
      </c>
      <c r="BR643" s="55" t="s">
        <v>134</v>
      </c>
      <c r="BS643" s="55">
        <v>29.22</v>
      </c>
      <c r="BT643" s="55">
        <v>0.01</v>
      </c>
      <c r="BU643" s="57">
        <v>42552</v>
      </c>
      <c r="BV643" s="57">
        <v>42643</v>
      </c>
      <c r="BW643" s="55" t="s">
        <v>94</v>
      </c>
      <c r="BX643" s="55" t="s">
        <v>95</v>
      </c>
      <c r="BY643" s="55" t="s">
        <v>96</v>
      </c>
      <c r="BZ643" s="55">
        <v>0</v>
      </c>
      <c r="CA643" s="55">
        <v>0</v>
      </c>
      <c r="CB643" s="55" t="s">
        <v>97</v>
      </c>
      <c r="CC643" s="55" t="s">
        <v>1490</v>
      </c>
      <c r="CD643" s="55">
        <v>1</v>
      </c>
      <c r="CE643" s="55" t="s">
        <v>1462</v>
      </c>
      <c r="CF643" s="55">
        <v>0</v>
      </c>
      <c r="CG643" s="55" t="s">
        <v>97</v>
      </c>
      <c r="CH643" s="55">
        <v>1</v>
      </c>
      <c r="CI643" s="55" t="s">
        <v>1465</v>
      </c>
      <c r="CJ643" s="55" t="s">
        <v>98</v>
      </c>
      <c r="CK643" s="55">
        <v>179</v>
      </c>
      <c r="CL643" s="55">
        <v>0</v>
      </c>
      <c r="CM643" s="55">
        <v>0</v>
      </c>
      <c r="CN643" s="55" t="s">
        <v>99</v>
      </c>
      <c r="CO643" s="55" t="s">
        <v>97</v>
      </c>
      <c r="CP643" s="55" t="s">
        <v>100</v>
      </c>
      <c r="CQ643" s="55" t="s">
        <v>126</v>
      </c>
      <c r="CR643" s="57">
        <v>46233</v>
      </c>
      <c r="CT643" s="55" t="s">
        <v>438</v>
      </c>
    </row>
    <row r="644" spans="1:98" s="55" customFormat="1" x14ac:dyDescent="0.35">
      <c r="A644" s="54" t="s">
        <v>1459</v>
      </c>
      <c r="B644" s="54" t="s">
        <v>1473</v>
      </c>
      <c r="C644" s="55" t="s">
        <v>1460</v>
      </c>
      <c r="D644" s="55">
        <v>2022</v>
      </c>
      <c r="E644" s="60" t="s">
        <v>1461</v>
      </c>
      <c r="F644" s="54" t="s">
        <v>998</v>
      </c>
      <c r="G644" s="55" t="s">
        <v>78</v>
      </c>
      <c r="H644" s="55">
        <v>1</v>
      </c>
      <c r="I644" s="55" t="s">
        <v>290</v>
      </c>
      <c r="J644" s="55" t="s">
        <v>79</v>
      </c>
      <c r="K644" s="55">
        <v>81</v>
      </c>
      <c r="L644" s="55" t="s">
        <v>129</v>
      </c>
      <c r="M644" s="55" t="s">
        <v>380</v>
      </c>
      <c r="N644" s="55">
        <v>-0.36120000000000002</v>
      </c>
      <c r="O644" s="55">
        <v>0.13569999999999999</v>
      </c>
      <c r="P644" s="88">
        <f t="shared" si="261"/>
        <v>-2.6617538688282982</v>
      </c>
      <c r="Q644" s="55" t="s">
        <v>312</v>
      </c>
      <c r="R644" s="88">
        <f t="shared" si="262"/>
        <v>-0.62717200000000006</v>
      </c>
      <c r="S644" s="88">
        <f t="shared" si="263"/>
        <v>-9.5228000000000035E-2</v>
      </c>
      <c r="T644" s="55">
        <v>1</v>
      </c>
      <c r="U644" s="55">
        <v>66374</v>
      </c>
      <c r="V644" s="55" t="s">
        <v>312</v>
      </c>
      <c r="W644" s="55" t="s">
        <v>312</v>
      </c>
      <c r="X644" s="55">
        <f t="shared" si="259"/>
        <v>66374</v>
      </c>
      <c r="Y644" s="88">
        <f t="shared" si="264"/>
        <v>-1.0331079911668343E-2</v>
      </c>
      <c r="Z644" s="88">
        <f t="shared" si="265"/>
        <v>3.8813054928388533E-3</v>
      </c>
      <c r="AA644" s="88">
        <f t="shared" si="266"/>
        <v>1.0331079911668343E-2</v>
      </c>
      <c r="AB644" s="55" t="s">
        <v>81</v>
      </c>
      <c r="AC644" s="88">
        <f>N644*AN644/BF644</f>
        <v>-3.6080882150241217E-2</v>
      </c>
      <c r="AD644" s="88" cm="1">
        <f t="array" ref="AD644">_xlfn.IFS(
AND(L644="marginal_effect",M644="level"),N644*AN644/BF644,
AND(L644="marginal_effect",M644="sd (Y)"),N644*BI644*AN644/BF644,
AND(L644="marginal_effect",M644="sd (X)"),N644/AQ644*AN644/BF644,
AND(L644="semi_elasticity",M644="level"),N644*AN644,
AND(L644="semi_elasticity",M644="sd (Y)"),N644*AN644*BI644,
AND(L644="semi_elasticity",M644="sd (X)"),N644*AN644/AQ644,
AND(L644="level-log",M644="level"),N644/BF644,
AND(L644="level-log",M644="sd (X)"),N644/BF644/AQ644,
AND(L644="level-log",M644="sd (Y)"),N644/BF644*BI644,
AND(L644="elasticity",M644="level"),N644,
AND(L644="elasticity",M644="sd (X)"),N644/AQ644,
AND(L644="elasticity",M644="sd (Y)"),N644*BI644,
AND(L644="marginal_effect",M644="percent_of_mean"),N644*AN644/BF644/10)</f>
        <v>-3.6080882150241217E-2</v>
      </c>
      <c r="AE644" s="56">
        <f t="shared" si="250"/>
        <v>1</v>
      </c>
      <c r="AF644" s="88">
        <f>O644*AN644/BF644</f>
        <v>1.3555303731416758E-2</v>
      </c>
      <c r="AG644" s="88" cm="1">
        <f t="array" ref="AG644">_xlfn.IFS(
AND(L644="marginal_effect",M644="level"),O644*AN644/BF644,
AND(L644="marginal_effect",M644="sd (Y)"),O644*BI644*AN644/BF644,
AND(L644="marginal_effect",M644="sd (X)"),O644/AQ644*AN644/BF644,
AND(L644="semi_elasticity",M644="level"),O644*AN644,
AND(L644="semi_elasticity",M644="sd (Y)"),O644*AN644*BI644,
AND(L644="semi_elasticity",M644="sd (X)"),O644*AN644/AQ644,
AND(L644="level-log",M644="level"),O644/BF644,
AND(L644="level-log",M644="sd (X)"),O644/BF644/AQ644,
AND(L644="level-log",M644="sd (Y)"),O644/BF644*BI644,
AND(L644="elasticity",M644="level"),O644,
AND(L644="elasticity",M644="sd (X)"),O644/AQ644,
AND(L644="elasticity",M644="sd (Y)"),O644*BI644,
AND(L644="marginal_effect",M644="percent_of_mean"),O644*AN644/BF644/10)</f>
        <v>1.3555303731416758E-2</v>
      </c>
      <c r="AH644" s="56">
        <f t="shared" si="252"/>
        <v>1</v>
      </c>
      <c r="AI644" s="88">
        <f t="shared" si="257"/>
        <v>-3.6080882150241217E-2</v>
      </c>
      <c r="AJ644" s="55">
        <v>0</v>
      </c>
      <c r="AK644" s="55">
        <f t="shared" si="269"/>
        <v>1</v>
      </c>
      <c r="AL644" s="55" t="s">
        <v>148</v>
      </c>
      <c r="AM644" s="55" t="s">
        <v>1466</v>
      </c>
      <c r="AN644" s="55">
        <v>10.146000000000001</v>
      </c>
      <c r="AO644" s="55">
        <v>0</v>
      </c>
      <c r="AP644" s="55">
        <f t="shared" si="270"/>
        <v>101.46000000000001</v>
      </c>
      <c r="AQ644" s="55">
        <v>48.17</v>
      </c>
      <c r="AR644" s="55">
        <v>18</v>
      </c>
      <c r="AS644" s="55">
        <v>300</v>
      </c>
      <c r="AT644" s="55" t="s">
        <v>83</v>
      </c>
      <c r="AU644" s="55" t="s">
        <v>109</v>
      </c>
      <c r="AV644" s="55" t="s">
        <v>133</v>
      </c>
      <c r="AW644" s="55" t="s">
        <v>109</v>
      </c>
      <c r="AX644" s="55" t="s">
        <v>86</v>
      </c>
      <c r="AY644" s="55">
        <v>0</v>
      </c>
      <c r="AZ644" s="55">
        <v>0</v>
      </c>
      <c r="BA644" s="55" t="s">
        <v>87</v>
      </c>
      <c r="BB644" s="55" t="s">
        <v>88</v>
      </c>
      <c r="BC644" s="55" t="s">
        <v>89</v>
      </c>
      <c r="BD644" s="55" t="s">
        <v>90</v>
      </c>
      <c r="BE644" s="55" t="s">
        <v>1458</v>
      </c>
      <c r="BF644" s="55">
        <v>101.57</v>
      </c>
      <c r="BG644" s="55">
        <v>0</v>
      </c>
      <c r="BH644" s="55">
        <v>65.849999999999994</v>
      </c>
      <c r="BI644" s="55">
        <v>5</v>
      </c>
      <c r="BJ644" s="55">
        <v>430</v>
      </c>
      <c r="BK644" s="55" t="s">
        <v>91</v>
      </c>
      <c r="BL644" s="55" t="s">
        <v>84</v>
      </c>
      <c r="BM644" s="55">
        <v>1</v>
      </c>
      <c r="BN644" s="55" t="s">
        <v>428</v>
      </c>
      <c r="BO644" s="60" t="s">
        <v>1463</v>
      </c>
      <c r="BP644" s="55" t="s">
        <v>1464</v>
      </c>
      <c r="BQ644" s="55" t="s">
        <v>117</v>
      </c>
      <c r="BR644" s="55" t="s">
        <v>134</v>
      </c>
      <c r="BS644" s="55">
        <v>29.22</v>
      </c>
      <c r="BT644" s="55">
        <v>0.01</v>
      </c>
      <c r="BU644" s="57">
        <v>42552</v>
      </c>
      <c r="BV644" s="57">
        <v>42643</v>
      </c>
      <c r="BW644" s="55" t="s">
        <v>94</v>
      </c>
      <c r="BX644" s="55" t="s">
        <v>95</v>
      </c>
      <c r="BY644" s="55" t="s">
        <v>96</v>
      </c>
      <c r="BZ644" s="55">
        <v>0</v>
      </c>
      <c r="CA644" s="55">
        <v>0</v>
      </c>
      <c r="CB644" s="55" t="s">
        <v>97</v>
      </c>
      <c r="CC644" s="55" t="s">
        <v>314</v>
      </c>
      <c r="CD644" s="55">
        <v>1</v>
      </c>
      <c r="CE644" s="55" t="s">
        <v>1462</v>
      </c>
      <c r="CF644" s="55">
        <v>0</v>
      </c>
      <c r="CG644" s="55" t="s">
        <v>97</v>
      </c>
      <c r="CH644" s="55">
        <v>1</v>
      </c>
      <c r="CI644" s="55" t="s">
        <v>1465</v>
      </c>
      <c r="CJ644" s="55" t="s">
        <v>98</v>
      </c>
      <c r="CK644" s="55">
        <v>179</v>
      </c>
      <c r="CL644" s="55">
        <v>0</v>
      </c>
      <c r="CM644" s="55">
        <v>1</v>
      </c>
      <c r="CN644" s="55" t="s">
        <v>99</v>
      </c>
      <c r="CO644" s="55" t="s">
        <v>97</v>
      </c>
      <c r="CP644" s="55" t="s">
        <v>100</v>
      </c>
      <c r="CQ644" s="55" t="s">
        <v>126</v>
      </c>
      <c r="CR644" s="57">
        <v>46233</v>
      </c>
      <c r="CT644" s="55" t="s">
        <v>439</v>
      </c>
    </row>
    <row r="645" spans="1:98" s="55" customFormat="1" x14ac:dyDescent="0.35">
      <c r="A645" s="54" t="s">
        <v>1459</v>
      </c>
      <c r="B645" s="54" t="s">
        <v>1474</v>
      </c>
      <c r="C645" s="55" t="s">
        <v>1460</v>
      </c>
      <c r="D645" s="55">
        <v>2022</v>
      </c>
      <c r="E645" s="60" t="s">
        <v>1461</v>
      </c>
      <c r="F645" s="54" t="s">
        <v>998</v>
      </c>
      <c r="G645" s="55" t="s">
        <v>78</v>
      </c>
      <c r="H645" s="55">
        <v>1</v>
      </c>
      <c r="I645" s="55" t="s">
        <v>290</v>
      </c>
      <c r="J645" s="55" t="s">
        <v>79</v>
      </c>
      <c r="K645" s="55">
        <v>81</v>
      </c>
      <c r="L645" s="55" t="s">
        <v>129</v>
      </c>
      <c r="M645" s="55" t="s">
        <v>380</v>
      </c>
      <c r="N645" s="55">
        <v>-0.2177</v>
      </c>
      <c r="O645" s="55">
        <v>0.11310000000000001</v>
      </c>
      <c r="P645" s="88">
        <f t="shared" si="261"/>
        <v>-1.9248452696728557</v>
      </c>
      <c r="Q645" s="55" t="s">
        <v>312</v>
      </c>
      <c r="R645" s="88">
        <f t="shared" si="262"/>
        <v>-0.43937599999999999</v>
      </c>
      <c r="S645" s="88">
        <f t="shared" si="263"/>
        <v>3.9760000000000073E-3</v>
      </c>
      <c r="T645" s="55">
        <v>1</v>
      </c>
      <c r="U645" s="55">
        <v>66374</v>
      </c>
      <c r="V645" s="55" t="s">
        <v>312</v>
      </c>
      <c r="W645" s="55" t="s">
        <v>312</v>
      </c>
      <c r="X645" s="55">
        <f t="shared" si="259"/>
        <v>66374</v>
      </c>
      <c r="Y645" s="88">
        <f t="shared" si="264"/>
        <v>-7.4711027223342014E-3</v>
      </c>
      <c r="Z645" s="88">
        <f t="shared" si="265"/>
        <v>3.8814043082039417E-3</v>
      </c>
      <c r="AA645" s="88">
        <f t="shared" si="266"/>
        <v>7.4711027223342014E-3</v>
      </c>
      <c r="AB645" s="55" t="s">
        <v>81</v>
      </c>
      <c r="AC645" s="88">
        <f>N645*AN645/BF645</f>
        <v>-2.1746423156443834E-2</v>
      </c>
      <c r="AD645" s="88" cm="1">
        <f t="array" ref="AD645">_xlfn.IFS(
AND(L645="marginal_effect",M645="level"),N645*AN645/BF645,
AND(L645="marginal_effect",M645="sd (Y)"),N645*BI645*AN645/BF645,
AND(L645="marginal_effect",M645="sd (X)"),N645/AQ645*AN645/BF645,
AND(L645="semi_elasticity",M645="level"),N645*AN645,
AND(L645="semi_elasticity",M645="sd (Y)"),N645*AN645*BI645,
AND(L645="semi_elasticity",M645="sd (X)"),N645*AN645/AQ645,
AND(L645="level-log",M645="level"),N645/BF645,
AND(L645="level-log",M645="sd (X)"),N645/BF645/AQ645,
AND(L645="level-log",M645="sd (Y)"),N645/BF645*BI645,
AND(L645="elasticity",M645="level"),N645,
AND(L645="elasticity",M645="sd (X)"),N645/AQ645,
AND(L645="elasticity",M645="sd (Y)"),N645*BI645,
AND(L645="marginal_effect",M645="percent_of_mean"),N645*AN645/BF645/10)</f>
        <v>-2.1746423156443834E-2</v>
      </c>
      <c r="AE645" s="56">
        <f t="shared" si="250"/>
        <v>1</v>
      </c>
      <c r="AF645" s="88">
        <f>O645*AN645/BF645</f>
        <v>1.1297751304519054E-2</v>
      </c>
      <c r="AG645" s="88" cm="1">
        <f t="array" ref="AG645">_xlfn.IFS(
AND(L645="marginal_effect",M645="level"),O645*AN645/BF645,
AND(L645="marginal_effect",M645="sd (Y)"),O645*BI645*AN645/BF645,
AND(L645="marginal_effect",M645="sd (X)"),O645/AQ645*AN645/BF645,
AND(L645="semi_elasticity",M645="level"),O645*AN645,
AND(L645="semi_elasticity",M645="sd (Y)"),O645*AN645*BI645,
AND(L645="semi_elasticity",M645="sd (X)"),O645*AN645/AQ645,
AND(L645="level-log",M645="level"),O645/BF645,
AND(L645="level-log",M645="sd (X)"),O645/BF645/AQ645,
AND(L645="level-log",M645="sd (Y)"),O645/BF645*BI645,
AND(L645="elasticity",M645="level"),O645,
AND(L645="elasticity",M645="sd (X)"),O645/AQ645,
AND(L645="elasticity",M645="sd (Y)"),O645*BI645,
AND(L645="marginal_effect",M645="percent_of_mean"),O645*AN645/BF645/10)</f>
        <v>1.1297751304519054E-2</v>
      </c>
      <c r="AH645" s="56">
        <f t="shared" si="252"/>
        <v>1</v>
      </c>
      <c r="AI645" s="88">
        <f t="shared" si="257"/>
        <v>-2.1746423156443834E-2</v>
      </c>
      <c r="AJ645" s="55">
        <v>0</v>
      </c>
      <c r="AK645" s="55">
        <f t="shared" si="269"/>
        <v>1</v>
      </c>
      <c r="AL645" s="55" t="s">
        <v>148</v>
      </c>
      <c r="AM645" s="55" t="s">
        <v>1466</v>
      </c>
      <c r="AN645" s="55">
        <v>10.146000000000001</v>
      </c>
      <c r="AO645" s="55">
        <v>0</v>
      </c>
      <c r="AP645" s="55">
        <f t="shared" si="270"/>
        <v>101.46000000000001</v>
      </c>
      <c r="AQ645" s="55">
        <v>48.17</v>
      </c>
      <c r="AR645" s="55">
        <v>18</v>
      </c>
      <c r="AS645" s="55">
        <v>300</v>
      </c>
      <c r="AT645" s="55" t="s">
        <v>83</v>
      </c>
      <c r="AU645" s="55" t="s">
        <v>109</v>
      </c>
      <c r="AV645" s="55" t="s">
        <v>133</v>
      </c>
      <c r="AW645" s="55" t="s">
        <v>109</v>
      </c>
      <c r="AX645" s="55" t="s">
        <v>86</v>
      </c>
      <c r="AY645" s="55">
        <v>0</v>
      </c>
      <c r="AZ645" s="55">
        <v>0</v>
      </c>
      <c r="BA645" s="55" t="s">
        <v>87</v>
      </c>
      <c r="BB645" s="55" t="s">
        <v>88</v>
      </c>
      <c r="BC645" s="55" t="s">
        <v>89</v>
      </c>
      <c r="BD645" s="55" t="s">
        <v>90</v>
      </c>
      <c r="BE645" s="55" t="s">
        <v>1458</v>
      </c>
      <c r="BF645" s="55">
        <v>101.57</v>
      </c>
      <c r="BG645" s="55">
        <v>0</v>
      </c>
      <c r="BH645" s="55">
        <v>65.849999999999994</v>
      </c>
      <c r="BI645" s="55">
        <v>5</v>
      </c>
      <c r="BJ645" s="55">
        <v>430</v>
      </c>
      <c r="BK645" s="55" t="s">
        <v>91</v>
      </c>
      <c r="BL645" s="55" t="s">
        <v>84</v>
      </c>
      <c r="BM645" s="55">
        <v>1</v>
      </c>
      <c r="BN645" s="55" t="s">
        <v>428</v>
      </c>
      <c r="BO645" s="60" t="s">
        <v>1463</v>
      </c>
      <c r="BP645" s="55" t="s">
        <v>1464</v>
      </c>
      <c r="BQ645" s="55" t="s">
        <v>117</v>
      </c>
      <c r="BR645" s="55" t="s">
        <v>134</v>
      </c>
      <c r="BS645" s="55">
        <v>29.22</v>
      </c>
      <c r="BT645" s="55">
        <v>0.01</v>
      </c>
      <c r="BU645" s="57">
        <v>42552</v>
      </c>
      <c r="BV645" s="57">
        <v>42643</v>
      </c>
      <c r="BW645" s="55" t="s">
        <v>94</v>
      </c>
      <c r="BX645" s="55" t="s">
        <v>95</v>
      </c>
      <c r="BY645" s="55" t="s">
        <v>96</v>
      </c>
      <c r="BZ645" s="55">
        <v>0</v>
      </c>
      <c r="CA645" s="55">
        <v>0</v>
      </c>
      <c r="CB645" s="55" t="s">
        <v>97</v>
      </c>
      <c r="CC645" s="55" t="s">
        <v>314</v>
      </c>
      <c r="CD645" s="55">
        <v>1</v>
      </c>
      <c r="CE645" s="55" t="s">
        <v>1462</v>
      </c>
      <c r="CF645" s="55">
        <v>0</v>
      </c>
      <c r="CG645" s="55" t="s">
        <v>97</v>
      </c>
      <c r="CH645" s="55">
        <v>1</v>
      </c>
      <c r="CI645" s="55" t="s">
        <v>1465</v>
      </c>
      <c r="CJ645" s="55" t="s">
        <v>98</v>
      </c>
      <c r="CK645" s="55">
        <v>179</v>
      </c>
      <c r="CL645" s="55">
        <v>0</v>
      </c>
      <c r="CM645" s="55">
        <v>0</v>
      </c>
      <c r="CN645" s="55" t="s">
        <v>99</v>
      </c>
      <c r="CO645" s="55" t="s">
        <v>97</v>
      </c>
      <c r="CP645" s="55" t="s">
        <v>100</v>
      </c>
      <c r="CQ645" s="55" t="s">
        <v>126</v>
      </c>
      <c r="CR645" s="57">
        <v>46233</v>
      </c>
      <c r="CT645" s="55" t="s">
        <v>440</v>
      </c>
    </row>
    <row r="646" spans="1:98" s="55" customFormat="1" x14ac:dyDescent="0.35">
      <c r="A646" s="54" t="s">
        <v>1459</v>
      </c>
      <c r="B646" s="54" t="s">
        <v>1475</v>
      </c>
      <c r="C646" s="55" t="s">
        <v>1460</v>
      </c>
      <c r="D646" s="55">
        <v>2022</v>
      </c>
      <c r="E646" s="60" t="s">
        <v>1461</v>
      </c>
      <c r="F646" s="54" t="s">
        <v>998</v>
      </c>
      <c r="G646" s="55" t="s">
        <v>78</v>
      </c>
      <c r="H646" s="55">
        <v>1</v>
      </c>
      <c r="I646" s="55" t="s">
        <v>290</v>
      </c>
      <c r="J646" s="55" t="s">
        <v>79</v>
      </c>
      <c r="K646" s="55">
        <v>81</v>
      </c>
      <c r="L646" s="55" t="s">
        <v>129</v>
      </c>
      <c r="M646" s="55" t="s">
        <v>380</v>
      </c>
      <c r="N646" s="55">
        <v>-0.38529999999999998</v>
      </c>
      <c r="O646" s="55">
        <v>0.15049999999999999</v>
      </c>
      <c r="P646" s="88">
        <f t="shared" si="261"/>
        <v>-2.5601328903654483</v>
      </c>
      <c r="Q646" s="55" t="s">
        <v>312</v>
      </c>
      <c r="R646" s="88">
        <f t="shared" si="262"/>
        <v>-0.68028</v>
      </c>
      <c r="S646" s="88">
        <f t="shared" si="263"/>
        <v>-9.0320000000000011E-2</v>
      </c>
      <c r="T646" s="55">
        <v>1</v>
      </c>
      <c r="U646" s="55">
        <v>36496</v>
      </c>
      <c r="V646" s="55" t="s">
        <v>312</v>
      </c>
      <c r="W646" s="55" t="s">
        <v>312</v>
      </c>
      <c r="X646" s="55">
        <f t="shared" si="259"/>
        <v>36496</v>
      </c>
      <c r="Y646" s="88">
        <f t="shared" si="264"/>
        <v>-1.3399879142792332E-2</v>
      </c>
      <c r="Z646" s="88">
        <f t="shared" si="265"/>
        <v>5.234056088736689E-3</v>
      </c>
      <c r="AA646" s="88">
        <f t="shared" si="266"/>
        <v>1.3399879142792332E-2</v>
      </c>
      <c r="AB646" s="55" t="s">
        <v>81</v>
      </c>
      <c r="AC646" s="88">
        <f>N646*AN646/BF646</f>
        <v>-3.8488272127596736E-2</v>
      </c>
      <c r="AD646" s="88" cm="1">
        <f t="array" ref="AD646">_xlfn.IFS(
AND(L646="marginal_effect",M646="level"),N646*AN646/BF646,
AND(L646="marginal_effect",M646="sd (Y)"),N646*BI646*AN646/BF646,
AND(L646="marginal_effect",M646="sd (X)"),N646/AQ646*AN646/BF646,
AND(L646="semi_elasticity",M646="level"),N646*AN646,
AND(L646="semi_elasticity",M646="sd (Y)"),N646*AN646*BI646,
AND(L646="semi_elasticity",M646="sd (X)"),N646*AN646/AQ646,
AND(L646="level-log",M646="level"),N646/BF646,
AND(L646="level-log",M646="sd (X)"),N646/BF646/AQ646,
AND(L646="level-log",M646="sd (Y)"),N646/BF646*BI646,
AND(L646="elasticity",M646="level"),N646,
AND(L646="elasticity",M646="sd (X)"),N646/AQ646,
AND(L646="elasticity",M646="sd (Y)"),N646*BI646,
AND(L646="marginal_effect",M646="percent_of_mean"),N646*AN646/BF646/10)</f>
        <v>-3.8488272127596736E-2</v>
      </c>
      <c r="AE646" s="56">
        <f t="shared" si="250"/>
        <v>1</v>
      </c>
      <c r="AF646" s="88">
        <f>O646*AN646/BF646</f>
        <v>1.5033700895933842E-2</v>
      </c>
      <c r="AG646" s="88" cm="1">
        <f t="array" ref="AG646">_xlfn.IFS(
AND(L646="marginal_effect",M646="level"),O646*AN646/BF646,
AND(L646="marginal_effect",M646="sd (Y)"),O646*BI646*AN646/BF646,
AND(L646="marginal_effect",M646="sd (X)"),O646/AQ646*AN646/BF646,
AND(L646="semi_elasticity",M646="level"),O646*AN646,
AND(L646="semi_elasticity",M646="sd (Y)"),O646*AN646*BI646,
AND(L646="semi_elasticity",M646="sd (X)"),O646*AN646/AQ646,
AND(L646="level-log",M646="level"),O646/BF646,
AND(L646="level-log",M646="sd (X)"),O646/BF646/AQ646,
AND(L646="level-log",M646="sd (Y)"),O646/BF646*BI646,
AND(L646="elasticity",M646="level"),O646,
AND(L646="elasticity",M646="sd (X)"),O646/AQ646,
AND(L646="elasticity",M646="sd (Y)"),O646*BI646,
AND(L646="marginal_effect",M646="percent_of_mean"),O646*AN646/BF646/10)</f>
        <v>1.5033700895933842E-2</v>
      </c>
      <c r="AH646" s="56">
        <f t="shared" si="252"/>
        <v>1</v>
      </c>
      <c r="AI646" s="88">
        <f t="shared" ref="AI646:AI677" si="271">AC646</f>
        <v>-3.8488272127596736E-2</v>
      </c>
      <c r="AJ646" s="55">
        <v>0</v>
      </c>
      <c r="AK646" s="55">
        <f t="shared" si="269"/>
        <v>1</v>
      </c>
      <c r="AL646" s="55" t="s">
        <v>148</v>
      </c>
      <c r="AM646" s="55" t="s">
        <v>1466</v>
      </c>
      <c r="AN646" s="55">
        <v>10.146000000000001</v>
      </c>
      <c r="AO646" s="55">
        <v>0</v>
      </c>
      <c r="AP646" s="55">
        <f t="shared" si="270"/>
        <v>101.46000000000001</v>
      </c>
      <c r="AQ646" s="55">
        <v>48.17</v>
      </c>
      <c r="AR646" s="55">
        <v>18</v>
      </c>
      <c r="AS646" s="55">
        <v>300</v>
      </c>
      <c r="AT646" s="55" t="s">
        <v>83</v>
      </c>
      <c r="AU646" s="55" t="s">
        <v>109</v>
      </c>
      <c r="AV646" s="55" t="s">
        <v>133</v>
      </c>
      <c r="AW646" s="55" t="s">
        <v>109</v>
      </c>
      <c r="AX646" s="55" t="s">
        <v>86</v>
      </c>
      <c r="AY646" s="55">
        <v>0</v>
      </c>
      <c r="AZ646" s="55">
        <v>0</v>
      </c>
      <c r="BA646" s="55" t="s">
        <v>87</v>
      </c>
      <c r="BB646" s="55" t="s">
        <v>88</v>
      </c>
      <c r="BC646" s="55" t="s">
        <v>89</v>
      </c>
      <c r="BD646" s="55" t="s">
        <v>90</v>
      </c>
      <c r="BE646" s="55" t="s">
        <v>1458</v>
      </c>
      <c r="BF646" s="55">
        <v>101.57</v>
      </c>
      <c r="BG646" s="55">
        <v>0</v>
      </c>
      <c r="BH646" s="55">
        <v>65.849999999999994</v>
      </c>
      <c r="BI646" s="55">
        <v>5</v>
      </c>
      <c r="BJ646" s="55">
        <v>430</v>
      </c>
      <c r="BK646" s="55" t="s">
        <v>91</v>
      </c>
      <c r="BL646" s="55" t="s">
        <v>84</v>
      </c>
      <c r="BM646" s="55">
        <v>1</v>
      </c>
      <c r="BN646" s="55" t="s">
        <v>428</v>
      </c>
      <c r="BO646" s="60" t="s">
        <v>1463</v>
      </c>
      <c r="BP646" s="55" t="s">
        <v>1464</v>
      </c>
      <c r="BQ646" s="55" t="s">
        <v>117</v>
      </c>
      <c r="BR646" s="55" t="s">
        <v>134</v>
      </c>
      <c r="BS646" s="55">
        <v>29.22</v>
      </c>
      <c r="BT646" s="55">
        <v>0.01</v>
      </c>
      <c r="BU646" s="57">
        <v>42552</v>
      </c>
      <c r="BV646" s="57">
        <v>42643</v>
      </c>
      <c r="BW646" s="55" t="s">
        <v>94</v>
      </c>
      <c r="BX646" s="55" t="s">
        <v>95</v>
      </c>
      <c r="BY646" s="55" t="s">
        <v>96</v>
      </c>
      <c r="BZ646" s="55">
        <v>0</v>
      </c>
      <c r="CA646" s="55">
        <v>0</v>
      </c>
      <c r="CB646" s="55" t="s">
        <v>97</v>
      </c>
      <c r="CC646" s="55" t="s">
        <v>1490</v>
      </c>
      <c r="CD646" s="55">
        <v>1</v>
      </c>
      <c r="CE646" s="55" t="s">
        <v>1462</v>
      </c>
      <c r="CF646" s="55">
        <v>0</v>
      </c>
      <c r="CG646" s="55" t="s">
        <v>97</v>
      </c>
      <c r="CH646" s="55">
        <v>1</v>
      </c>
      <c r="CI646" s="55" t="s">
        <v>1465</v>
      </c>
      <c r="CJ646" s="55" t="s">
        <v>98</v>
      </c>
      <c r="CK646" s="55">
        <v>179</v>
      </c>
      <c r="CL646" s="55">
        <v>0</v>
      </c>
      <c r="CM646" s="55">
        <v>0</v>
      </c>
      <c r="CN646" s="55" t="s">
        <v>99</v>
      </c>
      <c r="CO646" s="55" t="s">
        <v>97</v>
      </c>
      <c r="CP646" s="55" t="s">
        <v>100</v>
      </c>
      <c r="CQ646" s="55" t="s">
        <v>126</v>
      </c>
      <c r="CR646" s="57">
        <v>46233</v>
      </c>
      <c r="CT646" s="55" t="s">
        <v>778</v>
      </c>
    </row>
    <row r="647" spans="1:98" s="55" customFormat="1" x14ac:dyDescent="0.35">
      <c r="A647" s="54" t="s">
        <v>1459</v>
      </c>
      <c r="B647" s="54" t="s">
        <v>1476</v>
      </c>
      <c r="C647" s="55" t="s">
        <v>1460</v>
      </c>
      <c r="D647" s="55">
        <v>2022</v>
      </c>
      <c r="E647" s="60" t="s">
        <v>1461</v>
      </c>
      <c r="F647" s="54" t="s">
        <v>998</v>
      </c>
      <c r="G647" s="55" t="s">
        <v>78</v>
      </c>
      <c r="H647" s="55">
        <v>1</v>
      </c>
      <c r="I647" s="55" t="s">
        <v>290</v>
      </c>
      <c r="J647" s="55" t="s">
        <v>79</v>
      </c>
      <c r="K647" s="55">
        <v>81</v>
      </c>
      <c r="L647" s="55" t="s">
        <v>104</v>
      </c>
      <c r="M647" s="55" t="s">
        <v>380</v>
      </c>
      <c r="N647" s="55">
        <v>-2.1499999999999998E-2</v>
      </c>
      <c r="O647" s="55">
        <v>4.0000000000000001E-3</v>
      </c>
      <c r="P647" s="88">
        <f t="shared" si="261"/>
        <v>-5.3749999999999991</v>
      </c>
      <c r="Q647" s="55" t="s">
        <v>312</v>
      </c>
      <c r="R647" s="88">
        <f t="shared" si="262"/>
        <v>-2.9339999999999998E-2</v>
      </c>
      <c r="S647" s="88">
        <f t="shared" si="263"/>
        <v>-1.3659999999999999E-2</v>
      </c>
      <c r="T647" s="55">
        <v>1</v>
      </c>
      <c r="U647" s="55">
        <v>66374</v>
      </c>
      <c r="V647" s="55" t="s">
        <v>312</v>
      </c>
      <c r="W647" s="55" t="s">
        <v>312</v>
      </c>
      <c r="X647" s="55">
        <f t="shared" si="259"/>
        <v>66374</v>
      </c>
      <c r="Y647" s="88">
        <f t="shared" si="264"/>
        <v>-2.0858591359461182E-2</v>
      </c>
      <c r="Z647" s="88">
        <f t="shared" si="265"/>
        <v>3.8806681598997556E-3</v>
      </c>
      <c r="AA647" s="88">
        <f t="shared" si="266"/>
        <v>2.0858591359461182E-2</v>
      </c>
      <c r="AB647" s="55" t="s">
        <v>81</v>
      </c>
      <c r="AC647" s="88">
        <f t="shared" ref="AC647:AC678" si="272">N647*AN647</f>
        <v>-0.218139</v>
      </c>
      <c r="AD647" s="88" cm="1">
        <f t="array" ref="AD647">_xlfn.IFS(
AND(L647="marginal_effect",M647="level"),N647*AN647/BF647,
AND(L647="marginal_effect",M647="sd (Y)"),N647*BI647*AN647/BF647,
AND(L647="marginal_effect",M647="sd (X)"),N647/AQ647*AN647/BF647,
AND(L647="semi_elasticity",M647="level"),N647*AN647,
AND(L647="semi_elasticity",M647="sd (Y)"),N647*AN647*BI647,
AND(L647="semi_elasticity",M647="sd (X)"),N647*AN647/AQ647,
AND(L647="level-log",M647="level"),N647/BF647,
AND(L647="level-log",M647="sd (X)"),N647/BF647/AQ647,
AND(L647="level-log",M647="sd (Y)"),N647/BF647*BI647,
AND(L647="elasticity",M647="level"),N647,
AND(L647="elasticity",M647="sd (X)"),N647/AQ647,
AND(L647="elasticity",M647="sd (Y)"),N647*BI647,
AND(L647="marginal_effect",M647="percent_of_mean"),N647*AN647/BF647/10)</f>
        <v>-0.218139</v>
      </c>
      <c r="AE647" s="56">
        <f t="shared" si="250"/>
        <v>1</v>
      </c>
      <c r="AF647" s="88">
        <f t="shared" ref="AF647:AF661" si="273">O647*AN647</f>
        <v>4.0584000000000002E-2</v>
      </c>
      <c r="AG647" s="88" cm="1">
        <f t="array" ref="AG647">_xlfn.IFS(
AND(L647="marginal_effect",M647="level"),O647*AN647/BF647,
AND(L647="marginal_effect",M647="sd (Y)"),O647*BI647*AN647/BF647,
AND(L647="marginal_effect",M647="sd (X)"),O647/AQ647*AN647/BF647,
AND(L647="semi_elasticity",M647="level"),O647*AN647,
AND(L647="semi_elasticity",M647="sd (Y)"),O647*AN647*BI647,
AND(L647="semi_elasticity",M647="sd (X)"),O647*AN647/AQ647,
AND(L647="level-log",M647="level"),O647/BF647,
AND(L647="level-log",M647="sd (X)"),O647/BF647/AQ647,
AND(L647="level-log",M647="sd (Y)"),O647/BF647*BI647,
AND(L647="elasticity",M647="level"),O647,
AND(L647="elasticity",M647="sd (X)"),O647/AQ647,
AND(L647="elasticity",M647="sd (Y)"),O647*BI647,
AND(L647="marginal_effect",M647="percent_of_mean"),O647*AN647/BF647/10)</f>
        <v>4.0584000000000002E-2</v>
      </c>
      <c r="AH647" s="56">
        <f t="shared" si="252"/>
        <v>1</v>
      </c>
      <c r="AI647" s="88">
        <f t="shared" si="271"/>
        <v>-0.218139</v>
      </c>
      <c r="AJ647" s="55">
        <v>0</v>
      </c>
      <c r="AK647" s="55">
        <f t="shared" si="269"/>
        <v>1</v>
      </c>
      <c r="AL647" s="55" t="s">
        <v>148</v>
      </c>
      <c r="AM647" s="55" t="s">
        <v>1466</v>
      </c>
      <c r="AN647" s="55">
        <v>10.146000000000001</v>
      </c>
      <c r="AO647" s="55">
        <v>0</v>
      </c>
      <c r="AP647" s="55">
        <f t="shared" si="270"/>
        <v>101.46000000000001</v>
      </c>
      <c r="AQ647" s="55">
        <v>48.17</v>
      </c>
      <c r="AR647" s="55">
        <v>18</v>
      </c>
      <c r="AS647" s="55">
        <v>300</v>
      </c>
      <c r="AT647" s="55" t="s">
        <v>83</v>
      </c>
      <c r="AU647" s="55" t="s">
        <v>109</v>
      </c>
      <c r="AV647" s="55" t="s">
        <v>133</v>
      </c>
      <c r="AW647" s="55" t="s">
        <v>109</v>
      </c>
      <c r="AX647" s="55" t="s">
        <v>86</v>
      </c>
      <c r="AY647" s="55">
        <v>0</v>
      </c>
      <c r="AZ647" s="55">
        <v>0</v>
      </c>
      <c r="BA647" s="55" t="s">
        <v>87</v>
      </c>
      <c r="BB647" s="55" t="s">
        <v>88</v>
      </c>
      <c r="BC647" s="55" t="s">
        <v>89</v>
      </c>
      <c r="BD647" s="55" t="s">
        <v>90</v>
      </c>
      <c r="BE647" s="55" t="s">
        <v>1458</v>
      </c>
      <c r="BF647" s="55">
        <v>101.57</v>
      </c>
      <c r="BG647" s="55">
        <v>0</v>
      </c>
      <c r="BH647" s="55">
        <v>65.849999999999994</v>
      </c>
      <c r="BI647" s="55">
        <v>5</v>
      </c>
      <c r="BJ647" s="55">
        <v>430</v>
      </c>
      <c r="BK647" s="55" t="s">
        <v>91</v>
      </c>
      <c r="BL647" s="55" t="s">
        <v>84</v>
      </c>
      <c r="BM647" s="55">
        <v>1</v>
      </c>
      <c r="BN647" s="55" t="s">
        <v>428</v>
      </c>
      <c r="BO647" s="60" t="s">
        <v>1463</v>
      </c>
      <c r="BP647" s="55" t="s">
        <v>1464</v>
      </c>
      <c r="BQ647" s="55" t="s">
        <v>117</v>
      </c>
      <c r="BR647" s="55" t="s">
        <v>134</v>
      </c>
      <c r="BS647" s="55">
        <v>29.22</v>
      </c>
      <c r="BT647" s="55">
        <v>0.01</v>
      </c>
      <c r="BU647" s="57">
        <v>42552</v>
      </c>
      <c r="BV647" s="57">
        <v>42643</v>
      </c>
      <c r="BW647" s="55" t="s">
        <v>94</v>
      </c>
      <c r="BX647" s="55" t="s">
        <v>95</v>
      </c>
      <c r="BY647" s="55" t="s">
        <v>748</v>
      </c>
      <c r="BZ647" s="55">
        <v>1</v>
      </c>
      <c r="CA647" s="55">
        <v>1</v>
      </c>
      <c r="CB647" s="55" t="s">
        <v>303</v>
      </c>
      <c r="CC647" s="55" t="s">
        <v>509</v>
      </c>
      <c r="CD647" s="55">
        <v>1</v>
      </c>
      <c r="CE647" s="55" t="s">
        <v>1462</v>
      </c>
      <c r="CF647" s="55">
        <v>0</v>
      </c>
      <c r="CG647" s="55" t="s">
        <v>97</v>
      </c>
      <c r="CH647" s="55">
        <v>1</v>
      </c>
      <c r="CI647" s="55" t="s">
        <v>1465</v>
      </c>
      <c r="CJ647" s="55" t="s">
        <v>98</v>
      </c>
      <c r="CK647" s="55">
        <v>179</v>
      </c>
      <c r="CL647" s="55">
        <v>0</v>
      </c>
      <c r="CM647" s="55">
        <v>0</v>
      </c>
      <c r="CN647" s="55" t="s">
        <v>99</v>
      </c>
      <c r="CO647" s="55" t="s">
        <v>97</v>
      </c>
      <c r="CP647" s="55" t="s">
        <v>100</v>
      </c>
      <c r="CQ647" s="55" t="s">
        <v>126</v>
      </c>
      <c r="CR647" s="57">
        <v>46233</v>
      </c>
      <c r="CT647" s="55" t="s">
        <v>704</v>
      </c>
    </row>
    <row r="648" spans="1:98" s="55" customFormat="1" x14ac:dyDescent="0.35">
      <c r="A648" s="54" t="s">
        <v>1459</v>
      </c>
      <c r="B648" s="54" t="s">
        <v>1832</v>
      </c>
      <c r="C648" s="55" t="s">
        <v>1460</v>
      </c>
      <c r="D648" s="55">
        <v>2022</v>
      </c>
      <c r="E648" s="60" t="s">
        <v>1461</v>
      </c>
      <c r="F648" s="54" t="s">
        <v>998</v>
      </c>
      <c r="G648" s="55" t="s">
        <v>78</v>
      </c>
      <c r="H648" s="55">
        <v>1</v>
      </c>
      <c r="I648" s="55" t="s">
        <v>290</v>
      </c>
      <c r="J648" s="55" t="s">
        <v>79</v>
      </c>
      <c r="K648" s="55">
        <v>81</v>
      </c>
      <c r="L648" s="55" t="s">
        <v>104</v>
      </c>
      <c r="M648" s="55" t="s">
        <v>380</v>
      </c>
      <c r="N648" s="55">
        <v>-1.4200000000000001E-2</v>
      </c>
      <c r="O648" s="55">
        <v>3.7000000000000002E-3</v>
      </c>
      <c r="P648" s="88">
        <f t="shared" si="261"/>
        <v>-3.8378378378378377</v>
      </c>
      <c r="Q648" s="55" t="s">
        <v>312</v>
      </c>
      <c r="R648" s="88">
        <f t="shared" si="262"/>
        <v>-2.1451999999999999E-2</v>
      </c>
      <c r="S648" s="88">
        <f t="shared" si="263"/>
        <v>-6.9480000000000011E-3</v>
      </c>
      <c r="T648" s="55">
        <v>1</v>
      </c>
      <c r="U648" s="55">
        <v>66374</v>
      </c>
      <c r="V648" s="55" t="s">
        <v>312</v>
      </c>
      <c r="W648" s="55" t="s">
        <v>312</v>
      </c>
      <c r="X648" s="55">
        <f t="shared" ref="X648:X679" si="274">U648</f>
        <v>66374</v>
      </c>
      <c r="Y648" s="88">
        <f t="shared" si="264"/>
        <v>-1.4894963495962435E-2</v>
      </c>
      <c r="Z648" s="88">
        <f t="shared" si="265"/>
        <v>3.8810820376803529E-3</v>
      </c>
      <c r="AA648" s="88">
        <f t="shared" si="266"/>
        <v>1.4894963495962435E-2</v>
      </c>
      <c r="AB648" s="55" t="s">
        <v>81</v>
      </c>
      <c r="AC648" s="88">
        <f t="shared" si="272"/>
        <v>-0.14407320000000001</v>
      </c>
      <c r="AD648" s="88" cm="1">
        <f t="array" ref="AD648">_xlfn.IFS(
AND(L648="marginal_effect",M648="level"),N648*AN648/BF648,
AND(L648="marginal_effect",M648="sd (Y)"),N648*BI648*AN648/BF648,
AND(L648="marginal_effect",M648="sd (X)"),N648/AQ648*AN648/BF648,
AND(L648="semi_elasticity",M648="level"),N648*AN648,
AND(L648="semi_elasticity",M648="sd (Y)"),N648*AN648*BI648,
AND(L648="semi_elasticity",M648="sd (X)"),N648*AN648/AQ648,
AND(L648="level-log",M648="level"),N648/BF648,
AND(L648="level-log",M648="sd (X)"),N648/BF648/AQ648,
AND(L648="level-log",M648="sd (Y)"),N648/BF648*BI648,
AND(L648="elasticity",M648="level"),N648,
AND(L648="elasticity",M648="sd (X)"),N648/AQ648,
AND(L648="elasticity",M648="sd (Y)"),N648*BI648,
AND(L648="marginal_effect",M648="percent_of_mean"),N648*AN648/BF648/10)</f>
        <v>-0.14407320000000001</v>
      </c>
      <c r="AE648" s="56">
        <f t="shared" si="250"/>
        <v>1</v>
      </c>
      <c r="AF648" s="88">
        <f t="shared" si="273"/>
        <v>3.7540200000000003E-2</v>
      </c>
      <c r="AG648" s="88" cm="1">
        <f t="array" ref="AG648">_xlfn.IFS(
AND(L648="marginal_effect",M648="level"),O647*AN648/BF648,
AND(L648="marginal_effect",M648="sd (Y)"),O647*BI648*AN648/BF648,
AND(L648="marginal_effect",M648="sd (X)"),O647/AQ648*AN648/BF648,
AND(L648="semi_elasticity",M648="level"),O647*AN648,
AND(L648="semi_elasticity",M648="sd (Y)"),O647*AN648*BI648,
AND(L648="semi_elasticity",M648="sd (X)"),O647*AN648/AQ648,
AND(L648="level-log",M648="level"),O647/BF648,
AND(L648="level-log",M648="sd (X)"),O647/BF648/AQ648,
AND(L648="level-log",M648="sd (Y)"),O647/BF648*BI648,
AND(L648="elasticity",M648="level"),O647,
AND(L648="elasticity",M648="sd (X)"),O647/AQ648,
AND(L648="elasticity",M648="sd (Y)"),O647*BI648,
AND(L648="marginal_effect",M648="percent_of_mean"),O647*AN648/BF648/10)</f>
        <v>4.0584000000000002E-2</v>
      </c>
      <c r="AH648" s="56">
        <f t="shared" si="252"/>
        <v>0</v>
      </c>
      <c r="AI648" s="88">
        <f t="shared" si="271"/>
        <v>-0.14407320000000001</v>
      </c>
      <c r="AJ648" s="55">
        <v>0</v>
      </c>
      <c r="AK648" s="55">
        <f t="shared" si="269"/>
        <v>1</v>
      </c>
      <c r="AL648" s="55" t="s">
        <v>148</v>
      </c>
      <c r="AM648" s="55" t="s">
        <v>1466</v>
      </c>
      <c r="AN648" s="55">
        <v>10.146000000000001</v>
      </c>
      <c r="AO648" s="55">
        <v>0</v>
      </c>
      <c r="AP648" s="55">
        <f t="shared" si="270"/>
        <v>101.46000000000001</v>
      </c>
      <c r="AQ648" s="55">
        <v>48.17</v>
      </c>
      <c r="AR648" s="55">
        <v>18</v>
      </c>
      <c r="AS648" s="55">
        <v>300</v>
      </c>
      <c r="AT648" s="55" t="s">
        <v>83</v>
      </c>
      <c r="AU648" s="55" t="s">
        <v>109</v>
      </c>
      <c r="AV648" s="55" t="s">
        <v>133</v>
      </c>
      <c r="AW648" s="55" t="s">
        <v>109</v>
      </c>
      <c r="AX648" s="55" t="s">
        <v>86</v>
      </c>
      <c r="AY648" s="55">
        <v>0</v>
      </c>
      <c r="AZ648" s="55">
        <v>0</v>
      </c>
      <c r="BA648" s="55" t="s">
        <v>87</v>
      </c>
      <c r="BB648" s="55" t="s">
        <v>88</v>
      </c>
      <c r="BC648" s="55" t="s">
        <v>89</v>
      </c>
      <c r="BD648" s="55" t="s">
        <v>90</v>
      </c>
      <c r="BE648" s="55" t="s">
        <v>1458</v>
      </c>
      <c r="BF648" s="55">
        <v>101.57</v>
      </c>
      <c r="BG648" s="55">
        <v>0</v>
      </c>
      <c r="BH648" s="55">
        <v>65.849999999999994</v>
      </c>
      <c r="BI648" s="55">
        <v>5</v>
      </c>
      <c r="BJ648" s="55">
        <v>430</v>
      </c>
      <c r="BK648" s="55" t="s">
        <v>91</v>
      </c>
      <c r="BL648" s="55" t="s">
        <v>84</v>
      </c>
      <c r="BM648" s="55">
        <v>1</v>
      </c>
      <c r="BN648" s="55" t="s">
        <v>428</v>
      </c>
      <c r="BO648" s="60" t="s">
        <v>1463</v>
      </c>
      <c r="BP648" s="55" t="s">
        <v>1464</v>
      </c>
      <c r="BQ648" s="55" t="s">
        <v>117</v>
      </c>
      <c r="BR648" s="55" t="s">
        <v>134</v>
      </c>
      <c r="BS648" s="55">
        <v>29.22</v>
      </c>
      <c r="BT648" s="55">
        <v>0.01</v>
      </c>
      <c r="BU648" s="57">
        <v>42552</v>
      </c>
      <c r="BV648" s="57">
        <v>42643</v>
      </c>
      <c r="BW648" s="55" t="s">
        <v>94</v>
      </c>
      <c r="BX648" s="55" t="s">
        <v>95</v>
      </c>
      <c r="BY648" s="55" t="s">
        <v>748</v>
      </c>
      <c r="BZ648" s="55">
        <v>1</v>
      </c>
      <c r="CA648" s="55">
        <v>1</v>
      </c>
      <c r="CB648" s="55" t="s">
        <v>303</v>
      </c>
      <c r="CC648" s="55" t="s">
        <v>1490</v>
      </c>
      <c r="CD648" s="55">
        <v>1</v>
      </c>
      <c r="CE648" s="55" t="s">
        <v>1462</v>
      </c>
      <c r="CF648" s="55">
        <v>0</v>
      </c>
      <c r="CG648" s="55" t="s">
        <v>97</v>
      </c>
      <c r="CH648" s="55">
        <v>1</v>
      </c>
      <c r="CI648" s="55" t="s">
        <v>1465</v>
      </c>
      <c r="CJ648" s="55" t="s">
        <v>98</v>
      </c>
      <c r="CK648" s="55">
        <v>179</v>
      </c>
      <c r="CL648" s="55">
        <v>0</v>
      </c>
      <c r="CM648" s="55">
        <v>0</v>
      </c>
      <c r="CN648" s="55" t="s">
        <v>99</v>
      </c>
      <c r="CO648" s="55" t="s">
        <v>97</v>
      </c>
      <c r="CP648" s="55" t="s">
        <v>100</v>
      </c>
      <c r="CQ648" s="55" t="s">
        <v>126</v>
      </c>
      <c r="CR648" s="57">
        <v>46233</v>
      </c>
      <c r="CT648" s="55" t="s">
        <v>457</v>
      </c>
    </row>
    <row r="649" spans="1:98" s="55" customFormat="1" x14ac:dyDescent="0.35">
      <c r="A649" s="54" t="s">
        <v>1459</v>
      </c>
      <c r="B649" s="54" t="s">
        <v>1477</v>
      </c>
      <c r="C649" s="55" t="s">
        <v>1460</v>
      </c>
      <c r="D649" s="55">
        <v>2022</v>
      </c>
      <c r="E649" s="60" t="s">
        <v>1461</v>
      </c>
      <c r="F649" s="54" t="s">
        <v>998</v>
      </c>
      <c r="G649" s="55" t="s">
        <v>78</v>
      </c>
      <c r="H649" s="55">
        <v>1</v>
      </c>
      <c r="I649" s="55" t="s">
        <v>290</v>
      </c>
      <c r="J649" s="55" t="s">
        <v>79</v>
      </c>
      <c r="K649" s="55">
        <v>81</v>
      </c>
      <c r="L649" s="55" t="s">
        <v>104</v>
      </c>
      <c r="M649" s="55" t="s">
        <v>380</v>
      </c>
      <c r="N649" s="55">
        <v>-1.4200000000000001E-2</v>
      </c>
      <c r="O649" s="55">
        <v>3.5999999999999999E-3</v>
      </c>
      <c r="P649" s="88">
        <f t="shared" si="261"/>
        <v>-3.9444444444444446</v>
      </c>
      <c r="Q649" s="55" t="s">
        <v>312</v>
      </c>
      <c r="R649" s="88">
        <f t="shared" si="262"/>
        <v>-2.1256000000000001E-2</v>
      </c>
      <c r="S649" s="88">
        <f t="shared" si="263"/>
        <v>-7.144000000000001E-3</v>
      </c>
      <c r="T649" s="55">
        <v>1</v>
      </c>
      <c r="U649" s="55">
        <v>66374</v>
      </c>
      <c r="V649" s="55" t="s">
        <v>312</v>
      </c>
      <c r="W649" s="55" t="s">
        <v>312</v>
      </c>
      <c r="X649" s="55">
        <f t="shared" si="274"/>
        <v>66374</v>
      </c>
      <c r="Y649" s="88">
        <f t="shared" si="264"/>
        <v>-1.5308616828355732E-2</v>
      </c>
      <c r="Z649" s="88">
        <f t="shared" si="265"/>
        <v>3.8810577874704671E-3</v>
      </c>
      <c r="AA649" s="88">
        <f t="shared" si="266"/>
        <v>1.5308616828355732E-2</v>
      </c>
      <c r="AB649" s="55" t="s">
        <v>81</v>
      </c>
      <c r="AC649" s="88">
        <f t="shared" si="272"/>
        <v>-0.14407320000000001</v>
      </c>
      <c r="AD649" s="88" cm="1">
        <f t="array" ref="AD649">_xlfn.IFS(
AND(L649="marginal_effect",M649="level"),N649*AN649/BF649,
AND(L649="marginal_effect",M649="sd (Y)"),N649*BI649*AN649/BF649,
AND(L649="marginal_effect",M649="sd (X)"),N649/AQ649*AN649/BF649,
AND(L649="semi_elasticity",M649="level"),N649*AN649,
AND(L649="semi_elasticity",M649="sd (Y)"),N649*AN649*BI649,
AND(L649="semi_elasticity",M649="sd (X)"),N649*AN649/AQ649,
AND(L649="level-log",M649="level"),N649/BF649,
AND(L649="level-log",M649="sd (X)"),N649/BF649/AQ649,
AND(L649="level-log",M649="sd (Y)"),N649/BF649*BI649,
AND(L649="elasticity",M649="level"),N649,
AND(L649="elasticity",M649="sd (X)"),N649/AQ649,
AND(L649="elasticity",M649="sd (Y)"),N649*BI649,
AND(L649="marginal_effect",M649="percent_of_mean"),N649*AN649/BF649/10)</f>
        <v>-0.14407320000000001</v>
      </c>
      <c r="AE649" s="56">
        <f t="shared" si="250"/>
        <v>1</v>
      </c>
      <c r="AF649" s="88">
        <f t="shared" si="273"/>
        <v>3.6525600000000005E-2</v>
      </c>
      <c r="AG649" s="88" cm="1">
        <f t="array" ref="AG649">_xlfn.IFS(
AND(L649="marginal_effect",M649="level"),O648*AN649/BF649,
AND(L649="marginal_effect",M649="sd (Y)"),O648*BI649*AN649/BF649,
AND(L649="marginal_effect",M649="sd (X)"),O648/AQ649*AN649/BF649,
AND(L649="semi_elasticity",M649="level"),O648*AN649,
AND(L649="semi_elasticity",M649="sd (Y)"),O648*AN649*BI649,
AND(L649="semi_elasticity",M649="sd (X)"),O648*AN649/AQ649,
AND(L649="level-log",M649="level"),O648/BF649,
AND(L649="level-log",M649="sd (X)"),O648/BF649/AQ649,
AND(L649="level-log",M649="sd (Y)"),O648/BF649*BI649,
AND(L649="elasticity",M649="level"),O648,
AND(L649="elasticity",M649="sd (X)"),O648/AQ649,
AND(L649="elasticity",M649="sd (Y)"),O648*BI649,
AND(L649="marginal_effect",M649="percent_of_mean"),O648*AN649/BF649/10)</f>
        <v>3.7540200000000003E-2</v>
      </c>
      <c r="AH649" s="56">
        <f t="shared" si="252"/>
        <v>0</v>
      </c>
      <c r="AI649" s="88">
        <f t="shared" si="271"/>
        <v>-0.14407320000000001</v>
      </c>
      <c r="AJ649" s="55">
        <v>0</v>
      </c>
      <c r="AK649" s="55">
        <f t="shared" si="269"/>
        <v>1</v>
      </c>
      <c r="AL649" s="55" t="s">
        <v>148</v>
      </c>
      <c r="AM649" s="55" t="s">
        <v>1466</v>
      </c>
      <c r="AN649" s="55">
        <v>10.146000000000001</v>
      </c>
      <c r="AO649" s="55">
        <v>0</v>
      </c>
      <c r="AP649" s="55">
        <f t="shared" si="270"/>
        <v>101.46000000000001</v>
      </c>
      <c r="AQ649" s="55">
        <v>48.17</v>
      </c>
      <c r="AR649" s="55">
        <v>18</v>
      </c>
      <c r="AS649" s="55">
        <v>300</v>
      </c>
      <c r="AT649" s="55" t="s">
        <v>83</v>
      </c>
      <c r="AU649" s="55" t="s">
        <v>109</v>
      </c>
      <c r="AV649" s="55" t="s">
        <v>133</v>
      </c>
      <c r="AW649" s="55" t="s">
        <v>109</v>
      </c>
      <c r="AX649" s="55" t="s">
        <v>86</v>
      </c>
      <c r="AY649" s="55">
        <v>0</v>
      </c>
      <c r="AZ649" s="55">
        <v>0</v>
      </c>
      <c r="BA649" s="55" t="s">
        <v>87</v>
      </c>
      <c r="BB649" s="55" t="s">
        <v>88</v>
      </c>
      <c r="BC649" s="55" t="s">
        <v>89</v>
      </c>
      <c r="BD649" s="55" t="s">
        <v>90</v>
      </c>
      <c r="BE649" s="55" t="s">
        <v>1458</v>
      </c>
      <c r="BF649" s="55">
        <v>101.57</v>
      </c>
      <c r="BG649" s="55">
        <v>0</v>
      </c>
      <c r="BH649" s="55">
        <v>65.849999999999994</v>
      </c>
      <c r="BI649" s="55">
        <v>5</v>
      </c>
      <c r="BJ649" s="55">
        <v>430</v>
      </c>
      <c r="BK649" s="55" t="s">
        <v>91</v>
      </c>
      <c r="BL649" s="55" t="s">
        <v>84</v>
      </c>
      <c r="BM649" s="55">
        <v>1</v>
      </c>
      <c r="BN649" s="55" t="s">
        <v>428</v>
      </c>
      <c r="BO649" s="60" t="s">
        <v>1463</v>
      </c>
      <c r="BP649" s="55" t="s">
        <v>1464</v>
      </c>
      <c r="BQ649" s="55" t="s">
        <v>117</v>
      </c>
      <c r="BR649" s="55" t="s">
        <v>134</v>
      </c>
      <c r="BS649" s="55">
        <v>29.22</v>
      </c>
      <c r="BT649" s="55">
        <v>0.01</v>
      </c>
      <c r="BU649" s="57">
        <v>42552</v>
      </c>
      <c r="BV649" s="57">
        <v>42643</v>
      </c>
      <c r="BW649" s="55" t="s">
        <v>94</v>
      </c>
      <c r="BX649" s="55" t="s">
        <v>95</v>
      </c>
      <c r="BY649" s="55" t="s">
        <v>748</v>
      </c>
      <c r="BZ649" s="55">
        <v>1</v>
      </c>
      <c r="CA649" s="55">
        <v>1</v>
      </c>
      <c r="CB649" s="55" t="s">
        <v>303</v>
      </c>
      <c r="CC649" s="55" t="s">
        <v>314</v>
      </c>
      <c r="CD649" s="55">
        <v>1</v>
      </c>
      <c r="CE649" s="55" t="s">
        <v>1462</v>
      </c>
      <c r="CF649" s="55">
        <v>0</v>
      </c>
      <c r="CG649" s="55" t="s">
        <v>97</v>
      </c>
      <c r="CH649" s="55">
        <v>1</v>
      </c>
      <c r="CI649" s="55" t="s">
        <v>1465</v>
      </c>
      <c r="CJ649" s="55" t="s">
        <v>98</v>
      </c>
      <c r="CK649" s="55">
        <v>179</v>
      </c>
      <c r="CL649" s="55">
        <v>1</v>
      </c>
      <c r="CM649" s="55">
        <v>1</v>
      </c>
      <c r="CN649" s="55" t="s">
        <v>99</v>
      </c>
      <c r="CO649" s="55" t="s">
        <v>97</v>
      </c>
      <c r="CP649" s="55" t="s">
        <v>100</v>
      </c>
      <c r="CQ649" s="55" t="s">
        <v>126</v>
      </c>
      <c r="CR649" s="57">
        <v>46233</v>
      </c>
      <c r="CT649" s="55" t="s">
        <v>660</v>
      </c>
    </row>
    <row r="650" spans="1:98" s="55" customFormat="1" x14ac:dyDescent="0.35">
      <c r="A650" s="54" t="s">
        <v>1459</v>
      </c>
      <c r="B650" s="54" t="s">
        <v>1478</v>
      </c>
      <c r="C650" s="55" t="s">
        <v>1460</v>
      </c>
      <c r="D650" s="55">
        <v>2022</v>
      </c>
      <c r="E650" s="60" t="s">
        <v>1461</v>
      </c>
      <c r="F650" s="54" t="s">
        <v>998</v>
      </c>
      <c r="G650" s="55" t="s">
        <v>78</v>
      </c>
      <c r="H650" s="55">
        <v>1</v>
      </c>
      <c r="I650" s="55" t="s">
        <v>290</v>
      </c>
      <c r="J650" s="55" t="s">
        <v>79</v>
      </c>
      <c r="K650" s="55">
        <v>81</v>
      </c>
      <c r="L650" s="55" t="s">
        <v>104</v>
      </c>
      <c r="M650" s="55" t="s">
        <v>380</v>
      </c>
      <c r="N650" s="55">
        <v>-1.4200000000000001E-2</v>
      </c>
      <c r="O650" s="55">
        <v>4.0000000000000001E-3</v>
      </c>
      <c r="P650" s="88">
        <f t="shared" si="261"/>
        <v>-3.5500000000000003</v>
      </c>
      <c r="Q650" s="55" t="s">
        <v>312</v>
      </c>
      <c r="R650" s="88">
        <f t="shared" si="262"/>
        <v>-2.2040000000000001E-2</v>
      </c>
      <c r="S650" s="88">
        <f t="shared" si="263"/>
        <v>-6.3600000000000011E-3</v>
      </c>
      <c r="T650" s="55">
        <v>1</v>
      </c>
      <c r="U650" s="55">
        <v>66374</v>
      </c>
      <c r="V650" s="55" t="s">
        <v>312</v>
      </c>
      <c r="W650" s="55" t="s">
        <v>312</v>
      </c>
      <c r="X650" s="55">
        <f t="shared" si="274"/>
        <v>66374</v>
      </c>
      <c r="Y650" s="88">
        <f t="shared" si="264"/>
        <v>-1.3778061898278848E-2</v>
      </c>
      <c r="Z650" s="88">
        <f t="shared" si="265"/>
        <v>3.881144196698267E-3</v>
      </c>
      <c r="AA650" s="88">
        <f t="shared" si="266"/>
        <v>1.3778061898278848E-2</v>
      </c>
      <c r="AB650" s="55" t="s">
        <v>81</v>
      </c>
      <c r="AC650" s="88">
        <f t="shared" si="272"/>
        <v>-0.14407320000000001</v>
      </c>
      <c r="AD650" s="88" cm="1">
        <f t="array" ref="AD650">_xlfn.IFS(
AND(L650="marginal_effect",M650="level"),N650*AN650/BF650,
AND(L650="marginal_effect",M650="sd (Y)"),N650*BI650*AN650/BF650,
AND(L650="marginal_effect",M650="sd (X)"),N650/AQ650*AN650/BF650,
AND(L650="semi_elasticity",M650="level"),N650*AN650,
AND(L650="semi_elasticity",M650="sd (Y)"),N650*AN650*BI650,
AND(L650="semi_elasticity",M650="sd (X)"),N650*AN650/AQ650,
AND(L650="level-log",M650="level"),N650/BF650,
AND(L650="level-log",M650="sd (X)"),N650/BF650/AQ650,
AND(L650="level-log",M650="sd (Y)"),N650/BF650*BI650,
AND(L650="elasticity",M650="level"),N650,
AND(L650="elasticity",M650="sd (X)"),N650/AQ650,
AND(L650="elasticity",M650="sd (Y)"),N650*BI650,
AND(L650="marginal_effect",M650="percent_of_mean"),N650*AN650/BF650/10)</f>
        <v>-0.14407320000000001</v>
      </c>
      <c r="AE650" s="56">
        <f t="shared" si="250"/>
        <v>1</v>
      </c>
      <c r="AF650" s="88">
        <f t="shared" si="273"/>
        <v>4.0584000000000002E-2</v>
      </c>
      <c r="AG650" s="88" cm="1">
        <f t="array" ref="AG650">_xlfn.IFS(
AND(L650="marginal_effect",M650="level"),O649*AN650/BF650,
AND(L650="marginal_effect",M650="sd (Y)"),O649*BI650*AN650/BF650,
AND(L650="marginal_effect",M650="sd (X)"),O649/AQ650*AN650/BF650,
AND(L650="semi_elasticity",M650="level"),O649*AN650,
AND(L650="semi_elasticity",M650="sd (Y)"),O649*AN650*BI650,
AND(L650="semi_elasticity",M650="sd (X)"),O649*AN650/AQ650,
AND(L650="level-log",M650="level"),O649/BF650,
AND(L650="level-log",M650="sd (X)"),O649/BF650/AQ650,
AND(L650="level-log",M650="sd (Y)"),O649/BF650*BI650,
AND(L650="elasticity",M650="level"),O649,
AND(L650="elasticity",M650="sd (X)"),O649/AQ650,
AND(L650="elasticity",M650="sd (Y)"),O649*BI650,
AND(L650="marginal_effect",M650="percent_of_mean"),O649*AN650/BF650/10)</f>
        <v>3.6525600000000005E-2</v>
      </c>
      <c r="AH650" s="56">
        <f t="shared" si="252"/>
        <v>0</v>
      </c>
      <c r="AI650" s="88">
        <f t="shared" si="271"/>
        <v>-0.14407320000000001</v>
      </c>
      <c r="AJ650" s="55">
        <v>0</v>
      </c>
      <c r="AK650" s="55">
        <f t="shared" si="269"/>
        <v>1</v>
      </c>
      <c r="AL650" s="55" t="s">
        <v>148</v>
      </c>
      <c r="AM650" s="55" t="s">
        <v>1466</v>
      </c>
      <c r="AN650" s="55">
        <v>10.146000000000001</v>
      </c>
      <c r="AO650" s="55">
        <v>0</v>
      </c>
      <c r="AP650" s="55">
        <f t="shared" si="270"/>
        <v>101.46000000000001</v>
      </c>
      <c r="AQ650" s="55">
        <v>48.17</v>
      </c>
      <c r="AR650" s="55">
        <v>18</v>
      </c>
      <c r="AS650" s="55">
        <v>300</v>
      </c>
      <c r="AT650" s="55" t="s">
        <v>83</v>
      </c>
      <c r="AU650" s="55" t="s">
        <v>109</v>
      </c>
      <c r="AV650" s="55" t="s">
        <v>133</v>
      </c>
      <c r="AW650" s="55" t="s">
        <v>109</v>
      </c>
      <c r="AX650" s="55" t="s">
        <v>86</v>
      </c>
      <c r="AY650" s="55">
        <v>0</v>
      </c>
      <c r="AZ650" s="55">
        <v>0</v>
      </c>
      <c r="BA650" s="55" t="s">
        <v>87</v>
      </c>
      <c r="BB650" s="55" t="s">
        <v>88</v>
      </c>
      <c r="BC650" s="55" t="s">
        <v>89</v>
      </c>
      <c r="BD650" s="55" t="s">
        <v>90</v>
      </c>
      <c r="BE650" s="55" t="s">
        <v>1458</v>
      </c>
      <c r="BF650" s="55">
        <v>101.57</v>
      </c>
      <c r="BG650" s="55">
        <v>0</v>
      </c>
      <c r="BH650" s="55">
        <v>65.849999999999994</v>
      </c>
      <c r="BI650" s="55">
        <v>5</v>
      </c>
      <c r="BJ650" s="55">
        <v>430</v>
      </c>
      <c r="BK650" s="55" t="s">
        <v>91</v>
      </c>
      <c r="BL650" s="55" t="s">
        <v>84</v>
      </c>
      <c r="BM650" s="55">
        <v>1</v>
      </c>
      <c r="BN650" s="55" t="s">
        <v>428</v>
      </c>
      <c r="BO650" s="60" t="s">
        <v>1463</v>
      </c>
      <c r="BP650" s="55" t="s">
        <v>1464</v>
      </c>
      <c r="BQ650" s="55" t="s">
        <v>117</v>
      </c>
      <c r="BR650" s="55" t="s">
        <v>134</v>
      </c>
      <c r="BS650" s="55">
        <v>29.22</v>
      </c>
      <c r="BT650" s="55">
        <v>0.01</v>
      </c>
      <c r="BU650" s="57">
        <v>42552</v>
      </c>
      <c r="BV650" s="57">
        <v>42643</v>
      </c>
      <c r="BW650" s="55" t="s">
        <v>94</v>
      </c>
      <c r="BX650" s="55" t="s">
        <v>95</v>
      </c>
      <c r="BY650" s="55" t="s">
        <v>748</v>
      </c>
      <c r="BZ650" s="55">
        <v>1</v>
      </c>
      <c r="CA650" s="55">
        <v>1</v>
      </c>
      <c r="CB650" s="55" t="s">
        <v>303</v>
      </c>
      <c r="CC650" s="55" t="s">
        <v>314</v>
      </c>
      <c r="CD650" s="55">
        <v>1</v>
      </c>
      <c r="CE650" s="55" t="s">
        <v>1462</v>
      </c>
      <c r="CF650" s="55">
        <v>0</v>
      </c>
      <c r="CG650" s="55" t="s">
        <v>97</v>
      </c>
      <c r="CH650" s="55">
        <v>1</v>
      </c>
      <c r="CI650" s="55" t="s">
        <v>1465</v>
      </c>
      <c r="CJ650" s="55" t="s">
        <v>98</v>
      </c>
      <c r="CK650" s="55">
        <v>179</v>
      </c>
      <c r="CL650" s="55">
        <v>0</v>
      </c>
      <c r="CM650" s="55">
        <v>0</v>
      </c>
      <c r="CN650" s="55" t="s">
        <v>99</v>
      </c>
      <c r="CO650" s="55" t="s">
        <v>97</v>
      </c>
      <c r="CP650" s="55" t="s">
        <v>100</v>
      </c>
      <c r="CQ650" s="55" t="s">
        <v>126</v>
      </c>
      <c r="CR650" s="57">
        <v>46233</v>
      </c>
      <c r="CT650" s="55" t="s">
        <v>661</v>
      </c>
    </row>
    <row r="651" spans="1:98" s="55" customFormat="1" x14ac:dyDescent="0.35">
      <c r="A651" s="54" t="s">
        <v>1459</v>
      </c>
      <c r="B651" s="54" t="s">
        <v>1479</v>
      </c>
      <c r="C651" s="55" t="s">
        <v>1460</v>
      </c>
      <c r="D651" s="55">
        <v>2022</v>
      </c>
      <c r="E651" s="60" t="s">
        <v>1461</v>
      </c>
      <c r="F651" s="54" t="s">
        <v>998</v>
      </c>
      <c r="G651" s="55" t="s">
        <v>78</v>
      </c>
      <c r="H651" s="55">
        <v>1</v>
      </c>
      <c r="I651" s="55" t="s">
        <v>290</v>
      </c>
      <c r="J651" s="55" t="s">
        <v>79</v>
      </c>
      <c r="K651" s="55">
        <v>81</v>
      </c>
      <c r="L651" s="55" t="s">
        <v>104</v>
      </c>
      <c r="M651" s="55" t="s">
        <v>380</v>
      </c>
      <c r="N651" s="55">
        <v>-1.1599999999999999E-2</v>
      </c>
      <c r="O651" s="55">
        <v>3.7000000000000002E-3</v>
      </c>
      <c r="P651" s="88">
        <f t="shared" si="261"/>
        <v>-3.1351351351351346</v>
      </c>
      <c r="Q651" s="55" t="s">
        <v>312</v>
      </c>
      <c r="R651" s="88">
        <f t="shared" si="262"/>
        <v>-1.8852000000000001E-2</v>
      </c>
      <c r="S651" s="88">
        <f t="shared" si="263"/>
        <v>-4.3479999999999994E-3</v>
      </c>
      <c r="T651" s="55">
        <v>1</v>
      </c>
      <c r="U651" s="55">
        <v>36496</v>
      </c>
      <c r="V651" s="55" t="s">
        <v>312</v>
      </c>
      <c r="W651" s="55" t="s">
        <v>312</v>
      </c>
      <c r="X651" s="55">
        <f t="shared" si="274"/>
        <v>36496</v>
      </c>
      <c r="Y651" s="88">
        <f t="shared" si="264"/>
        <v>-1.6408737112461321E-2</v>
      </c>
      <c r="Z651" s="88">
        <f t="shared" si="265"/>
        <v>5.2338213203540433E-3</v>
      </c>
      <c r="AA651" s="88">
        <f t="shared" si="266"/>
        <v>1.6408737112461321E-2</v>
      </c>
      <c r="AB651" s="55" t="s">
        <v>81</v>
      </c>
      <c r="AC651" s="88">
        <f t="shared" si="272"/>
        <v>-0.1176936</v>
      </c>
      <c r="AD651" s="88" cm="1">
        <f t="array" ref="AD651">_xlfn.IFS(
AND(L651="marginal_effect",M651="level"),N651*AN651/BF651,
AND(L651="marginal_effect",M651="sd (Y)"),N651*BI651*AN651/BF651,
AND(L651="marginal_effect",M651="sd (X)"),N651/AQ651*AN651/BF651,
AND(L651="semi_elasticity",M651="level"),N651*AN651,
AND(L651="semi_elasticity",M651="sd (Y)"),N651*AN651*BI651,
AND(L651="semi_elasticity",M651="sd (X)"),N651*AN651/AQ651,
AND(L651="level-log",M651="level"),N651/BF651,
AND(L651="level-log",M651="sd (X)"),N651/BF651/AQ651,
AND(L651="level-log",M651="sd (Y)"),N651/BF651*BI651,
AND(L651="elasticity",M651="level"),N651,
AND(L651="elasticity",M651="sd (X)"),N651/AQ651,
AND(L651="elasticity",M651="sd (Y)"),N651*BI651,
AND(L651="marginal_effect",M651="percent_of_mean"),N651*AN651/BF651/10)</f>
        <v>-0.1176936</v>
      </c>
      <c r="AE651" s="56">
        <f t="shared" si="250"/>
        <v>1</v>
      </c>
      <c r="AF651" s="88">
        <f t="shared" si="273"/>
        <v>3.7540200000000003E-2</v>
      </c>
      <c r="AG651" s="88" cm="1">
        <f t="array" ref="AG651">_xlfn.IFS(
AND(L651="marginal_effect",M651="level"),O650*AN651/BF651,
AND(L651="marginal_effect",M651="sd (Y)"),O650*BI651*AN651/BF651,
AND(L651="marginal_effect",M651="sd (X)"),O650/AQ651*AN651/BF651,
AND(L651="semi_elasticity",M651="level"),O650*AN651,
AND(L651="semi_elasticity",M651="sd (Y)"),O650*AN651*BI651,
AND(L651="semi_elasticity",M651="sd (X)"),O650*AN651/AQ651,
AND(L651="level-log",M651="level"),O650/BF651,
AND(L651="level-log",M651="sd (X)"),O650/BF651/AQ651,
AND(L651="level-log",M651="sd (Y)"),O650/BF651*BI651,
AND(L651="elasticity",M651="level"),O650,
AND(L651="elasticity",M651="sd (X)"),O650/AQ651,
AND(L651="elasticity",M651="sd (Y)"),O650*BI651,
AND(L651="marginal_effect",M651="percent_of_mean"),O650*AN651/BF651/10)</f>
        <v>4.0584000000000002E-2</v>
      </c>
      <c r="AH651" s="56">
        <f t="shared" si="252"/>
        <v>0</v>
      </c>
      <c r="AI651" s="88">
        <f t="shared" si="271"/>
        <v>-0.1176936</v>
      </c>
      <c r="AJ651" s="55">
        <v>0</v>
      </c>
      <c r="AK651" s="55">
        <f t="shared" si="269"/>
        <v>1</v>
      </c>
      <c r="AL651" s="55" t="s">
        <v>148</v>
      </c>
      <c r="AM651" s="55" t="s">
        <v>1466</v>
      </c>
      <c r="AN651" s="55">
        <v>10.146000000000001</v>
      </c>
      <c r="AO651" s="55">
        <v>0</v>
      </c>
      <c r="AP651" s="55">
        <f t="shared" si="270"/>
        <v>101.46000000000001</v>
      </c>
      <c r="AQ651" s="55">
        <v>48.17</v>
      </c>
      <c r="AR651" s="55">
        <v>18</v>
      </c>
      <c r="AS651" s="55">
        <v>300</v>
      </c>
      <c r="AT651" s="55" t="s">
        <v>83</v>
      </c>
      <c r="AU651" s="55" t="s">
        <v>109</v>
      </c>
      <c r="AV651" s="55" t="s">
        <v>133</v>
      </c>
      <c r="AW651" s="55" t="s">
        <v>109</v>
      </c>
      <c r="AX651" s="55" t="s">
        <v>86</v>
      </c>
      <c r="AY651" s="55">
        <v>0</v>
      </c>
      <c r="AZ651" s="55">
        <v>0</v>
      </c>
      <c r="BA651" s="55" t="s">
        <v>87</v>
      </c>
      <c r="BB651" s="55" t="s">
        <v>88</v>
      </c>
      <c r="BC651" s="55" t="s">
        <v>89</v>
      </c>
      <c r="BD651" s="55" t="s">
        <v>90</v>
      </c>
      <c r="BE651" s="55" t="s">
        <v>1458</v>
      </c>
      <c r="BF651" s="55">
        <v>101.57</v>
      </c>
      <c r="BG651" s="55">
        <v>0</v>
      </c>
      <c r="BH651" s="55">
        <v>65.849999999999994</v>
      </c>
      <c r="BI651" s="55">
        <v>5</v>
      </c>
      <c r="BJ651" s="55">
        <v>430</v>
      </c>
      <c r="BK651" s="55" t="s">
        <v>91</v>
      </c>
      <c r="BL651" s="55" t="s">
        <v>84</v>
      </c>
      <c r="BM651" s="55">
        <v>1</v>
      </c>
      <c r="BN651" s="55" t="s">
        <v>428</v>
      </c>
      <c r="BO651" s="60" t="s">
        <v>1463</v>
      </c>
      <c r="BP651" s="55" t="s">
        <v>1464</v>
      </c>
      <c r="BQ651" s="55" t="s">
        <v>117</v>
      </c>
      <c r="BR651" s="55" t="s">
        <v>134</v>
      </c>
      <c r="BS651" s="55">
        <v>29.22</v>
      </c>
      <c r="BT651" s="55">
        <v>0.01</v>
      </c>
      <c r="BU651" s="57">
        <v>42552</v>
      </c>
      <c r="BV651" s="57">
        <v>42643</v>
      </c>
      <c r="BW651" s="55" t="s">
        <v>94</v>
      </c>
      <c r="BX651" s="55" t="s">
        <v>95</v>
      </c>
      <c r="BY651" s="55" t="s">
        <v>748</v>
      </c>
      <c r="BZ651" s="55">
        <v>1</v>
      </c>
      <c r="CA651" s="55">
        <v>1</v>
      </c>
      <c r="CB651" s="55" t="s">
        <v>303</v>
      </c>
      <c r="CC651" s="55" t="s">
        <v>1490</v>
      </c>
      <c r="CD651" s="55">
        <v>1</v>
      </c>
      <c r="CE651" s="55" t="s">
        <v>1462</v>
      </c>
      <c r="CF651" s="55">
        <v>0</v>
      </c>
      <c r="CG651" s="55" t="s">
        <v>97</v>
      </c>
      <c r="CH651" s="55">
        <v>1</v>
      </c>
      <c r="CI651" s="55" t="s">
        <v>1465</v>
      </c>
      <c r="CJ651" s="55" t="s">
        <v>98</v>
      </c>
      <c r="CK651" s="55">
        <v>179</v>
      </c>
      <c r="CL651" s="55">
        <v>0</v>
      </c>
      <c r="CM651" s="55">
        <v>0</v>
      </c>
      <c r="CN651" s="55" t="s">
        <v>99</v>
      </c>
      <c r="CO651" s="55" t="s">
        <v>97</v>
      </c>
      <c r="CP651" s="55" t="s">
        <v>100</v>
      </c>
      <c r="CQ651" s="55" t="s">
        <v>126</v>
      </c>
      <c r="CR651" s="57">
        <v>46233</v>
      </c>
      <c r="CT651" s="55" t="s">
        <v>1205</v>
      </c>
    </row>
    <row r="652" spans="1:98" s="55" customFormat="1" x14ac:dyDescent="0.35">
      <c r="A652" s="54" t="s">
        <v>1459</v>
      </c>
      <c r="B652" s="54" t="s">
        <v>1480</v>
      </c>
      <c r="C652" s="55" t="s">
        <v>1460</v>
      </c>
      <c r="D652" s="55">
        <v>2022</v>
      </c>
      <c r="E652" s="60" t="s">
        <v>1461</v>
      </c>
      <c r="F652" s="54" t="s">
        <v>998</v>
      </c>
      <c r="G652" s="55" t="s">
        <v>78</v>
      </c>
      <c r="H652" s="55">
        <v>1</v>
      </c>
      <c r="I652" s="55" t="s">
        <v>290</v>
      </c>
      <c r="J652" s="55" t="s">
        <v>79</v>
      </c>
      <c r="K652" s="55">
        <v>81</v>
      </c>
      <c r="L652" s="55" t="s">
        <v>104</v>
      </c>
      <c r="M652" s="55" t="s">
        <v>380</v>
      </c>
      <c r="N652" s="55">
        <v>-3.5000000000000001E-3</v>
      </c>
      <c r="O652" s="55">
        <v>1.8E-3</v>
      </c>
      <c r="P652" s="88">
        <f t="shared" si="261"/>
        <v>-1.9444444444444446</v>
      </c>
      <c r="Q652" s="55" t="s">
        <v>312</v>
      </c>
      <c r="R652" s="88">
        <f t="shared" si="262"/>
        <v>-7.0279999999999995E-3</v>
      </c>
      <c r="S652" s="88">
        <f t="shared" si="263"/>
        <v>2.7999999999999813E-5</v>
      </c>
      <c r="T652" s="55">
        <v>1</v>
      </c>
      <c r="U652" s="55">
        <v>66374</v>
      </c>
      <c r="V652" s="55" t="s">
        <v>312</v>
      </c>
      <c r="W652" s="55" t="s">
        <v>312</v>
      </c>
      <c r="X652" s="55">
        <f t="shared" si="274"/>
        <v>66374</v>
      </c>
      <c r="Y652" s="88">
        <f t="shared" si="264"/>
        <v>-7.5471707325032236E-3</v>
      </c>
      <c r="Z652" s="88">
        <f t="shared" si="265"/>
        <v>3.8814020910016571E-3</v>
      </c>
      <c r="AA652" s="88">
        <f t="shared" si="266"/>
        <v>7.5471707325032236E-3</v>
      </c>
      <c r="AB652" s="55" t="s">
        <v>81</v>
      </c>
      <c r="AC652" s="88">
        <f t="shared" si="272"/>
        <v>-3.5511000000000001E-2</v>
      </c>
      <c r="AD652" s="88" cm="1">
        <f t="array" ref="AD652">_xlfn.IFS(
AND(L652="marginal_effect",M652="level"),N652*AN652/BF652,
AND(L652="marginal_effect",M652="sd (Y)"),N652*BI652*AN652/BF652,
AND(L652="marginal_effect",M652="sd (X)"),N652/AQ652*AN652/BF652,
AND(L652="semi_elasticity",M652="level"),N652*AN652,
AND(L652="semi_elasticity",M652="sd (Y)"),N652*AN652*BI652,
AND(L652="semi_elasticity",M652="sd (X)"),N652*AN652/AQ652,
AND(L652="level-log",M652="level"),N652/BF652,
AND(L652="level-log",M652="sd (X)"),N652/BF652/AQ652,
AND(L652="level-log",M652="sd (Y)"),N652/BF652*BI652,
AND(L652="elasticity",M652="level"),N652,
AND(L652="elasticity",M652="sd (X)"),N652/AQ652,
AND(L652="elasticity",M652="sd (Y)"),N652*BI652,
AND(L652="marginal_effect",M652="percent_of_mean"),N652*AN652/BF652/10)</f>
        <v>-3.5511000000000001E-2</v>
      </c>
      <c r="AE652" s="56">
        <f t="shared" si="250"/>
        <v>1</v>
      </c>
      <c r="AF652" s="88">
        <f t="shared" si="273"/>
        <v>1.8262800000000003E-2</v>
      </c>
      <c r="AG652" s="88" cm="1">
        <f t="array" ref="AG652">_xlfn.IFS(
AND(L652="marginal_effect",M652="level"),O652*AN652/BF652,
AND(L652="marginal_effect",M652="sd (Y)"),O652*BI652*AN652/BF652,
AND(L652="marginal_effect",M652="sd (X)"),O652/AQ652*AN652/BF652,
AND(L652="semi_elasticity",M652="level"),O652*AN652,
AND(L652="semi_elasticity",M652="sd (Y)"),O652*AN652*BI652,
AND(L652="semi_elasticity",M652="sd (X)"),O652*AN652/AQ652,
AND(L652="level-log",M652="level"),O652/BF652,
AND(L652="level-log",M652="sd (X)"),O652/BF652/AQ652,
AND(L652="level-log",M652="sd (Y)"),O652/BF652*BI652,
AND(L652="elasticity",M652="level"),O652,
AND(L652="elasticity",M652="sd (X)"),O652/AQ652,
AND(L652="elasticity",M652="sd (Y)"),O652*BI652,
AND(L652="marginal_effect",M652="percent_of_mean"),O652*AN652/BF652/10)</f>
        <v>1.8262800000000003E-2</v>
      </c>
      <c r="AH652" s="56">
        <f t="shared" si="252"/>
        <v>1</v>
      </c>
      <c r="AI652" s="88">
        <f t="shared" si="271"/>
        <v>-3.5511000000000001E-2</v>
      </c>
      <c r="AJ652" s="55">
        <v>0</v>
      </c>
      <c r="AK652" s="55">
        <f t="shared" si="269"/>
        <v>1</v>
      </c>
      <c r="AL652" s="55" t="s">
        <v>148</v>
      </c>
      <c r="AM652" s="55" t="s">
        <v>1466</v>
      </c>
      <c r="AN652" s="55">
        <v>10.146000000000001</v>
      </c>
      <c r="AO652" s="55">
        <v>0</v>
      </c>
      <c r="AP652" s="55">
        <f t="shared" si="270"/>
        <v>101.46000000000001</v>
      </c>
      <c r="AQ652" s="55">
        <v>48.17</v>
      </c>
      <c r="AR652" s="55">
        <v>18</v>
      </c>
      <c r="AS652" s="55">
        <v>300</v>
      </c>
      <c r="AT652" s="55" t="s">
        <v>83</v>
      </c>
      <c r="AU652" s="55" t="s">
        <v>109</v>
      </c>
      <c r="AV652" s="55" t="s">
        <v>133</v>
      </c>
      <c r="AW652" s="55" t="s">
        <v>109</v>
      </c>
      <c r="AX652" s="55" t="s">
        <v>86</v>
      </c>
      <c r="AY652" s="55">
        <v>0</v>
      </c>
      <c r="AZ652" s="55">
        <v>0</v>
      </c>
      <c r="BA652" s="55" t="s">
        <v>87</v>
      </c>
      <c r="BB652" s="55" t="s">
        <v>88</v>
      </c>
      <c r="BC652" s="55" t="s">
        <v>89</v>
      </c>
      <c r="BD652" s="55" t="s">
        <v>90</v>
      </c>
      <c r="BE652" s="55" t="s">
        <v>1458</v>
      </c>
      <c r="BF652" s="55">
        <v>101.57</v>
      </c>
      <c r="BG652" s="55">
        <v>0</v>
      </c>
      <c r="BH652" s="55">
        <v>65.849999999999994</v>
      </c>
      <c r="BI652" s="55">
        <v>5</v>
      </c>
      <c r="BJ652" s="55">
        <v>430</v>
      </c>
      <c r="BK652" s="55" t="s">
        <v>91</v>
      </c>
      <c r="BL652" s="55" t="s">
        <v>84</v>
      </c>
      <c r="BM652" s="55">
        <v>1</v>
      </c>
      <c r="BN652" s="55" t="s">
        <v>428</v>
      </c>
      <c r="BO652" s="60" t="s">
        <v>1463</v>
      </c>
      <c r="BP652" s="55" t="s">
        <v>1464</v>
      </c>
      <c r="BQ652" s="55" t="s">
        <v>117</v>
      </c>
      <c r="BR652" s="55" t="s">
        <v>134</v>
      </c>
      <c r="BS652" s="55">
        <v>29.22</v>
      </c>
      <c r="BT652" s="55">
        <v>0.01</v>
      </c>
      <c r="BU652" s="57">
        <v>42552</v>
      </c>
      <c r="BV652" s="57">
        <v>42643</v>
      </c>
      <c r="BW652" s="55" t="s">
        <v>94</v>
      </c>
      <c r="BX652" s="55" t="s">
        <v>95</v>
      </c>
      <c r="BY652" s="55" t="s">
        <v>96</v>
      </c>
      <c r="BZ652" s="55">
        <v>0</v>
      </c>
      <c r="CA652" s="55">
        <v>0</v>
      </c>
      <c r="CB652" s="55" t="s">
        <v>97</v>
      </c>
      <c r="CC652" s="55" t="s">
        <v>314</v>
      </c>
      <c r="CD652" s="55">
        <v>1</v>
      </c>
      <c r="CE652" s="55" t="s">
        <v>1462</v>
      </c>
      <c r="CF652" s="55">
        <v>1</v>
      </c>
      <c r="CG652" s="55" t="s">
        <v>82</v>
      </c>
      <c r="CH652" s="55">
        <v>1</v>
      </c>
      <c r="CI652" s="55" t="s">
        <v>1465</v>
      </c>
      <c r="CJ652" s="55" t="s">
        <v>98</v>
      </c>
      <c r="CK652" s="55">
        <v>179</v>
      </c>
      <c r="CL652" s="55">
        <v>0</v>
      </c>
      <c r="CM652" s="55">
        <v>0</v>
      </c>
      <c r="CN652" s="55" t="s">
        <v>124</v>
      </c>
      <c r="CO652" s="55" t="s">
        <v>97</v>
      </c>
      <c r="CP652" s="55" t="s">
        <v>100</v>
      </c>
      <c r="CQ652" s="55" t="s">
        <v>126</v>
      </c>
      <c r="CR652" s="57">
        <v>46233</v>
      </c>
      <c r="CT652" s="55" t="s">
        <v>780</v>
      </c>
    </row>
    <row r="653" spans="1:98" s="55" customFormat="1" x14ac:dyDescent="0.35">
      <c r="A653" s="54" t="s">
        <v>1459</v>
      </c>
      <c r="B653" s="54" t="s">
        <v>1481</v>
      </c>
      <c r="C653" s="55" t="s">
        <v>1460</v>
      </c>
      <c r="D653" s="55">
        <v>2022</v>
      </c>
      <c r="E653" s="60" t="s">
        <v>1461</v>
      </c>
      <c r="F653" s="54" t="s">
        <v>998</v>
      </c>
      <c r="G653" s="55" t="s">
        <v>78</v>
      </c>
      <c r="H653" s="55">
        <v>1</v>
      </c>
      <c r="I653" s="55" t="s">
        <v>290</v>
      </c>
      <c r="J653" s="55" t="s">
        <v>79</v>
      </c>
      <c r="K653" s="55">
        <v>81</v>
      </c>
      <c r="L653" s="55" t="s">
        <v>104</v>
      </c>
      <c r="M653" s="55" t="s">
        <v>380</v>
      </c>
      <c r="N653" s="55">
        <v>-3.5999999999999999E-3</v>
      </c>
      <c r="O653" s="55">
        <v>1.8E-3</v>
      </c>
      <c r="P653" s="88">
        <f t="shared" si="261"/>
        <v>-2</v>
      </c>
      <c r="Q653" s="55" t="s">
        <v>312</v>
      </c>
      <c r="R653" s="88">
        <f t="shared" si="262"/>
        <v>-7.1279999999999998E-3</v>
      </c>
      <c r="S653" s="88">
        <f t="shared" si="263"/>
        <v>-7.2000000000000015E-5</v>
      </c>
      <c r="T653" s="55">
        <v>1</v>
      </c>
      <c r="U653" s="55">
        <v>66374</v>
      </c>
      <c r="V653" s="55" t="s">
        <v>312</v>
      </c>
      <c r="W653" s="55" t="s">
        <v>312</v>
      </c>
      <c r="X653" s="55">
        <f t="shared" si="274"/>
        <v>66374</v>
      </c>
      <c r="Y653" s="88">
        <f t="shared" si="264"/>
        <v>-7.7627913681965728E-3</v>
      </c>
      <c r="Z653" s="88">
        <f t="shared" si="265"/>
        <v>3.8813956840982864E-3</v>
      </c>
      <c r="AA653" s="88">
        <f t="shared" si="266"/>
        <v>7.7627913681965728E-3</v>
      </c>
      <c r="AB653" s="55" t="s">
        <v>81</v>
      </c>
      <c r="AC653" s="88">
        <f t="shared" si="272"/>
        <v>-3.6525600000000005E-2</v>
      </c>
      <c r="AD653" s="88" cm="1">
        <f t="array" ref="AD653">_xlfn.IFS(
AND(L653="marginal_effect",M653="level"),N653*AN653/BF653,
AND(L653="marginal_effect",M653="sd (Y)"),N653*BI653*AN653/BF653,
AND(L653="marginal_effect",M653="sd (X)"),N653/AQ653*AN653/BF653,
AND(L653="semi_elasticity",M653="level"),N653*AN653,
AND(L653="semi_elasticity",M653="sd (Y)"),N653*AN653*BI653,
AND(L653="semi_elasticity",M653="sd (X)"),N653*AN653/AQ653,
AND(L653="level-log",M653="level"),N653/BF653,
AND(L653="level-log",M653="sd (X)"),N653/BF653/AQ653,
AND(L653="level-log",M653="sd (Y)"),N653/BF653*BI653,
AND(L653="elasticity",M653="level"),N653,
AND(L653="elasticity",M653="sd (X)"),N653/AQ653,
AND(L653="elasticity",M653="sd (Y)"),N653*BI653,
AND(L653="marginal_effect",M653="percent_of_mean"),N653*AN653/BF653/10)</f>
        <v>-3.6525600000000005E-2</v>
      </c>
      <c r="AE653" s="56">
        <f t="shared" si="250"/>
        <v>1</v>
      </c>
      <c r="AF653" s="88">
        <f t="shared" si="273"/>
        <v>1.8262800000000003E-2</v>
      </c>
      <c r="AG653" s="88" cm="1">
        <f t="array" ref="AG653">_xlfn.IFS(
AND(L653="marginal_effect",M653="level"),O653*AN653/BF653,
AND(L653="marginal_effect",M653="sd (Y)"),O653*BI653*AN653/BF653,
AND(L653="marginal_effect",M653="sd (X)"),O653/AQ653*AN653/BF653,
AND(L653="semi_elasticity",M653="level"),O653*AN653,
AND(L653="semi_elasticity",M653="sd (Y)"),O653*AN653*BI653,
AND(L653="semi_elasticity",M653="sd (X)"),O653*AN653/AQ653,
AND(L653="level-log",M653="level"),O653/BF653,
AND(L653="level-log",M653="sd (X)"),O653/BF653/AQ653,
AND(L653="level-log",M653="sd (Y)"),O653/BF653*BI653,
AND(L653="elasticity",M653="level"),O653,
AND(L653="elasticity",M653="sd (X)"),O653/AQ653,
AND(L653="elasticity",M653="sd (Y)"),O653*BI653,
AND(L653="marginal_effect",M653="percent_of_mean"),O653*AN653/BF653/10)</f>
        <v>1.8262800000000003E-2</v>
      </c>
      <c r="AH653" s="56">
        <f t="shared" si="252"/>
        <v>1</v>
      </c>
      <c r="AI653" s="88">
        <f t="shared" si="271"/>
        <v>-3.6525600000000005E-2</v>
      </c>
      <c r="AJ653" s="55">
        <v>0</v>
      </c>
      <c r="AK653" s="55">
        <f t="shared" si="269"/>
        <v>1</v>
      </c>
      <c r="AL653" s="55" t="s">
        <v>148</v>
      </c>
      <c r="AM653" s="55" t="s">
        <v>1466</v>
      </c>
      <c r="AN653" s="55">
        <v>10.146000000000001</v>
      </c>
      <c r="AO653" s="55">
        <v>0</v>
      </c>
      <c r="AP653" s="55">
        <f t="shared" si="270"/>
        <v>101.46000000000001</v>
      </c>
      <c r="AQ653" s="55">
        <v>48.17</v>
      </c>
      <c r="AR653" s="55">
        <v>18</v>
      </c>
      <c r="AS653" s="55">
        <v>300</v>
      </c>
      <c r="AT653" s="55" t="s">
        <v>83</v>
      </c>
      <c r="AU653" s="55" t="s">
        <v>109</v>
      </c>
      <c r="AV653" s="55" t="s">
        <v>133</v>
      </c>
      <c r="AW653" s="55" t="s">
        <v>109</v>
      </c>
      <c r="AX653" s="55" t="s">
        <v>86</v>
      </c>
      <c r="AY653" s="55">
        <v>0</v>
      </c>
      <c r="AZ653" s="55">
        <v>0</v>
      </c>
      <c r="BA653" s="55" t="s">
        <v>87</v>
      </c>
      <c r="BB653" s="55" t="s">
        <v>88</v>
      </c>
      <c r="BC653" s="55" t="s">
        <v>89</v>
      </c>
      <c r="BD653" s="55" t="s">
        <v>90</v>
      </c>
      <c r="BE653" s="55" t="s">
        <v>1458</v>
      </c>
      <c r="BF653" s="55">
        <v>101.57</v>
      </c>
      <c r="BG653" s="55">
        <v>0</v>
      </c>
      <c r="BH653" s="55">
        <v>65.849999999999994</v>
      </c>
      <c r="BI653" s="55">
        <v>5</v>
      </c>
      <c r="BJ653" s="55">
        <v>430</v>
      </c>
      <c r="BK653" s="55" t="s">
        <v>91</v>
      </c>
      <c r="BL653" s="55" t="s">
        <v>84</v>
      </c>
      <c r="BM653" s="55">
        <v>1</v>
      </c>
      <c r="BN653" s="55" t="s">
        <v>428</v>
      </c>
      <c r="BO653" s="60" t="s">
        <v>1463</v>
      </c>
      <c r="BP653" s="55" t="s">
        <v>1464</v>
      </c>
      <c r="BQ653" s="55" t="s">
        <v>117</v>
      </c>
      <c r="BR653" s="55" t="s">
        <v>134</v>
      </c>
      <c r="BS653" s="55">
        <v>29.22</v>
      </c>
      <c r="BT653" s="55">
        <v>0.01</v>
      </c>
      <c r="BU653" s="57">
        <v>42552</v>
      </c>
      <c r="BV653" s="57">
        <v>42643</v>
      </c>
      <c r="BW653" s="55" t="s">
        <v>94</v>
      </c>
      <c r="BX653" s="55" t="s">
        <v>95</v>
      </c>
      <c r="BY653" s="55" t="s">
        <v>96</v>
      </c>
      <c r="BZ653" s="55">
        <v>0</v>
      </c>
      <c r="CA653" s="55">
        <v>0</v>
      </c>
      <c r="CB653" s="55" t="s">
        <v>97</v>
      </c>
      <c r="CC653" s="55" t="s">
        <v>314</v>
      </c>
      <c r="CD653" s="55">
        <v>1</v>
      </c>
      <c r="CE653" s="55" t="s">
        <v>1462</v>
      </c>
      <c r="CF653" s="55">
        <v>1</v>
      </c>
      <c r="CG653" s="55" t="s">
        <v>106</v>
      </c>
      <c r="CH653" s="55">
        <v>1</v>
      </c>
      <c r="CI653" s="55" t="s">
        <v>1465</v>
      </c>
      <c r="CJ653" s="55" t="s">
        <v>98</v>
      </c>
      <c r="CK653" s="55">
        <v>179</v>
      </c>
      <c r="CL653" s="55">
        <v>0</v>
      </c>
      <c r="CM653" s="55">
        <v>0</v>
      </c>
      <c r="CN653" s="55" t="s">
        <v>124</v>
      </c>
      <c r="CO653" s="55" t="s">
        <v>97</v>
      </c>
      <c r="CP653" s="55" t="s">
        <v>100</v>
      </c>
      <c r="CQ653" s="55" t="s">
        <v>126</v>
      </c>
      <c r="CR653" s="57">
        <v>46233</v>
      </c>
      <c r="CT653" s="55" t="s">
        <v>673</v>
      </c>
    </row>
    <row r="654" spans="1:98" s="55" customFormat="1" x14ac:dyDescent="0.35">
      <c r="A654" s="54" t="s">
        <v>1459</v>
      </c>
      <c r="B654" s="54" t="s">
        <v>1482</v>
      </c>
      <c r="C654" s="55" t="s">
        <v>1460</v>
      </c>
      <c r="D654" s="55">
        <v>2022</v>
      </c>
      <c r="E654" s="60" t="s">
        <v>1461</v>
      </c>
      <c r="F654" s="54" t="s">
        <v>998</v>
      </c>
      <c r="G654" s="55" t="s">
        <v>78</v>
      </c>
      <c r="H654" s="55">
        <v>1</v>
      </c>
      <c r="I654" s="55" t="s">
        <v>290</v>
      </c>
      <c r="J654" s="55" t="s">
        <v>79</v>
      </c>
      <c r="K654" s="55">
        <v>81</v>
      </c>
      <c r="L654" s="55" t="s">
        <v>104</v>
      </c>
      <c r="M654" s="55" t="s">
        <v>380</v>
      </c>
      <c r="N654" s="55">
        <v>1E-4</v>
      </c>
      <c r="O654" s="55">
        <v>6.3E-3</v>
      </c>
      <c r="P654" s="88">
        <f t="shared" si="261"/>
        <v>1.5873015873015872E-2</v>
      </c>
      <c r="Q654" s="55" t="s">
        <v>312</v>
      </c>
      <c r="R654" s="88">
        <f t="shared" si="262"/>
        <v>-1.2248E-2</v>
      </c>
      <c r="S654" s="88">
        <f t="shared" si="263"/>
        <v>1.2447999999999999E-2</v>
      </c>
      <c r="T654" s="55">
        <v>1</v>
      </c>
      <c r="U654" s="55">
        <v>66374</v>
      </c>
      <c r="V654" s="55" t="s">
        <v>312</v>
      </c>
      <c r="W654" s="55" t="s">
        <v>312</v>
      </c>
      <c r="X654" s="55">
        <f t="shared" si="274"/>
        <v>66374</v>
      </c>
      <c r="Y654" s="88">
        <f t="shared" si="264"/>
        <v>6.1611311591643834E-5</v>
      </c>
      <c r="Z654" s="88">
        <f t="shared" si="265"/>
        <v>3.8815126302735622E-3</v>
      </c>
      <c r="AA654" s="88">
        <f t="shared" si="266"/>
        <v>-6.1611311591643834E-5</v>
      </c>
      <c r="AB654" s="55" t="s">
        <v>81</v>
      </c>
      <c r="AC654" s="88">
        <f t="shared" si="272"/>
        <v>2.7200000000000005E-4</v>
      </c>
      <c r="AD654" s="88" cm="1">
        <f t="array" ref="AD654">_xlfn.IFS(
AND(L654="marginal_effect",M654="level"),N654*AN654/BF654,
AND(L654="marginal_effect",M654="sd (Y)"),N654*BI654*AN654/BF654,
AND(L654="marginal_effect",M654="sd (X)"),N654/AQ654*AN654/BF654,
AND(L654="semi_elasticity",M654="level"),N654*AN654,
AND(L654="semi_elasticity",M654="sd (Y)"),N654*AN654*BI654,
AND(L654="semi_elasticity",M654="sd (X)"),N654*AN654/AQ654,
AND(L654="level-log",M654="level"),N654/BF654,
AND(L654="level-log",M654="sd (X)"),N654/BF654/AQ654,
AND(L654="level-log",M654="sd (Y)"),N654/BF654*BI654,
AND(L654="elasticity",M654="level"),N654,
AND(L654="elasticity",M654="sd (X)"),N654/AQ654,
AND(L654="elasticity",M654="sd (Y)"),N654*BI654,
AND(L654="marginal_effect",M654="percent_of_mean"),N654*AN654/BF654/10)</f>
        <v>2.7200000000000005E-4</v>
      </c>
      <c r="AE654" s="56">
        <f t="shared" si="250"/>
        <v>1</v>
      </c>
      <c r="AF654" s="88">
        <f t="shared" si="273"/>
        <v>1.7136000000000002E-2</v>
      </c>
      <c r="AG654" s="88" cm="1">
        <f t="array" ref="AG654">_xlfn.IFS(
AND(L654="marginal_effect",M654="level"),O654*AN654/BF654,
AND(L654="marginal_effect",M654="sd (Y)"),O654*BI654*AN654/BF654,
AND(L654="marginal_effect",M654="sd (X)"),O654/AQ654*AN654/BF654,
AND(L654="semi_elasticity",M654="level"),O654*AN654,
AND(L654="semi_elasticity",M654="sd (Y)"),O654*AN654*BI654,
AND(L654="semi_elasticity",M654="sd (X)"),O654*AN654/AQ654,
AND(L654="level-log",M654="level"),O654/BF654,
AND(L654="level-log",M654="sd (X)"),O654/BF654/AQ654,
AND(L654="level-log",M654="sd (Y)"),O654/BF654*BI654,
AND(L654="elasticity",M654="level"),O654,
AND(L654="elasticity",M654="sd (X)"),O654/AQ654,
AND(L654="elasticity",M654="sd (Y)"),O654*BI654,
AND(L654="marginal_effect",M654="percent_of_mean"),O654*AN654/BF654/10)</f>
        <v>1.7136000000000002E-2</v>
      </c>
      <c r="AH654" s="56">
        <f t="shared" si="252"/>
        <v>1</v>
      </c>
      <c r="AI654" s="88">
        <f t="shared" si="271"/>
        <v>2.7200000000000005E-4</v>
      </c>
      <c r="AJ654" s="55">
        <v>0</v>
      </c>
      <c r="AK654" s="55">
        <f t="shared" si="269"/>
        <v>1</v>
      </c>
      <c r="AL654" s="55" t="s">
        <v>82</v>
      </c>
      <c r="AM654" s="55" t="s">
        <v>1466</v>
      </c>
      <c r="AN654" s="55">
        <v>2.72</v>
      </c>
      <c r="AO654" s="55">
        <v>0</v>
      </c>
      <c r="AP654" s="55">
        <f t="shared" si="270"/>
        <v>27.200000000000003</v>
      </c>
      <c r="AQ654" s="55">
        <v>14.43</v>
      </c>
      <c r="AR654" s="55">
        <v>6</v>
      </c>
      <c r="AS654" s="55">
        <v>88</v>
      </c>
      <c r="AT654" s="55" t="s">
        <v>83</v>
      </c>
      <c r="AU654" s="55" t="s">
        <v>109</v>
      </c>
      <c r="AV654" s="55" t="s">
        <v>133</v>
      </c>
      <c r="AW654" s="55" t="s">
        <v>109</v>
      </c>
      <c r="AX654" s="55" t="s">
        <v>86</v>
      </c>
      <c r="AY654" s="55">
        <v>0</v>
      </c>
      <c r="AZ654" s="55">
        <v>0</v>
      </c>
      <c r="BA654" s="55" t="s">
        <v>87</v>
      </c>
      <c r="BB654" s="55" t="s">
        <v>88</v>
      </c>
      <c r="BC654" s="55" t="s">
        <v>89</v>
      </c>
      <c r="BD654" s="55" t="s">
        <v>90</v>
      </c>
      <c r="BE654" s="55" t="s">
        <v>1458</v>
      </c>
      <c r="BF654" s="55">
        <v>101.57</v>
      </c>
      <c r="BG654" s="55">
        <v>0</v>
      </c>
      <c r="BH654" s="55">
        <v>65.849999999999994</v>
      </c>
      <c r="BI654" s="55">
        <v>5</v>
      </c>
      <c r="BJ654" s="55">
        <v>430</v>
      </c>
      <c r="BK654" s="55" t="s">
        <v>91</v>
      </c>
      <c r="BL654" s="55" t="s">
        <v>84</v>
      </c>
      <c r="BM654" s="55">
        <v>1</v>
      </c>
      <c r="BN654" s="55" t="s">
        <v>428</v>
      </c>
      <c r="BO654" s="60" t="s">
        <v>1463</v>
      </c>
      <c r="BP654" s="55" t="s">
        <v>1464</v>
      </c>
      <c r="BQ654" s="55" t="s">
        <v>117</v>
      </c>
      <c r="BR654" s="55" t="s">
        <v>134</v>
      </c>
      <c r="BS654" s="55">
        <v>29.22</v>
      </c>
      <c r="BT654" s="55">
        <v>0.01</v>
      </c>
      <c r="BU654" s="57">
        <v>42552</v>
      </c>
      <c r="BV654" s="57">
        <v>42643</v>
      </c>
      <c r="BW654" s="55" t="s">
        <v>94</v>
      </c>
      <c r="BX654" s="55" t="s">
        <v>95</v>
      </c>
      <c r="BY654" s="55" t="s">
        <v>96</v>
      </c>
      <c r="BZ654" s="55">
        <v>0</v>
      </c>
      <c r="CA654" s="55">
        <v>0</v>
      </c>
      <c r="CB654" s="55" t="s">
        <v>97</v>
      </c>
      <c r="CC654" s="55" t="s">
        <v>314</v>
      </c>
      <c r="CD654" s="55">
        <v>1</v>
      </c>
      <c r="CE654" s="55" t="s">
        <v>1462</v>
      </c>
      <c r="CF654" s="55">
        <v>1</v>
      </c>
      <c r="CG654" s="55" t="s">
        <v>591</v>
      </c>
      <c r="CH654" s="55">
        <v>1</v>
      </c>
      <c r="CI654" s="55" t="s">
        <v>1465</v>
      </c>
      <c r="CJ654" s="55" t="s">
        <v>98</v>
      </c>
      <c r="CK654" s="55">
        <v>179</v>
      </c>
      <c r="CL654" s="55">
        <v>0</v>
      </c>
      <c r="CM654" s="55">
        <v>0</v>
      </c>
      <c r="CN654" s="55" t="s">
        <v>124</v>
      </c>
      <c r="CO654" s="55" t="s">
        <v>97</v>
      </c>
      <c r="CP654" s="55" t="s">
        <v>100</v>
      </c>
      <c r="CQ654" s="55" t="s">
        <v>126</v>
      </c>
      <c r="CR654" s="57">
        <v>46233</v>
      </c>
      <c r="CT654" s="55" t="s">
        <v>780</v>
      </c>
    </row>
    <row r="655" spans="1:98" s="55" customFormat="1" x14ac:dyDescent="0.35">
      <c r="A655" s="54" t="s">
        <v>1459</v>
      </c>
      <c r="B655" s="54" t="s">
        <v>1483</v>
      </c>
      <c r="C655" s="55" t="s">
        <v>1460</v>
      </c>
      <c r="D655" s="55">
        <v>2022</v>
      </c>
      <c r="E655" s="60" t="s">
        <v>1461</v>
      </c>
      <c r="F655" s="54" t="s">
        <v>998</v>
      </c>
      <c r="G655" s="55" t="s">
        <v>78</v>
      </c>
      <c r="H655" s="55">
        <v>1</v>
      </c>
      <c r="I655" s="55" t="s">
        <v>290</v>
      </c>
      <c r="J655" s="55" t="s">
        <v>79</v>
      </c>
      <c r="K655" s="55">
        <v>81</v>
      </c>
      <c r="L655" s="55" t="s">
        <v>104</v>
      </c>
      <c r="M655" s="55" t="s">
        <v>380</v>
      </c>
      <c r="N655" s="55">
        <v>5.9999999999999995E-4</v>
      </c>
      <c r="O655" s="55">
        <v>4.7000000000000002E-3</v>
      </c>
      <c r="P655" s="88">
        <f t="shared" si="261"/>
        <v>0.1276595744680851</v>
      </c>
      <c r="Q655" s="55" t="s">
        <v>312</v>
      </c>
      <c r="R655" s="88">
        <f t="shared" si="262"/>
        <v>-8.6119999999999999E-3</v>
      </c>
      <c r="S655" s="88">
        <f t="shared" si="263"/>
        <v>9.8119999999999995E-3</v>
      </c>
      <c r="T655" s="55">
        <v>1</v>
      </c>
      <c r="U655" s="55">
        <v>66374</v>
      </c>
      <c r="V655" s="55" t="s">
        <v>312</v>
      </c>
      <c r="W655" s="55" t="s">
        <v>312</v>
      </c>
      <c r="X655" s="55">
        <f t="shared" si="274"/>
        <v>66374</v>
      </c>
      <c r="Y655" s="88">
        <f t="shared" si="264"/>
        <v>4.9551219078154858E-4</v>
      </c>
      <c r="Z655" s="88">
        <f t="shared" si="265"/>
        <v>3.881512161122131E-3</v>
      </c>
      <c r="AA655" s="88">
        <f t="shared" si="266"/>
        <v>-4.9551219078154858E-4</v>
      </c>
      <c r="AB655" s="55" t="s">
        <v>81</v>
      </c>
      <c r="AC655" s="88">
        <f t="shared" si="272"/>
        <v>2.7036E-3</v>
      </c>
      <c r="AD655" s="88" cm="1">
        <f t="array" ref="AD655">_xlfn.IFS(
AND(L655="marginal_effect",M655="level"),N655*AN655/BF655,
AND(L655="marginal_effect",M655="sd (Y)"),N655*BI655*AN655/BF655,
AND(L655="marginal_effect",M655="sd (X)"),N655/AQ655*AN655/BF655,
AND(L655="semi_elasticity",M655="level"),N655*AN655,
AND(L655="semi_elasticity",M655="sd (Y)"),N655*AN655*BI655,
AND(L655="semi_elasticity",M655="sd (X)"),N655*AN655/AQ655,
AND(L655="level-log",M655="level"),N655/BF655,
AND(L655="level-log",M655="sd (X)"),N655/BF655/AQ655,
AND(L655="level-log",M655="sd (Y)"),N655/BF655*BI655,
AND(L655="elasticity",M655="level"),N655,
AND(L655="elasticity",M655="sd (X)"),N655/AQ655,
AND(L655="elasticity",M655="sd (Y)"),N655*BI655,
AND(L655="marginal_effect",M655="percent_of_mean"),N655*AN655/BF655/10)</f>
        <v>2.7036E-3</v>
      </c>
      <c r="AE655" s="56">
        <f t="shared" ref="AE655:AE718" si="275">IF(AC655=AD655,1,0)</f>
        <v>1</v>
      </c>
      <c r="AF655" s="88">
        <f t="shared" si="273"/>
        <v>2.1178200000000001E-2</v>
      </c>
      <c r="AG655" s="88" cm="1">
        <f t="array" ref="AG655">_xlfn.IFS(
AND(L655="marginal_effect",M655="level"),O655*AN655/BF655,
AND(L655="marginal_effect",M655="sd (Y)"),O655*BI655*AN655/BF655,
AND(L655="marginal_effect",M655="sd (X)"),O655/AQ655*AN655/BF655,
AND(L655="semi_elasticity",M655="level"),O655*AN655,
AND(L655="semi_elasticity",M655="sd (Y)"),O655*AN655*BI655,
AND(L655="semi_elasticity",M655="sd (X)"),O655*AN655/AQ655,
AND(L655="level-log",M655="level"),O655/BF655,
AND(L655="level-log",M655="sd (X)"),O655/BF655/AQ655,
AND(L655="level-log",M655="sd (Y)"),O655/BF655*BI655,
AND(L655="elasticity",M655="level"),O655,
AND(L655="elasticity",M655="sd (X)"),O655/AQ655,
AND(L655="elasticity",M655="sd (Y)"),O655*BI655,
AND(L655="marginal_effect",M655="percent_of_mean"),O655*AN655/BF655/10)</f>
        <v>2.1178200000000001E-2</v>
      </c>
      <c r="AH655" s="56">
        <f t="shared" ref="AH655:AH661" si="276">IF(AF655=AG655,1,0)</f>
        <v>1</v>
      </c>
      <c r="AI655" s="88">
        <f t="shared" si="271"/>
        <v>2.7036E-3</v>
      </c>
      <c r="AJ655" s="55">
        <v>0</v>
      </c>
      <c r="AK655" s="55">
        <f t="shared" si="269"/>
        <v>1</v>
      </c>
      <c r="AL655" s="55" t="s">
        <v>106</v>
      </c>
      <c r="AM655" s="55" t="s">
        <v>1466</v>
      </c>
      <c r="AN655" s="55">
        <v>4.5060000000000002</v>
      </c>
      <c r="AO655" s="55">
        <v>0</v>
      </c>
      <c r="AP655" s="55">
        <f t="shared" si="270"/>
        <v>45.06</v>
      </c>
      <c r="AQ655" s="55">
        <v>19.47</v>
      </c>
      <c r="AR655" s="55">
        <v>12</v>
      </c>
      <c r="AS655" s="55">
        <v>125</v>
      </c>
      <c r="AT655" s="55" t="s">
        <v>83</v>
      </c>
      <c r="AU655" s="55" t="s">
        <v>109</v>
      </c>
      <c r="AV655" s="55" t="s">
        <v>133</v>
      </c>
      <c r="AW655" s="55" t="s">
        <v>109</v>
      </c>
      <c r="AX655" s="55" t="s">
        <v>86</v>
      </c>
      <c r="AY655" s="55">
        <v>0</v>
      </c>
      <c r="AZ655" s="55">
        <v>0</v>
      </c>
      <c r="BA655" s="55" t="s">
        <v>87</v>
      </c>
      <c r="BB655" s="55" t="s">
        <v>88</v>
      </c>
      <c r="BC655" s="55" t="s">
        <v>89</v>
      </c>
      <c r="BD655" s="55" t="s">
        <v>90</v>
      </c>
      <c r="BE655" s="55" t="s">
        <v>1458</v>
      </c>
      <c r="BF655" s="55">
        <v>101.57</v>
      </c>
      <c r="BG655" s="55">
        <v>0</v>
      </c>
      <c r="BH655" s="55">
        <v>65.849999999999994</v>
      </c>
      <c r="BI655" s="55">
        <v>5</v>
      </c>
      <c r="BJ655" s="55">
        <v>430</v>
      </c>
      <c r="BK655" s="55" t="s">
        <v>91</v>
      </c>
      <c r="BL655" s="55" t="s">
        <v>84</v>
      </c>
      <c r="BM655" s="55">
        <v>1</v>
      </c>
      <c r="BN655" s="55" t="s">
        <v>428</v>
      </c>
      <c r="BO655" s="60" t="s">
        <v>1463</v>
      </c>
      <c r="BP655" s="55" t="s">
        <v>1464</v>
      </c>
      <c r="BQ655" s="55" t="s">
        <v>117</v>
      </c>
      <c r="BR655" s="55" t="s">
        <v>134</v>
      </c>
      <c r="BS655" s="55">
        <v>29.22</v>
      </c>
      <c r="BT655" s="55">
        <v>0.01</v>
      </c>
      <c r="BU655" s="57">
        <v>42552</v>
      </c>
      <c r="BV655" s="57">
        <v>42643</v>
      </c>
      <c r="BW655" s="55" t="s">
        <v>94</v>
      </c>
      <c r="BX655" s="55" t="s">
        <v>95</v>
      </c>
      <c r="BY655" s="55" t="s">
        <v>96</v>
      </c>
      <c r="BZ655" s="55">
        <v>0</v>
      </c>
      <c r="CA655" s="55">
        <v>0</v>
      </c>
      <c r="CB655" s="55" t="s">
        <v>97</v>
      </c>
      <c r="CC655" s="55" t="s">
        <v>314</v>
      </c>
      <c r="CD655" s="55">
        <v>1</v>
      </c>
      <c r="CE655" s="55" t="s">
        <v>1462</v>
      </c>
      <c r="CF655" s="55">
        <v>1</v>
      </c>
      <c r="CG655" s="55" t="s">
        <v>591</v>
      </c>
      <c r="CH655" s="55">
        <v>1</v>
      </c>
      <c r="CI655" s="55" t="s">
        <v>1465</v>
      </c>
      <c r="CJ655" s="55" t="s">
        <v>98</v>
      </c>
      <c r="CK655" s="55">
        <v>179</v>
      </c>
      <c r="CL655" s="55">
        <v>0</v>
      </c>
      <c r="CM655" s="55">
        <v>0</v>
      </c>
      <c r="CN655" s="55" t="s">
        <v>124</v>
      </c>
      <c r="CO655" s="55" t="s">
        <v>97</v>
      </c>
      <c r="CP655" s="55" t="s">
        <v>100</v>
      </c>
      <c r="CQ655" s="55" t="s">
        <v>126</v>
      </c>
      <c r="CR655" s="57">
        <v>46233</v>
      </c>
      <c r="CT655" s="55" t="s">
        <v>673</v>
      </c>
    </row>
    <row r="656" spans="1:98" s="55" customFormat="1" x14ac:dyDescent="0.35">
      <c r="A656" s="54" t="s">
        <v>1459</v>
      </c>
      <c r="B656" s="54" t="s">
        <v>1484</v>
      </c>
      <c r="C656" s="55" t="s">
        <v>1460</v>
      </c>
      <c r="D656" s="55">
        <v>2022</v>
      </c>
      <c r="E656" s="60" t="s">
        <v>1461</v>
      </c>
      <c r="F656" s="54" t="s">
        <v>998</v>
      </c>
      <c r="G656" s="55" t="s">
        <v>78</v>
      </c>
      <c r="H656" s="55">
        <v>1</v>
      </c>
      <c r="I656" s="55" t="s">
        <v>290</v>
      </c>
      <c r="J656" s="55" t="s">
        <v>79</v>
      </c>
      <c r="K656" s="55">
        <v>81</v>
      </c>
      <c r="L656" s="55" t="s">
        <v>104</v>
      </c>
      <c r="M656" s="55" t="s">
        <v>380</v>
      </c>
      <c r="N656" s="55">
        <v>-7.1000000000000004E-3</v>
      </c>
      <c r="O656" s="55">
        <v>5.0000000000000001E-3</v>
      </c>
      <c r="P656" s="88">
        <f t="shared" si="261"/>
        <v>-1.4200000000000002</v>
      </c>
      <c r="Q656" s="55" t="s">
        <v>312</v>
      </c>
      <c r="R656" s="88">
        <f t="shared" si="262"/>
        <v>-1.6899999999999998E-2</v>
      </c>
      <c r="S656" s="88">
        <f t="shared" si="263"/>
        <v>2.6999999999999993E-3</v>
      </c>
      <c r="T656" s="55">
        <v>1</v>
      </c>
      <c r="U656" s="55">
        <v>66374</v>
      </c>
      <c r="V656" s="55" t="s">
        <v>312</v>
      </c>
      <c r="W656" s="55" t="s">
        <v>312</v>
      </c>
      <c r="X656" s="55">
        <f t="shared" si="274"/>
        <v>66374</v>
      </c>
      <c r="Y656" s="88">
        <f t="shared" si="264"/>
        <v>-5.5116642256546871E-3</v>
      </c>
      <c r="Z656" s="88">
        <f t="shared" si="265"/>
        <v>3.8814536800385116E-3</v>
      </c>
      <c r="AA656" s="88">
        <f t="shared" si="266"/>
        <v>5.5116642256546871E-3</v>
      </c>
      <c r="AB656" s="55" t="s">
        <v>81</v>
      </c>
      <c r="AC656" s="88">
        <f t="shared" si="272"/>
        <v>-1.9312000000000003E-2</v>
      </c>
      <c r="AD656" s="88" cm="1">
        <f t="array" ref="AD656">_xlfn.IFS(
AND(L656="marginal_effect",M656="level"),N656*AN656/BF656,
AND(L656="marginal_effect",M656="sd (Y)"),N656*BI656*AN656/BF656,
AND(L656="marginal_effect",M656="sd (X)"),N656/AQ656*AN656/BF656,
AND(L656="semi_elasticity",M656="level"),N656*AN656,
AND(L656="semi_elasticity",M656="sd (Y)"),N656*AN656*BI656,
AND(L656="semi_elasticity",M656="sd (X)"),N656*AN656/AQ656,
AND(L656="level-log",M656="level"),N656/BF656,
AND(L656="level-log",M656="sd (X)"),N656/BF656/AQ656,
AND(L656="level-log",M656="sd (Y)"),N656/BF656*BI656,
AND(L656="elasticity",M656="level"),N656,
AND(L656="elasticity",M656="sd (X)"),N656/AQ656,
AND(L656="elasticity",M656="sd (Y)"),N656*BI656,
AND(L656="marginal_effect",M656="percent_of_mean"),N656*AN656/BF656/10)</f>
        <v>-1.9312000000000003E-2</v>
      </c>
      <c r="AE656" s="56">
        <f t="shared" si="275"/>
        <v>1</v>
      </c>
      <c r="AF656" s="88">
        <f t="shared" si="273"/>
        <v>1.3600000000000001E-2</v>
      </c>
      <c r="AG656" s="88" cm="1">
        <f t="array" ref="AG656">_xlfn.IFS(
AND(L656="marginal_effect",M656="level"),O656*AN656/BF656,
AND(L656="marginal_effect",M656="sd (Y)"),O656*BI656*AN656/BF656,
AND(L656="marginal_effect",M656="sd (X)"),O656/AQ656*AN656/BF656,
AND(L656="semi_elasticity",M656="level"),O656*AN656,
AND(L656="semi_elasticity",M656="sd (Y)"),O656*AN656*BI656,
AND(L656="semi_elasticity",M656="sd (X)"),O656*AN656/AQ656,
AND(L656="level-log",M656="level"),O656/BF656,
AND(L656="level-log",M656="sd (X)"),O656/BF656/AQ656,
AND(L656="level-log",M656="sd (Y)"),O656/BF656*BI656,
AND(L656="elasticity",M656="level"),O656,
AND(L656="elasticity",M656="sd (X)"),O656/AQ656,
AND(L656="elasticity",M656="sd (Y)"),O656*BI656,
AND(L656="marginal_effect",M656="percent_of_mean"),O656*AN656/BF656/10)</f>
        <v>1.3600000000000001E-2</v>
      </c>
      <c r="AH656" s="56">
        <f t="shared" si="276"/>
        <v>1</v>
      </c>
      <c r="AI656" s="88">
        <f t="shared" si="271"/>
        <v>-1.9312000000000003E-2</v>
      </c>
      <c r="AJ656" s="55">
        <v>0</v>
      </c>
      <c r="AK656" s="55">
        <f t="shared" si="269"/>
        <v>1</v>
      </c>
      <c r="AL656" s="55" t="s">
        <v>82</v>
      </c>
      <c r="AM656" s="55" t="s">
        <v>1466</v>
      </c>
      <c r="AN656" s="55">
        <v>2.72</v>
      </c>
      <c r="AO656" s="55">
        <v>0</v>
      </c>
      <c r="AP656" s="55">
        <f t="shared" si="270"/>
        <v>27.200000000000003</v>
      </c>
      <c r="AQ656" s="55">
        <v>14.43</v>
      </c>
      <c r="AR656" s="55">
        <v>6</v>
      </c>
      <c r="AS656" s="55">
        <v>88</v>
      </c>
      <c r="AT656" s="55" t="s">
        <v>83</v>
      </c>
      <c r="AU656" s="55" t="s">
        <v>109</v>
      </c>
      <c r="AV656" s="55" t="s">
        <v>133</v>
      </c>
      <c r="AW656" s="55" t="s">
        <v>109</v>
      </c>
      <c r="AX656" s="55" t="s">
        <v>86</v>
      </c>
      <c r="AY656" s="55">
        <v>0</v>
      </c>
      <c r="AZ656" s="55">
        <v>0</v>
      </c>
      <c r="BA656" s="55" t="s">
        <v>87</v>
      </c>
      <c r="BB656" s="55" t="s">
        <v>88</v>
      </c>
      <c r="BC656" s="55" t="s">
        <v>89</v>
      </c>
      <c r="BD656" s="55" t="s">
        <v>90</v>
      </c>
      <c r="BE656" s="55" t="s">
        <v>1458</v>
      </c>
      <c r="BF656" s="55">
        <v>101.57</v>
      </c>
      <c r="BG656" s="55">
        <v>0</v>
      </c>
      <c r="BH656" s="55">
        <v>65.849999999999994</v>
      </c>
      <c r="BI656" s="55">
        <v>5</v>
      </c>
      <c r="BJ656" s="55">
        <v>430</v>
      </c>
      <c r="BK656" s="55" t="s">
        <v>91</v>
      </c>
      <c r="BL656" s="55" t="s">
        <v>84</v>
      </c>
      <c r="BM656" s="55">
        <v>1</v>
      </c>
      <c r="BN656" s="55" t="s">
        <v>428</v>
      </c>
      <c r="BO656" s="60" t="s">
        <v>1463</v>
      </c>
      <c r="BP656" s="55" t="s">
        <v>1464</v>
      </c>
      <c r="BQ656" s="55" t="s">
        <v>117</v>
      </c>
      <c r="BR656" s="55" t="s">
        <v>134</v>
      </c>
      <c r="BS656" s="55">
        <v>29.22</v>
      </c>
      <c r="BT656" s="55">
        <v>0.01</v>
      </c>
      <c r="BU656" s="57">
        <v>42552</v>
      </c>
      <c r="BV656" s="57">
        <v>42643</v>
      </c>
      <c r="BW656" s="55" t="s">
        <v>94</v>
      </c>
      <c r="BX656" s="55" t="s">
        <v>95</v>
      </c>
      <c r="BY656" s="55" t="s">
        <v>96</v>
      </c>
      <c r="BZ656" s="55">
        <v>0</v>
      </c>
      <c r="CA656" s="55">
        <v>0</v>
      </c>
      <c r="CB656" s="55" t="s">
        <v>97</v>
      </c>
      <c r="CC656" s="55" t="s">
        <v>314</v>
      </c>
      <c r="CD656" s="55">
        <v>1</v>
      </c>
      <c r="CE656" s="55" t="s">
        <v>1462</v>
      </c>
      <c r="CF656" s="55">
        <v>0</v>
      </c>
      <c r="CG656" s="55" t="s">
        <v>97</v>
      </c>
      <c r="CH656" s="55">
        <v>1</v>
      </c>
      <c r="CI656" s="55" t="s">
        <v>1465</v>
      </c>
      <c r="CJ656" s="55" t="s">
        <v>98</v>
      </c>
      <c r="CK656" s="55">
        <v>179</v>
      </c>
      <c r="CL656" s="55">
        <v>0</v>
      </c>
      <c r="CM656" s="55">
        <v>0</v>
      </c>
      <c r="CN656" s="55" t="s">
        <v>124</v>
      </c>
      <c r="CO656" s="55" t="s">
        <v>97</v>
      </c>
      <c r="CP656" s="55" t="s">
        <v>100</v>
      </c>
      <c r="CQ656" s="55" t="s">
        <v>126</v>
      </c>
      <c r="CR656" s="57">
        <v>46233</v>
      </c>
      <c r="CT656" s="55" t="s">
        <v>672</v>
      </c>
    </row>
    <row r="657" spans="1:98" s="55" customFormat="1" x14ac:dyDescent="0.35">
      <c r="A657" s="54" t="s">
        <v>1459</v>
      </c>
      <c r="B657" s="54" t="s">
        <v>1485</v>
      </c>
      <c r="C657" s="55" t="s">
        <v>1460</v>
      </c>
      <c r="D657" s="55">
        <v>2022</v>
      </c>
      <c r="E657" s="60" t="s">
        <v>1461</v>
      </c>
      <c r="F657" s="54" t="s">
        <v>998</v>
      </c>
      <c r="G657" s="55" t="s">
        <v>78</v>
      </c>
      <c r="H657" s="55">
        <v>1</v>
      </c>
      <c r="I657" s="55" t="s">
        <v>290</v>
      </c>
      <c r="J657" s="55" t="s">
        <v>79</v>
      </c>
      <c r="K657" s="55">
        <v>81</v>
      </c>
      <c r="L657" s="55" t="s">
        <v>104</v>
      </c>
      <c r="M657" s="55" t="s">
        <v>380</v>
      </c>
      <c r="N657" s="55">
        <v>-3.5000000000000001E-3</v>
      </c>
      <c r="O657" s="55">
        <v>1.8E-3</v>
      </c>
      <c r="P657" s="88">
        <f t="shared" si="261"/>
        <v>-1.9444444444444446</v>
      </c>
      <c r="Q657" s="55" t="s">
        <v>312</v>
      </c>
      <c r="R657" s="88">
        <f t="shared" si="262"/>
        <v>-7.0279999999999995E-3</v>
      </c>
      <c r="S657" s="88">
        <f t="shared" si="263"/>
        <v>2.7999999999999813E-5</v>
      </c>
      <c r="T657" s="55">
        <v>1</v>
      </c>
      <c r="U657" s="55">
        <v>66374</v>
      </c>
      <c r="V657" s="55" t="s">
        <v>312</v>
      </c>
      <c r="W657" s="55" t="s">
        <v>312</v>
      </c>
      <c r="X657" s="55">
        <f t="shared" si="274"/>
        <v>66374</v>
      </c>
      <c r="Y657" s="88">
        <f t="shared" si="264"/>
        <v>-7.5471707325032236E-3</v>
      </c>
      <c r="Z657" s="88">
        <f t="shared" si="265"/>
        <v>3.8814020910016571E-3</v>
      </c>
      <c r="AA657" s="88">
        <f t="shared" si="266"/>
        <v>7.5471707325032236E-3</v>
      </c>
      <c r="AB657" s="55" t="s">
        <v>81</v>
      </c>
      <c r="AC657" s="88">
        <f t="shared" si="272"/>
        <v>-3.5511000000000001E-2</v>
      </c>
      <c r="AD657" s="88" cm="1">
        <f t="array" ref="AD657">_xlfn.IFS(
AND(L657="marginal_effect",M657="level"),N657*AN657/BF657,
AND(L657="marginal_effect",M657="sd (Y)"),N657*BI657*AN657/BF657,
AND(L657="marginal_effect",M657="sd (X)"),N657/AQ657*AN657/BF657,
AND(L657="semi_elasticity",M657="level"),N657*AN657,
AND(L657="semi_elasticity",M657="sd (Y)"),N657*AN657*BI657,
AND(L657="semi_elasticity",M657="sd (X)"),N657*AN657/AQ657,
AND(L657="level-log",M657="level"),N657/BF657,
AND(L657="level-log",M657="sd (X)"),N657/BF657/AQ657,
AND(L657="level-log",M657="sd (Y)"),N657/BF657*BI657,
AND(L657="elasticity",M657="level"),N657,
AND(L657="elasticity",M657="sd (X)"),N657/AQ657,
AND(L657="elasticity",M657="sd (Y)"),N657*BI657,
AND(L657="marginal_effect",M657="percent_of_mean"),N657*AN657/BF657/10)</f>
        <v>-3.5511000000000001E-2</v>
      </c>
      <c r="AE657" s="56">
        <f t="shared" si="275"/>
        <v>1</v>
      </c>
      <c r="AF657" s="88">
        <f t="shared" si="273"/>
        <v>1.8262800000000003E-2</v>
      </c>
      <c r="AG657" s="88" cm="1">
        <f t="array" ref="AG657">_xlfn.IFS(
AND(L657="marginal_effect",M657="level"),O657*AN657/BF657,
AND(L657="marginal_effect",M657="sd (Y)"),O657*BI657*AN657/BF657,
AND(L657="marginal_effect",M657="sd (X)"),O657/AQ657*AN657/BF657,
AND(L657="semi_elasticity",M657="level"),O657*AN657,
AND(L657="semi_elasticity",M657="sd (Y)"),O657*AN657*BI657,
AND(L657="semi_elasticity",M657="sd (X)"),O657*AN657/AQ657,
AND(L657="level-log",M657="level"),O657/BF657,
AND(L657="level-log",M657="sd (X)"),O657/BF657/AQ657,
AND(L657="level-log",M657="sd (Y)"),O657/BF657*BI657,
AND(L657="elasticity",M657="level"),O657,
AND(L657="elasticity",M657="sd (X)"),O657/AQ657,
AND(L657="elasticity",M657="sd (Y)"),O657*BI657,
AND(L657="marginal_effect",M657="percent_of_mean"),O657*AN657/BF657/10)</f>
        <v>1.8262800000000003E-2</v>
      </c>
      <c r="AH657" s="56">
        <f t="shared" si="276"/>
        <v>1</v>
      </c>
      <c r="AI657" s="88">
        <f t="shared" si="271"/>
        <v>-3.5511000000000001E-2</v>
      </c>
      <c r="AJ657" s="55">
        <v>0</v>
      </c>
      <c r="AK657" s="55">
        <f t="shared" si="269"/>
        <v>1</v>
      </c>
      <c r="AL657" s="55" t="s">
        <v>148</v>
      </c>
      <c r="AM657" s="55" t="s">
        <v>1466</v>
      </c>
      <c r="AN657" s="55">
        <v>10.146000000000001</v>
      </c>
      <c r="AO657" s="55">
        <v>0</v>
      </c>
      <c r="AP657" s="55">
        <f t="shared" si="270"/>
        <v>101.46000000000001</v>
      </c>
      <c r="AQ657" s="55">
        <v>48.17</v>
      </c>
      <c r="AR657" s="55">
        <v>18</v>
      </c>
      <c r="AS657" s="55">
        <v>300</v>
      </c>
      <c r="AT657" s="55" t="s">
        <v>83</v>
      </c>
      <c r="AU657" s="55" t="s">
        <v>109</v>
      </c>
      <c r="AV657" s="55" t="s">
        <v>133</v>
      </c>
      <c r="AW657" s="55" t="s">
        <v>109</v>
      </c>
      <c r="AX657" s="55" t="s">
        <v>86</v>
      </c>
      <c r="AY657" s="55">
        <v>0</v>
      </c>
      <c r="AZ657" s="55">
        <v>0</v>
      </c>
      <c r="BA657" s="55" t="s">
        <v>87</v>
      </c>
      <c r="BB657" s="55" t="s">
        <v>88</v>
      </c>
      <c r="BC657" s="55" t="s">
        <v>89</v>
      </c>
      <c r="BD657" s="55" t="s">
        <v>90</v>
      </c>
      <c r="BE657" s="55" t="s">
        <v>1458</v>
      </c>
      <c r="BF657" s="55">
        <v>101.57</v>
      </c>
      <c r="BG657" s="55">
        <v>0</v>
      </c>
      <c r="BH657" s="55">
        <v>65.849999999999994</v>
      </c>
      <c r="BI657" s="55">
        <v>5</v>
      </c>
      <c r="BJ657" s="55">
        <v>430</v>
      </c>
      <c r="BK657" s="55" t="s">
        <v>91</v>
      </c>
      <c r="BL657" s="55" t="s">
        <v>84</v>
      </c>
      <c r="BM657" s="55">
        <v>1</v>
      </c>
      <c r="BN657" s="55" t="s">
        <v>428</v>
      </c>
      <c r="BO657" s="60" t="s">
        <v>1463</v>
      </c>
      <c r="BP657" s="55" t="s">
        <v>1464</v>
      </c>
      <c r="BQ657" s="55" t="s">
        <v>117</v>
      </c>
      <c r="BR657" s="55" t="s">
        <v>134</v>
      </c>
      <c r="BS657" s="55">
        <v>29.22</v>
      </c>
      <c r="BT657" s="55">
        <v>0.01</v>
      </c>
      <c r="BU657" s="57">
        <v>42552</v>
      </c>
      <c r="BV657" s="57">
        <v>42643</v>
      </c>
      <c r="BW657" s="55" t="s">
        <v>94</v>
      </c>
      <c r="BX657" s="55" t="s">
        <v>95</v>
      </c>
      <c r="BY657" s="55" t="s">
        <v>748</v>
      </c>
      <c r="BZ657" s="55">
        <v>1</v>
      </c>
      <c r="CA657" s="55">
        <v>1</v>
      </c>
      <c r="CB657" s="55" t="s">
        <v>303</v>
      </c>
      <c r="CC657" s="55" t="s">
        <v>314</v>
      </c>
      <c r="CD657" s="55">
        <v>1</v>
      </c>
      <c r="CE657" s="55" t="s">
        <v>1462</v>
      </c>
      <c r="CF657" s="55">
        <v>1</v>
      </c>
      <c r="CG657" s="55" t="s">
        <v>82</v>
      </c>
      <c r="CH657" s="55">
        <v>1</v>
      </c>
      <c r="CI657" s="55" t="s">
        <v>1465</v>
      </c>
      <c r="CJ657" s="55" t="s">
        <v>98</v>
      </c>
      <c r="CK657" s="55">
        <v>179</v>
      </c>
      <c r="CL657" s="55">
        <v>0</v>
      </c>
      <c r="CM657" s="55">
        <v>0</v>
      </c>
      <c r="CN657" s="55" t="s">
        <v>124</v>
      </c>
      <c r="CO657" s="55" t="s">
        <v>97</v>
      </c>
      <c r="CP657" s="55" t="s">
        <v>100</v>
      </c>
      <c r="CQ657" s="55" t="s">
        <v>126</v>
      </c>
      <c r="CR657" s="57">
        <v>46233</v>
      </c>
      <c r="CT657" s="55" t="s">
        <v>780</v>
      </c>
    </row>
    <row r="658" spans="1:98" s="55" customFormat="1" x14ac:dyDescent="0.35">
      <c r="A658" s="54" t="s">
        <v>1459</v>
      </c>
      <c r="B658" s="54" t="s">
        <v>1486</v>
      </c>
      <c r="C658" s="55" t="s">
        <v>1460</v>
      </c>
      <c r="D658" s="55">
        <v>2022</v>
      </c>
      <c r="E658" s="60" t="s">
        <v>1461</v>
      </c>
      <c r="F658" s="54" t="s">
        <v>998</v>
      </c>
      <c r="G658" s="55" t="s">
        <v>78</v>
      </c>
      <c r="H658" s="55">
        <v>1</v>
      </c>
      <c r="I658" s="55" t="s">
        <v>290</v>
      </c>
      <c r="J658" s="55" t="s">
        <v>79</v>
      </c>
      <c r="K658" s="55">
        <v>81</v>
      </c>
      <c r="L658" s="55" t="s">
        <v>104</v>
      </c>
      <c r="M658" s="55" t="s">
        <v>380</v>
      </c>
      <c r="N658" s="55">
        <v>-3.5999999999999999E-3</v>
      </c>
      <c r="O658" s="55">
        <v>1.8E-3</v>
      </c>
      <c r="P658" s="88">
        <f t="shared" si="261"/>
        <v>-2</v>
      </c>
      <c r="Q658" s="55" t="s">
        <v>312</v>
      </c>
      <c r="R658" s="88">
        <f t="shared" si="262"/>
        <v>-7.1279999999999998E-3</v>
      </c>
      <c r="S658" s="88">
        <f t="shared" si="263"/>
        <v>-7.2000000000000015E-5</v>
      </c>
      <c r="T658" s="55">
        <v>1</v>
      </c>
      <c r="U658" s="55">
        <v>66374</v>
      </c>
      <c r="V658" s="55" t="s">
        <v>312</v>
      </c>
      <c r="W658" s="55" t="s">
        <v>312</v>
      </c>
      <c r="X658" s="55">
        <f t="shared" si="274"/>
        <v>66374</v>
      </c>
      <c r="Y658" s="88">
        <f t="shared" si="264"/>
        <v>-7.7627913681965728E-3</v>
      </c>
      <c r="Z658" s="88">
        <f t="shared" si="265"/>
        <v>3.8813956840982864E-3</v>
      </c>
      <c r="AA658" s="88">
        <f t="shared" si="266"/>
        <v>7.7627913681965728E-3</v>
      </c>
      <c r="AB658" s="55" t="s">
        <v>81</v>
      </c>
      <c r="AC658" s="88">
        <f t="shared" si="272"/>
        <v>-3.6525600000000005E-2</v>
      </c>
      <c r="AD658" s="88" cm="1">
        <f t="array" ref="AD658">_xlfn.IFS(
AND(L658="marginal_effect",M658="level"),N658*AN658/BF658,
AND(L658="marginal_effect",M658="sd (Y)"),N658*BI658*AN658/BF658,
AND(L658="marginal_effect",M658="sd (X)"),N658/AQ658*AN658/BF658,
AND(L658="semi_elasticity",M658="level"),N658*AN658,
AND(L658="semi_elasticity",M658="sd (Y)"),N658*AN658*BI658,
AND(L658="semi_elasticity",M658="sd (X)"),N658*AN658/AQ658,
AND(L658="level-log",M658="level"),N658/BF658,
AND(L658="level-log",M658="sd (X)"),N658/BF658/AQ658,
AND(L658="level-log",M658="sd (Y)"),N658/BF658*BI658,
AND(L658="elasticity",M658="level"),N658,
AND(L658="elasticity",M658="sd (X)"),N658/AQ658,
AND(L658="elasticity",M658="sd (Y)"),N658*BI658,
AND(L658="marginal_effect",M658="percent_of_mean"),N658*AN658/BF658/10)</f>
        <v>-3.6525600000000005E-2</v>
      </c>
      <c r="AE658" s="56">
        <f t="shared" si="275"/>
        <v>1</v>
      </c>
      <c r="AF658" s="88">
        <f t="shared" si="273"/>
        <v>1.8262800000000003E-2</v>
      </c>
      <c r="AG658" s="88" cm="1">
        <f t="array" ref="AG658">_xlfn.IFS(
AND(L658="marginal_effect",M658="level"),O658*AN658/BF658,
AND(L658="marginal_effect",M658="sd (Y)"),O658*BI658*AN658/BF658,
AND(L658="marginal_effect",M658="sd (X)"),O658/AQ658*AN658/BF658,
AND(L658="semi_elasticity",M658="level"),O658*AN658,
AND(L658="semi_elasticity",M658="sd (Y)"),O658*AN658*BI658,
AND(L658="semi_elasticity",M658="sd (X)"),O658*AN658/AQ658,
AND(L658="level-log",M658="level"),O658/BF658,
AND(L658="level-log",M658="sd (X)"),O658/BF658/AQ658,
AND(L658="level-log",M658="sd (Y)"),O658/BF658*BI658,
AND(L658="elasticity",M658="level"),O658,
AND(L658="elasticity",M658="sd (X)"),O658/AQ658,
AND(L658="elasticity",M658="sd (Y)"),O658*BI658,
AND(L658="marginal_effect",M658="percent_of_mean"),O658*AN658/BF658/10)</f>
        <v>1.8262800000000003E-2</v>
      </c>
      <c r="AH658" s="56">
        <f t="shared" si="276"/>
        <v>1</v>
      </c>
      <c r="AI658" s="88">
        <f t="shared" si="271"/>
        <v>-3.6525600000000005E-2</v>
      </c>
      <c r="AJ658" s="55">
        <v>0</v>
      </c>
      <c r="AK658" s="55">
        <f t="shared" si="269"/>
        <v>1</v>
      </c>
      <c r="AL658" s="55" t="s">
        <v>148</v>
      </c>
      <c r="AM658" s="55" t="s">
        <v>1466</v>
      </c>
      <c r="AN658" s="55">
        <v>10.146000000000001</v>
      </c>
      <c r="AO658" s="55">
        <v>0</v>
      </c>
      <c r="AP658" s="55">
        <f t="shared" si="270"/>
        <v>101.46000000000001</v>
      </c>
      <c r="AQ658" s="55">
        <v>48.17</v>
      </c>
      <c r="AR658" s="55">
        <v>18</v>
      </c>
      <c r="AS658" s="55">
        <v>300</v>
      </c>
      <c r="AT658" s="55" t="s">
        <v>83</v>
      </c>
      <c r="AU658" s="55" t="s">
        <v>109</v>
      </c>
      <c r="AV658" s="55" t="s">
        <v>133</v>
      </c>
      <c r="AW658" s="55" t="s">
        <v>109</v>
      </c>
      <c r="AX658" s="55" t="s">
        <v>86</v>
      </c>
      <c r="AY658" s="55">
        <v>0</v>
      </c>
      <c r="AZ658" s="55">
        <v>0</v>
      </c>
      <c r="BA658" s="55" t="s">
        <v>87</v>
      </c>
      <c r="BB658" s="55" t="s">
        <v>88</v>
      </c>
      <c r="BC658" s="55" t="s">
        <v>89</v>
      </c>
      <c r="BD658" s="55" t="s">
        <v>90</v>
      </c>
      <c r="BE658" s="55" t="s">
        <v>1458</v>
      </c>
      <c r="BF658" s="55">
        <v>101.57</v>
      </c>
      <c r="BG658" s="55">
        <v>0</v>
      </c>
      <c r="BH658" s="55">
        <v>65.849999999999994</v>
      </c>
      <c r="BI658" s="55">
        <v>5</v>
      </c>
      <c r="BJ658" s="55">
        <v>430</v>
      </c>
      <c r="BK658" s="55" t="s">
        <v>91</v>
      </c>
      <c r="BL658" s="55" t="s">
        <v>84</v>
      </c>
      <c r="BM658" s="55">
        <v>1</v>
      </c>
      <c r="BN658" s="55" t="s">
        <v>428</v>
      </c>
      <c r="BO658" s="60" t="s">
        <v>1463</v>
      </c>
      <c r="BP658" s="55" t="s">
        <v>1464</v>
      </c>
      <c r="BQ658" s="55" t="s">
        <v>117</v>
      </c>
      <c r="BR658" s="55" t="s">
        <v>134</v>
      </c>
      <c r="BS658" s="55">
        <v>29.22</v>
      </c>
      <c r="BT658" s="55">
        <v>0.01</v>
      </c>
      <c r="BU658" s="57">
        <v>42552</v>
      </c>
      <c r="BV658" s="57">
        <v>42643</v>
      </c>
      <c r="BW658" s="55" t="s">
        <v>94</v>
      </c>
      <c r="BX658" s="55" t="s">
        <v>95</v>
      </c>
      <c r="BY658" s="55" t="s">
        <v>748</v>
      </c>
      <c r="BZ658" s="55">
        <v>1</v>
      </c>
      <c r="CA658" s="55">
        <v>1</v>
      </c>
      <c r="CB658" s="55" t="s">
        <v>303</v>
      </c>
      <c r="CC658" s="55" t="s">
        <v>314</v>
      </c>
      <c r="CD658" s="55">
        <v>1</v>
      </c>
      <c r="CE658" s="55" t="s">
        <v>1462</v>
      </c>
      <c r="CF658" s="55">
        <v>1</v>
      </c>
      <c r="CG658" s="55" t="s">
        <v>106</v>
      </c>
      <c r="CH658" s="55">
        <v>1</v>
      </c>
      <c r="CI658" s="55" t="s">
        <v>1465</v>
      </c>
      <c r="CJ658" s="55" t="s">
        <v>98</v>
      </c>
      <c r="CK658" s="55">
        <v>179</v>
      </c>
      <c r="CL658" s="55">
        <v>0</v>
      </c>
      <c r="CM658" s="55">
        <v>0</v>
      </c>
      <c r="CN658" s="55" t="s">
        <v>124</v>
      </c>
      <c r="CO658" s="55" t="s">
        <v>97</v>
      </c>
      <c r="CP658" s="55" t="s">
        <v>100</v>
      </c>
      <c r="CQ658" s="55" t="s">
        <v>126</v>
      </c>
      <c r="CR658" s="57">
        <v>46233</v>
      </c>
      <c r="CT658" s="55" t="s">
        <v>673</v>
      </c>
    </row>
    <row r="659" spans="1:98" s="55" customFormat="1" x14ac:dyDescent="0.35">
      <c r="A659" s="54" t="s">
        <v>1459</v>
      </c>
      <c r="B659" s="54" t="s">
        <v>1487</v>
      </c>
      <c r="C659" s="55" t="s">
        <v>1460</v>
      </c>
      <c r="D659" s="55">
        <v>2022</v>
      </c>
      <c r="E659" s="60" t="s">
        <v>1461</v>
      </c>
      <c r="F659" s="54" t="s">
        <v>998</v>
      </c>
      <c r="G659" s="55" t="s">
        <v>78</v>
      </c>
      <c r="H659" s="55">
        <v>1</v>
      </c>
      <c r="I659" s="55" t="s">
        <v>290</v>
      </c>
      <c r="J659" s="55" t="s">
        <v>79</v>
      </c>
      <c r="K659" s="55">
        <v>81</v>
      </c>
      <c r="L659" s="55" t="s">
        <v>104</v>
      </c>
      <c r="M659" s="55" t="s">
        <v>380</v>
      </c>
      <c r="N659" s="55">
        <v>1E-4</v>
      </c>
      <c r="O659" s="55">
        <v>6.3E-3</v>
      </c>
      <c r="P659" s="88">
        <f t="shared" si="261"/>
        <v>1.5873015873015872E-2</v>
      </c>
      <c r="Q659" s="55" t="s">
        <v>312</v>
      </c>
      <c r="R659" s="88">
        <f t="shared" si="262"/>
        <v>-1.2248E-2</v>
      </c>
      <c r="S659" s="88">
        <f t="shared" si="263"/>
        <v>1.2447999999999999E-2</v>
      </c>
      <c r="T659" s="55">
        <v>1</v>
      </c>
      <c r="U659" s="55">
        <v>66374</v>
      </c>
      <c r="V659" s="55" t="s">
        <v>312</v>
      </c>
      <c r="W659" s="55" t="s">
        <v>312</v>
      </c>
      <c r="X659" s="55">
        <f t="shared" si="274"/>
        <v>66374</v>
      </c>
      <c r="Y659" s="88">
        <f t="shared" si="264"/>
        <v>6.1611311591643834E-5</v>
      </c>
      <c r="Z659" s="88">
        <f t="shared" si="265"/>
        <v>3.8815126302735622E-3</v>
      </c>
      <c r="AA659" s="88">
        <f t="shared" si="266"/>
        <v>-6.1611311591643834E-5</v>
      </c>
      <c r="AB659" s="55" t="s">
        <v>81</v>
      </c>
      <c r="AC659" s="88">
        <f t="shared" si="272"/>
        <v>2.7200000000000005E-4</v>
      </c>
      <c r="AD659" s="88" cm="1">
        <f t="array" ref="AD659">_xlfn.IFS(
AND(L659="marginal_effect",M659="level"),N659*AN659/BF659,
AND(L659="marginal_effect",M659="sd (Y)"),N659*BI659*AN659/BF659,
AND(L659="marginal_effect",M659="sd (X)"),N659/AQ659*AN659/BF659,
AND(L659="semi_elasticity",M659="level"),N659*AN659,
AND(L659="semi_elasticity",M659="sd (Y)"),N659*AN659*BI659,
AND(L659="semi_elasticity",M659="sd (X)"),N659*AN659/AQ659,
AND(L659="level-log",M659="level"),N659/BF659,
AND(L659="level-log",M659="sd (X)"),N659/BF659/AQ659,
AND(L659="level-log",M659="sd (Y)"),N659/BF659*BI659,
AND(L659="elasticity",M659="level"),N659,
AND(L659="elasticity",M659="sd (X)"),N659/AQ659,
AND(L659="elasticity",M659="sd (Y)"),N659*BI659,
AND(L659="marginal_effect",M659="percent_of_mean"),N659*AN659/BF659/10)</f>
        <v>2.7200000000000005E-4</v>
      </c>
      <c r="AE659" s="56">
        <f t="shared" si="275"/>
        <v>1</v>
      </c>
      <c r="AF659" s="88">
        <f t="shared" si="273"/>
        <v>1.7136000000000002E-2</v>
      </c>
      <c r="AG659" s="88" cm="1">
        <f t="array" ref="AG659">_xlfn.IFS(
AND(L659="marginal_effect",M659="level"),O659*AN659/BF659,
AND(L659="marginal_effect",M659="sd (Y)"),O659*BI659*AN659/BF659,
AND(L659="marginal_effect",M659="sd (X)"),O659/AQ659*AN659/BF659,
AND(L659="semi_elasticity",M659="level"),O659*AN659,
AND(L659="semi_elasticity",M659="sd (Y)"),O659*AN659*BI659,
AND(L659="semi_elasticity",M659="sd (X)"),O659*AN659/AQ659,
AND(L659="level-log",M659="level"),O659/BF659,
AND(L659="level-log",M659="sd (X)"),O659/BF659/AQ659,
AND(L659="level-log",M659="sd (Y)"),O659/BF659*BI659,
AND(L659="elasticity",M659="level"),O659,
AND(L659="elasticity",M659="sd (X)"),O659/AQ659,
AND(L659="elasticity",M659="sd (Y)"),O659*BI659,
AND(L659="marginal_effect",M659="percent_of_mean"),O659*AN659/BF659/10)</f>
        <v>1.7136000000000002E-2</v>
      </c>
      <c r="AH659" s="56">
        <f t="shared" si="276"/>
        <v>1</v>
      </c>
      <c r="AI659" s="88">
        <f t="shared" si="271"/>
        <v>2.7200000000000005E-4</v>
      </c>
      <c r="AJ659" s="55">
        <v>0</v>
      </c>
      <c r="AK659" s="55">
        <f t="shared" si="269"/>
        <v>1</v>
      </c>
      <c r="AL659" s="55" t="s">
        <v>82</v>
      </c>
      <c r="AM659" s="55" t="s">
        <v>1466</v>
      </c>
      <c r="AN659" s="55">
        <v>2.72</v>
      </c>
      <c r="AO659" s="55">
        <v>0</v>
      </c>
      <c r="AP659" s="55">
        <f t="shared" si="270"/>
        <v>27.200000000000003</v>
      </c>
      <c r="AQ659" s="55">
        <v>14.43</v>
      </c>
      <c r="AR659" s="55">
        <v>6</v>
      </c>
      <c r="AS659" s="55">
        <v>88</v>
      </c>
      <c r="AT659" s="55" t="s">
        <v>83</v>
      </c>
      <c r="AU659" s="55" t="s">
        <v>109</v>
      </c>
      <c r="AV659" s="55" t="s">
        <v>133</v>
      </c>
      <c r="AW659" s="55" t="s">
        <v>109</v>
      </c>
      <c r="AX659" s="55" t="s">
        <v>86</v>
      </c>
      <c r="AY659" s="55">
        <v>0</v>
      </c>
      <c r="AZ659" s="55">
        <v>0</v>
      </c>
      <c r="BA659" s="55" t="s">
        <v>87</v>
      </c>
      <c r="BB659" s="55" t="s">
        <v>88</v>
      </c>
      <c r="BC659" s="55" t="s">
        <v>89</v>
      </c>
      <c r="BD659" s="55" t="s">
        <v>90</v>
      </c>
      <c r="BE659" s="55" t="s">
        <v>1458</v>
      </c>
      <c r="BF659" s="55">
        <v>101.57</v>
      </c>
      <c r="BG659" s="55">
        <v>0</v>
      </c>
      <c r="BH659" s="55">
        <v>65.849999999999994</v>
      </c>
      <c r="BI659" s="55">
        <v>5</v>
      </c>
      <c r="BJ659" s="55">
        <v>430</v>
      </c>
      <c r="BK659" s="55" t="s">
        <v>91</v>
      </c>
      <c r="BL659" s="55" t="s">
        <v>84</v>
      </c>
      <c r="BM659" s="55">
        <v>1</v>
      </c>
      <c r="BN659" s="55" t="s">
        <v>428</v>
      </c>
      <c r="BO659" s="60" t="s">
        <v>1463</v>
      </c>
      <c r="BP659" s="55" t="s">
        <v>1464</v>
      </c>
      <c r="BQ659" s="55" t="s">
        <v>117</v>
      </c>
      <c r="BR659" s="55" t="s">
        <v>134</v>
      </c>
      <c r="BS659" s="55">
        <v>29.22</v>
      </c>
      <c r="BT659" s="55">
        <v>0.01</v>
      </c>
      <c r="BU659" s="57">
        <v>42552</v>
      </c>
      <c r="BV659" s="57">
        <v>42643</v>
      </c>
      <c r="BW659" s="55" t="s">
        <v>94</v>
      </c>
      <c r="BX659" s="55" t="s">
        <v>95</v>
      </c>
      <c r="BY659" s="55" t="s">
        <v>748</v>
      </c>
      <c r="BZ659" s="55">
        <v>1</v>
      </c>
      <c r="CA659" s="55">
        <v>1</v>
      </c>
      <c r="CB659" s="55" t="s">
        <v>303</v>
      </c>
      <c r="CC659" s="55" t="s">
        <v>314</v>
      </c>
      <c r="CD659" s="55">
        <v>1</v>
      </c>
      <c r="CE659" s="55" t="s">
        <v>1462</v>
      </c>
      <c r="CF659" s="55">
        <v>1</v>
      </c>
      <c r="CG659" s="55" t="s">
        <v>591</v>
      </c>
      <c r="CH659" s="55">
        <v>1</v>
      </c>
      <c r="CI659" s="55" t="s">
        <v>1465</v>
      </c>
      <c r="CJ659" s="55" t="s">
        <v>98</v>
      </c>
      <c r="CK659" s="55">
        <v>179</v>
      </c>
      <c r="CL659" s="55">
        <v>0</v>
      </c>
      <c r="CM659" s="55">
        <v>0</v>
      </c>
      <c r="CN659" s="55" t="s">
        <v>124</v>
      </c>
      <c r="CO659" s="55" t="s">
        <v>97</v>
      </c>
      <c r="CP659" s="55" t="s">
        <v>100</v>
      </c>
      <c r="CQ659" s="55" t="s">
        <v>126</v>
      </c>
      <c r="CR659" s="57">
        <v>46233</v>
      </c>
      <c r="CT659" s="55" t="s">
        <v>780</v>
      </c>
    </row>
    <row r="660" spans="1:98" s="55" customFormat="1" x14ac:dyDescent="0.35">
      <c r="A660" s="54" t="s">
        <v>1459</v>
      </c>
      <c r="B660" s="54" t="s">
        <v>1488</v>
      </c>
      <c r="C660" s="55" t="s">
        <v>1460</v>
      </c>
      <c r="D660" s="55">
        <v>2022</v>
      </c>
      <c r="E660" s="60" t="s">
        <v>1461</v>
      </c>
      <c r="F660" s="54" t="s">
        <v>998</v>
      </c>
      <c r="G660" s="55" t="s">
        <v>78</v>
      </c>
      <c r="H660" s="55">
        <v>1</v>
      </c>
      <c r="I660" s="55" t="s">
        <v>290</v>
      </c>
      <c r="J660" s="55" t="s">
        <v>79</v>
      </c>
      <c r="K660" s="55">
        <v>81</v>
      </c>
      <c r="L660" s="55" t="s">
        <v>104</v>
      </c>
      <c r="M660" s="55" t="s">
        <v>380</v>
      </c>
      <c r="N660" s="55">
        <v>5.9999999999999995E-4</v>
      </c>
      <c r="O660" s="55">
        <v>4.7000000000000002E-3</v>
      </c>
      <c r="P660" s="88">
        <f t="shared" si="261"/>
        <v>0.1276595744680851</v>
      </c>
      <c r="Q660" s="55" t="s">
        <v>312</v>
      </c>
      <c r="R660" s="88">
        <f t="shared" si="262"/>
        <v>-8.6119999999999999E-3</v>
      </c>
      <c r="S660" s="88">
        <f t="shared" si="263"/>
        <v>9.8119999999999995E-3</v>
      </c>
      <c r="T660" s="55">
        <v>1</v>
      </c>
      <c r="U660" s="55">
        <v>66374</v>
      </c>
      <c r="V660" s="55" t="s">
        <v>312</v>
      </c>
      <c r="W660" s="55" t="s">
        <v>312</v>
      </c>
      <c r="X660" s="55">
        <f t="shared" si="274"/>
        <v>66374</v>
      </c>
      <c r="Y660" s="88">
        <f t="shared" si="264"/>
        <v>4.9551219078154858E-4</v>
      </c>
      <c r="Z660" s="88">
        <f t="shared" si="265"/>
        <v>3.881512161122131E-3</v>
      </c>
      <c r="AA660" s="88">
        <f t="shared" si="266"/>
        <v>-4.9551219078154858E-4</v>
      </c>
      <c r="AB660" s="55" t="s">
        <v>81</v>
      </c>
      <c r="AC660" s="88">
        <f t="shared" si="272"/>
        <v>2.7036E-3</v>
      </c>
      <c r="AD660" s="88" cm="1">
        <f t="array" ref="AD660">_xlfn.IFS(
AND(L660="marginal_effect",M660="level"),N660*AN660/BF660,
AND(L660="marginal_effect",M660="sd (Y)"),N660*BI660*AN660/BF660,
AND(L660="marginal_effect",M660="sd (X)"),N660/AQ660*AN660/BF660,
AND(L660="semi_elasticity",M660="level"),N660*AN660,
AND(L660="semi_elasticity",M660="sd (Y)"),N660*AN660*BI660,
AND(L660="semi_elasticity",M660="sd (X)"),N660*AN660/AQ660,
AND(L660="level-log",M660="level"),N660/BF660,
AND(L660="level-log",M660="sd (X)"),N660/BF660/AQ660,
AND(L660="level-log",M660="sd (Y)"),N660/BF660*BI660,
AND(L660="elasticity",M660="level"),N660,
AND(L660="elasticity",M660="sd (X)"),N660/AQ660,
AND(L660="elasticity",M660="sd (Y)"),N660*BI660,
AND(L660="marginal_effect",M660="percent_of_mean"),N660*AN660/BF660/10)</f>
        <v>2.7036E-3</v>
      </c>
      <c r="AE660" s="56">
        <f t="shared" si="275"/>
        <v>1</v>
      </c>
      <c r="AF660" s="88">
        <f t="shared" si="273"/>
        <v>2.1178200000000001E-2</v>
      </c>
      <c r="AG660" s="88" cm="1">
        <f t="array" ref="AG660">_xlfn.IFS(
AND(L660="marginal_effect",M660="level"),O660*AN660/BF660,
AND(L660="marginal_effect",M660="sd (Y)"),O660*BI660*AN660/BF660,
AND(L660="marginal_effect",M660="sd (X)"),O660/AQ660*AN660/BF660,
AND(L660="semi_elasticity",M660="level"),O660*AN660,
AND(L660="semi_elasticity",M660="sd (Y)"),O660*AN660*BI660,
AND(L660="semi_elasticity",M660="sd (X)"),O660*AN660/AQ660,
AND(L660="level-log",M660="level"),O660/BF660,
AND(L660="level-log",M660="sd (X)"),O660/BF660/AQ660,
AND(L660="level-log",M660="sd (Y)"),O660/BF660*BI660,
AND(L660="elasticity",M660="level"),O660,
AND(L660="elasticity",M660="sd (X)"),O660/AQ660,
AND(L660="elasticity",M660="sd (Y)"),O660*BI660,
AND(L660="marginal_effect",M660="percent_of_mean"),O660*AN660/BF660/10)</f>
        <v>2.1178200000000001E-2</v>
      </c>
      <c r="AH660" s="56">
        <f t="shared" si="276"/>
        <v>1</v>
      </c>
      <c r="AI660" s="88">
        <f t="shared" si="271"/>
        <v>2.7036E-3</v>
      </c>
      <c r="AJ660" s="55">
        <v>0</v>
      </c>
      <c r="AK660" s="55">
        <f t="shared" si="269"/>
        <v>1</v>
      </c>
      <c r="AL660" s="55" t="s">
        <v>106</v>
      </c>
      <c r="AM660" s="55" t="s">
        <v>1466</v>
      </c>
      <c r="AN660" s="55">
        <v>4.5060000000000002</v>
      </c>
      <c r="AO660" s="55">
        <v>0</v>
      </c>
      <c r="AP660" s="55">
        <f t="shared" si="270"/>
        <v>45.06</v>
      </c>
      <c r="AQ660" s="55">
        <v>19.47</v>
      </c>
      <c r="AR660" s="55">
        <v>12</v>
      </c>
      <c r="AS660" s="55">
        <v>125</v>
      </c>
      <c r="AT660" s="55" t="s">
        <v>83</v>
      </c>
      <c r="AU660" s="55" t="s">
        <v>109</v>
      </c>
      <c r="AV660" s="55" t="s">
        <v>133</v>
      </c>
      <c r="AW660" s="55" t="s">
        <v>109</v>
      </c>
      <c r="AX660" s="55" t="s">
        <v>86</v>
      </c>
      <c r="AY660" s="55">
        <v>0</v>
      </c>
      <c r="AZ660" s="55">
        <v>0</v>
      </c>
      <c r="BA660" s="55" t="s">
        <v>87</v>
      </c>
      <c r="BB660" s="55" t="s">
        <v>88</v>
      </c>
      <c r="BC660" s="55" t="s">
        <v>89</v>
      </c>
      <c r="BD660" s="55" t="s">
        <v>90</v>
      </c>
      <c r="BE660" s="55" t="s">
        <v>1458</v>
      </c>
      <c r="BF660" s="55">
        <v>101.57</v>
      </c>
      <c r="BG660" s="55">
        <v>0</v>
      </c>
      <c r="BH660" s="55">
        <v>65.849999999999994</v>
      </c>
      <c r="BI660" s="55">
        <v>5</v>
      </c>
      <c r="BJ660" s="55">
        <v>430</v>
      </c>
      <c r="BK660" s="55" t="s">
        <v>91</v>
      </c>
      <c r="BL660" s="55" t="s">
        <v>84</v>
      </c>
      <c r="BM660" s="55">
        <v>1</v>
      </c>
      <c r="BN660" s="55" t="s">
        <v>428</v>
      </c>
      <c r="BO660" s="60" t="s">
        <v>1463</v>
      </c>
      <c r="BP660" s="55" t="s">
        <v>1464</v>
      </c>
      <c r="BQ660" s="55" t="s">
        <v>117</v>
      </c>
      <c r="BR660" s="55" t="s">
        <v>134</v>
      </c>
      <c r="BS660" s="55">
        <v>29.22</v>
      </c>
      <c r="BT660" s="55">
        <v>0.01</v>
      </c>
      <c r="BU660" s="57">
        <v>42552</v>
      </c>
      <c r="BV660" s="57">
        <v>42643</v>
      </c>
      <c r="BW660" s="55" t="s">
        <v>94</v>
      </c>
      <c r="BX660" s="55" t="s">
        <v>95</v>
      </c>
      <c r="BY660" s="55" t="s">
        <v>748</v>
      </c>
      <c r="BZ660" s="55">
        <v>1</v>
      </c>
      <c r="CA660" s="55">
        <v>1</v>
      </c>
      <c r="CB660" s="55" t="s">
        <v>303</v>
      </c>
      <c r="CC660" s="55" t="s">
        <v>314</v>
      </c>
      <c r="CD660" s="55">
        <v>1</v>
      </c>
      <c r="CE660" s="55" t="s">
        <v>1462</v>
      </c>
      <c r="CF660" s="55">
        <v>1</v>
      </c>
      <c r="CG660" s="55" t="s">
        <v>591</v>
      </c>
      <c r="CH660" s="55">
        <v>1</v>
      </c>
      <c r="CI660" s="55" t="s">
        <v>1465</v>
      </c>
      <c r="CJ660" s="55" t="s">
        <v>98</v>
      </c>
      <c r="CK660" s="55">
        <v>179</v>
      </c>
      <c r="CL660" s="55">
        <v>0</v>
      </c>
      <c r="CM660" s="55">
        <v>0</v>
      </c>
      <c r="CN660" s="55" t="s">
        <v>124</v>
      </c>
      <c r="CO660" s="55" t="s">
        <v>97</v>
      </c>
      <c r="CP660" s="55" t="s">
        <v>100</v>
      </c>
      <c r="CQ660" s="55" t="s">
        <v>126</v>
      </c>
      <c r="CR660" s="57">
        <v>46233</v>
      </c>
      <c r="CT660" s="55" t="s">
        <v>673</v>
      </c>
    </row>
    <row r="661" spans="1:98" s="55" customFormat="1" x14ac:dyDescent="0.35">
      <c r="A661" s="54" t="s">
        <v>1459</v>
      </c>
      <c r="B661" s="54" t="s">
        <v>1489</v>
      </c>
      <c r="C661" s="55" t="s">
        <v>1460</v>
      </c>
      <c r="D661" s="55">
        <v>2022</v>
      </c>
      <c r="E661" s="60" t="s">
        <v>1461</v>
      </c>
      <c r="F661" s="54" t="s">
        <v>998</v>
      </c>
      <c r="G661" s="55" t="s">
        <v>78</v>
      </c>
      <c r="H661" s="55">
        <v>1</v>
      </c>
      <c r="I661" s="55" t="s">
        <v>290</v>
      </c>
      <c r="J661" s="55" t="s">
        <v>79</v>
      </c>
      <c r="K661" s="55">
        <v>81</v>
      </c>
      <c r="L661" s="55" t="s">
        <v>104</v>
      </c>
      <c r="M661" s="55" t="s">
        <v>380</v>
      </c>
      <c r="N661" s="55">
        <v>-7.1000000000000004E-3</v>
      </c>
      <c r="O661" s="55">
        <v>5.0000000000000001E-3</v>
      </c>
      <c r="P661" s="88">
        <f t="shared" si="261"/>
        <v>-1.4200000000000002</v>
      </c>
      <c r="Q661" s="55" t="s">
        <v>312</v>
      </c>
      <c r="R661" s="88">
        <f t="shared" si="262"/>
        <v>-1.6899999999999998E-2</v>
      </c>
      <c r="S661" s="88">
        <f t="shared" si="263"/>
        <v>2.6999999999999993E-3</v>
      </c>
      <c r="T661" s="55">
        <v>1</v>
      </c>
      <c r="U661" s="55">
        <v>66374</v>
      </c>
      <c r="V661" s="55" t="s">
        <v>312</v>
      </c>
      <c r="W661" s="55" t="s">
        <v>312</v>
      </c>
      <c r="X661" s="55">
        <f t="shared" si="274"/>
        <v>66374</v>
      </c>
      <c r="Y661" s="88">
        <f t="shared" si="264"/>
        <v>-5.5116642256546871E-3</v>
      </c>
      <c r="Z661" s="88">
        <f t="shared" si="265"/>
        <v>3.8814536800385116E-3</v>
      </c>
      <c r="AA661" s="88">
        <f t="shared" si="266"/>
        <v>5.5116642256546871E-3</v>
      </c>
      <c r="AB661" s="55" t="s">
        <v>81</v>
      </c>
      <c r="AC661" s="88">
        <f t="shared" si="272"/>
        <v>-1.9312000000000003E-2</v>
      </c>
      <c r="AD661" s="88" cm="1">
        <f t="array" ref="AD661">_xlfn.IFS(
AND(L661="marginal_effect",M661="level"),N661*AN661/BF661,
AND(L661="marginal_effect",M661="sd (Y)"),N661*BI661*AN661/BF661,
AND(L661="marginal_effect",M661="sd (X)"),N661/AQ661*AN661/BF661,
AND(L661="semi_elasticity",M661="level"),N661*AN661,
AND(L661="semi_elasticity",M661="sd (Y)"),N661*AN661*BI661,
AND(L661="semi_elasticity",M661="sd (X)"),N661*AN661/AQ661,
AND(L661="level-log",M661="level"),N661/BF661,
AND(L661="level-log",M661="sd (X)"),N661/BF661/AQ661,
AND(L661="level-log",M661="sd (Y)"),N661/BF661*BI661,
AND(L661="elasticity",M661="level"),N661,
AND(L661="elasticity",M661="sd (X)"),N661/AQ661,
AND(L661="elasticity",M661="sd (Y)"),N661*BI661,
AND(L661="marginal_effect",M661="percent_of_mean"),N661*AN661/BF661/10)</f>
        <v>-1.9312000000000003E-2</v>
      </c>
      <c r="AE661" s="56">
        <f t="shared" si="275"/>
        <v>1</v>
      </c>
      <c r="AF661" s="88">
        <f t="shared" si="273"/>
        <v>1.3600000000000001E-2</v>
      </c>
      <c r="AG661" s="88" cm="1">
        <f t="array" ref="AG661">_xlfn.IFS(
AND(L661="marginal_effect",M661="level"),O661*AN661/BF661,
AND(L661="marginal_effect",M661="sd (Y)"),O661*BI661*AN661/BF661,
AND(L661="marginal_effect",M661="sd (X)"),O661/AQ661*AN661/BF661,
AND(L661="semi_elasticity",M661="level"),O661*AN661,
AND(L661="semi_elasticity",M661="sd (Y)"),O661*AN661*BI661,
AND(L661="semi_elasticity",M661="sd (X)"),O661*AN661/AQ661,
AND(L661="level-log",M661="level"),O661/BF661,
AND(L661="level-log",M661="sd (X)"),O661/BF661/AQ661,
AND(L661="level-log",M661="sd (Y)"),O661/BF661*BI661,
AND(L661="elasticity",M661="level"),O661,
AND(L661="elasticity",M661="sd (X)"),O661/AQ661,
AND(L661="elasticity",M661="sd (Y)"),O661*BI661,
AND(L661="marginal_effect",M661="percent_of_mean"),O661*AN661/BF661/10)</f>
        <v>1.3600000000000001E-2</v>
      </c>
      <c r="AH661" s="56">
        <f t="shared" si="276"/>
        <v>1</v>
      </c>
      <c r="AI661" s="88">
        <f t="shared" si="271"/>
        <v>-1.9312000000000003E-2</v>
      </c>
      <c r="AJ661" s="55">
        <v>0</v>
      </c>
      <c r="AK661" s="55">
        <f t="shared" si="269"/>
        <v>1</v>
      </c>
      <c r="AL661" s="55" t="s">
        <v>82</v>
      </c>
      <c r="AM661" s="55" t="s">
        <v>1466</v>
      </c>
      <c r="AN661" s="55">
        <v>2.72</v>
      </c>
      <c r="AO661" s="55">
        <v>0</v>
      </c>
      <c r="AP661" s="55">
        <f t="shared" si="270"/>
        <v>27.200000000000003</v>
      </c>
      <c r="AQ661" s="55">
        <v>14.43</v>
      </c>
      <c r="AR661" s="55">
        <v>6</v>
      </c>
      <c r="AS661" s="55">
        <v>88</v>
      </c>
      <c r="AT661" s="55" t="s">
        <v>83</v>
      </c>
      <c r="AU661" s="55" t="s">
        <v>109</v>
      </c>
      <c r="AV661" s="55" t="s">
        <v>133</v>
      </c>
      <c r="AW661" s="55" t="s">
        <v>109</v>
      </c>
      <c r="AX661" s="55" t="s">
        <v>86</v>
      </c>
      <c r="AY661" s="55">
        <v>0</v>
      </c>
      <c r="AZ661" s="55">
        <v>0</v>
      </c>
      <c r="BA661" s="55" t="s">
        <v>87</v>
      </c>
      <c r="BB661" s="55" t="s">
        <v>88</v>
      </c>
      <c r="BC661" s="55" t="s">
        <v>89</v>
      </c>
      <c r="BD661" s="55" t="s">
        <v>90</v>
      </c>
      <c r="BE661" s="55" t="s">
        <v>1458</v>
      </c>
      <c r="BF661" s="55">
        <v>101.57</v>
      </c>
      <c r="BG661" s="55">
        <v>0</v>
      </c>
      <c r="BH661" s="55">
        <v>65.849999999999994</v>
      </c>
      <c r="BI661" s="55">
        <v>5</v>
      </c>
      <c r="BJ661" s="55">
        <v>430</v>
      </c>
      <c r="BK661" s="55" t="s">
        <v>91</v>
      </c>
      <c r="BL661" s="55" t="s">
        <v>84</v>
      </c>
      <c r="BM661" s="55">
        <v>1</v>
      </c>
      <c r="BN661" s="55" t="s">
        <v>428</v>
      </c>
      <c r="BO661" s="60" t="s">
        <v>1463</v>
      </c>
      <c r="BP661" s="55" t="s">
        <v>1464</v>
      </c>
      <c r="BQ661" s="55" t="s">
        <v>117</v>
      </c>
      <c r="BR661" s="55" t="s">
        <v>134</v>
      </c>
      <c r="BS661" s="55">
        <v>29.22</v>
      </c>
      <c r="BT661" s="55">
        <v>0.01</v>
      </c>
      <c r="BU661" s="57">
        <v>42552</v>
      </c>
      <c r="BV661" s="57">
        <v>42643</v>
      </c>
      <c r="BW661" s="55" t="s">
        <v>94</v>
      </c>
      <c r="BX661" s="55" t="s">
        <v>95</v>
      </c>
      <c r="BY661" s="55" t="s">
        <v>748</v>
      </c>
      <c r="BZ661" s="55">
        <v>1</v>
      </c>
      <c r="CA661" s="55">
        <v>1</v>
      </c>
      <c r="CB661" s="55" t="s">
        <v>303</v>
      </c>
      <c r="CC661" s="55" t="s">
        <v>314</v>
      </c>
      <c r="CD661" s="55">
        <v>1</v>
      </c>
      <c r="CE661" s="55" t="s">
        <v>1462</v>
      </c>
      <c r="CF661" s="55">
        <v>0</v>
      </c>
      <c r="CG661" s="55" t="s">
        <v>97</v>
      </c>
      <c r="CH661" s="55">
        <v>1</v>
      </c>
      <c r="CI661" s="55" t="s">
        <v>1465</v>
      </c>
      <c r="CJ661" s="55" t="s">
        <v>98</v>
      </c>
      <c r="CK661" s="55">
        <v>179</v>
      </c>
      <c r="CL661" s="55">
        <v>0</v>
      </c>
      <c r="CM661" s="55">
        <v>0</v>
      </c>
      <c r="CN661" s="55" t="s">
        <v>124</v>
      </c>
      <c r="CO661" s="55" t="s">
        <v>97</v>
      </c>
      <c r="CP661" s="55" t="s">
        <v>100</v>
      </c>
      <c r="CQ661" s="55" t="s">
        <v>126</v>
      </c>
      <c r="CR661" s="57">
        <v>46233</v>
      </c>
      <c r="CT661" s="55" t="s">
        <v>672</v>
      </c>
    </row>
    <row r="662" spans="1:98" s="55" customFormat="1" x14ac:dyDescent="0.35">
      <c r="A662" s="54" t="s">
        <v>1459</v>
      </c>
      <c r="B662" s="54" t="s">
        <v>1491</v>
      </c>
      <c r="C662" s="55" t="s">
        <v>1460</v>
      </c>
      <c r="D662" s="55">
        <v>2022</v>
      </c>
      <c r="E662" s="60" t="s">
        <v>1461</v>
      </c>
      <c r="F662" s="54" t="s">
        <v>998</v>
      </c>
      <c r="G662" s="55" t="s">
        <v>78</v>
      </c>
      <c r="H662" s="55">
        <v>1</v>
      </c>
      <c r="I662" s="55" t="s">
        <v>290</v>
      </c>
      <c r="J662" s="55" t="s">
        <v>79</v>
      </c>
      <c r="K662" s="55">
        <v>81</v>
      </c>
      <c r="L662" s="55" t="s">
        <v>104</v>
      </c>
      <c r="M662" s="55" t="s">
        <v>380</v>
      </c>
      <c r="N662" s="55">
        <f>-0.0111+-0.0069</f>
        <v>-1.8000000000000002E-2</v>
      </c>
      <c r="O662" s="55" t="s">
        <v>312</v>
      </c>
      <c r="P662" s="88" t="s">
        <v>312</v>
      </c>
      <c r="Q662" s="55" t="s">
        <v>312</v>
      </c>
      <c r="R662" s="88" t="s">
        <v>312</v>
      </c>
      <c r="S662" s="88" t="s">
        <v>312</v>
      </c>
      <c r="T662" s="55" t="s">
        <v>312</v>
      </c>
      <c r="U662" s="55" t="s">
        <v>312</v>
      </c>
      <c r="V662" s="55" t="s">
        <v>312</v>
      </c>
      <c r="W662" s="55" t="s">
        <v>312</v>
      </c>
      <c r="X662" s="55" t="str">
        <f t="shared" si="274"/>
        <v>NA</v>
      </c>
      <c r="Y662" s="88" t="s">
        <v>312</v>
      </c>
      <c r="Z662" s="88" t="s">
        <v>312</v>
      </c>
      <c r="AA662" s="88" t="s">
        <v>312</v>
      </c>
      <c r="AB662" s="55" t="s">
        <v>312</v>
      </c>
      <c r="AC662" s="88">
        <f t="shared" si="272"/>
        <v>-0.18262800000000004</v>
      </c>
      <c r="AD662" s="88" cm="1">
        <f t="array" ref="AD662">_xlfn.IFS(
AND(L662="marginal_effect",M662="level"),N662*AN662/BF662,
AND(L662="marginal_effect",M662="sd (Y)"),N662*BI662*AN662/BF662,
AND(L662="marginal_effect",M662="sd (X)"),N662/AQ662*AN662/BF662,
AND(L662="semi_elasticity",M662="level"),N662*AN662,
AND(L662="semi_elasticity",M662="sd (Y)"),N662*AN662*BI662,
AND(L662="semi_elasticity",M662="sd (X)"),N662*AN662/AQ662,
AND(L662="level-log",M662="level"),N662/BF662,
AND(L662="level-log",M662="sd (X)"),N662/BF662/AQ662,
AND(L662="level-log",M662="sd (Y)"),N662/BF662*BI662,
AND(L662="elasticity",M662="level"),N662,
AND(L662="elasticity",M662="sd (X)"),N662/AQ662,
AND(L662="elasticity",M662="sd (Y)"),N662*BI662,
AND(L662="marginal_effect",M662="percent_of_mean"),N662*AN662/BF662/10)</f>
        <v>-0.18262800000000004</v>
      </c>
      <c r="AE662" s="56">
        <f t="shared" si="275"/>
        <v>1</v>
      </c>
      <c r="AF662" s="88" t="s">
        <v>312</v>
      </c>
      <c r="AG662" s="88" t="s">
        <v>312</v>
      </c>
      <c r="AH662" s="56" t="s">
        <v>312</v>
      </c>
      <c r="AI662" s="88">
        <f t="shared" si="271"/>
        <v>-0.18262800000000004</v>
      </c>
      <c r="AJ662" s="55">
        <v>0</v>
      </c>
      <c r="AK662" s="55" t="s">
        <v>312</v>
      </c>
      <c r="AL662" s="55" t="s">
        <v>148</v>
      </c>
      <c r="AM662" s="55" t="s">
        <v>1466</v>
      </c>
      <c r="AN662" s="55">
        <v>10.146000000000001</v>
      </c>
      <c r="AO662" s="55">
        <v>1</v>
      </c>
      <c r="AP662" s="55">
        <f t="shared" si="270"/>
        <v>101.46000000000001</v>
      </c>
      <c r="AQ662" s="55">
        <v>48.17</v>
      </c>
      <c r="AR662" s="55">
        <v>18</v>
      </c>
      <c r="AS662" s="55">
        <v>300</v>
      </c>
      <c r="AT662" s="55" t="s">
        <v>83</v>
      </c>
      <c r="AU662" s="55" t="s">
        <v>109</v>
      </c>
      <c r="AV662" s="55" t="s">
        <v>133</v>
      </c>
      <c r="AW662" s="55" t="s">
        <v>109</v>
      </c>
      <c r="AX662" s="55" t="s">
        <v>86</v>
      </c>
      <c r="AY662" s="55">
        <v>0</v>
      </c>
      <c r="AZ662" s="55">
        <v>0</v>
      </c>
      <c r="BA662" s="55" t="s">
        <v>87</v>
      </c>
      <c r="BB662" s="55" t="s">
        <v>88</v>
      </c>
      <c r="BC662" s="55" t="s">
        <v>89</v>
      </c>
      <c r="BD662" s="55" t="s">
        <v>90</v>
      </c>
      <c r="BE662" s="55" t="s">
        <v>1458</v>
      </c>
      <c r="BF662" s="55">
        <v>101.57</v>
      </c>
      <c r="BG662" s="55">
        <v>1</v>
      </c>
      <c r="BH662" s="55">
        <v>65.849999999999994</v>
      </c>
      <c r="BI662" s="55">
        <v>5</v>
      </c>
      <c r="BJ662" s="55">
        <v>430</v>
      </c>
      <c r="BK662" s="55" t="s">
        <v>91</v>
      </c>
      <c r="BL662" s="55" t="s">
        <v>84</v>
      </c>
      <c r="BM662" s="55">
        <v>1</v>
      </c>
      <c r="BN662" s="55" t="s">
        <v>428</v>
      </c>
      <c r="BO662" s="60" t="s">
        <v>1463</v>
      </c>
      <c r="BP662" s="55" t="s">
        <v>1464</v>
      </c>
      <c r="BQ662" s="55" t="s">
        <v>117</v>
      </c>
      <c r="BR662" s="55" t="s">
        <v>134</v>
      </c>
      <c r="BS662" s="55">
        <v>29.22</v>
      </c>
      <c r="BT662" s="55">
        <v>0.01</v>
      </c>
      <c r="BU662" s="57">
        <v>42552</v>
      </c>
      <c r="BV662" s="57">
        <v>42643</v>
      </c>
      <c r="BW662" s="55" t="s">
        <v>94</v>
      </c>
      <c r="BX662" s="55" t="s">
        <v>95</v>
      </c>
      <c r="BY662" s="55" t="s">
        <v>748</v>
      </c>
      <c r="BZ662" s="55">
        <v>1</v>
      </c>
      <c r="CA662" s="55">
        <v>1</v>
      </c>
      <c r="CB662" s="55" t="s">
        <v>303</v>
      </c>
      <c r="CC662" s="55" t="s">
        <v>314</v>
      </c>
      <c r="CD662" s="55">
        <v>1</v>
      </c>
      <c r="CE662" s="55" t="s">
        <v>1462</v>
      </c>
      <c r="CF662" s="55">
        <v>0</v>
      </c>
      <c r="CG662" s="55" t="s">
        <v>97</v>
      </c>
      <c r="CH662" s="55">
        <v>1</v>
      </c>
      <c r="CI662" s="55" t="s">
        <v>1465</v>
      </c>
      <c r="CJ662" s="55" t="s">
        <v>98</v>
      </c>
      <c r="CK662" s="55">
        <v>179</v>
      </c>
      <c r="CL662" s="55">
        <v>0</v>
      </c>
      <c r="CM662" s="55">
        <v>0</v>
      </c>
      <c r="CN662" s="55" t="s">
        <v>99</v>
      </c>
      <c r="CO662" s="55" t="s">
        <v>940</v>
      </c>
      <c r="CP662" s="55" t="s">
        <v>100</v>
      </c>
      <c r="CQ662" s="55" t="s">
        <v>126</v>
      </c>
      <c r="CR662" s="57">
        <v>46233</v>
      </c>
      <c r="CT662" s="55" t="s">
        <v>932</v>
      </c>
    </row>
    <row r="663" spans="1:98" s="55" customFormat="1" x14ac:dyDescent="0.35">
      <c r="A663" s="54" t="s">
        <v>1459</v>
      </c>
      <c r="B663" s="54" t="s">
        <v>1492</v>
      </c>
      <c r="C663" s="55" t="s">
        <v>1460</v>
      </c>
      <c r="D663" s="55">
        <v>2022</v>
      </c>
      <c r="E663" s="60" t="s">
        <v>1461</v>
      </c>
      <c r="F663" s="54" t="s">
        <v>998</v>
      </c>
      <c r="G663" s="55" t="s">
        <v>78</v>
      </c>
      <c r="H663" s="55">
        <v>1</v>
      </c>
      <c r="I663" s="55" t="s">
        <v>290</v>
      </c>
      <c r="J663" s="55" t="s">
        <v>79</v>
      </c>
      <c r="K663" s="55">
        <v>81</v>
      </c>
      <c r="L663" s="55" t="s">
        <v>104</v>
      </c>
      <c r="M663" s="55" t="s">
        <v>380</v>
      </c>
      <c r="N663" s="55">
        <v>-1.11E-2</v>
      </c>
      <c r="O663" s="55">
        <v>4.1000000000000003E-3</v>
      </c>
      <c r="P663" s="88">
        <f>N663/O663</f>
        <v>-2.7073170731707314</v>
      </c>
      <c r="Q663" s="55" t="s">
        <v>312</v>
      </c>
      <c r="R663" s="88">
        <f>N663-1.96*O663</f>
        <v>-1.9136E-2</v>
      </c>
      <c r="S663" s="88">
        <f>N663+1.96*O663</f>
        <v>-3.0640000000000008E-3</v>
      </c>
      <c r="T663" s="55">
        <v>1</v>
      </c>
      <c r="U663" s="55" t="s">
        <v>312</v>
      </c>
      <c r="V663" s="55" t="s">
        <v>312</v>
      </c>
      <c r="W663" s="55" t="s">
        <v>312</v>
      </c>
      <c r="X663" s="55" t="str">
        <f t="shared" si="274"/>
        <v>NA</v>
      </c>
      <c r="Y663" s="88" t="s">
        <v>312</v>
      </c>
      <c r="Z663" s="88" t="s">
        <v>312</v>
      </c>
      <c r="AA663" s="88" t="s">
        <v>312</v>
      </c>
      <c r="AB663" s="55" t="s">
        <v>81</v>
      </c>
      <c r="AC663" s="88">
        <f t="shared" si="272"/>
        <v>-0.11262060000000002</v>
      </c>
      <c r="AD663" s="88" cm="1">
        <f t="array" ref="AD663">_xlfn.IFS(
AND(L663="marginal_effect",M663="level"),N663*AN663/BF663,
AND(L663="marginal_effect",M663="sd (Y)"),N663*BI663*AN663/BF663,
AND(L663="marginal_effect",M663="sd (X)"),N663/AQ663*AN663/BF663,
AND(L663="semi_elasticity",M663="level"),N663*AN663,
AND(L663="semi_elasticity",M663="sd (Y)"),N663*AN663*BI663,
AND(L663="semi_elasticity",M663="sd (X)"),N663*AN663/AQ663,
AND(L663="level-log",M663="level"),N663/BF663,
AND(L663="level-log",M663="sd (X)"),N663/BF663/AQ663,
AND(L663="level-log",M663="sd (Y)"),N663/BF663*BI663,
AND(L663="elasticity",M663="level"),N663,
AND(L663="elasticity",M663="sd (X)"),N663/AQ663,
AND(L663="elasticity",M663="sd (Y)"),N663*BI663,
AND(L663="marginal_effect",M663="percent_of_mean"),N663*AN663/BF663/10)</f>
        <v>-0.11262060000000002</v>
      </c>
      <c r="AE663" s="56">
        <f t="shared" si="275"/>
        <v>1</v>
      </c>
      <c r="AF663" s="88">
        <f>O663*AN663</f>
        <v>4.1598600000000006E-2</v>
      </c>
      <c r="AG663" s="88" cm="1">
        <f t="array" ref="AG663">_xlfn.IFS(
AND(L663="marginal_effect",M663="level"),O663*AN663/BF663,
AND(L663="marginal_effect",M663="sd (Y)"),O663*BI663*AN663/BF663,
AND(L663="marginal_effect",M663="sd (X)"),O663/AQ663*AN663/BF663,
AND(L663="semi_elasticity",M663="level"),O663*AN663,
AND(L663="semi_elasticity",M663="sd (Y)"),O663*AN663*BI663,
AND(L663="semi_elasticity",M663="sd (X)"),O663*AN663/AQ663,
AND(L663="level-log",M663="level"),O663/BF663,
AND(L663="level-log",M663="sd (X)"),O663/BF663/AQ663,
AND(L663="level-log",M663="sd (Y)"),O663/BF663*BI663,
AND(L663="elasticity",M663="level"),O663,
AND(L663="elasticity",M663="sd (X)"),O663/AQ663,
AND(L663="elasticity",M663="sd (Y)"),O663*BI663,
AND(L663="marginal_effect",M663="percent_of_mean"),O663*AN663/BF663/10)</f>
        <v>4.1598600000000006E-2</v>
      </c>
      <c r="AH663" s="56">
        <f>IF(AF663=AG663,1,0)</f>
        <v>1</v>
      </c>
      <c r="AI663" s="88">
        <f t="shared" si="271"/>
        <v>-0.11262060000000002</v>
      </c>
      <c r="AJ663" s="55">
        <v>0</v>
      </c>
      <c r="AK663" s="55">
        <f>IF(P663=(AC663/AF663),1,0)</f>
        <v>1</v>
      </c>
      <c r="AL663" s="55" t="s">
        <v>148</v>
      </c>
      <c r="AM663" s="55" t="s">
        <v>1466</v>
      </c>
      <c r="AN663" s="55">
        <v>10.146000000000001</v>
      </c>
      <c r="AO663" s="55">
        <v>1</v>
      </c>
      <c r="AP663" s="55">
        <f t="shared" si="270"/>
        <v>101.46000000000001</v>
      </c>
      <c r="AQ663" s="55">
        <v>48.17</v>
      </c>
      <c r="AR663" s="55">
        <v>18</v>
      </c>
      <c r="AS663" s="55">
        <v>300</v>
      </c>
      <c r="AT663" s="55" t="s">
        <v>83</v>
      </c>
      <c r="AU663" s="55" t="s">
        <v>109</v>
      </c>
      <c r="AV663" s="55" t="s">
        <v>133</v>
      </c>
      <c r="AW663" s="55" t="s">
        <v>109</v>
      </c>
      <c r="AX663" s="55" t="s">
        <v>86</v>
      </c>
      <c r="AY663" s="55">
        <v>0</v>
      </c>
      <c r="AZ663" s="55">
        <v>0</v>
      </c>
      <c r="BA663" s="55" t="s">
        <v>87</v>
      </c>
      <c r="BB663" s="55" t="s">
        <v>88</v>
      </c>
      <c r="BC663" s="55" t="s">
        <v>89</v>
      </c>
      <c r="BD663" s="55" t="s">
        <v>90</v>
      </c>
      <c r="BE663" s="55" t="s">
        <v>1458</v>
      </c>
      <c r="BF663" s="55">
        <v>101.57</v>
      </c>
      <c r="BG663" s="55">
        <v>1</v>
      </c>
      <c r="BH663" s="55">
        <v>65.849999999999994</v>
      </c>
      <c r="BI663" s="55">
        <v>5</v>
      </c>
      <c r="BJ663" s="55">
        <v>430</v>
      </c>
      <c r="BK663" s="55" t="s">
        <v>91</v>
      </c>
      <c r="BL663" s="55" t="s">
        <v>84</v>
      </c>
      <c r="BM663" s="55">
        <v>1</v>
      </c>
      <c r="BN663" s="55" t="s">
        <v>428</v>
      </c>
      <c r="BO663" s="60" t="s">
        <v>1463</v>
      </c>
      <c r="BP663" s="55" t="s">
        <v>1464</v>
      </c>
      <c r="BQ663" s="55" t="s">
        <v>117</v>
      </c>
      <c r="BR663" s="55" t="s">
        <v>134</v>
      </c>
      <c r="BS663" s="55">
        <v>29.22</v>
      </c>
      <c r="BT663" s="55">
        <v>0.01</v>
      </c>
      <c r="BU663" s="57">
        <v>42552</v>
      </c>
      <c r="BV663" s="57">
        <v>42643</v>
      </c>
      <c r="BW663" s="55" t="s">
        <v>94</v>
      </c>
      <c r="BX663" s="55" t="s">
        <v>95</v>
      </c>
      <c r="BY663" s="55" t="s">
        <v>748</v>
      </c>
      <c r="BZ663" s="55">
        <v>1</v>
      </c>
      <c r="CA663" s="55">
        <v>1</v>
      </c>
      <c r="CB663" s="55" t="s">
        <v>303</v>
      </c>
      <c r="CC663" s="55" t="s">
        <v>314</v>
      </c>
      <c r="CD663" s="55">
        <v>1</v>
      </c>
      <c r="CE663" s="55" t="s">
        <v>1462</v>
      </c>
      <c r="CF663" s="55">
        <v>0</v>
      </c>
      <c r="CG663" s="55" t="s">
        <v>97</v>
      </c>
      <c r="CH663" s="55">
        <v>1</v>
      </c>
      <c r="CI663" s="55" t="s">
        <v>1465</v>
      </c>
      <c r="CJ663" s="55" t="s">
        <v>98</v>
      </c>
      <c r="CK663" s="55">
        <v>179</v>
      </c>
      <c r="CL663" s="55">
        <v>0</v>
      </c>
      <c r="CM663" s="55">
        <v>0</v>
      </c>
      <c r="CN663" s="55" t="s">
        <v>99</v>
      </c>
      <c r="CO663" s="55" t="s">
        <v>940</v>
      </c>
      <c r="CP663" s="55" t="s">
        <v>100</v>
      </c>
      <c r="CQ663" s="55" t="s">
        <v>126</v>
      </c>
      <c r="CR663" s="57">
        <v>46233</v>
      </c>
      <c r="CT663" s="55" t="s">
        <v>932</v>
      </c>
    </row>
    <row r="664" spans="1:98" s="55" customFormat="1" x14ac:dyDescent="0.35">
      <c r="A664" s="54" t="s">
        <v>1459</v>
      </c>
      <c r="B664" s="54" t="s">
        <v>1493</v>
      </c>
      <c r="C664" s="55" t="s">
        <v>1460</v>
      </c>
      <c r="D664" s="55">
        <v>2022</v>
      </c>
      <c r="E664" s="60" t="s">
        <v>1461</v>
      </c>
      <c r="F664" s="54" t="s">
        <v>998</v>
      </c>
      <c r="G664" s="55" t="s">
        <v>78</v>
      </c>
      <c r="H664" s="55">
        <v>1</v>
      </c>
      <c r="I664" s="55" t="s">
        <v>290</v>
      </c>
      <c r="J664" s="55" t="s">
        <v>79</v>
      </c>
      <c r="K664" s="55">
        <v>81</v>
      </c>
      <c r="L664" s="55" t="s">
        <v>104</v>
      </c>
      <c r="M664" s="55" t="s">
        <v>380</v>
      </c>
      <c r="N664" s="55">
        <f>-0.0097-0.007</f>
        <v>-1.67E-2</v>
      </c>
      <c r="O664" s="55" t="s">
        <v>312</v>
      </c>
      <c r="P664" s="88" t="s">
        <v>312</v>
      </c>
      <c r="Q664" s="55" t="s">
        <v>312</v>
      </c>
      <c r="R664" s="88" t="s">
        <v>312</v>
      </c>
      <c r="S664" s="88" t="s">
        <v>312</v>
      </c>
      <c r="T664" s="55" t="s">
        <v>312</v>
      </c>
      <c r="U664" s="55" t="s">
        <v>312</v>
      </c>
      <c r="V664" s="55" t="s">
        <v>312</v>
      </c>
      <c r="W664" s="55" t="s">
        <v>312</v>
      </c>
      <c r="X664" s="55" t="str">
        <f t="shared" si="274"/>
        <v>NA</v>
      </c>
      <c r="Y664" s="88" t="s">
        <v>312</v>
      </c>
      <c r="Z664" s="88" t="s">
        <v>312</v>
      </c>
      <c r="AA664" s="88" t="s">
        <v>312</v>
      </c>
      <c r="AB664" s="55" t="s">
        <v>312</v>
      </c>
      <c r="AC664" s="88">
        <f t="shared" si="272"/>
        <v>-0.16943820000000001</v>
      </c>
      <c r="AD664" s="88" cm="1">
        <f t="array" ref="AD664">_xlfn.IFS(
AND(L664="marginal_effect",M664="level"),N664*AN664/BF664,
AND(L664="marginal_effect",M664="sd (Y)"),N664*BI664*AN664/BF664,
AND(L664="marginal_effect",M664="sd (X)"),N664/AQ664*AN664/BF664,
AND(L664="semi_elasticity",M664="level"),N664*AN664,
AND(L664="semi_elasticity",M664="sd (Y)"),N664*AN664*BI664,
AND(L664="semi_elasticity",M664="sd (X)"),N664*AN664/AQ664,
AND(L664="level-log",M664="level"),N664/BF664,
AND(L664="level-log",M664="sd (X)"),N664/BF664/AQ664,
AND(L664="level-log",M664="sd (Y)"),N664/BF664*BI664,
AND(L664="elasticity",M664="level"),N664,
AND(L664="elasticity",M664="sd (X)"),N664/AQ664,
AND(L664="elasticity",M664="sd (Y)"),N664*BI664,
AND(L664="marginal_effect",M664="percent_of_mean"),N664*AN664/BF664/10)</f>
        <v>-0.16943820000000001</v>
      </c>
      <c r="AE664" s="56">
        <f t="shared" si="275"/>
        <v>1</v>
      </c>
      <c r="AF664" s="88" t="s">
        <v>312</v>
      </c>
      <c r="AG664" s="88" t="s">
        <v>312</v>
      </c>
      <c r="AH664" s="56" t="s">
        <v>312</v>
      </c>
      <c r="AI664" s="88">
        <f t="shared" si="271"/>
        <v>-0.16943820000000001</v>
      </c>
      <c r="AJ664" s="55">
        <v>0</v>
      </c>
      <c r="AK664" s="55" t="s">
        <v>312</v>
      </c>
      <c r="AL664" s="55" t="s">
        <v>148</v>
      </c>
      <c r="AM664" s="55" t="s">
        <v>1466</v>
      </c>
      <c r="AN664" s="55">
        <v>10.146000000000001</v>
      </c>
      <c r="AO664" s="55">
        <v>1</v>
      </c>
      <c r="AP664" s="55">
        <f t="shared" si="270"/>
        <v>101.46000000000001</v>
      </c>
      <c r="AQ664" s="55">
        <v>48.17</v>
      </c>
      <c r="AR664" s="55">
        <v>18</v>
      </c>
      <c r="AS664" s="55">
        <v>300</v>
      </c>
      <c r="AT664" s="55" t="s">
        <v>83</v>
      </c>
      <c r="AU664" s="55" t="s">
        <v>109</v>
      </c>
      <c r="AV664" s="55" t="s">
        <v>133</v>
      </c>
      <c r="AW664" s="55" t="s">
        <v>109</v>
      </c>
      <c r="AX664" s="55" t="s">
        <v>86</v>
      </c>
      <c r="AY664" s="55">
        <v>0</v>
      </c>
      <c r="AZ664" s="55">
        <v>0</v>
      </c>
      <c r="BA664" s="55" t="s">
        <v>87</v>
      </c>
      <c r="BB664" s="55" t="s">
        <v>88</v>
      </c>
      <c r="BC664" s="55" t="s">
        <v>89</v>
      </c>
      <c r="BD664" s="55" t="s">
        <v>90</v>
      </c>
      <c r="BE664" s="55" t="s">
        <v>1458</v>
      </c>
      <c r="BF664" s="55">
        <v>101.57</v>
      </c>
      <c r="BG664" s="55">
        <v>1</v>
      </c>
      <c r="BH664" s="55">
        <v>65.849999999999994</v>
      </c>
      <c r="BI664" s="55">
        <v>5</v>
      </c>
      <c r="BJ664" s="55">
        <v>430</v>
      </c>
      <c r="BK664" s="55" t="s">
        <v>91</v>
      </c>
      <c r="BL664" s="55" t="s">
        <v>84</v>
      </c>
      <c r="BM664" s="55">
        <v>1</v>
      </c>
      <c r="BN664" s="55" t="s">
        <v>428</v>
      </c>
      <c r="BO664" s="60" t="s">
        <v>1463</v>
      </c>
      <c r="BP664" s="55" t="s">
        <v>1464</v>
      </c>
      <c r="BQ664" s="55" t="s">
        <v>117</v>
      </c>
      <c r="BR664" s="55" t="s">
        <v>134</v>
      </c>
      <c r="BS664" s="55">
        <v>29.22</v>
      </c>
      <c r="BT664" s="55">
        <v>0.01</v>
      </c>
      <c r="BU664" s="57">
        <v>42552</v>
      </c>
      <c r="BV664" s="57">
        <v>42643</v>
      </c>
      <c r="BW664" s="55" t="s">
        <v>94</v>
      </c>
      <c r="BX664" s="55" t="s">
        <v>95</v>
      </c>
      <c r="BY664" s="55" t="s">
        <v>748</v>
      </c>
      <c r="BZ664" s="55">
        <v>1</v>
      </c>
      <c r="CA664" s="55">
        <v>1</v>
      </c>
      <c r="CB664" s="55" t="s">
        <v>303</v>
      </c>
      <c r="CC664" s="55" t="s">
        <v>314</v>
      </c>
      <c r="CD664" s="55">
        <v>1</v>
      </c>
      <c r="CE664" s="55" t="s">
        <v>1462</v>
      </c>
      <c r="CF664" s="55">
        <v>0</v>
      </c>
      <c r="CG664" s="55" t="s">
        <v>97</v>
      </c>
      <c r="CH664" s="55">
        <v>1</v>
      </c>
      <c r="CI664" s="55" t="s">
        <v>1465</v>
      </c>
      <c r="CJ664" s="55" t="s">
        <v>98</v>
      </c>
      <c r="CK664" s="55">
        <v>179</v>
      </c>
      <c r="CL664" s="55">
        <v>0</v>
      </c>
      <c r="CM664" s="55">
        <v>0</v>
      </c>
      <c r="CN664" s="55" t="s">
        <v>99</v>
      </c>
      <c r="CO664" s="55" t="s">
        <v>941</v>
      </c>
      <c r="CP664" s="55" t="s">
        <v>100</v>
      </c>
      <c r="CQ664" s="55" t="s">
        <v>126</v>
      </c>
      <c r="CR664" s="57">
        <v>46233</v>
      </c>
      <c r="CT664" s="55" t="s">
        <v>933</v>
      </c>
    </row>
    <row r="665" spans="1:98" s="55" customFormat="1" x14ac:dyDescent="0.35">
      <c r="A665" s="54" t="s">
        <v>1459</v>
      </c>
      <c r="B665" s="54" t="s">
        <v>1494</v>
      </c>
      <c r="C665" s="55" t="s">
        <v>1460</v>
      </c>
      <c r="D665" s="55">
        <v>2022</v>
      </c>
      <c r="E665" s="60" t="s">
        <v>1461</v>
      </c>
      <c r="F665" s="54" t="s">
        <v>998</v>
      </c>
      <c r="G665" s="55" t="s">
        <v>78</v>
      </c>
      <c r="H665" s="55">
        <v>1</v>
      </c>
      <c r="I665" s="55" t="s">
        <v>290</v>
      </c>
      <c r="J665" s="55" t="s">
        <v>79</v>
      </c>
      <c r="K665" s="55">
        <v>81</v>
      </c>
      <c r="L665" s="55" t="s">
        <v>104</v>
      </c>
      <c r="M665" s="55" t="s">
        <v>380</v>
      </c>
      <c r="N665" s="55">
        <v>-9.7000000000000003E-3</v>
      </c>
      <c r="O665" s="55">
        <v>4.5999999999999999E-3</v>
      </c>
      <c r="P665" s="88">
        <f>N665/O665</f>
        <v>-2.1086956521739131</v>
      </c>
      <c r="Q665" s="55" t="s">
        <v>312</v>
      </c>
      <c r="R665" s="88">
        <f>N665-1.96*O665</f>
        <v>-1.8716E-2</v>
      </c>
      <c r="S665" s="88">
        <f>N665+1.96*O665</f>
        <v>-6.8400000000000058E-4</v>
      </c>
      <c r="T665" s="55">
        <v>1</v>
      </c>
      <c r="U665" s="55" t="s">
        <v>312</v>
      </c>
      <c r="V665" s="55" t="s">
        <v>312</v>
      </c>
      <c r="W665" s="55" t="s">
        <v>312</v>
      </c>
      <c r="X665" s="55" t="str">
        <f t="shared" si="274"/>
        <v>NA</v>
      </c>
      <c r="Y665" s="88" t="s">
        <v>312</v>
      </c>
      <c r="Z665" s="88" t="s">
        <v>312</v>
      </c>
      <c r="AA665" s="88" t="s">
        <v>312</v>
      </c>
      <c r="AB665" s="55" t="s">
        <v>81</v>
      </c>
      <c r="AC665" s="88">
        <f t="shared" si="272"/>
        <v>-9.8416200000000009E-2</v>
      </c>
      <c r="AD665" s="88" cm="1">
        <f t="array" ref="AD665">_xlfn.IFS(
AND(L665="marginal_effect",M665="level"),N665*AN665/BF665,
AND(L665="marginal_effect",M665="sd (Y)"),N665*BI665*AN665/BF665,
AND(L665="marginal_effect",M665="sd (X)"),N665/AQ665*AN665/BF665,
AND(L665="semi_elasticity",M665="level"),N665*AN665,
AND(L665="semi_elasticity",M665="sd (Y)"),N665*AN665*BI665,
AND(L665="semi_elasticity",M665="sd (X)"),N665*AN665/AQ665,
AND(L665="level-log",M665="level"),N665/BF665,
AND(L665="level-log",M665="sd (X)"),N665/BF665/AQ665,
AND(L665="level-log",M665="sd (Y)"),N665/BF665*BI665,
AND(L665="elasticity",M665="level"),N665,
AND(L665="elasticity",M665="sd (X)"),N665/AQ665,
AND(L665="elasticity",M665="sd (Y)"),N665*BI665,
AND(L665="marginal_effect",M665="percent_of_mean"),N665*AN665/BF665/10)</f>
        <v>-9.8416200000000009E-2</v>
      </c>
      <c r="AE665" s="56">
        <f t="shared" si="275"/>
        <v>1</v>
      </c>
      <c r="AF665" s="88">
        <f>O665*AN665</f>
        <v>4.6671600000000001E-2</v>
      </c>
      <c r="AG665" s="88" cm="1">
        <f t="array" ref="AG665">_xlfn.IFS(
AND(L665="marginal_effect",M665="level"),O665*AN665/BF665,
AND(L665="marginal_effect",M665="sd (Y)"),O665*BI665*AN665/BF665,
AND(L665="marginal_effect",M665="sd (X)"),O665/AQ665*AN665/BF665,
AND(L665="semi_elasticity",M665="level"),O665*AN665,
AND(L665="semi_elasticity",M665="sd (Y)"),O665*AN665*BI665,
AND(L665="semi_elasticity",M665="sd (X)"),O665*AN665/AQ665,
AND(L665="level-log",M665="level"),O665/BF665,
AND(L665="level-log",M665="sd (X)"),O665/BF665/AQ665,
AND(L665="level-log",M665="sd (Y)"),O665/BF665*BI665,
AND(L665="elasticity",M665="level"),O665,
AND(L665="elasticity",M665="sd (X)"),O665/AQ665,
AND(L665="elasticity",M665="sd (Y)"),O665*BI665,
AND(L665="marginal_effect",M665="percent_of_mean"),O665*AN665/BF665/10)</f>
        <v>4.6671600000000001E-2</v>
      </c>
      <c r="AH665" s="56">
        <f>IF(AF665=AG665,1,0)</f>
        <v>1</v>
      </c>
      <c r="AI665" s="88">
        <f t="shared" si="271"/>
        <v>-9.8416200000000009E-2</v>
      </c>
      <c r="AJ665" s="55">
        <v>0</v>
      </c>
      <c r="AK665" s="55">
        <f>IF(P665=(AC665/AF665),1,0)</f>
        <v>1</v>
      </c>
      <c r="AL665" s="55" t="s">
        <v>148</v>
      </c>
      <c r="AM665" s="55" t="s">
        <v>1466</v>
      </c>
      <c r="AN665" s="55">
        <v>10.146000000000001</v>
      </c>
      <c r="AO665" s="55">
        <v>1</v>
      </c>
      <c r="AP665" s="55">
        <f t="shared" si="270"/>
        <v>101.46000000000001</v>
      </c>
      <c r="AQ665" s="55">
        <v>48.17</v>
      </c>
      <c r="AR665" s="55">
        <v>18</v>
      </c>
      <c r="AS665" s="55">
        <v>300</v>
      </c>
      <c r="AT665" s="55" t="s">
        <v>83</v>
      </c>
      <c r="AU665" s="55" t="s">
        <v>109</v>
      </c>
      <c r="AV665" s="55" t="s">
        <v>133</v>
      </c>
      <c r="AW665" s="55" t="s">
        <v>109</v>
      </c>
      <c r="AX665" s="55" t="s">
        <v>86</v>
      </c>
      <c r="AY665" s="55">
        <v>0</v>
      </c>
      <c r="AZ665" s="55">
        <v>0</v>
      </c>
      <c r="BA665" s="55" t="s">
        <v>87</v>
      </c>
      <c r="BB665" s="55" t="s">
        <v>88</v>
      </c>
      <c r="BC665" s="55" t="s">
        <v>89</v>
      </c>
      <c r="BD665" s="55" t="s">
        <v>90</v>
      </c>
      <c r="BE665" s="55" t="s">
        <v>1458</v>
      </c>
      <c r="BF665" s="55">
        <v>101.57</v>
      </c>
      <c r="BG665" s="55">
        <v>1</v>
      </c>
      <c r="BH665" s="55">
        <v>65.849999999999994</v>
      </c>
      <c r="BI665" s="55">
        <v>5</v>
      </c>
      <c r="BJ665" s="55">
        <v>430</v>
      </c>
      <c r="BK665" s="55" t="s">
        <v>91</v>
      </c>
      <c r="BL665" s="55" t="s">
        <v>84</v>
      </c>
      <c r="BM665" s="55">
        <v>1</v>
      </c>
      <c r="BN665" s="55" t="s">
        <v>428</v>
      </c>
      <c r="BO665" s="60" t="s">
        <v>1463</v>
      </c>
      <c r="BP665" s="55" t="s">
        <v>1464</v>
      </c>
      <c r="BQ665" s="55" t="s">
        <v>117</v>
      </c>
      <c r="BR665" s="55" t="s">
        <v>134</v>
      </c>
      <c r="BS665" s="55">
        <v>29.22</v>
      </c>
      <c r="BT665" s="55">
        <v>0.01</v>
      </c>
      <c r="BU665" s="57">
        <v>42552</v>
      </c>
      <c r="BV665" s="57">
        <v>42643</v>
      </c>
      <c r="BW665" s="55" t="s">
        <v>94</v>
      </c>
      <c r="BX665" s="55" t="s">
        <v>95</v>
      </c>
      <c r="BY665" s="55" t="s">
        <v>748</v>
      </c>
      <c r="BZ665" s="55">
        <v>1</v>
      </c>
      <c r="CA665" s="55">
        <v>1</v>
      </c>
      <c r="CB665" s="55" t="s">
        <v>303</v>
      </c>
      <c r="CC665" s="55" t="s">
        <v>314</v>
      </c>
      <c r="CD665" s="55">
        <v>1</v>
      </c>
      <c r="CE665" s="55" t="s">
        <v>1462</v>
      </c>
      <c r="CF665" s="55">
        <v>0</v>
      </c>
      <c r="CG665" s="55" t="s">
        <v>97</v>
      </c>
      <c r="CH665" s="55">
        <v>1</v>
      </c>
      <c r="CI665" s="55" t="s">
        <v>1465</v>
      </c>
      <c r="CJ665" s="55" t="s">
        <v>98</v>
      </c>
      <c r="CK665" s="55">
        <v>179</v>
      </c>
      <c r="CL665" s="55">
        <v>0</v>
      </c>
      <c r="CM665" s="55">
        <v>0</v>
      </c>
      <c r="CN665" s="55" t="s">
        <v>99</v>
      </c>
      <c r="CO665" s="55" t="s">
        <v>941</v>
      </c>
      <c r="CP665" s="55" t="s">
        <v>100</v>
      </c>
      <c r="CQ665" s="55" t="s">
        <v>126</v>
      </c>
      <c r="CR665" s="57">
        <v>46233</v>
      </c>
      <c r="CT665" s="55" t="s">
        <v>933</v>
      </c>
    </row>
    <row r="666" spans="1:98" s="55" customFormat="1" x14ac:dyDescent="0.35">
      <c r="A666" s="54" t="s">
        <v>1459</v>
      </c>
      <c r="B666" s="54" t="s">
        <v>1495</v>
      </c>
      <c r="C666" s="55" t="s">
        <v>1460</v>
      </c>
      <c r="D666" s="55">
        <v>2022</v>
      </c>
      <c r="E666" s="60" t="s">
        <v>1461</v>
      </c>
      <c r="F666" s="54" t="s">
        <v>998</v>
      </c>
      <c r="G666" s="55" t="s">
        <v>78</v>
      </c>
      <c r="H666" s="55">
        <v>1</v>
      </c>
      <c r="I666" s="55" t="s">
        <v>290</v>
      </c>
      <c r="J666" s="55" t="s">
        <v>79</v>
      </c>
      <c r="K666" s="55">
        <v>81</v>
      </c>
      <c r="L666" s="55" t="s">
        <v>104</v>
      </c>
      <c r="M666" s="55" t="s">
        <v>380</v>
      </c>
      <c r="N666" s="55">
        <f>-0.0104-0.0077</f>
        <v>-1.8099999999999998E-2</v>
      </c>
      <c r="O666" s="55" t="s">
        <v>312</v>
      </c>
      <c r="P666" s="88" t="s">
        <v>312</v>
      </c>
      <c r="Q666" s="55" t="s">
        <v>312</v>
      </c>
      <c r="R666" s="88" t="s">
        <v>312</v>
      </c>
      <c r="S666" s="88" t="s">
        <v>312</v>
      </c>
      <c r="T666" s="55" t="s">
        <v>312</v>
      </c>
      <c r="U666" s="55" t="s">
        <v>312</v>
      </c>
      <c r="V666" s="55" t="s">
        <v>312</v>
      </c>
      <c r="W666" s="55" t="s">
        <v>312</v>
      </c>
      <c r="X666" s="55" t="str">
        <f t="shared" si="274"/>
        <v>NA</v>
      </c>
      <c r="Y666" s="88" t="s">
        <v>312</v>
      </c>
      <c r="Z666" s="88" t="s">
        <v>312</v>
      </c>
      <c r="AA666" s="88" t="s">
        <v>312</v>
      </c>
      <c r="AB666" s="55" t="s">
        <v>312</v>
      </c>
      <c r="AC666" s="88">
        <f t="shared" si="272"/>
        <v>-0.18364259999999999</v>
      </c>
      <c r="AD666" s="88" cm="1">
        <f t="array" ref="AD666">_xlfn.IFS(
AND(L666="marginal_effect",M666="level"),N666*AN666/BF666,
AND(L666="marginal_effect",M666="sd (Y)"),N666*BI666*AN666/BF666,
AND(L666="marginal_effect",M666="sd (X)"),N666/AQ666*AN666/BF666,
AND(L666="semi_elasticity",M666="level"),N666*AN666,
AND(L666="semi_elasticity",M666="sd (Y)"),N666*AN666*BI666,
AND(L666="semi_elasticity",M666="sd (X)"),N666*AN666/AQ666,
AND(L666="level-log",M666="level"),N666/BF666,
AND(L666="level-log",M666="sd (X)"),N666/BF666/AQ666,
AND(L666="level-log",M666="sd (Y)"),N666/BF666*BI666,
AND(L666="elasticity",M666="level"),N666,
AND(L666="elasticity",M666="sd (X)"),N666/AQ666,
AND(L666="elasticity",M666="sd (Y)"),N666*BI666,
AND(L666="marginal_effect",M666="percent_of_mean"),N666*AN666/BF666/10)</f>
        <v>-0.18364259999999999</v>
      </c>
      <c r="AE666" s="56">
        <f t="shared" si="275"/>
        <v>1</v>
      </c>
      <c r="AF666" s="88" t="s">
        <v>312</v>
      </c>
      <c r="AG666" s="88" t="s">
        <v>312</v>
      </c>
      <c r="AH666" s="56" t="s">
        <v>312</v>
      </c>
      <c r="AI666" s="88">
        <f t="shared" si="271"/>
        <v>-0.18364259999999999</v>
      </c>
      <c r="AJ666" s="55">
        <v>0</v>
      </c>
      <c r="AK666" s="55" t="s">
        <v>312</v>
      </c>
      <c r="AL666" s="55" t="s">
        <v>148</v>
      </c>
      <c r="AM666" s="55" t="s">
        <v>1466</v>
      </c>
      <c r="AN666" s="55">
        <v>10.146000000000001</v>
      </c>
      <c r="AO666" s="55">
        <v>1</v>
      </c>
      <c r="AP666" s="55">
        <f t="shared" si="270"/>
        <v>101.46000000000001</v>
      </c>
      <c r="AQ666" s="55">
        <v>48.17</v>
      </c>
      <c r="AR666" s="55">
        <v>18</v>
      </c>
      <c r="AS666" s="55">
        <v>300</v>
      </c>
      <c r="AT666" s="55" t="s">
        <v>83</v>
      </c>
      <c r="AU666" s="55" t="s">
        <v>109</v>
      </c>
      <c r="AV666" s="55" t="s">
        <v>133</v>
      </c>
      <c r="AW666" s="55" t="s">
        <v>109</v>
      </c>
      <c r="AX666" s="55" t="s">
        <v>86</v>
      </c>
      <c r="AY666" s="55">
        <v>0</v>
      </c>
      <c r="AZ666" s="55">
        <v>0</v>
      </c>
      <c r="BA666" s="55" t="s">
        <v>87</v>
      </c>
      <c r="BB666" s="55" t="s">
        <v>88</v>
      </c>
      <c r="BC666" s="55" t="s">
        <v>89</v>
      </c>
      <c r="BD666" s="55" t="s">
        <v>90</v>
      </c>
      <c r="BE666" s="55" t="s">
        <v>1458</v>
      </c>
      <c r="BF666" s="55">
        <v>101.57</v>
      </c>
      <c r="BG666" s="55">
        <v>1</v>
      </c>
      <c r="BH666" s="55">
        <v>65.849999999999994</v>
      </c>
      <c r="BI666" s="55">
        <v>5</v>
      </c>
      <c r="BJ666" s="55">
        <v>430</v>
      </c>
      <c r="BK666" s="55" t="s">
        <v>91</v>
      </c>
      <c r="BL666" s="55" t="s">
        <v>84</v>
      </c>
      <c r="BM666" s="55">
        <v>1</v>
      </c>
      <c r="BN666" s="55" t="s">
        <v>428</v>
      </c>
      <c r="BO666" s="60" t="s">
        <v>1463</v>
      </c>
      <c r="BP666" s="55" t="s">
        <v>1464</v>
      </c>
      <c r="BQ666" s="55" t="s">
        <v>117</v>
      </c>
      <c r="BR666" s="55" t="s">
        <v>134</v>
      </c>
      <c r="BS666" s="55">
        <v>29.22</v>
      </c>
      <c r="BT666" s="55">
        <v>0.01</v>
      </c>
      <c r="BU666" s="57">
        <v>42552</v>
      </c>
      <c r="BV666" s="57">
        <v>42643</v>
      </c>
      <c r="BW666" s="55" t="s">
        <v>94</v>
      </c>
      <c r="BX666" s="55" t="s">
        <v>95</v>
      </c>
      <c r="BY666" s="55" t="s">
        <v>748</v>
      </c>
      <c r="BZ666" s="55">
        <v>1</v>
      </c>
      <c r="CA666" s="55">
        <v>1</v>
      </c>
      <c r="CB666" s="55" t="s">
        <v>303</v>
      </c>
      <c r="CC666" s="55" t="s">
        <v>314</v>
      </c>
      <c r="CD666" s="55">
        <v>1</v>
      </c>
      <c r="CE666" s="55" t="s">
        <v>1462</v>
      </c>
      <c r="CF666" s="55">
        <v>0</v>
      </c>
      <c r="CG666" s="55" t="s">
        <v>97</v>
      </c>
      <c r="CH666" s="55">
        <v>1</v>
      </c>
      <c r="CI666" s="55" t="s">
        <v>1465</v>
      </c>
      <c r="CJ666" s="55" t="s">
        <v>98</v>
      </c>
      <c r="CK666" s="55">
        <v>179</v>
      </c>
      <c r="CL666" s="55">
        <v>0</v>
      </c>
      <c r="CM666" s="55">
        <v>0</v>
      </c>
      <c r="CN666" s="55" t="s">
        <v>99</v>
      </c>
      <c r="CO666" s="55" t="s">
        <v>1501</v>
      </c>
      <c r="CP666" s="55" t="s">
        <v>100</v>
      </c>
      <c r="CQ666" s="55" t="s">
        <v>126</v>
      </c>
      <c r="CR666" s="57">
        <v>46233</v>
      </c>
      <c r="CT666" s="55" t="s">
        <v>934</v>
      </c>
    </row>
    <row r="667" spans="1:98" s="55" customFormat="1" x14ac:dyDescent="0.35">
      <c r="A667" s="54" t="s">
        <v>1459</v>
      </c>
      <c r="B667" s="54" t="s">
        <v>1496</v>
      </c>
      <c r="C667" s="55" t="s">
        <v>1460</v>
      </c>
      <c r="D667" s="55">
        <v>2022</v>
      </c>
      <c r="E667" s="60" t="s">
        <v>1461</v>
      </c>
      <c r="F667" s="54" t="s">
        <v>998</v>
      </c>
      <c r="G667" s="55" t="s">
        <v>78</v>
      </c>
      <c r="H667" s="55">
        <v>1</v>
      </c>
      <c r="I667" s="55" t="s">
        <v>290</v>
      </c>
      <c r="J667" s="55" t="s">
        <v>79</v>
      </c>
      <c r="K667" s="55">
        <v>81</v>
      </c>
      <c r="L667" s="55" t="s">
        <v>104</v>
      </c>
      <c r="M667" s="55" t="s">
        <v>380</v>
      </c>
      <c r="N667" s="55">
        <v>-1.04E-2</v>
      </c>
      <c r="O667" s="55">
        <v>4.1999999999999997E-3</v>
      </c>
      <c r="P667" s="88">
        <f>N667/O667</f>
        <v>-2.4761904761904763</v>
      </c>
      <c r="Q667" s="55" t="s">
        <v>312</v>
      </c>
      <c r="R667" s="88">
        <f>N667-1.96*O667</f>
        <v>-1.8631999999999999E-2</v>
      </c>
      <c r="S667" s="88">
        <f>N667+1.96*O667</f>
        <v>-2.1679999999999998E-3</v>
      </c>
      <c r="T667" s="55">
        <v>1</v>
      </c>
      <c r="U667" s="55" t="s">
        <v>312</v>
      </c>
      <c r="V667" s="55" t="s">
        <v>312</v>
      </c>
      <c r="W667" s="55" t="s">
        <v>312</v>
      </c>
      <c r="X667" s="55" t="str">
        <f t="shared" si="274"/>
        <v>NA</v>
      </c>
      <c r="Y667" s="88" t="s">
        <v>312</v>
      </c>
      <c r="Z667" s="88" t="s">
        <v>312</v>
      </c>
      <c r="AA667" s="88" t="s">
        <v>312</v>
      </c>
      <c r="AB667" s="55" t="s">
        <v>81</v>
      </c>
      <c r="AC667" s="88">
        <f t="shared" si="272"/>
        <v>-0.1055184</v>
      </c>
      <c r="AD667" s="88" cm="1">
        <f t="array" ref="AD667">_xlfn.IFS(
AND(L667="marginal_effect",M667="level"),N667*AN667/BF667,
AND(L667="marginal_effect",M667="sd (Y)"),N667*BI667*AN667/BF667,
AND(L667="marginal_effect",M667="sd (X)"),N667/AQ667*AN667/BF667,
AND(L667="semi_elasticity",M667="level"),N667*AN667,
AND(L667="semi_elasticity",M667="sd (Y)"),N667*AN667*BI667,
AND(L667="semi_elasticity",M667="sd (X)"),N667*AN667/AQ667,
AND(L667="level-log",M667="level"),N667/BF667,
AND(L667="level-log",M667="sd (X)"),N667/BF667/AQ667,
AND(L667="level-log",M667="sd (Y)"),N667/BF667*BI667,
AND(L667="elasticity",M667="level"),N667,
AND(L667="elasticity",M667="sd (X)"),N667/AQ667,
AND(L667="elasticity",M667="sd (Y)"),N667*BI667,
AND(L667="marginal_effect",M667="percent_of_mean"),N667*AN667/BF667/10)</f>
        <v>-0.1055184</v>
      </c>
      <c r="AE667" s="56">
        <f t="shared" si="275"/>
        <v>1</v>
      </c>
      <c r="AF667" s="88">
        <f>O667*AN667</f>
        <v>4.2613200000000004E-2</v>
      </c>
      <c r="AG667" s="88" cm="1">
        <f t="array" ref="AG667">_xlfn.IFS(
AND(L667="marginal_effect",M667="level"),O667*AN667/BF667,
AND(L667="marginal_effect",M667="sd (Y)"),O667*BI667*AN667/BF667,
AND(L667="marginal_effect",M667="sd (X)"),O667/AQ667*AN667/BF667,
AND(L667="semi_elasticity",M667="level"),O667*AN667,
AND(L667="semi_elasticity",M667="sd (Y)"),O667*AN667*BI667,
AND(L667="semi_elasticity",M667="sd (X)"),O667*AN667/AQ667,
AND(L667="level-log",M667="level"),O667/BF667,
AND(L667="level-log",M667="sd (X)"),O667/BF667/AQ667,
AND(L667="level-log",M667="sd (Y)"),O667/BF667*BI667,
AND(L667="elasticity",M667="level"),O667,
AND(L667="elasticity",M667="sd (X)"),O667/AQ667,
AND(L667="elasticity",M667="sd (Y)"),O667*BI667,
AND(L667="marginal_effect",M667="percent_of_mean"),O667*AN667/BF667/10)</f>
        <v>4.2613200000000004E-2</v>
      </c>
      <c r="AH667" s="56">
        <f>IF(AF667=AG667,1,0)</f>
        <v>1</v>
      </c>
      <c r="AI667" s="88">
        <f t="shared" si="271"/>
        <v>-0.1055184</v>
      </c>
      <c r="AJ667" s="55">
        <v>0</v>
      </c>
      <c r="AK667" s="55">
        <f>IF(P667=(AC667/AF667),1,0)</f>
        <v>1</v>
      </c>
      <c r="AL667" s="55" t="s">
        <v>148</v>
      </c>
      <c r="AM667" s="55" t="s">
        <v>1466</v>
      </c>
      <c r="AN667" s="55">
        <v>10.146000000000001</v>
      </c>
      <c r="AO667" s="55">
        <v>1</v>
      </c>
      <c r="AP667" s="55">
        <f t="shared" si="270"/>
        <v>101.46000000000001</v>
      </c>
      <c r="AQ667" s="55">
        <v>48.17</v>
      </c>
      <c r="AR667" s="55">
        <v>18</v>
      </c>
      <c r="AS667" s="55">
        <v>300</v>
      </c>
      <c r="AT667" s="55" t="s">
        <v>83</v>
      </c>
      <c r="AU667" s="55" t="s">
        <v>109</v>
      </c>
      <c r="AV667" s="55" t="s">
        <v>133</v>
      </c>
      <c r="AW667" s="55" t="s">
        <v>109</v>
      </c>
      <c r="AX667" s="55" t="s">
        <v>86</v>
      </c>
      <c r="AY667" s="55">
        <v>0</v>
      </c>
      <c r="AZ667" s="55">
        <v>0</v>
      </c>
      <c r="BA667" s="55" t="s">
        <v>87</v>
      </c>
      <c r="BB667" s="55" t="s">
        <v>88</v>
      </c>
      <c r="BC667" s="55" t="s">
        <v>89</v>
      </c>
      <c r="BD667" s="55" t="s">
        <v>90</v>
      </c>
      <c r="BE667" s="55" t="s">
        <v>1458</v>
      </c>
      <c r="BF667" s="55">
        <v>101.57</v>
      </c>
      <c r="BG667" s="55">
        <v>1</v>
      </c>
      <c r="BH667" s="55">
        <v>65.849999999999994</v>
      </c>
      <c r="BI667" s="55">
        <v>5</v>
      </c>
      <c r="BJ667" s="55">
        <v>430</v>
      </c>
      <c r="BK667" s="55" t="s">
        <v>91</v>
      </c>
      <c r="BL667" s="55" t="s">
        <v>84</v>
      </c>
      <c r="BM667" s="55">
        <v>1</v>
      </c>
      <c r="BN667" s="55" t="s">
        <v>428</v>
      </c>
      <c r="BO667" s="60" t="s">
        <v>1463</v>
      </c>
      <c r="BP667" s="55" t="s">
        <v>1464</v>
      </c>
      <c r="BQ667" s="55" t="s">
        <v>117</v>
      </c>
      <c r="BR667" s="55" t="s">
        <v>134</v>
      </c>
      <c r="BS667" s="55">
        <v>29.22</v>
      </c>
      <c r="BT667" s="55">
        <v>0.01</v>
      </c>
      <c r="BU667" s="57">
        <v>42552</v>
      </c>
      <c r="BV667" s="57">
        <v>42643</v>
      </c>
      <c r="BW667" s="55" t="s">
        <v>94</v>
      </c>
      <c r="BX667" s="55" t="s">
        <v>95</v>
      </c>
      <c r="BY667" s="55" t="s">
        <v>748</v>
      </c>
      <c r="BZ667" s="55">
        <v>1</v>
      </c>
      <c r="CA667" s="55">
        <v>1</v>
      </c>
      <c r="CB667" s="55" t="s">
        <v>303</v>
      </c>
      <c r="CC667" s="55" t="s">
        <v>314</v>
      </c>
      <c r="CD667" s="55">
        <v>1</v>
      </c>
      <c r="CE667" s="55" t="s">
        <v>1462</v>
      </c>
      <c r="CF667" s="55">
        <v>0</v>
      </c>
      <c r="CG667" s="55" t="s">
        <v>97</v>
      </c>
      <c r="CH667" s="55">
        <v>1</v>
      </c>
      <c r="CI667" s="55" t="s">
        <v>1465</v>
      </c>
      <c r="CJ667" s="55" t="s">
        <v>98</v>
      </c>
      <c r="CK667" s="55">
        <v>179</v>
      </c>
      <c r="CL667" s="55">
        <v>0</v>
      </c>
      <c r="CM667" s="55">
        <v>0</v>
      </c>
      <c r="CN667" s="55" t="s">
        <v>99</v>
      </c>
      <c r="CO667" s="55" t="s">
        <v>1501</v>
      </c>
      <c r="CP667" s="55" t="s">
        <v>100</v>
      </c>
      <c r="CQ667" s="55" t="s">
        <v>126</v>
      </c>
      <c r="CR667" s="57">
        <v>46233</v>
      </c>
      <c r="CT667" s="55" t="s">
        <v>934</v>
      </c>
    </row>
    <row r="668" spans="1:98" s="55" customFormat="1" x14ac:dyDescent="0.35">
      <c r="A668" s="54" t="s">
        <v>1459</v>
      </c>
      <c r="B668" s="54" t="s">
        <v>1497</v>
      </c>
      <c r="C668" s="55" t="s">
        <v>1460</v>
      </c>
      <c r="D668" s="55">
        <v>2022</v>
      </c>
      <c r="E668" s="60" t="s">
        <v>1461</v>
      </c>
      <c r="F668" s="54" t="s">
        <v>998</v>
      </c>
      <c r="G668" s="55" t="s">
        <v>78</v>
      </c>
      <c r="H668" s="55">
        <v>1</v>
      </c>
      <c r="I668" s="55" t="s">
        <v>290</v>
      </c>
      <c r="J668" s="55" t="s">
        <v>79</v>
      </c>
      <c r="K668" s="55">
        <v>81</v>
      </c>
      <c r="L668" s="55" t="s">
        <v>104</v>
      </c>
      <c r="M668" s="55" t="s">
        <v>380</v>
      </c>
      <c r="N668" s="55">
        <f>-0.0152+0.0062</f>
        <v>-9.0000000000000011E-3</v>
      </c>
      <c r="O668" s="55" t="s">
        <v>312</v>
      </c>
      <c r="P668" s="88" t="s">
        <v>312</v>
      </c>
      <c r="Q668" s="55" t="s">
        <v>312</v>
      </c>
      <c r="R668" s="88" t="s">
        <v>312</v>
      </c>
      <c r="S668" s="88" t="s">
        <v>312</v>
      </c>
      <c r="T668" s="55" t="s">
        <v>312</v>
      </c>
      <c r="U668" s="55" t="s">
        <v>312</v>
      </c>
      <c r="V668" s="55" t="s">
        <v>312</v>
      </c>
      <c r="W668" s="55" t="s">
        <v>312</v>
      </c>
      <c r="X668" s="55" t="str">
        <f t="shared" si="274"/>
        <v>NA</v>
      </c>
      <c r="Y668" s="88" t="s">
        <v>312</v>
      </c>
      <c r="Z668" s="88" t="s">
        <v>312</v>
      </c>
      <c r="AA668" s="88" t="s">
        <v>312</v>
      </c>
      <c r="AB668" s="55" t="s">
        <v>312</v>
      </c>
      <c r="AC668" s="88">
        <f t="shared" si="272"/>
        <v>-9.131400000000002E-2</v>
      </c>
      <c r="AD668" s="88" cm="1">
        <f t="array" ref="AD668">_xlfn.IFS(
AND(L668="marginal_effect",M668="level"),N668*AN668/BF668,
AND(L668="marginal_effect",M668="sd (Y)"),N668*BI668*AN668/BF668,
AND(L668="marginal_effect",M668="sd (X)"),N668/AQ668*AN668/BF668,
AND(L668="semi_elasticity",M668="level"),N668*AN668,
AND(L668="semi_elasticity",M668="sd (Y)"),N668*AN668*BI668,
AND(L668="semi_elasticity",M668="sd (X)"),N668*AN668/AQ668,
AND(L668="level-log",M668="level"),N668/BF668,
AND(L668="level-log",M668="sd (X)"),N668/BF668/AQ668,
AND(L668="level-log",M668="sd (Y)"),N668/BF668*BI668,
AND(L668="elasticity",M668="level"),N668,
AND(L668="elasticity",M668="sd (X)"),N668/AQ668,
AND(L668="elasticity",M668="sd (Y)"),N668*BI668,
AND(L668="marginal_effect",M668="percent_of_mean"),N668*AN668/BF668/10)</f>
        <v>-9.131400000000002E-2</v>
      </c>
      <c r="AE668" s="56">
        <f t="shared" si="275"/>
        <v>1</v>
      </c>
      <c r="AF668" s="88" t="s">
        <v>312</v>
      </c>
      <c r="AG668" s="88" t="s">
        <v>312</v>
      </c>
      <c r="AH668" s="56" t="s">
        <v>312</v>
      </c>
      <c r="AI668" s="88">
        <f t="shared" si="271"/>
        <v>-9.131400000000002E-2</v>
      </c>
      <c r="AJ668" s="55">
        <v>0</v>
      </c>
      <c r="AK668" s="55" t="s">
        <v>312</v>
      </c>
      <c r="AL668" s="55" t="s">
        <v>148</v>
      </c>
      <c r="AM668" s="55" t="s">
        <v>1466</v>
      </c>
      <c r="AN668" s="55">
        <v>10.146000000000001</v>
      </c>
      <c r="AO668" s="55">
        <v>1</v>
      </c>
      <c r="AP668" s="55">
        <f t="shared" si="270"/>
        <v>101.46000000000001</v>
      </c>
      <c r="AQ668" s="55">
        <v>48.17</v>
      </c>
      <c r="AR668" s="55">
        <v>18</v>
      </c>
      <c r="AS668" s="55">
        <v>300</v>
      </c>
      <c r="AT668" s="55" t="s">
        <v>83</v>
      </c>
      <c r="AU668" s="55" t="s">
        <v>109</v>
      </c>
      <c r="AV668" s="55" t="s">
        <v>133</v>
      </c>
      <c r="AW668" s="55" t="s">
        <v>109</v>
      </c>
      <c r="AX668" s="55" t="s">
        <v>86</v>
      </c>
      <c r="AY668" s="55">
        <v>0</v>
      </c>
      <c r="AZ668" s="55">
        <v>0</v>
      </c>
      <c r="BA668" s="55" t="s">
        <v>87</v>
      </c>
      <c r="BB668" s="55" t="s">
        <v>88</v>
      </c>
      <c r="BC668" s="55" t="s">
        <v>89</v>
      </c>
      <c r="BD668" s="55" t="s">
        <v>90</v>
      </c>
      <c r="BE668" s="55" t="s">
        <v>1458</v>
      </c>
      <c r="BF668" s="55">
        <v>101.57</v>
      </c>
      <c r="BG668" s="55">
        <v>1</v>
      </c>
      <c r="BH668" s="55">
        <v>65.849999999999994</v>
      </c>
      <c r="BI668" s="55">
        <v>5</v>
      </c>
      <c r="BJ668" s="55">
        <v>430</v>
      </c>
      <c r="BK668" s="55" t="s">
        <v>91</v>
      </c>
      <c r="BL668" s="55" t="s">
        <v>84</v>
      </c>
      <c r="BM668" s="55">
        <v>1</v>
      </c>
      <c r="BN668" s="55" t="s">
        <v>428</v>
      </c>
      <c r="BO668" s="60" t="s">
        <v>1463</v>
      </c>
      <c r="BP668" s="55" t="s">
        <v>1464</v>
      </c>
      <c r="BQ668" s="55" t="s">
        <v>117</v>
      </c>
      <c r="BR668" s="55" t="s">
        <v>134</v>
      </c>
      <c r="BS668" s="55">
        <v>29.22</v>
      </c>
      <c r="BT668" s="55">
        <v>0.01</v>
      </c>
      <c r="BU668" s="57">
        <v>42552</v>
      </c>
      <c r="BV668" s="57">
        <v>42643</v>
      </c>
      <c r="BW668" s="55" t="s">
        <v>94</v>
      </c>
      <c r="BX668" s="55" t="s">
        <v>95</v>
      </c>
      <c r="BY668" s="55" t="s">
        <v>748</v>
      </c>
      <c r="BZ668" s="55">
        <v>1</v>
      </c>
      <c r="CA668" s="55">
        <v>1</v>
      </c>
      <c r="CB668" s="55" t="s">
        <v>303</v>
      </c>
      <c r="CC668" s="55" t="s">
        <v>314</v>
      </c>
      <c r="CD668" s="55">
        <v>1</v>
      </c>
      <c r="CE668" s="55" t="s">
        <v>1462</v>
      </c>
      <c r="CF668" s="55">
        <v>0</v>
      </c>
      <c r="CG668" s="55" t="s">
        <v>97</v>
      </c>
      <c r="CH668" s="55">
        <v>1</v>
      </c>
      <c r="CI668" s="55" t="s">
        <v>1465</v>
      </c>
      <c r="CJ668" s="55" t="s">
        <v>98</v>
      </c>
      <c r="CK668" s="55">
        <v>179</v>
      </c>
      <c r="CL668" s="55">
        <v>0</v>
      </c>
      <c r="CM668" s="55">
        <v>0</v>
      </c>
      <c r="CN668" s="55" t="s">
        <v>99</v>
      </c>
      <c r="CO668" s="55" t="s">
        <v>943</v>
      </c>
      <c r="CP668" s="55" t="s">
        <v>100</v>
      </c>
      <c r="CQ668" s="55" t="s">
        <v>126</v>
      </c>
      <c r="CR668" s="57">
        <v>46233</v>
      </c>
      <c r="CT668" s="55" t="s">
        <v>935</v>
      </c>
    </row>
    <row r="669" spans="1:98" s="55" customFormat="1" x14ac:dyDescent="0.35">
      <c r="A669" s="54" t="s">
        <v>1459</v>
      </c>
      <c r="B669" s="54" t="s">
        <v>1498</v>
      </c>
      <c r="C669" s="55" t="s">
        <v>1460</v>
      </c>
      <c r="D669" s="55">
        <v>2022</v>
      </c>
      <c r="E669" s="60" t="s">
        <v>1461</v>
      </c>
      <c r="F669" s="54" t="s">
        <v>998</v>
      </c>
      <c r="G669" s="55" t="s">
        <v>78</v>
      </c>
      <c r="H669" s="55">
        <v>1</v>
      </c>
      <c r="I669" s="55" t="s">
        <v>290</v>
      </c>
      <c r="J669" s="55" t="s">
        <v>79</v>
      </c>
      <c r="K669" s="55">
        <v>81</v>
      </c>
      <c r="L669" s="55" t="s">
        <v>104</v>
      </c>
      <c r="M669" s="55" t="s">
        <v>380</v>
      </c>
      <c r="N669" s="55">
        <v>-1.52E-2</v>
      </c>
      <c r="O669" s="55">
        <v>4.3E-3</v>
      </c>
      <c r="P669" s="88">
        <f>N669/O669</f>
        <v>-3.5348837209302326</v>
      </c>
      <c r="Q669" s="55" t="s">
        <v>312</v>
      </c>
      <c r="R669" s="88">
        <f>N669-1.96*O669</f>
        <v>-2.3628E-2</v>
      </c>
      <c r="S669" s="88">
        <f>N669+1.96*O669</f>
        <v>-6.7720000000000002E-3</v>
      </c>
      <c r="T669" s="55">
        <v>1</v>
      </c>
      <c r="U669" s="55" t="s">
        <v>312</v>
      </c>
      <c r="V669" s="55" t="s">
        <v>312</v>
      </c>
      <c r="W669" s="55" t="s">
        <v>312</v>
      </c>
      <c r="X669" s="55" t="str">
        <f t="shared" si="274"/>
        <v>NA</v>
      </c>
      <c r="Y669" s="88" t="s">
        <v>312</v>
      </c>
      <c r="Z669" s="88" t="s">
        <v>312</v>
      </c>
      <c r="AA669" s="88" t="s">
        <v>312</v>
      </c>
      <c r="AB669" s="55" t="s">
        <v>81</v>
      </c>
      <c r="AC669" s="88">
        <f t="shared" si="272"/>
        <v>-0.1542192</v>
      </c>
      <c r="AD669" s="88" cm="1">
        <f t="array" ref="AD669">_xlfn.IFS(
AND(L669="marginal_effect",M669="level"),N669*AN669/BF669,
AND(L669="marginal_effect",M669="sd (Y)"),N669*BI669*AN669/BF669,
AND(L669="marginal_effect",M669="sd (X)"),N669/AQ669*AN669/BF669,
AND(L669="semi_elasticity",M669="level"),N669*AN669,
AND(L669="semi_elasticity",M669="sd (Y)"),N669*AN669*BI669,
AND(L669="semi_elasticity",M669="sd (X)"),N669*AN669/AQ669,
AND(L669="level-log",M669="level"),N669/BF669,
AND(L669="level-log",M669="sd (X)"),N669/BF669/AQ669,
AND(L669="level-log",M669="sd (Y)"),N669/BF669*BI669,
AND(L669="elasticity",M669="level"),N669,
AND(L669="elasticity",M669="sd (X)"),N669/AQ669,
AND(L669="elasticity",M669="sd (Y)"),N669*BI669,
AND(L669="marginal_effect",M669="percent_of_mean"),N669*AN669/BF669/10)</f>
        <v>-0.1542192</v>
      </c>
      <c r="AE669" s="56">
        <f t="shared" si="275"/>
        <v>1</v>
      </c>
      <c r="AF669" s="88">
        <f>O669*AN669</f>
        <v>4.3627800000000001E-2</v>
      </c>
      <c r="AG669" s="88" cm="1">
        <f t="array" ref="AG669">_xlfn.IFS(
AND(L669="marginal_effect",M669="level"),O669*AN669/BF669,
AND(L669="marginal_effect",M669="sd (Y)"),O669*BI669*AN669/BF669,
AND(L669="marginal_effect",M669="sd (X)"),O669/AQ669*AN669/BF669,
AND(L669="semi_elasticity",M669="level"),O669*AN669,
AND(L669="semi_elasticity",M669="sd (Y)"),O669*AN669*BI669,
AND(L669="semi_elasticity",M669="sd (X)"),O669*AN669/AQ669,
AND(L669="level-log",M669="level"),O669/BF669,
AND(L669="level-log",M669="sd (X)"),O669/BF669/AQ669,
AND(L669="level-log",M669="sd (Y)"),O669/BF669*BI669,
AND(L669="elasticity",M669="level"),O669,
AND(L669="elasticity",M669="sd (X)"),O669/AQ669,
AND(L669="elasticity",M669="sd (Y)"),O669*BI669,
AND(L669="marginal_effect",M669="percent_of_mean"),O669*AN669/BF669/10)</f>
        <v>4.3627800000000001E-2</v>
      </c>
      <c r="AH669" s="56">
        <f>IF(AF669=AG669,1,0)</f>
        <v>1</v>
      </c>
      <c r="AI669" s="88">
        <f t="shared" si="271"/>
        <v>-0.1542192</v>
      </c>
      <c r="AJ669" s="55">
        <v>0</v>
      </c>
      <c r="AK669" s="55">
        <f>IF(P669=(AC669/AF669),1,0)</f>
        <v>1</v>
      </c>
      <c r="AL669" s="55" t="s">
        <v>148</v>
      </c>
      <c r="AM669" s="55" t="s">
        <v>1466</v>
      </c>
      <c r="AN669" s="55">
        <v>10.146000000000001</v>
      </c>
      <c r="AO669" s="55">
        <v>1</v>
      </c>
      <c r="AP669" s="55">
        <f t="shared" ref="AP669:AP700" si="277">AN669*10</f>
        <v>101.46000000000001</v>
      </c>
      <c r="AQ669" s="55">
        <v>48.17</v>
      </c>
      <c r="AR669" s="55">
        <v>18</v>
      </c>
      <c r="AS669" s="55">
        <v>300</v>
      </c>
      <c r="AT669" s="55" t="s">
        <v>83</v>
      </c>
      <c r="AU669" s="55" t="s">
        <v>109</v>
      </c>
      <c r="AV669" s="55" t="s">
        <v>133</v>
      </c>
      <c r="AW669" s="55" t="s">
        <v>109</v>
      </c>
      <c r="AX669" s="55" t="s">
        <v>86</v>
      </c>
      <c r="AY669" s="55">
        <v>0</v>
      </c>
      <c r="AZ669" s="55">
        <v>0</v>
      </c>
      <c r="BA669" s="55" t="s">
        <v>87</v>
      </c>
      <c r="BB669" s="55" t="s">
        <v>88</v>
      </c>
      <c r="BC669" s="55" t="s">
        <v>89</v>
      </c>
      <c r="BD669" s="55" t="s">
        <v>90</v>
      </c>
      <c r="BE669" s="55" t="s">
        <v>1458</v>
      </c>
      <c r="BF669" s="55">
        <v>101.57</v>
      </c>
      <c r="BG669" s="55">
        <v>1</v>
      </c>
      <c r="BH669" s="55">
        <v>65.849999999999994</v>
      </c>
      <c r="BI669" s="55">
        <v>5</v>
      </c>
      <c r="BJ669" s="55">
        <v>430</v>
      </c>
      <c r="BK669" s="55" t="s">
        <v>91</v>
      </c>
      <c r="BL669" s="55" t="s">
        <v>84</v>
      </c>
      <c r="BM669" s="55">
        <v>1</v>
      </c>
      <c r="BN669" s="55" t="s">
        <v>428</v>
      </c>
      <c r="BO669" s="60" t="s">
        <v>1463</v>
      </c>
      <c r="BP669" s="55" t="s">
        <v>1464</v>
      </c>
      <c r="BQ669" s="55" t="s">
        <v>117</v>
      </c>
      <c r="BR669" s="55" t="s">
        <v>134</v>
      </c>
      <c r="BS669" s="55">
        <v>29.22</v>
      </c>
      <c r="BT669" s="55">
        <v>0.01</v>
      </c>
      <c r="BU669" s="57">
        <v>42552</v>
      </c>
      <c r="BV669" s="57">
        <v>42643</v>
      </c>
      <c r="BW669" s="55" t="s">
        <v>94</v>
      </c>
      <c r="BX669" s="55" t="s">
        <v>95</v>
      </c>
      <c r="BY669" s="55" t="s">
        <v>748</v>
      </c>
      <c r="BZ669" s="55">
        <v>1</v>
      </c>
      <c r="CA669" s="55">
        <v>1</v>
      </c>
      <c r="CB669" s="55" t="s">
        <v>303</v>
      </c>
      <c r="CC669" s="55" t="s">
        <v>314</v>
      </c>
      <c r="CD669" s="55">
        <v>1</v>
      </c>
      <c r="CE669" s="55" t="s">
        <v>1462</v>
      </c>
      <c r="CF669" s="55">
        <v>0</v>
      </c>
      <c r="CG669" s="55" t="s">
        <v>97</v>
      </c>
      <c r="CH669" s="55">
        <v>1</v>
      </c>
      <c r="CI669" s="55" t="s">
        <v>1465</v>
      </c>
      <c r="CJ669" s="55" t="s">
        <v>98</v>
      </c>
      <c r="CK669" s="55">
        <v>179</v>
      </c>
      <c r="CL669" s="55">
        <v>0</v>
      </c>
      <c r="CM669" s="55">
        <v>0</v>
      </c>
      <c r="CN669" s="55" t="s">
        <v>99</v>
      </c>
      <c r="CO669" s="55" t="s">
        <v>943</v>
      </c>
      <c r="CP669" s="55" t="s">
        <v>100</v>
      </c>
      <c r="CQ669" s="55" t="s">
        <v>126</v>
      </c>
      <c r="CR669" s="57">
        <v>46233</v>
      </c>
      <c r="CT669" s="55" t="s">
        <v>935</v>
      </c>
    </row>
    <row r="670" spans="1:98" s="55" customFormat="1" x14ac:dyDescent="0.35">
      <c r="A670" s="54" t="s">
        <v>1459</v>
      </c>
      <c r="B670" s="54" t="s">
        <v>1499</v>
      </c>
      <c r="C670" s="55" t="s">
        <v>1460</v>
      </c>
      <c r="D670" s="55">
        <v>2022</v>
      </c>
      <c r="E670" s="60" t="s">
        <v>1461</v>
      </c>
      <c r="F670" s="54" t="s">
        <v>998</v>
      </c>
      <c r="G670" s="55" t="s">
        <v>78</v>
      </c>
      <c r="H670" s="55">
        <v>1</v>
      </c>
      <c r="I670" s="55" t="s">
        <v>290</v>
      </c>
      <c r="J670" s="55" t="s">
        <v>79</v>
      </c>
      <c r="K670" s="55">
        <v>81</v>
      </c>
      <c r="L670" s="55" t="s">
        <v>104</v>
      </c>
      <c r="M670" s="55" t="s">
        <v>380</v>
      </c>
      <c r="N670" s="55">
        <f>-0.0151+0.213</f>
        <v>0.19789999999999999</v>
      </c>
      <c r="O670" s="55" t="s">
        <v>312</v>
      </c>
      <c r="P670" s="88" t="s">
        <v>312</v>
      </c>
      <c r="Q670" s="55" t="s">
        <v>312</v>
      </c>
      <c r="R670" s="88" t="s">
        <v>312</v>
      </c>
      <c r="S670" s="88" t="s">
        <v>312</v>
      </c>
      <c r="T670" s="55" t="s">
        <v>312</v>
      </c>
      <c r="U670" s="55" t="s">
        <v>312</v>
      </c>
      <c r="V670" s="55" t="s">
        <v>312</v>
      </c>
      <c r="W670" s="55" t="s">
        <v>312</v>
      </c>
      <c r="X670" s="55" t="str">
        <f t="shared" si="274"/>
        <v>NA</v>
      </c>
      <c r="Y670" s="88" t="s">
        <v>312</v>
      </c>
      <c r="Z670" s="88" t="s">
        <v>312</v>
      </c>
      <c r="AA670" s="88" t="s">
        <v>312</v>
      </c>
      <c r="AB670" s="55" t="s">
        <v>312</v>
      </c>
      <c r="AC670" s="88">
        <f t="shared" si="272"/>
        <v>2.0078933999999999</v>
      </c>
      <c r="AD670" s="88" cm="1">
        <f t="array" ref="AD670">_xlfn.IFS(
AND(L670="marginal_effect",M670="level"),N670*AN670/BF670,
AND(L670="marginal_effect",M670="sd (Y)"),N670*BI670*AN670/BF670,
AND(L670="marginal_effect",M670="sd (X)"),N670/AQ670*AN670/BF670,
AND(L670="semi_elasticity",M670="level"),N670*AN670,
AND(L670="semi_elasticity",M670="sd (Y)"),N670*AN670*BI670,
AND(L670="semi_elasticity",M670="sd (X)"),N670*AN670/AQ670,
AND(L670="level-log",M670="level"),N670/BF670,
AND(L670="level-log",M670="sd (X)"),N670/BF670/AQ670,
AND(L670="level-log",M670="sd (Y)"),N670/BF670*BI670,
AND(L670="elasticity",M670="level"),N670,
AND(L670="elasticity",M670="sd (X)"),N670/AQ670,
AND(L670="elasticity",M670="sd (Y)"),N670*BI670,
AND(L670="marginal_effect",M670="percent_of_mean"),N670*AN670/BF670/10)</f>
        <v>2.0078933999999999</v>
      </c>
      <c r="AE670" s="56">
        <f t="shared" si="275"/>
        <v>1</v>
      </c>
      <c r="AF670" s="88" t="s">
        <v>312</v>
      </c>
      <c r="AG670" s="88" t="s">
        <v>312</v>
      </c>
      <c r="AH670" s="56" t="s">
        <v>312</v>
      </c>
      <c r="AI670" s="88">
        <f t="shared" si="271"/>
        <v>2.0078933999999999</v>
      </c>
      <c r="AJ670" s="55">
        <v>0</v>
      </c>
      <c r="AK670" s="55" t="s">
        <v>312</v>
      </c>
      <c r="AL670" s="55" t="s">
        <v>148</v>
      </c>
      <c r="AM670" s="55" t="s">
        <v>1466</v>
      </c>
      <c r="AN670" s="55">
        <v>10.146000000000001</v>
      </c>
      <c r="AO670" s="55">
        <v>1</v>
      </c>
      <c r="AP670" s="55">
        <f t="shared" si="277"/>
        <v>101.46000000000001</v>
      </c>
      <c r="AQ670" s="55">
        <v>48.17</v>
      </c>
      <c r="AR670" s="55">
        <v>18</v>
      </c>
      <c r="AS670" s="55">
        <v>300</v>
      </c>
      <c r="AT670" s="55" t="s">
        <v>83</v>
      </c>
      <c r="AU670" s="55" t="s">
        <v>109</v>
      </c>
      <c r="AV670" s="55" t="s">
        <v>133</v>
      </c>
      <c r="AW670" s="55" t="s">
        <v>109</v>
      </c>
      <c r="AX670" s="55" t="s">
        <v>86</v>
      </c>
      <c r="AY670" s="55">
        <v>0</v>
      </c>
      <c r="AZ670" s="55">
        <v>0</v>
      </c>
      <c r="BA670" s="55" t="s">
        <v>87</v>
      </c>
      <c r="BB670" s="55" t="s">
        <v>88</v>
      </c>
      <c r="BC670" s="55" t="s">
        <v>89</v>
      </c>
      <c r="BD670" s="55" t="s">
        <v>90</v>
      </c>
      <c r="BE670" s="55" t="s">
        <v>1458</v>
      </c>
      <c r="BF670" s="55">
        <v>101.57</v>
      </c>
      <c r="BG670" s="55">
        <v>1</v>
      </c>
      <c r="BH670" s="55">
        <v>65.849999999999994</v>
      </c>
      <c r="BI670" s="55">
        <v>5</v>
      </c>
      <c r="BJ670" s="55">
        <v>430</v>
      </c>
      <c r="BK670" s="55" t="s">
        <v>91</v>
      </c>
      <c r="BL670" s="55" t="s">
        <v>84</v>
      </c>
      <c r="BM670" s="55">
        <v>1</v>
      </c>
      <c r="BN670" s="55" t="s">
        <v>428</v>
      </c>
      <c r="BO670" s="60" t="s">
        <v>1463</v>
      </c>
      <c r="BP670" s="55" t="s">
        <v>1464</v>
      </c>
      <c r="BQ670" s="55" t="s">
        <v>117</v>
      </c>
      <c r="BR670" s="55" t="s">
        <v>134</v>
      </c>
      <c r="BS670" s="55">
        <v>29.22</v>
      </c>
      <c r="BT670" s="55">
        <v>0.01</v>
      </c>
      <c r="BU670" s="57">
        <v>42552</v>
      </c>
      <c r="BV670" s="57">
        <v>42643</v>
      </c>
      <c r="BW670" s="55" t="s">
        <v>94</v>
      </c>
      <c r="BX670" s="55" t="s">
        <v>95</v>
      </c>
      <c r="BY670" s="55" t="s">
        <v>748</v>
      </c>
      <c r="BZ670" s="55">
        <v>1</v>
      </c>
      <c r="CA670" s="55">
        <v>1</v>
      </c>
      <c r="CB670" s="55" t="s">
        <v>303</v>
      </c>
      <c r="CC670" s="55" t="s">
        <v>314</v>
      </c>
      <c r="CD670" s="55">
        <v>1</v>
      </c>
      <c r="CE670" s="55" t="s">
        <v>1462</v>
      </c>
      <c r="CF670" s="55">
        <v>0</v>
      </c>
      <c r="CG670" s="55" t="s">
        <v>97</v>
      </c>
      <c r="CH670" s="55">
        <v>1</v>
      </c>
      <c r="CI670" s="55" t="s">
        <v>1465</v>
      </c>
      <c r="CJ670" s="55" t="s">
        <v>98</v>
      </c>
      <c r="CK670" s="55">
        <v>179</v>
      </c>
      <c r="CL670" s="55">
        <v>0</v>
      </c>
      <c r="CM670" s="55">
        <v>0</v>
      </c>
      <c r="CN670" s="55" t="s">
        <v>99</v>
      </c>
      <c r="CO670" s="55" t="s">
        <v>947</v>
      </c>
      <c r="CP670" s="55" t="s">
        <v>100</v>
      </c>
      <c r="CQ670" s="55" t="s">
        <v>126</v>
      </c>
      <c r="CR670" s="57">
        <v>46233</v>
      </c>
      <c r="CT670" s="55" t="s">
        <v>936</v>
      </c>
    </row>
    <row r="671" spans="1:98" s="55" customFormat="1" x14ac:dyDescent="0.35">
      <c r="A671" s="54" t="s">
        <v>1459</v>
      </c>
      <c r="B671" s="54" t="s">
        <v>1500</v>
      </c>
      <c r="C671" s="55" t="s">
        <v>1460</v>
      </c>
      <c r="D671" s="55">
        <v>2022</v>
      </c>
      <c r="E671" s="60" t="s">
        <v>1461</v>
      </c>
      <c r="F671" s="54" t="s">
        <v>998</v>
      </c>
      <c r="G671" s="55" t="s">
        <v>78</v>
      </c>
      <c r="H671" s="55">
        <v>1</v>
      </c>
      <c r="I671" s="55" t="s">
        <v>290</v>
      </c>
      <c r="J671" s="55" t="s">
        <v>79</v>
      </c>
      <c r="K671" s="55">
        <v>81</v>
      </c>
      <c r="L671" s="55" t="s">
        <v>104</v>
      </c>
      <c r="M671" s="55" t="s">
        <v>380</v>
      </c>
      <c r="N671" s="55">
        <v>-1.5100000000000001E-2</v>
      </c>
      <c r="O671" s="55">
        <v>4.3E-3</v>
      </c>
      <c r="P671" s="88">
        <f t="shared" ref="P671:P702" si="278">N671/O671</f>
        <v>-3.5116279069767442</v>
      </c>
      <c r="Q671" s="55" t="s">
        <v>312</v>
      </c>
      <c r="R671" s="88">
        <f t="shared" ref="R671:R702" si="279">N671-1.96*O671</f>
        <v>-2.3528E-2</v>
      </c>
      <c r="S671" s="88">
        <f t="shared" ref="S671:S702" si="280">N671+1.96*O671</f>
        <v>-6.6720000000000008E-3</v>
      </c>
      <c r="T671" s="55">
        <v>1</v>
      </c>
      <c r="U671" s="55" t="s">
        <v>312</v>
      </c>
      <c r="V671" s="55" t="s">
        <v>312</v>
      </c>
      <c r="W671" s="55" t="s">
        <v>312</v>
      </c>
      <c r="X671" s="55" t="str">
        <f t="shared" si="274"/>
        <v>NA</v>
      </c>
      <c r="Y671" s="88" t="s">
        <v>312</v>
      </c>
      <c r="Z671" s="88" t="s">
        <v>312</v>
      </c>
      <c r="AA671" s="88" t="s">
        <v>312</v>
      </c>
      <c r="AB671" s="55" t="s">
        <v>81</v>
      </c>
      <c r="AC671" s="88">
        <f t="shared" si="272"/>
        <v>-0.15320460000000002</v>
      </c>
      <c r="AD671" s="88" cm="1">
        <f t="array" ref="AD671">_xlfn.IFS(
AND(L671="marginal_effect",M671="level"),N671*AN671/BF671,
AND(L671="marginal_effect",M671="sd (Y)"),N671*BI671*AN671/BF671,
AND(L671="marginal_effect",M671="sd (X)"),N671/AQ671*AN671/BF671,
AND(L671="semi_elasticity",M671="level"),N671*AN671,
AND(L671="semi_elasticity",M671="sd (Y)"),N671*AN671*BI671,
AND(L671="semi_elasticity",M671="sd (X)"),N671*AN671/AQ671,
AND(L671="level-log",M671="level"),N671/BF671,
AND(L671="level-log",M671="sd (X)"),N671/BF671/AQ671,
AND(L671="level-log",M671="sd (Y)"),N671/BF671*BI671,
AND(L671="elasticity",M671="level"),N671,
AND(L671="elasticity",M671="sd (X)"),N671/AQ671,
AND(L671="elasticity",M671="sd (Y)"),N671*BI671,
AND(L671="marginal_effect",M671="percent_of_mean"),N671*AN671/BF671/10)</f>
        <v>-0.15320460000000002</v>
      </c>
      <c r="AE671" s="56">
        <f t="shared" si="275"/>
        <v>1</v>
      </c>
      <c r="AF671" s="88">
        <f t="shared" ref="AF671:AF710" si="281">O671*AN671</f>
        <v>4.3627800000000001E-2</v>
      </c>
      <c r="AG671" s="88" cm="1">
        <f t="array" ref="AG671">_xlfn.IFS(
AND(L671="marginal_effect",M671="level"),O671*AN671/BF671,
AND(L671="marginal_effect",M671="sd (Y)"),O671*BI671*AN671/BF671,
AND(L671="marginal_effect",M671="sd (X)"),O671/AQ671*AN671/BF671,
AND(L671="semi_elasticity",M671="level"),O671*AN671,
AND(L671="semi_elasticity",M671="sd (Y)"),O671*AN671*BI671,
AND(L671="semi_elasticity",M671="sd (X)"),O671*AN671/AQ671,
AND(L671="level-log",M671="level"),O671/BF671,
AND(L671="level-log",M671="sd (X)"),O671/BF671/AQ671,
AND(L671="level-log",M671="sd (Y)"),O671/BF671*BI671,
AND(L671="elasticity",M671="level"),O671,
AND(L671="elasticity",M671="sd (X)"),O671/AQ671,
AND(L671="elasticity",M671="sd (Y)"),O671*BI671,
AND(L671="marginal_effect",M671="percent_of_mean"),O671*AN671/BF671/10)</f>
        <v>4.3627800000000001E-2</v>
      </c>
      <c r="AH671" s="56">
        <f t="shared" ref="AH671:AH702" si="282">IF(AF671=AG671,1,0)</f>
        <v>1</v>
      </c>
      <c r="AI671" s="88">
        <f t="shared" si="271"/>
        <v>-0.15320460000000002</v>
      </c>
      <c r="AJ671" s="55">
        <v>0</v>
      </c>
      <c r="AK671" s="55">
        <f t="shared" ref="AK671:AK702" si="283">IF(P671=(AC671/AF671),1,0)</f>
        <v>1</v>
      </c>
      <c r="AL671" s="55" t="s">
        <v>148</v>
      </c>
      <c r="AM671" s="55" t="s">
        <v>1466</v>
      </c>
      <c r="AN671" s="55">
        <v>10.146000000000001</v>
      </c>
      <c r="AO671" s="55">
        <v>1</v>
      </c>
      <c r="AP671" s="55">
        <f t="shared" si="277"/>
        <v>101.46000000000001</v>
      </c>
      <c r="AQ671" s="55">
        <v>48.17</v>
      </c>
      <c r="AR671" s="55">
        <v>18</v>
      </c>
      <c r="AS671" s="55">
        <v>300</v>
      </c>
      <c r="AT671" s="55" t="s">
        <v>83</v>
      </c>
      <c r="AU671" s="55" t="s">
        <v>109</v>
      </c>
      <c r="AV671" s="55" t="s">
        <v>133</v>
      </c>
      <c r="AW671" s="55" t="s">
        <v>109</v>
      </c>
      <c r="AX671" s="55" t="s">
        <v>86</v>
      </c>
      <c r="AY671" s="55">
        <v>0</v>
      </c>
      <c r="AZ671" s="55">
        <v>0</v>
      </c>
      <c r="BA671" s="55" t="s">
        <v>87</v>
      </c>
      <c r="BB671" s="55" t="s">
        <v>88</v>
      </c>
      <c r="BC671" s="55" t="s">
        <v>89</v>
      </c>
      <c r="BD671" s="55" t="s">
        <v>90</v>
      </c>
      <c r="BE671" s="55" t="s">
        <v>1458</v>
      </c>
      <c r="BF671" s="55">
        <v>101.57</v>
      </c>
      <c r="BG671" s="55">
        <v>1</v>
      </c>
      <c r="BH671" s="55">
        <v>65.849999999999994</v>
      </c>
      <c r="BI671" s="55">
        <v>5</v>
      </c>
      <c r="BJ671" s="55">
        <v>430</v>
      </c>
      <c r="BK671" s="55" t="s">
        <v>91</v>
      </c>
      <c r="BL671" s="55" t="s">
        <v>84</v>
      </c>
      <c r="BM671" s="55">
        <v>1</v>
      </c>
      <c r="BN671" s="55" t="s">
        <v>428</v>
      </c>
      <c r="BO671" s="60" t="s">
        <v>1463</v>
      </c>
      <c r="BP671" s="55" t="s">
        <v>1464</v>
      </c>
      <c r="BQ671" s="55" t="s">
        <v>117</v>
      </c>
      <c r="BR671" s="55" t="s">
        <v>134</v>
      </c>
      <c r="BS671" s="55">
        <v>29.22</v>
      </c>
      <c r="BT671" s="55">
        <v>0.01</v>
      </c>
      <c r="BU671" s="57">
        <v>42552</v>
      </c>
      <c r="BV671" s="57">
        <v>42643</v>
      </c>
      <c r="BW671" s="55" t="s">
        <v>94</v>
      </c>
      <c r="BX671" s="55" t="s">
        <v>95</v>
      </c>
      <c r="BY671" s="55" t="s">
        <v>748</v>
      </c>
      <c r="BZ671" s="55">
        <v>1</v>
      </c>
      <c r="CA671" s="55">
        <v>1</v>
      </c>
      <c r="CB671" s="55" t="s">
        <v>303</v>
      </c>
      <c r="CC671" s="55" t="s">
        <v>314</v>
      </c>
      <c r="CD671" s="55">
        <v>1</v>
      </c>
      <c r="CE671" s="55" t="s">
        <v>1462</v>
      </c>
      <c r="CF671" s="55">
        <v>0</v>
      </c>
      <c r="CG671" s="55" t="s">
        <v>97</v>
      </c>
      <c r="CH671" s="55">
        <v>1</v>
      </c>
      <c r="CI671" s="55" t="s">
        <v>1465</v>
      </c>
      <c r="CJ671" s="55" t="s">
        <v>98</v>
      </c>
      <c r="CK671" s="55">
        <v>179</v>
      </c>
      <c r="CL671" s="55">
        <v>0</v>
      </c>
      <c r="CM671" s="55">
        <v>0</v>
      </c>
      <c r="CN671" s="55" t="s">
        <v>99</v>
      </c>
      <c r="CO671" s="55" t="s">
        <v>947</v>
      </c>
      <c r="CP671" s="55" t="s">
        <v>100</v>
      </c>
      <c r="CQ671" s="55" t="s">
        <v>126</v>
      </c>
      <c r="CR671" s="57">
        <v>46233</v>
      </c>
      <c r="CT671" s="55" t="s">
        <v>936</v>
      </c>
    </row>
    <row r="672" spans="1:98" s="55" customFormat="1" x14ac:dyDescent="0.35">
      <c r="A672" s="54" t="s">
        <v>1459</v>
      </c>
      <c r="B672" s="54" t="s">
        <v>1503</v>
      </c>
      <c r="C672" s="55" t="s">
        <v>1460</v>
      </c>
      <c r="D672" s="55">
        <v>2022</v>
      </c>
      <c r="E672" s="60" t="s">
        <v>1461</v>
      </c>
      <c r="F672" s="54" t="s">
        <v>998</v>
      </c>
      <c r="G672" s="55" t="s">
        <v>78</v>
      </c>
      <c r="H672" s="55">
        <v>1</v>
      </c>
      <c r="I672" s="55" t="s">
        <v>290</v>
      </c>
      <c r="J672" s="55" t="s">
        <v>79</v>
      </c>
      <c r="K672" s="55">
        <v>81</v>
      </c>
      <c r="L672" s="55" t="s">
        <v>104</v>
      </c>
      <c r="M672" s="55" t="s">
        <v>380</v>
      </c>
      <c r="N672" s="55">
        <v>-1.52E-2</v>
      </c>
      <c r="O672" s="55">
        <v>3.7000000000000002E-3</v>
      </c>
      <c r="P672" s="88">
        <f t="shared" si="278"/>
        <v>-4.1081081081081079</v>
      </c>
      <c r="Q672" s="55" t="s">
        <v>312</v>
      </c>
      <c r="R672" s="88">
        <f t="shared" si="279"/>
        <v>-2.2452E-2</v>
      </c>
      <c r="S672" s="88">
        <f t="shared" si="280"/>
        <v>-7.9480000000000002E-3</v>
      </c>
      <c r="T672" s="55">
        <v>1</v>
      </c>
      <c r="U672" s="55">
        <v>59474</v>
      </c>
      <c r="V672" s="55" t="s">
        <v>312</v>
      </c>
      <c r="W672" s="55" t="s">
        <v>312</v>
      </c>
      <c r="X672" s="55">
        <f t="shared" si="274"/>
        <v>59474</v>
      </c>
      <c r="Y672" s="88">
        <f t="shared" ref="Y672:Y703" si="284">P672/(P672^2 + X672)^(1/2)</f>
        <v>-1.684289262129816E-2</v>
      </c>
      <c r="Z672" s="88">
        <f t="shared" ref="Z672:Z703" si="285">((1-Y672^2)/X672)^(1/2)</f>
        <v>4.0999146512370526E-3</v>
      </c>
      <c r="AA672" s="88">
        <f t="shared" ref="AA672:AA703" si="286">-Y672</f>
        <v>1.684289262129816E-2</v>
      </c>
      <c r="AB672" s="55" t="s">
        <v>81</v>
      </c>
      <c r="AC672" s="88">
        <f t="shared" si="272"/>
        <v>-0.1542192</v>
      </c>
      <c r="AD672" s="88" cm="1">
        <f t="array" ref="AD672">_xlfn.IFS(
AND(L672="marginal_effect",M672="level"),N672*AN672/BF672,
AND(L672="marginal_effect",M672="sd (Y)"),N672*BI672*AN672/BF672,
AND(L672="marginal_effect",M672="sd (X)"),N672/AQ672*AN672/BF672,
AND(L672="semi_elasticity",M672="level"),N672*AN672,
AND(L672="semi_elasticity",M672="sd (Y)"),N672*AN672*BI672,
AND(L672="semi_elasticity",M672="sd (X)"),N672*AN672/AQ672,
AND(L672="level-log",M672="level"),N672/BF672,
AND(L672="level-log",M672="sd (X)"),N672/BF672/AQ672,
AND(L672="level-log",M672="sd (Y)"),N672/BF672*BI672,
AND(L672="elasticity",M672="level"),N672,
AND(L672="elasticity",M672="sd (X)"),N672/AQ672,
AND(L672="elasticity",M672="sd (Y)"),N672*BI672,
AND(L672="marginal_effect",M672="percent_of_mean"),N672*AN672/BF672/10)</f>
        <v>-0.1542192</v>
      </c>
      <c r="AE672" s="56">
        <f t="shared" si="275"/>
        <v>1</v>
      </c>
      <c r="AF672" s="88">
        <f t="shared" si="281"/>
        <v>3.7540200000000003E-2</v>
      </c>
      <c r="AG672" s="88" cm="1">
        <f t="array" ref="AG672">_xlfn.IFS(
AND(L672="marginal_effect",M672="level"),O672*AN672/BF672,
AND(L672="marginal_effect",M672="sd (Y)"),O672*BI672*AN672/BF672,
AND(L672="marginal_effect",M672="sd (X)"),O672/AQ672*AN672/BF672,
AND(L672="semi_elasticity",M672="level"),O672*AN672,
AND(L672="semi_elasticity",M672="sd (Y)"),O672*AN672*BI672,
AND(L672="semi_elasticity",M672="sd (X)"),O672*AN672/AQ672,
AND(L672="level-log",M672="level"),O672/BF672,
AND(L672="level-log",M672="sd (X)"),O672/BF672/AQ672,
AND(L672="level-log",M672="sd (Y)"),O672/BF672*BI672,
AND(L672="elasticity",M672="level"),O672,
AND(L672="elasticity",M672="sd (X)"),O672/AQ672,
AND(L672="elasticity",M672="sd (Y)"),O672*BI672,
AND(L672="marginal_effect",M672="percent_of_mean"),O672*AN672/BF672/10)</f>
        <v>3.7540200000000003E-2</v>
      </c>
      <c r="AH672" s="56">
        <f t="shared" si="282"/>
        <v>1</v>
      </c>
      <c r="AI672" s="88">
        <f t="shared" si="271"/>
        <v>-0.1542192</v>
      </c>
      <c r="AJ672" s="55">
        <v>0</v>
      </c>
      <c r="AK672" s="55">
        <f t="shared" si="283"/>
        <v>1</v>
      </c>
      <c r="AL672" s="55" t="s">
        <v>148</v>
      </c>
      <c r="AM672" s="55" t="s">
        <v>1466</v>
      </c>
      <c r="AN672" s="55">
        <v>10.146000000000001</v>
      </c>
      <c r="AO672" s="55">
        <v>1</v>
      </c>
      <c r="AP672" s="55">
        <f t="shared" si="277"/>
        <v>101.46000000000001</v>
      </c>
      <c r="AQ672" s="55">
        <v>48.17</v>
      </c>
      <c r="AR672" s="55">
        <v>18</v>
      </c>
      <c r="AS672" s="55">
        <v>300</v>
      </c>
      <c r="AT672" s="55" t="s">
        <v>83</v>
      </c>
      <c r="AU672" s="55" t="s">
        <v>109</v>
      </c>
      <c r="AV672" s="55" t="s">
        <v>133</v>
      </c>
      <c r="AW672" s="55" t="s">
        <v>109</v>
      </c>
      <c r="AX672" s="55" t="s">
        <v>86</v>
      </c>
      <c r="AY672" s="55">
        <v>0</v>
      </c>
      <c r="AZ672" s="55">
        <v>0</v>
      </c>
      <c r="BA672" s="55" t="s">
        <v>87</v>
      </c>
      <c r="BB672" s="55" t="s">
        <v>88</v>
      </c>
      <c r="BC672" s="55" t="s">
        <v>89</v>
      </c>
      <c r="BD672" s="55" t="s">
        <v>90</v>
      </c>
      <c r="BE672" s="55" t="s">
        <v>1458</v>
      </c>
      <c r="BF672" s="55">
        <v>101.57</v>
      </c>
      <c r="BG672" s="55">
        <v>1</v>
      </c>
      <c r="BH672" s="55">
        <v>65.849999999999994</v>
      </c>
      <c r="BI672" s="55">
        <v>5</v>
      </c>
      <c r="BJ672" s="55">
        <v>430</v>
      </c>
      <c r="BK672" s="55" t="s">
        <v>91</v>
      </c>
      <c r="BL672" s="55" t="s">
        <v>84</v>
      </c>
      <c r="BM672" s="55">
        <v>1</v>
      </c>
      <c r="BN672" s="55" t="s">
        <v>428</v>
      </c>
      <c r="BO672" s="60" t="s">
        <v>1463</v>
      </c>
      <c r="BP672" s="55" t="s">
        <v>1464</v>
      </c>
      <c r="BQ672" s="55" t="s">
        <v>117</v>
      </c>
      <c r="BR672" s="55" t="s">
        <v>134</v>
      </c>
      <c r="BS672" s="55">
        <v>29.22</v>
      </c>
      <c r="BT672" s="55">
        <v>0.01</v>
      </c>
      <c r="BU672" s="57">
        <v>42552</v>
      </c>
      <c r="BV672" s="57">
        <v>42643</v>
      </c>
      <c r="BW672" s="55" t="s">
        <v>94</v>
      </c>
      <c r="BX672" s="55" t="s">
        <v>95</v>
      </c>
      <c r="BY672" s="55" t="s">
        <v>748</v>
      </c>
      <c r="BZ672" s="55">
        <v>1</v>
      </c>
      <c r="CA672" s="55">
        <v>1</v>
      </c>
      <c r="CB672" s="55" t="s">
        <v>303</v>
      </c>
      <c r="CC672" s="55" t="s">
        <v>314</v>
      </c>
      <c r="CD672" s="55">
        <v>1</v>
      </c>
      <c r="CE672" s="55" t="s">
        <v>1462</v>
      </c>
      <c r="CF672" s="55">
        <v>0</v>
      </c>
      <c r="CG672" s="55" t="s">
        <v>97</v>
      </c>
      <c r="CH672" s="55">
        <v>1</v>
      </c>
      <c r="CI672" s="55" t="s">
        <v>1465</v>
      </c>
      <c r="CJ672" s="55" t="s">
        <v>98</v>
      </c>
      <c r="CK672" s="55">
        <v>179</v>
      </c>
      <c r="CL672" s="55">
        <v>0</v>
      </c>
      <c r="CM672" s="55">
        <v>0</v>
      </c>
      <c r="CN672" s="55" t="s">
        <v>99</v>
      </c>
      <c r="CO672" s="55" t="s">
        <v>1318</v>
      </c>
      <c r="CP672" s="55" t="s">
        <v>100</v>
      </c>
      <c r="CQ672" s="55" t="s">
        <v>126</v>
      </c>
      <c r="CR672" s="57">
        <v>46233</v>
      </c>
      <c r="CT672" s="55" t="s">
        <v>1505</v>
      </c>
    </row>
    <row r="673" spans="1:98" s="55" customFormat="1" x14ac:dyDescent="0.35">
      <c r="A673" s="54" t="s">
        <v>1459</v>
      </c>
      <c r="B673" s="54" t="s">
        <v>1502</v>
      </c>
      <c r="C673" s="55" t="s">
        <v>1460</v>
      </c>
      <c r="D673" s="55">
        <v>2022</v>
      </c>
      <c r="E673" s="60" t="s">
        <v>1461</v>
      </c>
      <c r="F673" s="54" t="s">
        <v>998</v>
      </c>
      <c r="G673" s="55" t="s">
        <v>78</v>
      </c>
      <c r="H673" s="55">
        <v>1</v>
      </c>
      <c r="I673" s="55" t="s">
        <v>290</v>
      </c>
      <c r="J673" s="55" t="s">
        <v>79</v>
      </c>
      <c r="K673" s="55">
        <v>81</v>
      </c>
      <c r="L673" s="55" t="s">
        <v>104</v>
      </c>
      <c r="M673" s="55" t="s">
        <v>380</v>
      </c>
      <c r="N673" s="55">
        <v>-1.3599999999999999E-2</v>
      </c>
      <c r="O673" s="55">
        <v>3.0999999999999999E-3</v>
      </c>
      <c r="P673" s="88">
        <f t="shared" si="278"/>
        <v>-4.387096774193548</v>
      </c>
      <c r="Q673" s="55" t="s">
        <v>312</v>
      </c>
      <c r="R673" s="88">
        <f t="shared" si="279"/>
        <v>-1.9675999999999999E-2</v>
      </c>
      <c r="S673" s="88">
        <f t="shared" si="280"/>
        <v>-7.5239999999999994E-3</v>
      </c>
      <c r="T673" s="55">
        <v>1</v>
      </c>
      <c r="U673" s="55">
        <v>59266</v>
      </c>
      <c r="V673" s="55" t="s">
        <v>312</v>
      </c>
      <c r="W673" s="55" t="s">
        <v>312</v>
      </c>
      <c r="X673" s="55">
        <f t="shared" si="274"/>
        <v>59266</v>
      </c>
      <c r="Y673" s="88">
        <f t="shared" si="284"/>
        <v>-1.8017888669378472E-2</v>
      </c>
      <c r="Z673" s="88">
        <f t="shared" si="285"/>
        <v>4.1070187408142108E-3</v>
      </c>
      <c r="AA673" s="88">
        <f t="shared" si="286"/>
        <v>1.8017888669378472E-2</v>
      </c>
      <c r="AB673" s="55" t="s">
        <v>81</v>
      </c>
      <c r="AC673" s="88">
        <f t="shared" si="272"/>
        <v>-0.13798560000000001</v>
      </c>
      <c r="AD673" s="88" cm="1">
        <f t="array" ref="AD673">_xlfn.IFS(
AND(L673="marginal_effect",M673="level"),N673*AN673/BF673,
AND(L673="marginal_effect",M673="sd (Y)"),N673*BI673*AN673/BF673,
AND(L673="marginal_effect",M673="sd (X)"),N673/AQ673*AN673/BF673,
AND(L673="semi_elasticity",M673="level"),N673*AN673,
AND(L673="semi_elasticity",M673="sd (Y)"),N673*AN673*BI673,
AND(L673="semi_elasticity",M673="sd (X)"),N673*AN673/AQ673,
AND(L673="level-log",M673="level"),N673/BF673,
AND(L673="level-log",M673="sd (X)"),N673/BF673/AQ673,
AND(L673="level-log",M673="sd (Y)"),N673/BF673*BI673,
AND(L673="elasticity",M673="level"),N673,
AND(L673="elasticity",M673="sd (X)"),N673/AQ673,
AND(L673="elasticity",M673="sd (Y)"),N673*BI673,
AND(L673="marginal_effect",M673="percent_of_mean"),N673*AN673/BF673/10)</f>
        <v>-0.13798560000000001</v>
      </c>
      <c r="AE673" s="56">
        <f t="shared" si="275"/>
        <v>1</v>
      </c>
      <c r="AF673" s="88">
        <f t="shared" si="281"/>
        <v>3.1452600000000004E-2</v>
      </c>
      <c r="AG673" s="88" cm="1">
        <f t="array" ref="AG673">_xlfn.IFS(
AND(L673="marginal_effect",M673="level"),O673*AN673/BF673,
AND(L673="marginal_effect",M673="sd (Y)"),O673*BI673*AN673/BF673,
AND(L673="marginal_effect",M673="sd (X)"),O673/AQ673*AN673/BF673,
AND(L673="semi_elasticity",M673="level"),O673*AN673,
AND(L673="semi_elasticity",M673="sd (Y)"),O673*AN673*BI673,
AND(L673="semi_elasticity",M673="sd (X)"),O673*AN673/AQ673,
AND(L673="level-log",M673="level"),O673/BF673,
AND(L673="level-log",M673="sd (X)"),O673/BF673/AQ673,
AND(L673="level-log",M673="sd (Y)"),O673/BF673*BI673,
AND(L673="elasticity",M673="level"),O673,
AND(L673="elasticity",M673="sd (X)"),O673/AQ673,
AND(L673="elasticity",M673="sd (Y)"),O673*BI673,
AND(L673="marginal_effect",M673="percent_of_mean"),O673*AN673/BF673/10)</f>
        <v>3.1452600000000004E-2</v>
      </c>
      <c r="AH673" s="56">
        <f t="shared" si="282"/>
        <v>1</v>
      </c>
      <c r="AI673" s="88">
        <f t="shared" si="271"/>
        <v>-0.13798560000000001</v>
      </c>
      <c r="AJ673" s="55">
        <v>0</v>
      </c>
      <c r="AK673" s="55">
        <f t="shared" si="283"/>
        <v>1</v>
      </c>
      <c r="AL673" s="55" t="s">
        <v>148</v>
      </c>
      <c r="AM673" s="55" t="s">
        <v>1466</v>
      </c>
      <c r="AN673" s="55">
        <v>10.146000000000001</v>
      </c>
      <c r="AO673" s="55">
        <v>1</v>
      </c>
      <c r="AP673" s="55">
        <f t="shared" si="277"/>
        <v>101.46000000000001</v>
      </c>
      <c r="AQ673" s="55">
        <v>48.17</v>
      </c>
      <c r="AR673" s="55">
        <v>18</v>
      </c>
      <c r="AS673" s="55">
        <v>300</v>
      </c>
      <c r="AT673" s="55" t="s">
        <v>83</v>
      </c>
      <c r="AU673" s="55" t="s">
        <v>109</v>
      </c>
      <c r="AV673" s="55" t="s">
        <v>133</v>
      </c>
      <c r="AW673" s="55" t="s">
        <v>109</v>
      </c>
      <c r="AX673" s="55" t="s">
        <v>86</v>
      </c>
      <c r="AY673" s="55">
        <v>0</v>
      </c>
      <c r="AZ673" s="55">
        <v>0</v>
      </c>
      <c r="BA673" s="55" t="s">
        <v>87</v>
      </c>
      <c r="BB673" s="55" t="s">
        <v>88</v>
      </c>
      <c r="BC673" s="55" t="s">
        <v>89</v>
      </c>
      <c r="BD673" s="55" t="s">
        <v>90</v>
      </c>
      <c r="BE673" s="55" t="s">
        <v>1458</v>
      </c>
      <c r="BF673" s="55">
        <v>101.57</v>
      </c>
      <c r="BG673" s="55">
        <v>1</v>
      </c>
      <c r="BH673" s="55">
        <v>65.849999999999994</v>
      </c>
      <c r="BI673" s="55">
        <v>5</v>
      </c>
      <c r="BJ673" s="55">
        <v>430</v>
      </c>
      <c r="BK673" s="55" t="s">
        <v>91</v>
      </c>
      <c r="BL673" s="55" t="s">
        <v>84</v>
      </c>
      <c r="BM673" s="55">
        <v>1</v>
      </c>
      <c r="BN673" s="55" t="s">
        <v>428</v>
      </c>
      <c r="BO673" s="60" t="s">
        <v>1463</v>
      </c>
      <c r="BP673" s="55" t="s">
        <v>1464</v>
      </c>
      <c r="BQ673" s="55" t="s">
        <v>117</v>
      </c>
      <c r="BR673" s="55" t="s">
        <v>134</v>
      </c>
      <c r="BS673" s="55">
        <v>29.22</v>
      </c>
      <c r="BT673" s="55">
        <v>0.01</v>
      </c>
      <c r="BU673" s="57">
        <v>42552</v>
      </c>
      <c r="BV673" s="57">
        <v>42643</v>
      </c>
      <c r="BW673" s="55" t="s">
        <v>94</v>
      </c>
      <c r="BX673" s="55" t="s">
        <v>95</v>
      </c>
      <c r="BY673" s="55" t="s">
        <v>748</v>
      </c>
      <c r="BZ673" s="55">
        <v>1</v>
      </c>
      <c r="CA673" s="55">
        <v>1</v>
      </c>
      <c r="CB673" s="55" t="s">
        <v>303</v>
      </c>
      <c r="CC673" s="55" t="s">
        <v>314</v>
      </c>
      <c r="CD673" s="55">
        <v>1</v>
      </c>
      <c r="CE673" s="55" t="s">
        <v>1462</v>
      </c>
      <c r="CF673" s="55">
        <v>0</v>
      </c>
      <c r="CG673" s="55" t="s">
        <v>97</v>
      </c>
      <c r="CH673" s="55">
        <v>1</v>
      </c>
      <c r="CI673" s="55" t="s">
        <v>1465</v>
      </c>
      <c r="CJ673" s="55" t="s">
        <v>98</v>
      </c>
      <c r="CK673" s="55">
        <v>179</v>
      </c>
      <c r="CL673" s="55">
        <v>0</v>
      </c>
      <c r="CM673" s="55">
        <v>0</v>
      </c>
      <c r="CN673" s="55" t="s">
        <v>99</v>
      </c>
      <c r="CO673" s="55" t="s">
        <v>1318</v>
      </c>
      <c r="CP673" s="55" t="s">
        <v>100</v>
      </c>
      <c r="CQ673" s="55" t="s">
        <v>126</v>
      </c>
      <c r="CR673" s="57">
        <v>46233</v>
      </c>
      <c r="CT673" s="55" t="s">
        <v>1506</v>
      </c>
    </row>
    <row r="674" spans="1:98" s="55" customFormat="1" x14ac:dyDescent="0.35">
      <c r="A674" s="54" t="s">
        <v>1459</v>
      </c>
      <c r="B674" s="54" t="s">
        <v>1504</v>
      </c>
      <c r="C674" s="55" t="s">
        <v>1460</v>
      </c>
      <c r="D674" s="55">
        <v>2022</v>
      </c>
      <c r="E674" s="60" t="s">
        <v>1461</v>
      </c>
      <c r="F674" s="54" t="s">
        <v>998</v>
      </c>
      <c r="G674" s="55" t="s">
        <v>78</v>
      </c>
      <c r="H674" s="55">
        <v>1</v>
      </c>
      <c r="I674" s="55" t="s">
        <v>290</v>
      </c>
      <c r="J674" s="55" t="s">
        <v>79</v>
      </c>
      <c r="K674" s="55">
        <v>81</v>
      </c>
      <c r="L674" s="55" t="s">
        <v>104</v>
      </c>
      <c r="M674" s="55" t="s">
        <v>380</v>
      </c>
      <c r="N674" s="55">
        <v>-9.2999999999999992E-3</v>
      </c>
      <c r="O674" s="55">
        <v>3.3999999999999998E-3</v>
      </c>
      <c r="P674" s="88">
        <f t="shared" si="278"/>
        <v>-2.7352941176470589</v>
      </c>
      <c r="Q674" s="55" t="s">
        <v>312</v>
      </c>
      <c r="R674" s="88">
        <f t="shared" si="279"/>
        <v>-1.5963999999999999E-2</v>
      </c>
      <c r="S674" s="88">
        <f t="shared" si="280"/>
        <v>-2.6359999999999995E-3</v>
      </c>
      <c r="T674" s="55">
        <v>1</v>
      </c>
      <c r="U674" s="55">
        <v>66374</v>
      </c>
      <c r="V674" s="55" t="s">
        <v>312</v>
      </c>
      <c r="W674" s="55" t="s">
        <v>312</v>
      </c>
      <c r="X674" s="55">
        <f t="shared" si="274"/>
        <v>66374</v>
      </c>
      <c r="Y674" s="88">
        <f t="shared" si="284"/>
        <v>-1.061648034481345E-2</v>
      </c>
      <c r="Z674" s="88">
        <f t="shared" si="285"/>
        <v>3.8812938895016907E-3</v>
      </c>
      <c r="AA674" s="88">
        <f t="shared" si="286"/>
        <v>1.061648034481345E-2</v>
      </c>
      <c r="AB674" s="55" t="s">
        <v>81</v>
      </c>
      <c r="AC674" s="88">
        <f t="shared" si="272"/>
        <v>-9.4357800000000006E-2</v>
      </c>
      <c r="AD674" s="88" cm="1">
        <f t="array" ref="AD674">_xlfn.IFS(
AND(L674="marginal_effect",M674="level"),N674*AN674/BF674,
AND(L674="marginal_effect",M674="sd (Y)"),N674*BI674*AN674/BF674,
AND(L674="marginal_effect",M674="sd (X)"),N674/AQ674*AN674/BF674,
AND(L674="semi_elasticity",M674="level"),N674*AN674,
AND(L674="semi_elasticity",M674="sd (Y)"),N674*AN674*BI674,
AND(L674="semi_elasticity",M674="sd (X)"),N674*AN674/AQ674,
AND(L674="level-log",M674="level"),N674/BF674,
AND(L674="level-log",M674="sd (X)"),N674/BF674/AQ674,
AND(L674="level-log",M674="sd (Y)"),N674/BF674*BI674,
AND(L674="elasticity",M674="level"),N674,
AND(L674="elasticity",M674="sd (X)"),N674/AQ674,
AND(L674="elasticity",M674="sd (Y)"),N674*BI674,
AND(L674="marginal_effect",M674="percent_of_mean"),N674*AN674/BF674/10)</f>
        <v>-9.4357800000000006E-2</v>
      </c>
      <c r="AE674" s="56">
        <f t="shared" si="275"/>
        <v>1</v>
      </c>
      <c r="AF674" s="88">
        <f t="shared" si="281"/>
        <v>3.4496400000000003E-2</v>
      </c>
      <c r="AG674" s="88" cm="1">
        <f t="array" ref="AG674">_xlfn.IFS(
AND(L674="marginal_effect",M674="level"),O674*AN674/BF674,
AND(L674="marginal_effect",M674="sd (Y)"),O674*BI674*AN674/BF674,
AND(L674="marginal_effect",M674="sd (X)"),O674/AQ674*AN674/BF674,
AND(L674="semi_elasticity",M674="level"),O674*AN674,
AND(L674="semi_elasticity",M674="sd (Y)"),O674*AN674*BI674,
AND(L674="semi_elasticity",M674="sd (X)"),O674*AN674/AQ674,
AND(L674="level-log",M674="level"),O674/BF674,
AND(L674="level-log",M674="sd (X)"),O674/BF674/AQ674,
AND(L674="level-log",M674="sd (Y)"),O674/BF674*BI674,
AND(L674="elasticity",M674="level"),O674,
AND(L674="elasticity",M674="sd (X)"),O674/AQ674,
AND(L674="elasticity",M674="sd (Y)"),O674*BI674,
AND(L674="marginal_effect",M674="percent_of_mean"),O674*AN674/BF674/10)</f>
        <v>3.4496400000000003E-2</v>
      </c>
      <c r="AH674" s="56">
        <f t="shared" si="282"/>
        <v>1</v>
      </c>
      <c r="AI674" s="88">
        <f t="shared" si="271"/>
        <v>-9.4357800000000006E-2</v>
      </c>
      <c r="AJ674" s="55">
        <v>0</v>
      </c>
      <c r="AK674" s="55">
        <f t="shared" si="283"/>
        <v>1</v>
      </c>
      <c r="AL674" s="55" t="s">
        <v>148</v>
      </c>
      <c r="AM674" s="55" t="s">
        <v>1466</v>
      </c>
      <c r="AN674" s="55">
        <v>10.146000000000001</v>
      </c>
      <c r="AO674" s="55">
        <v>0</v>
      </c>
      <c r="AP674" s="55">
        <f t="shared" si="277"/>
        <v>101.46000000000001</v>
      </c>
      <c r="AQ674" s="55">
        <v>48.17</v>
      </c>
      <c r="AR674" s="55">
        <v>18</v>
      </c>
      <c r="AS674" s="55">
        <v>300</v>
      </c>
      <c r="AT674" s="55" t="s">
        <v>83</v>
      </c>
      <c r="AU674" s="55" t="s">
        <v>109</v>
      </c>
      <c r="AV674" s="55" t="s">
        <v>133</v>
      </c>
      <c r="AW674" s="55" t="s">
        <v>109</v>
      </c>
      <c r="AX674" s="55" t="s">
        <v>86</v>
      </c>
      <c r="AY674" s="55">
        <v>0</v>
      </c>
      <c r="AZ674" s="55">
        <v>0</v>
      </c>
      <c r="BA674" s="55" t="s">
        <v>87</v>
      </c>
      <c r="BB674" s="55" t="s">
        <v>88</v>
      </c>
      <c r="BC674" s="55" t="s">
        <v>89</v>
      </c>
      <c r="BD674" s="55" t="s">
        <v>90</v>
      </c>
      <c r="BE674" s="55" t="s">
        <v>1458</v>
      </c>
      <c r="BF674" s="55">
        <v>101.57</v>
      </c>
      <c r="BG674" s="55">
        <v>0</v>
      </c>
      <c r="BH674" s="55">
        <v>65.849999999999994</v>
      </c>
      <c r="BI674" s="55">
        <v>5</v>
      </c>
      <c r="BJ674" s="55">
        <v>430</v>
      </c>
      <c r="BK674" s="55" t="s">
        <v>91</v>
      </c>
      <c r="BL674" s="55" t="s">
        <v>84</v>
      </c>
      <c r="BM674" s="55">
        <v>1</v>
      </c>
      <c r="BN674" s="55" t="s">
        <v>428</v>
      </c>
      <c r="BO674" s="60" t="s">
        <v>1463</v>
      </c>
      <c r="BP674" s="55" t="s">
        <v>1464</v>
      </c>
      <c r="BQ674" s="55" t="s">
        <v>117</v>
      </c>
      <c r="BR674" s="55" t="s">
        <v>134</v>
      </c>
      <c r="BS674" s="55">
        <v>29.22</v>
      </c>
      <c r="BT674" s="55">
        <v>0.01</v>
      </c>
      <c r="BU674" s="57">
        <v>42552</v>
      </c>
      <c r="BV674" s="57">
        <v>42643</v>
      </c>
      <c r="BW674" s="55" t="s">
        <v>94</v>
      </c>
      <c r="BX674" s="55" t="s">
        <v>95</v>
      </c>
      <c r="BY674" s="55" t="s">
        <v>748</v>
      </c>
      <c r="BZ674" s="55">
        <v>1</v>
      </c>
      <c r="CA674" s="55">
        <v>1</v>
      </c>
      <c r="CB674" s="55" t="s">
        <v>303</v>
      </c>
      <c r="CC674" s="55" t="s">
        <v>314</v>
      </c>
      <c r="CD674" s="55">
        <v>1</v>
      </c>
      <c r="CE674" s="55" t="s">
        <v>1462</v>
      </c>
      <c r="CF674" s="55">
        <v>0</v>
      </c>
      <c r="CG674" s="55" t="s">
        <v>97</v>
      </c>
      <c r="CH674" s="55">
        <v>1</v>
      </c>
      <c r="CI674" s="55" t="s">
        <v>1465</v>
      </c>
      <c r="CJ674" s="55" t="s">
        <v>98</v>
      </c>
      <c r="CK674" s="55">
        <v>179</v>
      </c>
      <c r="CL674" s="55">
        <v>0</v>
      </c>
      <c r="CM674" s="55">
        <v>0</v>
      </c>
      <c r="CN674" s="55" t="s">
        <v>124</v>
      </c>
      <c r="CO674" s="55" t="s">
        <v>943</v>
      </c>
      <c r="CP674" s="55" t="s">
        <v>100</v>
      </c>
      <c r="CQ674" s="55" t="s">
        <v>126</v>
      </c>
      <c r="CR674" s="57">
        <v>46233</v>
      </c>
      <c r="CT674" s="55" t="s">
        <v>718</v>
      </c>
    </row>
    <row r="675" spans="1:98" s="55" customFormat="1" x14ac:dyDescent="0.35">
      <c r="A675" s="54" t="s">
        <v>1459</v>
      </c>
      <c r="B675" s="54" t="s">
        <v>1507</v>
      </c>
      <c r="C675" s="55" t="s">
        <v>1460</v>
      </c>
      <c r="D675" s="55">
        <v>2022</v>
      </c>
      <c r="E675" s="60" t="s">
        <v>1461</v>
      </c>
      <c r="F675" s="54" t="s">
        <v>998</v>
      </c>
      <c r="G675" s="55" t="s">
        <v>78</v>
      </c>
      <c r="H675" s="55">
        <v>1</v>
      </c>
      <c r="I675" s="55" t="s">
        <v>290</v>
      </c>
      <c r="J675" s="55" t="s">
        <v>79</v>
      </c>
      <c r="K675" s="55">
        <v>81</v>
      </c>
      <c r="L675" s="55" t="s">
        <v>104</v>
      </c>
      <c r="M675" s="55" t="s">
        <v>380</v>
      </c>
      <c r="N675" s="55">
        <v>-1.4200000000000001E-2</v>
      </c>
      <c r="O675" s="55">
        <v>3.5999999999999999E-3</v>
      </c>
      <c r="P675" s="88">
        <f t="shared" si="278"/>
        <v>-3.9444444444444446</v>
      </c>
      <c r="Q675" s="55" t="s">
        <v>312</v>
      </c>
      <c r="R675" s="88">
        <f t="shared" si="279"/>
        <v>-2.1256000000000001E-2</v>
      </c>
      <c r="S675" s="88">
        <f t="shared" si="280"/>
        <v>-7.144000000000001E-3</v>
      </c>
      <c r="T675" s="55">
        <v>1</v>
      </c>
      <c r="U675" s="55">
        <v>66374</v>
      </c>
      <c r="V675" s="55" t="s">
        <v>312</v>
      </c>
      <c r="W675" s="55" t="s">
        <v>312</v>
      </c>
      <c r="X675" s="55">
        <f t="shared" si="274"/>
        <v>66374</v>
      </c>
      <c r="Y675" s="88">
        <f t="shared" si="284"/>
        <v>-1.5308616828355732E-2</v>
      </c>
      <c r="Z675" s="88">
        <f t="shared" si="285"/>
        <v>3.8810577874704671E-3</v>
      </c>
      <c r="AA675" s="88">
        <f t="shared" si="286"/>
        <v>1.5308616828355732E-2</v>
      </c>
      <c r="AB675" s="55" t="s">
        <v>81</v>
      </c>
      <c r="AC675" s="88">
        <f t="shared" si="272"/>
        <v>-0.14407320000000001</v>
      </c>
      <c r="AD675" s="88" cm="1">
        <f t="array" ref="AD675">_xlfn.IFS(
AND(L675="marginal_effect",M675="level"),N675*AN675/BF675,
AND(L675="marginal_effect",M675="sd (Y)"),N675*BI675*AN675/BF675,
AND(L675="marginal_effect",M675="sd (X)"),N675/AQ675*AN675/BF675,
AND(L675="semi_elasticity",M675="level"),N675*AN675,
AND(L675="semi_elasticity",M675="sd (Y)"),N675*AN675*BI675,
AND(L675="semi_elasticity",M675="sd (X)"),N675*AN675/AQ675,
AND(L675="level-log",M675="level"),N675/BF675,
AND(L675="level-log",M675="sd (X)"),N675/BF675/AQ675,
AND(L675="level-log",M675="sd (Y)"),N675/BF675*BI675,
AND(L675="elasticity",M675="level"),N675,
AND(L675="elasticity",M675="sd (X)"),N675/AQ675,
AND(L675="elasticity",M675="sd (Y)"),N675*BI675,
AND(L675="marginal_effect",M675="percent_of_mean"),N675*AN675/BF675/10)</f>
        <v>-0.14407320000000001</v>
      </c>
      <c r="AE675" s="56">
        <f t="shared" si="275"/>
        <v>1</v>
      </c>
      <c r="AF675" s="88">
        <f t="shared" si="281"/>
        <v>3.6525600000000005E-2</v>
      </c>
      <c r="AG675" s="88" cm="1">
        <f t="array" ref="AG675">_xlfn.IFS(
AND(L675="marginal_effect",M675="level"),O675*AN675/BF675,
AND(L675="marginal_effect",M675="sd (Y)"),O675*BI675*AN675/BF675,
AND(L675="marginal_effect",M675="sd (X)"),O675/AQ675*AN675/BF675,
AND(L675="semi_elasticity",M675="level"),O675*AN675,
AND(L675="semi_elasticity",M675="sd (Y)"),O675*AN675*BI675,
AND(L675="semi_elasticity",M675="sd (X)"),O675*AN675/AQ675,
AND(L675="level-log",M675="level"),O675/BF675,
AND(L675="level-log",M675="sd (X)"),O675/BF675/AQ675,
AND(L675="level-log",M675="sd (Y)"),O675/BF675*BI675,
AND(L675="elasticity",M675="level"),O675,
AND(L675="elasticity",M675="sd (X)"),O675/AQ675,
AND(L675="elasticity",M675="sd (Y)"),O675*BI675,
AND(L675="marginal_effect",M675="percent_of_mean"),O675*AN675/BF675/10)</f>
        <v>3.6525600000000005E-2</v>
      </c>
      <c r="AH675" s="56">
        <f t="shared" si="282"/>
        <v>1</v>
      </c>
      <c r="AI675" s="88">
        <f t="shared" si="271"/>
        <v>-0.14407320000000001</v>
      </c>
      <c r="AJ675" s="55">
        <v>0</v>
      </c>
      <c r="AK675" s="55">
        <f t="shared" si="283"/>
        <v>1</v>
      </c>
      <c r="AL675" s="55" t="s">
        <v>148</v>
      </c>
      <c r="AM675" s="55" t="s">
        <v>1466</v>
      </c>
      <c r="AN675" s="55">
        <v>10.146000000000001</v>
      </c>
      <c r="AO675" s="55">
        <v>0</v>
      </c>
      <c r="AP675" s="55">
        <f t="shared" si="277"/>
        <v>101.46000000000001</v>
      </c>
      <c r="AQ675" s="55">
        <v>48.17</v>
      </c>
      <c r="AR675" s="55">
        <v>18</v>
      </c>
      <c r="AS675" s="55">
        <v>300</v>
      </c>
      <c r="AT675" s="55" t="s">
        <v>83</v>
      </c>
      <c r="AU675" s="55" t="s">
        <v>109</v>
      </c>
      <c r="AV675" s="55" t="s">
        <v>133</v>
      </c>
      <c r="AW675" s="55" t="s">
        <v>109</v>
      </c>
      <c r="AX675" s="55" t="s">
        <v>86</v>
      </c>
      <c r="AY675" s="55">
        <v>0</v>
      </c>
      <c r="AZ675" s="55">
        <v>0</v>
      </c>
      <c r="BA675" s="55" t="s">
        <v>87</v>
      </c>
      <c r="BB675" s="55" t="s">
        <v>88</v>
      </c>
      <c r="BC675" s="55" t="s">
        <v>89</v>
      </c>
      <c r="BD675" s="55" t="s">
        <v>90</v>
      </c>
      <c r="BE675" s="55" t="s">
        <v>1458</v>
      </c>
      <c r="BF675" s="55">
        <v>101.57</v>
      </c>
      <c r="BG675" s="55">
        <v>0</v>
      </c>
      <c r="BH675" s="55">
        <v>65.849999999999994</v>
      </c>
      <c r="BI675" s="55">
        <v>5</v>
      </c>
      <c r="BJ675" s="55">
        <v>430</v>
      </c>
      <c r="BK675" s="55" t="s">
        <v>91</v>
      </c>
      <c r="BL675" s="55" t="s">
        <v>84</v>
      </c>
      <c r="BM675" s="55">
        <v>1</v>
      </c>
      <c r="BN675" s="55" t="s">
        <v>428</v>
      </c>
      <c r="BO675" s="60" t="s">
        <v>1463</v>
      </c>
      <c r="BP675" s="55" t="s">
        <v>1464</v>
      </c>
      <c r="BQ675" s="55" t="s">
        <v>117</v>
      </c>
      <c r="BR675" s="55" t="s">
        <v>134</v>
      </c>
      <c r="BS675" s="55">
        <v>29.22</v>
      </c>
      <c r="BT675" s="55">
        <v>0.01</v>
      </c>
      <c r="BU675" s="57">
        <v>42552</v>
      </c>
      <c r="BV675" s="57">
        <v>42643</v>
      </c>
      <c r="BW675" s="55" t="s">
        <v>94</v>
      </c>
      <c r="BX675" s="55" t="s">
        <v>95</v>
      </c>
      <c r="BY675" s="55" t="s">
        <v>748</v>
      </c>
      <c r="BZ675" s="55">
        <v>1</v>
      </c>
      <c r="CA675" s="55">
        <v>1</v>
      </c>
      <c r="CB675" s="55" t="s">
        <v>303</v>
      </c>
      <c r="CC675" s="55" t="s">
        <v>314</v>
      </c>
      <c r="CD675" s="55">
        <v>1</v>
      </c>
      <c r="CE675" s="55" t="s">
        <v>1462</v>
      </c>
      <c r="CF675" s="55">
        <v>0</v>
      </c>
      <c r="CG675" s="55" t="s">
        <v>97</v>
      </c>
      <c r="CH675" s="55">
        <v>1</v>
      </c>
      <c r="CI675" s="55" t="s">
        <v>1465</v>
      </c>
      <c r="CJ675" s="55" t="s">
        <v>98</v>
      </c>
      <c r="CK675" s="55">
        <v>179</v>
      </c>
      <c r="CL675" s="55">
        <v>0</v>
      </c>
      <c r="CM675" s="55">
        <v>0</v>
      </c>
      <c r="CN675" s="55" t="s">
        <v>124</v>
      </c>
      <c r="CO675" s="55" t="s">
        <v>943</v>
      </c>
      <c r="CP675" s="55" t="s">
        <v>100</v>
      </c>
      <c r="CQ675" s="55" t="s">
        <v>126</v>
      </c>
      <c r="CR675" s="57">
        <v>46233</v>
      </c>
      <c r="CT675" s="55" t="s">
        <v>1510</v>
      </c>
    </row>
    <row r="676" spans="1:98" s="55" customFormat="1" x14ac:dyDescent="0.35">
      <c r="A676" s="54" t="s">
        <v>1459</v>
      </c>
      <c r="B676" s="54" t="s">
        <v>1508</v>
      </c>
      <c r="C676" s="55" t="s">
        <v>1460</v>
      </c>
      <c r="D676" s="55">
        <v>2022</v>
      </c>
      <c r="E676" s="60" t="s">
        <v>1461</v>
      </c>
      <c r="F676" s="54" t="s">
        <v>998</v>
      </c>
      <c r="G676" s="55" t="s">
        <v>78</v>
      </c>
      <c r="H676" s="55">
        <v>1</v>
      </c>
      <c r="I676" s="55" t="s">
        <v>290</v>
      </c>
      <c r="J676" s="55" t="s">
        <v>79</v>
      </c>
      <c r="K676" s="55">
        <v>81</v>
      </c>
      <c r="L676" s="55" t="s">
        <v>104</v>
      </c>
      <c r="M676" s="55" t="s">
        <v>380</v>
      </c>
      <c r="N676" s="55">
        <v>-1.3599999999999999E-2</v>
      </c>
      <c r="O676" s="55">
        <v>3.7000000000000002E-3</v>
      </c>
      <c r="P676" s="88">
        <f t="shared" si="278"/>
        <v>-3.6756756756756754</v>
      </c>
      <c r="Q676" s="55" t="s">
        <v>312</v>
      </c>
      <c r="R676" s="88">
        <f t="shared" si="279"/>
        <v>-2.0851999999999999E-2</v>
      </c>
      <c r="S676" s="88">
        <f t="shared" si="280"/>
        <v>-6.3479999999999995E-3</v>
      </c>
      <c r="T676" s="55">
        <v>1</v>
      </c>
      <c r="U676" s="55">
        <v>66374</v>
      </c>
      <c r="V676" s="55" t="s">
        <v>312</v>
      </c>
      <c r="W676" s="55" t="s">
        <v>312</v>
      </c>
      <c r="X676" s="55">
        <f t="shared" si="274"/>
        <v>66374</v>
      </c>
      <c r="Y676" s="88">
        <f t="shared" si="284"/>
        <v>-1.4265729748614332E-2</v>
      </c>
      <c r="Z676" s="88">
        <f t="shared" si="285"/>
        <v>3.8811176521965467E-3</v>
      </c>
      <c r="AA676" s="88">
        <f t="shared" si="286"/>
        <v>1.4265729748614332E-2</v>
      </c>
      <c r="AB676" s="55" t="s">
        <v>81</v>
      </c>
      <c r="AC676" s="88">
        <f t="shared" si="272"/>
        <v>-0.13798560000000001</v>
      </c>
      <c r="AD676" s="88" cm="1">
        <f t="array" ref="AD676">_xlfn.IFS(
AND(L676="marginal_effect",M676="level"),N676*AN676/BF676,
AND(L676="marginal_effect",M676="sd (Y)"),N676*BI676*AN676/BF676,
AND(L676="marginal_effect",M676="sd (X)"),N676/AQ676*AN676/BF676,
AND(L676="semi_elasticity",M676="level"),N676*AN676,
AND(L676="semi_elasticity",M676="sd (Y)"),N676*AN676*BI676,
AND(L676="semi_elasticity",M676="sd (X)"),N676*AN676/AQ676,
AND(L676="level-log",M676="level"),N676/BF676,
AND(L676="level-log",M676="sd (X)"),N676/BF676/AQ676,
AND(L676="level-log",M676="sd (Y)"),N676/BF676*BI676,
AND(L676="elasticity",M676="level"),N676,
AND(L676="elasticity",M676="sd (X)"),N676/AQ676,
AND(L676="elasticity",M676="sd (Y)"),N676*BI676,
AND(L676="marginal_effect",M676="percent_of_mean"),N676*AN676/BF676/10)</f>
        <v>-0.13798560000000001</v>
      </c>
      <c r="AE676" s="56">
        <f t="shared" si="275"/>
        <v>1</v>
      </c>
      <c r="AF676" s="88">
        <f t="shared" si="281"/>
        <v>3.7540200000000003E-2</v>
      </c>
      <c r="AG676" s="88" cm="1">
        <f t="array" ref="AG676">_xlfn.IFS(
AND(L676="marginal_effect",M676="level"),O676*AN676/BF676,
AND(L676="marginal_effect",M676="sd (Y)"),O676*BI676*AN676/BF676,
AND(L676="marginal_effect",M676="sd (X)"),O676/AQ676*AN676/BF676,
AND(L676="semi_elasticity",M676="level"),O676*AN676,
AND(L676="semi_elasticity",M676="sd (Y)"),O676*AN676*BI676,
AND(L676="semi_elasticity",M676="sd (X)"),O676*AN676/AQ676,
AND(L676="level-log",M676="level"),O676/BF676,
AND(L676="level-log",M676="sd (X)"),O676/BF676/AQ676,
AND(L676="level-log",M676="sd (Y)"),O676/BF676*BI676,
AND(L676="elasticity",M676="level"),O676,
AND(L676="elasticity",M676="sd (X)"),O676/AQ676,
AND(L676="elasticity",M676="sd (Y)"),O676*BI676,
AND(L676="marginal_effect",M676="percent_of_mean"),O676*AN676/BF676/10)</f>
        <v>3.7540200000000003E-2</v>
      </c>
      <c r="AH676" s="56">
        <f t="shared" si="282"/>
        <v>1</v>
      </c>
      <c r="AI676" s="88">
        <f t="shared" si="271"/>
        <v>-0.13798560000000001</v>
      </c>
      <c r="AJ676" s="55">
        <v>0</v>
      </c>
      <c r="AK676" s="55">
        <f t="shared" si="283"/>
        <v>1</v>
      </c>
      <c r="AL676" s="55" t="s">
        <v>148</v>
      </c>
      <c r="AM676" s="55" t="s">
        <v>1466</v>
      </c>
      <c r="AN676" s="55">
        <v>10.146000000000001</v>
      </c>
      <c r="AO676" s="55">
        <v>0</v>
      </c>
      <c r="AP676" s="55">
        <f t="shared" si="277"/>
        <v>101.46000000000001</v>
      </c>
      <c r="AQ676" s="55">
        <v>48.17</v>
      </c>
      <c r="AR676" s="55">
        <v>18</v>
      </c>
      <c r="AS676" s="55">
        <v>300</v>
      </c>
      <c r="AT676" s="55" t="s">
        <v>83</v>
      </c>
      <c r="AU676" s="55" t="s">
        <v>109</v>
      </c>
      <c r="AV676" s="55" t="s">
        <v>133</v>
      </c>
      <c r="AW676" s="55" t="s">
        <v>109</v>
      </c>
      <c r="AX676" s="55" t="s">
        <v>86</v>
      </c>
      <c r="AY676" s="55">
        <v>0</v>
      </c>
      <c r="AZ676" s="55">
        <v>0</v>
      </c>
      <c r="BA676" s="55" t="s">
        <v>87</v>
      </c>
      <c r="BB676" s="55" t="s">
        <v>88</v>
      </c>
      <c r="BC676" s="55" t="s">
        <v>89</v>
      </c>
      <c r="BD676" s="55" t="s">
        <v>90</v>
      </c>
      <c r="BE676" s="55" t="s">
        <v>1458</v>
      </c>
      <c r="BF676" s="55">
        <v>101.57</v>
      </c>
      <c r="BG676" s="55">
        <v>0</v>
      </c>
      <c r="BH676" s="55">
        <v>65.849999999999994</v>
      </c>
      <c r="BI676" s="55">
        <v>5</v>
      </c>
      <c r="BJ676" s="55">
        <v>430</v>
      </c>
      <c r="BK676" s="55" t="s">
        <v>91</v>
      </c>
      <c r="BL676" s="55" t="s">
        <v>84</v>
      </c>
      <c r="BM676" s="55">
        <v>1</v>
      </c>
      <c r="BN676" s="55" t="s">
        <v>428</v>
      </c>
      <c r="BO676" s="60" t="s">
        <v>1463</v>
      </c>
      <c r="BP676" s="55" t="s">
        <v>1464</v>
      </c>
      <c r="BQ676" s="55" t="s">
        <v>117</v>
      </c>
      <c r="BR676" s="55" t="s">
        <v>134</v>
      </c>
      <c r="BS676" s="55">
        <v>29.22</v>
      </c>
      <c r="BT676" s="55">
        <v>0.01</v>
      </c>
      <c r="BU676" s="57">
        <v>42552</v>
      </c>
      <c r="BV676" s="57">
        <v>42643</v>
      </c>
      <c r="BW676" s="55" t="s">
        <v>94</v>
      </c>
      <c r="BX676" s="55" t="s">
        <v>95</v>
      </c>
      <c r="BY676" s="55" t="s">
        <v>748</v>
      </c>
      <c r="BZ676" s="55">
        <v>1</v>
      </c>
      <c r="CA676" s="55">
        <v>1</v>
      </c>
      <c r="CB676" s="55" t="s">
        <v>303</v>
      </c>
      <c r="CC676" s="55" t="s">
        <v>314</v>
      </c>
      <c r="CD676" s="55">
        <v>1</v>
      </c>
      <c r="CE676" s="55" t="s">
        <v>1462</v>
      </c>
      <c r="CF676" s="55">
        <v>0</v>
      </c>
      <c r="CG676" s="55" t="s">
        <v>97</v>
      </c>
      <c r="CH676" s="55">
        <v>1</v>
      </c>
      <c r="CI676" s="55" t="s">
        <v>1465</v>
      </c>
      <c r="CJ676" s="55" t="s">
        <v>98</v>
      </c>
      <c r="CK676" s="55">
        <v>179</v>
      </c>
      <c r="CL676" s="55">
        <v>0</v>
      </c>
      <c r="CM676" s="55">
        <v>0</v>
      </c>
      <c r="CN676" s="55" t="s">
        <v>124</v>
      </c>
      <c r="CO676" s="55" t="s">
        <v>943</v>
      </c>
      <c r="CP676" s="55" t="s">
        <v>100</v>
      </c>
      <c r="CQ676" s="55" t="s">
        <v>126</v>
      </c>
      <c r="CR676" s="57">
        <v>46233</v>
      </c>
      <c r="CT676" s="55" t="s">
        <v>1512</v>
      </c>
    </row>
    <row r="677" spans="1:98" s="55" customFormat="1" x14ac:dyDescent="0.35">
      <c r="A677" s="54" t="s">
        <v>1459</v>
      </c>
      <c r="B677" s="54" t="s">
        <v>1509</v>
      </c>
      <c r="C677" s="55" t="s">
        <v>1460</v>
      </c>
      <c r="D677" s="55">
        <v>2022</v>
      </c>
      <c r="E677" s="60" t="s">
        <v>1461</v>
      </c>
      <c r="F677" s="54" t="s">
        <v>998</v>
      </c>
      <c r="G677" s="55" t="s">
        <v>78</v>
      </c>
      <c r="H677" s="55">
        <v>1</v>
      </c>
      <c r="I677" s="55" t="s">
        <v>290</v>
      </c>
      <c r="J677" s="55" t="s">
        <v>79</v>
      </c>
      <c r="K677" s="55">
        <v>81</v>
      </c>
      <c r="L677" s="55" t="s">
        <v>104</v>
      </c>
      <c r="M677" s="55" t="s">
        <v>380</v>
      </c>
      <c r="N677" s="55">
        <v>-1.95E-2</v>
      </c>
      <c r="O677" s="55">
        <v>5.1000000000000004E-3</v>
      </c>
      <c r="P677" s="88">
        <f t="shared" si="278"/>
        <v>-3.8235294117647056</v>
      </c>
      <c r="Q677" s="55" t="s">
        <v>312</v>
      </c>
      <c r="R677" s="88">
        <f t="shared" si="279"/>
        <v>-2.9496000000000001E-2</v>
      </c>
      <c r="S677" s="88">
        <f t="shared" si="280"/>
        <v>-9.5040000000000003E-3</v>
      </c>
      <c r="T677" s="55">
        <v>1</v>
      </c>
      <c r="U677" s="55">
        <v>66374</v>
      </c>
      <c r="V677" s="55" t="s">
        <v>312</v>
      </c>
      <c r="W677" s="55" t="s">
        <v>312</v>
      </c>
      <c r="X677" s="55">
        <f t="shared" si="274"/>
        <v>66374</v>
      </c>
      <c r="Y677" s="88">
        <f t="shared" si="284"/>
        <v>-1.4839443572108157E-2</v>
      </c>
      <c r="Z677" s="88">
        <f t="shared" si="285"/>
        <v>3.8810852419359798E-3</v>
      </c>
      <c r="AA677" s="88">
        <f t="shared" si="286"/>
        <v>1.4839443572108157E-2</v>
      </c>
      <c r="AB677" s="55" t="s">
        <v>81</v>
      </c>
      <c r="AC677" s="88">
        <f t="shared" si="272"/>
        <v>-0.19784700000000002</v>
      </c>
      <c r="AD677" s="88" cm="1">
        <f t="array" ref="AD677">_xlfn.IFS(
AND(L677="marginal_effect",M677="level"),N677*AN677/BF677,
AND(L677="marginal_effect",M677="sd (Y)"),N677*BI677*AN677/BF677,
AND(L677="marginal_effect",M677="sd (X)"),N677/AQ677*AN677/BF677,
AND(L677="semi_elasticity",M677="level"),N677*AN677,
AND(L677="semi_elasticity",M677="sd (Y)"),N677*AN677*BI677,
AND(L677="semi_elasticity",M677="sd (X)"),N677*AN677/AQ677,
AND(L677="level-log",M677="level"),N677/BF677,
AND(L677="level-log",M677="sd (X)"),N677/BF677/AQ677,
AND(L677="level-log",M677="sd (Y)"),N677/BF677*BI677,
AND(L677="elasticity",M677="level"),N677,
AND(L677="elasticity",M677="sd (X)"),N677/AQ677,
AND(L677="elasticity",M677="sd (Y)"),N677*BI677,
AND(L677="marginal_effect",M677="percent_of_mean"),N677*AN677/BF677/10)</f>
        <v>-0.19784700000000002</v>
      </c>
      <c r="AE677" s="56">
        <f t="shared" si="275"/>
        <v>1</v>
      </c>
      <c r="AF677" s="88">
        <f t="shared" si="281"/>
        <v>5.1744600000000009E-2</v>
      </c>
      <c r="AG677" s="88" cm="1">
        <f t="array" ref="AG677">_xlfn.IFS(
AND(L677="marginal_effect",M677="level"),O677*AN677/BF677,
AND(L677="marginal_effect",M677="sd (Y)"),O677*BI677*AN677/BF677,
AND(L677="marginal_effect",M677="sd (X)"),O677/AQ677*AN677/BF677,
AND(L677="semi_elasticity",M677="level"),O677*AN677,
AND(L677="semi_elasticity",M677="sd (Y)"),O677*AN677*BI677,
AND(L677="semi_elasticity",M677="sd (X)"),O677*AN677/AQ677,
AND(L677="level-log",M677="level"),O677/BF677,
AND(L677="level-log",M677="sd (X)"),O677/BF677/AQ677,
AND(L677="level-log",M677="sd (Y)"),O677/BF677*BI677,
AND(L677="elasticity",M677="level"),O677,
AND(L677="elasticity",M677="sd (X)"),O677/AQ677,
AND(L677="elasticity",M677="sd (Y)"),O677*BI677,
AND(L677="marginal_effect",M677="percent_of_mean"),O677*AN677/BF677/10)</f>
        <v>5.1744600000000009E-2</v>
      </c>
      <c r="AH677" s="56">
        <f t="shared" si="282"/>
        <v>1</v>
      </c>
      <c r="AI677" s="88">
        <f t="shared" si="271"/>
        <v>-0.19784700000000002</v>
      </c>
      <c r="AJ677" s="55">
        <v>0</v>
      </c>
      <c r="AK677" s="55">
        <f t="shared" si="283"/>
        <v>1</v>
      </c>
      <c r="AL677" s="55" t="s">
        <v>148</v>
      </c>
      <c r="AM677" s="55" t="s">
        <v>1466</v>
      </c>
      <c r="AN677" s="55">
        <v>10.146000000000001</v>
      </c>
      <c r="AO677" s="55">
        <v>0</v>
      </c>
      <c r="AP677" s="55">
        <f t="shared" si="277"/>
        <v>101.46000000000001</v>
      </c>
      <c r="AQ677" s="55">
        <v>48.17</v>
      </c>
      <c r="AR677" s="55">
        <v>18</v>
      </c>
      <c r="AS677" s="55">
        <v>300</v>
      </c>
      <c r="AT677" s="55" t="s">
        <v>83</v>
      </c>
      <c r="AU677" s="55" t="s">
        <v>109</v>
      </c>
      <c r="AV677" s="55" t="s">
        <v>133</v>
      </c>
      <c r="AW677" s="55" t="s">
        <v>109</v>
      </c>
      <c r="AX677" s="55" t="s">
        <v>86</v>
      </c>
      <c r="AY677" s="55">
        <v>0</v>
      </c>
      <c r="AZ677" s="55">
        <v>0</v>
      </c>
      <c r="BA677" s="55" t="s">
        <v>87</v>
      </c>
      <c r="BB677" s="55" t="s">
        <v>88</v>
      </c>
      <c r="BC677" s="55" t="s">
        <v>89</v>
      </c>
      <c r="BD677" s="55" t="s">
        <v>90</v>
      </c>
      <c r="BE677" s="55" t="s">
        <v>1458</v>
      </c>
      <c r="BF677" s="55">
        <v>101.57</v>
      </c>
      <c r="BG677" s="55">
        <v>0</v>
      </c>
      <c r="BH677" s="55">
        <v>65.849999999999994</v>
      </c>
      <c r="BI677" s="55">
        <v>5</v>
      </c>
      <c r="BJ677" s="55">
        <v>430</v>
      </c>
      <c r="BK677" s="55" t="s">
        <v>91</v>
      </c>
      <c r="BL677" s="55" t="s">
        <v>84</v>
      </c>
      <c r="BM677" s="55">
        <v>1</v>
      </c>
      <c r="BN677" s="55" t="s">
        <v>428</v>
      </c>
      <c r="BO677" s="60" t="s">
        <v>1463</v>
      </c>
      <c r="BP677" s="55" t="s">
        <v>1464</v>
      </c>
      <c r="BQ677" s="55" t="s">
        <v>117</v>
      </c>
      <c r="BR677" s="55" t="s">
        <v>134</v>
      </c>
      <c r="BS677" s="55">
        <v>29.22</v>
      </c>
      <c r="BT677" s="55">
        <v>0.01</v>
      </c>
      <c r="BU677" s="57">
        <v>42552</v>
      </c>
      <c r="BV677" s="57">
        <v>42643</v>
      </c>
      <c r="BW677" s="55" t="s">
        <v>94</v>
      </c>
      <c r="BX677" s="55" t="s">
        <v>95</v>
      </c>
      <c r="BY677" s="55" t="s">
        <v>748</v>
      </c>
      <c r="BZ677" s="55">
        <v>1</v>
      </c>
      <c r="CA677" s="55">
        <v>1</v>
      </c>
      <c r="CB677" s="55" t="s">
        <v>303</v>
      </c>
      <c r="CC677" s="55" t="s">
        <v>314</v>
      </c>
      <c r="CD677" s="55">
        <v>1</v>
      </c>
      <c r="CE677" s="55" t="s">
        <v>1462</v>
      </c>
      <c r="CF677" s="55">
        <v>0</v>
      </c>
      <c r="CG677" s="55" t="s">
        <v>97</v>
      </c>
      <c r="CH677" s="55">
        <v>1</v>
      </c>
      <c r="CI677" s="55" t="s">
        <v>1465</v>
      </c>
      <c r="CJ677" s="55" t="s">
        <v>98</v>
      </c>
      <c r="CK677" s="55">
        <v>179</v>
      </c>
      <c r="CL677" s="55">
        <v>0</v>
      </c>
      <c r="CM677" s="55">
        <v>0</v>
      </c>
      <c r="CN677" s="55" t="s">
        <v>124</v>
      </c>
      <c r="CO677" s="55" t="s">
        <v>943</v>
      </c>
      <c r="CP677" s="55" t="s">
        <v>100</v>
      </c>
      <c r="CQ677" s="55" t="s">
        <v>126</v>
      </c>
      <c r="CR677" s="57">
        <v>46233</v>
      </c>
      <c r="CT677" s="55" t="s">
        <v>1513</v>
      </c>
    </row>
    <row r="678" spans="1:98" s="55" customFormat="1" x14ac:dyDescent="0.35">
      <c r="A678" s="54" t="s">
        <v>1459</v>
      </c>
      <c r="B678" s="54" t="s">
        <v>1519</v>
      </c>
      <c r="C678" s="55" t="s">
        <v>1460</v>
      </c>
      <c r="D678" s="55">
        <v>2022</v>
      </c>
      <c r="E678" s="60" t="s">
        <v>1461</v>
      </c>
      <c r="F678" s="54" t="s">
        <v>998</v>
      </c>
      <c r="G678" s="55" t="s">
        <v>78</v>
      </c>
      <c r="H678" s="55">
        <v>1</v>
      </c>
      <c r="I678" s="55" t="s">
        <v>290</v>
      </c>
      <c r="J678" s="55" t="s">
        <v>79</v>
      </c>
      <c r="K678" s="55">
        <v>81</v>
      </c>
      <c r="L678" s="55" t="s">
        <v>104</v>
      </c>
      <c r="M678" s="55" t="s">
        <v>380</v>
      </c>
      <c r="N678" s="55">
        <v>-1.21E-2</v>
      </c>
      <c r="O678" s="55">
        <v>3.2000000000000002E-3</v>
      </c>
      <c r="P678" s="88">
        <f t="shared" si="278"/>
        <v>-3.7812499999999996</v>
      </c>
      <c r="Q678" s="55" t="s">
        <v>312</v>
      </c>
      <c r="R678" s="88">
        <f t="shared" si="279"/>
        <v>-1.8371999999999999E-2</v>
      </c>
      <c r="S678" s="88">
        <f t="shared" si="280"/>
        <v>-5.8279999999999998E-3</v>
      </c>
      <c r="T678" s="55">
        <v>1</v>
      </c>
      <c r="U678" s="55">
        <v>66374</v>
      </c>
      <c r="V678" s="55" t="s">
        <v>312</v>
      </c>
      <c r="W678" s="55" t="s">
        <v>312</v>
      </c>
      <c r="X678" s="55">
        <f t="shared" si="274"/>
        <v>66374</v>
      </c>
      <c r="Y678" s="88">
        <f t="shared" si="284"/>
        <v>-1.4675389108177892E-2</v>
      </c>
      <c r="Z678" s="88">
        <f t="shared" si="285"/>
        <v>3.8810946401792779E-3</v>
      </c>
      <c r="AA678" s="88">
        <f t="shared" si="286"/>
        <v>1.4675389108177892E-2</v>
      </c>
      <c r="AB678" s="55" t="s">
        <v>81</v>
      </c>
      <c r="AC678" s="88">
        <f t="shared" si="272"/>
        <v>-0.1227666</v>
      </c>
      <c r="AD678" s="88" cm="1">
        <f t="array" ref="AD678">_xlfn.IFS(
AND(L678="marginal_effect",M678="level"),N678*AN678/BF678,
AND(L678="marginal_effect",M678="sd (Y)"),N678*BI678*AN678/BF678,
AND(L678="marginal_effect",M678="sd (X)"),N678/AQ678*AN678/BF678,
AND(L678="semi_elasticity",M678="level"),N678*AN678,
AND(L678="semi_elasticity",M678="sd (Y)"),N678*AN678*BI678,
AND(L678="semi_elasticity",M678="sd (X)"),N678*AN678/AQ678,
AND(L678="level-log",M678="level"),N678/BF678,
AND(L678="level-log",M678="sd (X)"),N678/BF678/AQ678,
AND(L678="level-log",M678="sd (Y)"),N678/BF678*BI678,
AND(L678="elasticity",M678="level"),N678,
AND(L678="elasticity",M678="sd (X)"),N678/AQ678,
AND(L678="elasticity",M678="sd (Y)"),N678*BI678,
AND(L678="marginal_effect",M678="percent_of_mean"),N678*AN678/BF678/10)</f>
        <v>-0.1227666</v>
      </c>
      <c r="AE678" s="56">
        <f t="shared" si="275"/>
        <v>1</v>
      </c>
      <c r="AF678" s="88">
        <f t="shared" si="281"/>
        <v>3.2467200000000002E-2</v>
      </c>
      <c r="AG678" s="88" cm="1">
        <f t="array" ref="AG678">_xlfn.IFS(
AND(L678="marginal_effect",M678="level"),O678*AN678/BF678,
AND(L678="marginal_effect",M678="sd (Y)"),O678*BI678*AN678/BF678,
AND(L678="marginal_effect",M678="sd (X)"),O678/AQ678*AN678/BF678,
AND(L678="semi_elasticity",M678="level"),O678*AN678,
AND(L678="semi_elasticity",M678="sd (Y)"),O678*AN678*BI678,
AND(L678="semi_elasticity",M678="sd (X)"),O678*AN678/AQ678,
AND(L678="level-log",M678="level"),O678/BF678,
AND(L678="level-log",M678="sd (X)"),O678/BF678/AQ678,
AND(L678="level-log",M678="sd (Y)"),O678/BF678*BI678,
AND(L678="elasticity",M678="level"),O678,
AND(L678="elasticity",M678="sd (X)"),O678/AQ678,
AND(L678="elasticity",M678="sd (Y)"),O678*BI678,
AND(L678="marginal_effect",M678="percent_of_mean"),O678*AN678/BF678/10)</f>
        <v>3.2467200000000002E-2</v>
      </c>
      <c r="AH678" s="56">
        <f t="shared" si="282"/>
        <v>1</v>
      </c>
      <c r="AI678" s="88">
        <f t="shared" ref="AI678:AI709" si="287">AC678</f>
        <v>-0.1227666</v>
      </c>
      <c r="AJ678" s="55">
        <v>0</v>
      </c>
      <c r="AK678" s="55">
        <f t="shared" si="283"/>
        <v>1</v>
      </c>
      <c r="AL678" s="55" t="s">
        <v>148</v>
      </c>
      <c r="AM678" s="55" t="s">
        <v>1466</v>
      </c>
      <c r="AN678" s="55">
        <v>10.146000000000001</v>
      </c>
      <c r="AO678" s="55">
        <v>0</v>
      </c>
      <c r="AP678" s="55">
        <f t="shared" si="277"/>
        <v>101.46000000000001</v>
      </c>
      <c r="AQ678" s="55">
        <v>48.17</v>
      </c>
      <c r="AR678" s="55">
        <v>18</v>
      </c>
      <c r="AS678" s="55">
        <v>300</v>
      </c>
      <c r="AT678" s="55" t="s">
        <v>83</v>
      </c>
      <c r="AU678" s="55" t="s">
        <v>109</v>
      </c>
      <c r="AV678" s="55" t="s">
        <v>133</v>
      </c>
      <c r="AW678" s="55" t="s">
        <v>109</v>
      </c>
      <c r="AX678" s="55" t="s">
        <v>86</v>
      </c>
      <c r="AY678" s="55">
        <v>0</v>
      </c>
      <c r="AZ678" s="55">
        <v>0</v>
      </c>
      <c r="BA678" s="55" t="s">
        <v>87</v>
      </c>
      <c r="BB678" s="55" t="s">
        <v>88</v>
      </c>
      <c r="BC678" s="55" t="s">
        <v>89</v>
      </c>
      <c r="BD678" s="55" t="s">
        <v>90</v>
      </c>
      <c r="BE678" s="55" t="s">
        <v>1458</v>
      </c>
      <c r="BF678" s="55">
        <v>101.57</v>
      </c>
      <c r="BG678" s="55">
        <v>0</v>
      </c>
      <c r="BH678" s="55">
        <v>65.849999999999994</v>
      </c>
      <c r="BI678" s="55">
        <v>5</v>
      </c>
      <c r="BJ678" s="55">
        <v>430</v>
      </c>
      <c r="BK678" s="55" t="s">
        <v>91</v>
      </c>
      <c r="BL678" s="55" t="s">
        <v>84</v>
      </c>
      <c r="BM678" s="55">
        <v>1</v>
      </c>
      <c r="BN678" s="55" t="s">
        <v>428</v>
      </c>
      <c r="BO678" s="60" t="s">
        <v>1463</v>
      </c>
      <c r="BP678" s="55" t="s">
        <v>1464</v>
      </c>
      <c r="BQ678" s="55" t="s">
        <v>117</v>
      </c>
      <c r="BR678" s="55" t="s">
        <v>134</v>
      </c>
      <c r="BS678" s="55">
        <v>29.22</v>
      </c>
      <c r="BT678" s="55">
        <v>0.01</v>
      </c>
      <c r="BU678" s="57">
        <v>42552</v>
      </c>
      <c r="BV678" s="57">
        <v>42643</v>
      </c>
      <c r="BW678" s="55" t="s">
        <v>94</v>
      </c>
      <c r="BX678" s="55" t="s">
        <v>95</v>
      </c>
      <c r="BY678" s="55" t="s">
        <v>748</v>
      </c>
      <c r="BZ678" s="55">
        <v>1</v>
      </c>
      <c r="CA678" s="55">
        <v>1</v>
      </c>
      <c r="CB678" s="55" t="s">
        <v>303</v>
      </c>
      <c r="CC678" s="55" t="s">
        <v>314</v>
      </c>
      <c r="CD678" s="55">
        <v>1</v>
      </c>
      <c r="CE678" s="55" t="s">
        <v>1462</v>
      </c>
      <c r="CF678" s="55">
        <v>0</v>
      </c>
      <c r="CG678" s="55" t="s">
        <v>97</v>
      </c>
      <c r="CH678" s="55">
        <v>1</v>
      </c>
      <c r="CI678" s="55" t="s">
        <v>1465</v>
      </c>
      <c r="CJ678" s="55" t="s">
        <v>98</v>
      </c>
      <c r="CK678" s="55">
        <v>179</v>
      </c>
      <c r="CL678" s="55">
        <v>0</v>
      </c>
      <c r="CM678" s="55">
        <v>0</v>
      </c>
      <c r="CN678" s="55" t="s">
        <v>124</v>
      </c>
      <c r="CO678" s="55" t="s">
        <v>943</v>
      </c>
      <c r="CP678" s="55" t="s">
        <v>100</v>
      </c>
      <c r="CQ678" s="55" t="s">
        <v>126</v>
      </c>
      <c r="CR678" s="57">
        <v>46233</v>
      </c>
      <c r="CT678" s="55" t="s">
        <v>1514</v>
      </c>
    </row>
    <row r="679" spans="1:98" s="55" customFormat="1" x14ac:dyDescent="0.35">
      <c r="A679" s="54" t="s">
        <v>1459</v>
      </c>
      <c r="B679" s="54" t="s">
        <v>1520</v>
      </c>
      <c r="C679" s="55" t="s">
        <v>1460</v>
      </c>
      <c r="D679" s="55">
        <v>2022</v>
      </c>
      <c r="E679" s="60" t="s">
        <v>1461</v>
      </c>
      <c r="F679" s="54" t="s">
        <v>998</v>
      </c>
      <c r="G679" s="55" t="s">
        <v>78</v>
      </c>
      <c r="H679" s="55">
        <v>1</v>
      </c>
      <c r="I679" s="55" t="s">
        <v>290</v>
      </c>
      <c r="J679" s="55" t="s">
        <v>79</v>
      </c>
      <c r="K679" s="55">
        <v>81</v>
      </c>
      <c r="L679" s="55" t="s">
        <v>104</v>
      </c>
      <c r="M679" s="55" t="s">
        <v>380</v>
      </c>
      <c r="N679" s="55">
        <v>-1.18E-2</v>
      </c>
      <c r="O679" s="55">
        <v>3.3E-3</v>
      </c>
      <c r="P679" s="88">
        <f t="shared" si="278"/>
        <v>-3.5757575757575757</v>
      </c>
      <c r="Q679" s="55" t="s">
        <v>312</v>
      </c>
      <c r="R679" s="88">
        <f t="shared" si="279"/>
        <v>-1.8268E-2</v>
      </c>
      <c r="S679" s="88">
        <f t="shared" si="280"/>
        <v>-5.3319999999999999E-3</v>
      </c>
      <c r="T679" s="55">
        <v>1</v>
      </c>
      <c r="U679" s="55">
        <v>66374</v>
      </c>
      <c r="V679" s="55" t="s">
        <v>312</v>
      </c>
      <c r="W679" s="55" t="s">
        <v>312</v>
      </c>
      <c r="X679" s="55">
        <f t="shared" si="274"/>
        <v>66374</v>
      </c>
      <c r="Y679" s="88">
        <f t="shared" si="284"/>
        <v>-1.3878011579360786E-2</v>
      </c>
      <c r="Z679" s="88">
        <f t="shared" si="285"/>
        <v>3.8811388315161525E-3</v>
      </c>
      <c r="AA679" s="88">
        <f t="shared" si="286"/>
        <v>1.3878011579360786E-2</v>
      </c>
      <c r="AB679" s="55" t="s">
        <v>81</v>
      </c>
      <c r="AC679" s="88">
        <f t="shared" ref="AC679:AC710" si="288">N679*AN679</f>
        <v>-0.1197228</v>
      </c>
      <c r="AD679" s="88" cm="1">
        <f t="array" ref="AD679">_xlfn.IFS(
AND(L679="marginal_effect",M679="level"),N679*AN679/BF679,
AND(L679="marginal_effect",M679="sd (Y)"),N679*BI679*AN679/BF679,
AND(L679="marginal_effect",M679="sd (X)"),N679/AQ679*AN679/BF679,
AND(L679="semi_elasticity",M679="level"),N679*AN679,
AND(L679="semi_elasticity",M679="sd (Y)"),N679*AN679*BI679,
AND(L679="semi_elasticity",M679="sd (X)"),N679*AN679/AQ679,
AND(L679="level-log",M679="level"),N679/BF679,
AND(L679="level-log",M679="sd (X)"),N679/BF679/AQ679,
AND(L679="level-log",M679="sd (Y)"),N679/BF679*BI679,
AND(L679="elasticity",M679="level"),N679,
AND(L679="elasticity",M679="sd (X)"),N679/AQ679,
AND(L679="elasticity",M679="sd (Y)"),N679*BI679,
AND(L679="marginal_effect",M679="percent_of_mean"),N679*AN679/BF679/10)</f>
        <v>-0.1197228</v>
      </c>
      <c r="AE679" s="56">
        <f t="shared" si="275"/>
        <v>1</v>
      </c>
      <c r="AF679" s="88">
        <f t="shared" si="281"/>
        <v>3.3481799999999999E-2</v>
      </c>
      <c r="AG679" s="88" cm="1">
        <f t="array" ref="AG679">_xlfn.IFS(
AND(L679="marginal_effect",M679="level"),O679*AN679/BF679,
AND(L679="marginal_effect",M679="sd (Y)"),O679*BI679*AN679/BF679,
AND(L679="marginal_effect",M679="sd (X)"),O679/AQ679*AN679/BF679,
AND(L679="semi_elasticity",M679="level"),O679*AN679,
AND(L679="semi_elasticity",M679="sd (Y)"),O679*AN679*BI679,
AND(L679="semi_elasticity",M679="sd (X)"),O679*AN679/AQ679,
AND(L679="level-log",M679="level"),O679/BF679,
AND(L679="level-log",M679="sd (X)"),O679/BF679/AQ679,
AND(L679="level-log",M679="sd (Y)"),O679/BF679*BI679,
AND(L679="elasticity",M679="level"),O679,
AND(L679="elasticity",M679="sd (X)"),O679/AQ679,
AND(L679="elasticity",M679="sd (Y)"),O679*BI679,
AND(L679="marginal_effect",M679="percent_of_mean"),O679*AN679/BF679/10)</f>
        <v>3.3481799999999999E-2</v>
      </c>
      <c r="AH679" s="56">
        <f t="shared" si="282"/>
        <v>1</v>
      </c>
      <c r="AI679" s="88">
        <f t="shared" si="287"/>
        <v>-0.1197228</v>
      </c>
      <c r="AJ679" s="55">
        <v>0</v>
      </c>
      <c r="AK679" s="55">
        <f t="shared" si="283"/>
        <v>1</v>
      </c>
      <c r="AL679" s="55" t="s">
        <v>148</v>
      </c>
      <c r="AM679" s="55" t="s">
        <v>1466</v>
      </c>
      <c r="AN679" s="55">
        <v>10.146000000000001</v>
      </c>
      <c r="AO679" s="55">
        <v>0</v>
      </c>
      <c r="AP679" s="55">
        <f t="shared" si="277"/>
        <v>101.46000000000001</v>
      </c>
      <c r="AQ679" s="55">
        <v>48.17</v>
      </c>
      <c r="AR679" s="55">
        <v>18</v>
      </c>
      <c r="AS679" s="55">
        <v>300</v>
      </c>
      <c r="AT679" s="55" t="s">
        <v>83</v>
      </c>
      <c r="AU679" s="55" t="s">
        <v>109</v>
      </c>
      <c r="AV679" s="55" t="s">
        <v>133</v>
      </c>
      <c r="AW679" s="55" t="s">
        <v>109</v>
      </c>
      <c r="AX679" s="55" t="s">
        <v>86</v>
      </c>
      <c r="AY679" s="55">
        <v>0</v>
      </c>
      <c r="AZ679" s="55">
        <v>0</v>
      </c>
      <c r="BA679" s="55" t="s">
        <v>87</v>
      </c>
      <c r="BB679" s="55" t="s">
        <v>88</v>
      </c>
      <c r="BC679" s="55" t="s">
        <v>89</v>
      </c>
      <c r="BD679" s="55" t="s">
        <v>90</v>
      </c>
      <c r="BE679" s="55" t="s">
        <v>1458</v>
      </c>
      <c r="BF679" s="55">
        <v>101.57</v>
      </c>
      <c r="BG679" s="55">
        <v>0</v>
      </c>
      <c r="BH679" s="55">
        <v>65.849999999999994</v>
      </c>
      <c r="BI679" s="55">
        <v>5</v>
      </c>
      <c r="BJ679" s="55">
        <v>430</v>
      </c>
      <c r="BK679" s="55" t="s">
        <v>91</v>
      </c>
      <c r="BL679" s="55" t="s">
        <v>84</v>
      </c>
      <c r="BM679" s="55">
        <v>1</v>
      </c>
      <c r="BN679" s="55" t="s">
        <v>428</v>
      </c>
      <c r="BO679" s="60" t="s">
        <v>1463</v>
      </c>
      <c r="BP679" s="55" t="s">
        <v>1464</v>
      </c>
      <c r="BQ679" s="55" t="s">
        <v>117</v>
      </c>
      <c r="BR679" s="55" t="s">
        <v>134</v>
      </c>
      <c r="BS679" s="55">
        <v>29.22</v>
      </c>
      <c r="BT679" s="55">
        <v>0.01</v>
      </c>
      <c r="BU679" s="57">
        <v>42552</v>
      </c>
      <c r="BV679" s="57">
        <v>42643</v>
      </c>
      <c r="BW679" s="55" t="s">
        <v>94</v>
      </c>
      <c r="BX679" s="55" t="s">
        <v>95</v>
      </c>
      <c r="BY679" s="55" t="s">
        <v>748</v>
      </c>
      <c r="BZ679" s="55">
        <v>1</v>
      </c>
      <c r="CA679" s="55">
        <v>1</v>
      </c>
      <c r="CB679" s="55" t="s">
        <v>303</v>
      </c>
      <c r="CC679" s="55" t="s">
        <v>314</v>
      </c>
      <c r="CD679" s="55">
        <v>1</v>
      </c>
      <c r="CE679" s="55" t="s">
        <v>1462</v>
      </c>
      <c r="CF679" s="55">
        <v>0</v>
      </c>
      <c r="CG679" s="55" t="s">
        <v>97</v>
      </c>
      <c r="CH679" s="55">
        <v>1</v>
      </c>
      <c r="CI679" s="55" t="s">
        <v>1465</v>
      </c>
      <c r="CJ679" s="55" t="s">
        <v>98</v>
      </c>
      <c r="CK679" s="55">
        <v>179</v>
      </c>
      <c r="CL679" s="55">
        <v>0</v>
      </c>
      <c r="CM679" s="55">
        <v>0</v>
      </c>
      <c r="CN679" s="55" t="s">
        <v>124</v>
      </c>
      <c r="CO679" s="55" t="s">
        <v>943</v>
      </c>
      <c r="CP679" s="55" t="s">
        <v>100</v>
      </c>
      <c r="CQ679" s="55" t="s">
        <v>126</v>
      </c>
      <c r="CR679" s="57">
        <v>46233</v>
      </c>
      <c r="CT679" s="55" t="s">
        <v>1515</v>
      </c>
    </row>
    <row r="680" spans="1:98" s="55" customFormat="1" x14ac:dyDescent="0.35">
      <c r="A680" s="54" t="s">
        <v>1459</v>
      </c>
      <c r="B680" s="54" t="s">
        <v>1521</v>
      </c>
      <c r="C680" s="55" t="s">
        <v>1460</v>
      </c>
      <c r="D680" s="55">
        <v>2022</v>
      </c>
      <c r="E680" s="60" t="s">
        <v>1461</v>
      </c>
      <c r="F680" s="54" t="s">
        <v>998</v>
      </c>
      <c r="G680" s="55" t="s">
        <v>78</v>
      </c>
      <c r="H680" s="55">
        <v>1</v>
      </c>
      <c r="I680" s="55" t="s">
        <v>290</v>
      </c>
      <c r="J680" s="55" t="s">
        <v>79</v>
      </c>
      <c r="K680" s="55">
        <v>81</v>
      </c>
      <c r="L680" s="55" t="s">
        <v>104</v>
      </c>
      <c r="M680" s="55" t="s">
        <v>380</v>
      </c>
      <c r="N680" s="55">
        <v>-1.84E-2</v>
      </c>
      <c r="O680" s="55">
        <v>4.7999999999999996E-3</v>
      </c>
      <c r="P680" s="88">
        <f t="shared" si="278"/>
        <v>-3.8333333333333335</v>
      </c>
      <c r="Q680" s="55" t="s">
        <v>312</v>
      </c>
      <c r="R680" s="88">
        <f t="shared" si="279"/>
        <v>-2.7807999999999999E-2</v>
      </c>
      <c r="S680" s="88">
        <f t="shared" si="280"/>
        <v>-8.992E-3</v>
      </c>
      <c r="T680" s="55">
        <v>1</v>
      </c>
      <c r="U680" s="55">
        <v>66374</v>
      </c>
      <c r="V680" s="55" t="s">
        <v>312</v>
      </c>
      <c r="W680" s="55" t="s">
        <v>312</v>
      </c>
      <c r="X680" s="55">
        <f t="shared" ref="X680:X711" si="289">U680</f>
        <v>66374</v>
      </c>
      <c r="Y680" s="88">
        <f t="shared" si="284"/>
        <v>-1.4877485016250374E-2</v>
      </c>
      <c r="Z680" s="88">
        <f t="shared" si="285"/>
        <v>3.8810830477174884E-3</v>
      </c>
      <c r="AA680" s="88">
        <f t="shared" si="286"/>
        <v>1.4877485016250374E-2</v>
      </c>
      <c r="AB680" s="55" t="s">
        <v>81</v>
      </c>
      <c r="AC680" s="88">
        <f t="shared" si="288"/>
        <v>-0.1866864</v>
      </c>
      <c r="AD680" s="88" cm="1">
        <f t="array" ref="AD680">_xlfn.IFS(
AND(L680="marginal_effect",M680="level"),N680*AN680/BF680,
AND(L680="marginal_effect",M680="sd (Y)"),N680*BI680*AN680/BF680,
AND(L680="marginal_effect",M680="sd (X)"),N680/AQ680*AN680/BF680,
AND(L680="semi_elasticity",M680="level"),N680*AN680,
AND(L680="semi_elasticity",M680="sd (Y)"),N680*AN680*BI680,
AND(L680="semi_elasticity",M680="sd (X)"),N680*AN680/AQ680,
AND(L680="level-log",M680="level"),N680/BF680,
AND(L680="level-log",M680="sd (X)"),N680/BF680/AQ680,
AND(L680="level-log",M680="sd (Y)"),N680/BF680*BI680,
AND(L680="elasticity",M680="level"),N680,
AND(L680="elasticity",M680="sd (X)"),N680/AQ680,
AND(L680="elasticity",M680="sd (Y)"),N680*BI680,
AND(L680="marginal_effect",M680="percent_of_mean"),N680*AN680/BF680/10)</f>
        <v>-0.1866864</v>
      </c>
      <c r="AE680" s="56">
        <f t="shared" si="275"/>
        <v>1</v>
      </c>
      <c r="AF680" s="88">
        <f t="shared" si="281"/>
        <v>4.8700800000000002E-2</v>
      </c>
      <c r="AG680" s="88" cm="1">
        <f t="array" ref="AG680">_xlfn.IFS(
AND(L680="marginal_effect",M680="level"),O680*AN680/BF680,
AND(L680="marginal_effect",M680="sd (Y)"),O680*BI680*AN680/BF680,
AND(L680="marginal_effect",M680="sd (X)"),O680/AQ680*AN680/BF680,
AND(L680="semi_elasticity",M680="level"),O680*AN680,
AND(L680="semi_elasticity",M680="sd (Y)"),O680*AN680*BI680,
AND(L680="semi_elasticity",M680="sd (X)"),O680*AN680/AQ680,
AND(L680="level-log",M680="level"),O680/BF680,
AND(L680="level-log",M680="sd (X)"),O680/BF680/AQ680,
AND(L680="level-log",M680="sd (Y)"),O680/BF680*BI680,
AND(L680="elasticity",M680="level"),O680,
AND(L680="elasticity",M680="sd (X)"),O680/AQ680,
AND(L680="elasticity",M680="sd (Y)"),O680*BI680,
AND(L680="marginal_effect",M680="percent_of_mean"),O680*AN680/BF680/10)</f>
        <v>4.8700800000000002E-2</v>
      </c>
      <c r="AH680" s="56">
        <f t="shared" si="282"/>
        <v>1</v>
      </c>
      <c r="AI680" s="88">
        <f t="shared" si="287"/>
        <v>-0.1866864</v>
      </c>
      <c r="AJ680" s="55">
        <v>0</v>
      </c>
      <c r="AK680" s="55">
        <f t="shared" si="283"/>
        <v>1</v>
      </c>
      <c r="AL680" s="55" t="s">
        <v>148</v>
      </c>
      <c r="AM680" s="55" t="s">
        <v>1466</v>
      </c>
      <c r="AN680" s="55">
        <v>10.146000000000001</v>
      </c>
      <c r="AO680" s="55">
        <v>0</v>
      </c>
      <c r="AP680" s="55">
        <f t="shared" si="277"/>
        <v>101.46000000000001</v>
      </c>
      <c r="AQ680" s="55">
        <v>48.17</v>
      </c>
      <c r="AR680" s="55">
        <v>18</v>
      </c>
      <c r="AS680" s="55">
        <v>300</v>
      </c>
      <c r="AT680" s="55" t="s">
        <v>83</v>
      </c>
      <c r="AU680" s="55" t="s">
        <v>109</v>
      </c>
      <c r="AV680" s="55" t="s">
        <v>133</v>
      </c>
      <c r="AW680" s="55" t="s">
        <v>109</v>
      </c>
      <c r="AX680" s="55" t="s">
        <v>86</v>
      </c>
      <c r="AY680" s="55">
        <v>0</v>
      </c>
      <c r="AZ680" s="55">
        <v>0</v>
      </c>
      <c r="BA680" s="55" t="s">
        <v>87</v>
      </c>
      <c r="BB680" s="55" t="s">
        <v>88</v>
      </c>
      <c r="BC680" s="55" t="s">
        <v>89</v>
      </c>
      <c r="BD680" s="55" t="s">
        <v>90</v>
      </c>
      <c r="BE680" s="55" t="s">
        <v>1458</v>
      </c>
      <c r="BF680" s="55">
        <v>101.57</v>
      </c>
      <c r="BG680" s="55">
        <v>0</v>
      </c>
      <c r="BH680" s="55">
        <v>65.849999999999994</v>
      </c>
      <c r="BI680" s="55">
        <v>5</v>
      </c>
      <c r="BJ680" s="55">
        <v>430</v>
      </c>
      <c r="BK680" s="55" t="s">
        <v>91</v>
      </c>
      <c r="BL680" s="55" t="s">
        <v>84</v>
      </c>
      <c r="BM680" s="55">
        <v>1</v>
      </c>
      <c r="BN680" s="55" t="s">
        <v>428</v>
      </c>
      <c r="BO680" s="60" t="s">
        <v>1463</v>
      </c>
      <c r="BP680" s="55" t="s">
        <v>1464</v>
      </c>
      <c r="BQ680" s="55" t="s">
        <v>117</v>
      </c>
      <c r="BR680" s="55" t="s">
        <v>134</v>
      </c>
      <c r="BS680" s="55">
        <v>29.22</v>
      </c>
      <c r="BT680" s="55">
        <v>0.01</v>
      </c>
      <c r="BU680" s="57">
        <v>42552</v>
      </c>
      <c r="BV680" s="57">
        <v>42643</v>
      </c>
      <c r="BW680" s="55" t="s">
        <v>94</v>
      </c>
      <c r="BX680" s="55" t="s">
        <v>95</v>
      </c>
      <c r="BY680" s="55" t="s">
        <v>748</v>
      </c>
      <c r="BZ680" s="55">
        <v>1</v>
      </c>
      <c r="CA680" s="55">
        <v>1</v>
      </c>
      <c r="CB680" s="55" t="s">
        <v>303</v>
      </c>
      <c r="CC680" s="55" t="s">
        <v>314</v>
      </c>
      <c r="CD680" s="55">
        <v>1</v>
      </c>
      <c r="CE680" s="55" t="s">
        <v>1462</v>
      </c>
      <c r="CF680" s="55">
        <v>0</v>
      </c>
      <c r="CG680" s="55" t="s">
        <v>97</v>
      </c>
      <c r="CH680" s="55">
        <v>1</v>
      </c>
      <c r="CI680" s="55" t="s">
        <v>1465</v>
      </c>
      <c r="CJ680" s="55" t="s">
        <v>98</v>
      </c>
      <c r="CK680" s="55">
        <v>179</v>
      </c>
      <c r="CL680" s="55">
        <v>0</v>
      </c>
      <c r="CM680" s="55">
        <v>0</v>
      </c>
      <c r="CN680" s="55" t="s">
        <v>124</v>
      </c>
      <c r="CO680" s="55" t="s">
        <v>943</v>
      </c>
      <c r="CP680" s="55" t="s">
        <v>100</v>
      </c>
      <c r="CQ680" s="55" t="s">
        <v>126</v>
      </c>
      <c r="CR680" s="57">
        <v>46233</v>
      </c>
      <c r="CT680" s="55" t="s">
        <v>1516</v>
      </c>
    </row>
    <row r="681" spans="1:98" s="55" customFormat="1" x14ac:dyDescent="0.35">
      <c r="A681" s="54" t="s">
        <v>1459</v>
      </c>
      <c r="B681" s="54" t="s">
        <v>1522</v>
      </c>
      <c r="C681" s="55" t="s">
        <v>1460</v>
      </c>
      <c r="D681" s="55">
        <v>2022</v>
      </c>
      <c r="E681" s="60" t="s">
        <v>1461</v>
      </c>
      <c r="F681" s="54" t="s">
        <v>998</v>
      </c>
      <c r="G681" s="55" t="s">
        <v>78</v>
      </c>
      <c r="H681" s="55">
        <v>1</v>
      </c>
      <c r="I681" s="55" t="s">
        <v>290</v>
      </c>
      <c r="J681" s="55" t="s">
        <v>79</v>
      </c>
      <c r="K681" s="55">
        <v>81</v>
      </c>
      <c r="L681" s="55" t="s">
        <v>104</v>
      </c>
      <c r="M681" s="55" t="s">
        <v>380</v>
      </c>
      <c r="N681" s="55">
        <v>-1.52E-2</v>
      </c>
      <c r="O681" s="55">
        <v>4.1000000000000003E-3</v>
      </c>
      <c r="P681" s="88">
        <f t="shared" si="278"/>
        <v>-3.7073170731707314</v>
      </c>
      <c r="Q681" s="55" t="s">
        <v>312</v>
      </c>
      <c r="R681" s="88">
        <f t="shared" si="279"/>
        <v>-2.3236E-2</v>
      </c>
      <c r="S681" s="88">
        <f t="shared" si="280"/>
        <v>-7.1640000000000002E-3</v>
      </c>
      <c r="T681" s="55">
        <v>1</v>
      </c>
      <c r="U681" s="55">
        <v>66374</v>
      </c>
      <c r="V681" s="55" t="s">
        <v>312</v>
      </c>
      <c r="W681" s="55" t="s">
        <v>312</v>
      </c>
      <c r="X681" s="55">
        <f t="shared" si="289"/>
        <v>66374</v>
      </c>
      <c r="Y681" s="88">
        <f t="shared" si="284"/>
        <v>-1.4388508419437422E-2</v>
      </c>
      <c r="Z681" s="88">
        <f t="shared" si="285"/>
        <v>3.8811108236640416E-3</v>
      </c>
      <c r="AA681" s="88">
        <f t="shared" si="286"/>
        <v>1.4388508419437422E-2</v>
      </c>
      <c r="AB681" s="55" t="s">
        <v>81</v>
      </c>
      <c r="AC681" s="88">
        <f t="shared" si="288"/>
        <v>-0.1542192</v>
      </c>
      <c r="AD681" s="88" cm="1">
        <f t="array" ref="AD681">_xlfn.IFS(
AND(L681="marginal_effect",M681="level"),N681*AN681/BF681,
AND(L681="marginal_effect",M681="sd (Y)"),N681*BI681*AN681/BF681,
AND(L681="marginal_effect",M681="sd (X)"),N681/AQ681*AN681/BF681,
AND(L681="semi_elasticity",M681="level"),N681*AN681,
AND(L681="semi_elasticity",M681="sd (Y)"),N681*AN681*BI681,
AND(L681="semi_elasticity",M681="sd (X)"),N681*AN681/AQ681,
AND(L681="level-log",M681="level"),N681/BF681,
AND(L681="level-log",M681="sd (X)"),N681/BF681/AQ681,
AND(L681="level-log",M681="sd (Y)"),N681/BF681*BI681,
AND(L681="elasticity",M681="level"),N681,
AND(L681="elasticity",M681="sd (X)"),N681/AQ681,
AND(L681="elasticity",M681="sd (Y)"),N681*BI681,
AND(L681="marginal_effect",M681="percent_of_mean"),N681*AN681/BF681/10)</f>
        <v>-0.1542192</v>
      </c>
      <c r="AE681" s="56">
        <f t="shared" si="275"/>
        <v>1</v>
      </c>
      <c r="AF681" s="88">
        <f t="shared" si="281"/>
        <v>4.1598600000000006E-2</v>
      </c>
      <c r="AG681" s="88" cm="1">
        <f t="array" ref="AG681">_xlfn.IFS(
AND(L681="marginal_effect",M681="level"),O681*AN681/BF681,
AND(L681="marginal_effect",M681="sd (Y)"),O681*BI681*AN681/BF681,
AND(L681="marginal_effect",M681="sd (X)"),O681/AQ681*AN681/BF681,
AND(L681="semi_elasticity",M681="level"),O681*AN681,
AND(L681="semi_elasticity",M681="sd (Y)"),O681*AN681*BI681,
AND(L681="semi_elasticity",M681="sd (X)"),O681*AN681/AQ681,
AND(L681="level-log",M681="level"),O681/BF681,
AND(L681="level-log",M681="sd (X)"),O681/BF681/AQ681,
AND(L681="level-log",M681="sd (Y)"),O681/BF681*BI681,
AND(L681="elasticity",M681="level"),O681,
AND(L681="elasticity",M681="sd (X)"),O681/AQ681,
AND(L681="elasticity",M681="sd (Y)"),O681*BI681,
AND(L681="marginal_effect",M681="percent_of_mean"),O681*AN681/BF681/10)</f>
        <v>4.1598600000000006E-2</v>
      </c>
      <c r="AH681" s="56">
        <f t="shared" si="282"/>
        <v>1</v>
      </c>
      <c r="AI681" s="88">
        <f t="shared" si="287"/>
        <v>-0.1542192</v>
      </c>
      <c r="AJ681" s="55">
        <v>0</v>
      </c>
      <c r="AK681" s="55">
        <f t="shared" si="283"/>
        <v>1</v>
      </c>
      <c r="AL681" s="55" t="s">
        <v>148</v>
      </c>
      <c r="AM681" s="55" t="s">
        <v>1466</v>
      </c>
      <c r="AN681" s="55">
        <v>10.146000000000001</v>
      </c>
      <c r="AO681" s="55">
        <v>0</v>
      </c>
      <c r="AP681" s="55">
        <f t="shared" si="277"/>
        <v>101.46000000000001</v>
      </c>
      <c r="AQ681" s="55">
        <v>48.17</v>
      </c>
      <c r="AR681" s="55">
        <v>18</v>
      </c>
      <c r="AS681" s="55">
        <v>300</v>
      </c>
      <c r="AT681" s="55" t="s">
        <v>83</v>
      </c>
      <c r="AU681" s="55" t="s">
        <v>109</v>
      </c>
      <c r="AV681" s="55" t="s">
        <v>133</v>
      </c>
      <c r="AW681" s="55" t="s">
        <v>109</v>
      </c>
      <c r="AX681" s="55" t="s">
        <v>86</v>
      </c>
      <c r="AY681" s="55">
        <v>0</v>
      </c>
      <c r="AZ681" s="55">
        <v>0</v>
      </c>
      <c r="BA681" s="55" t="s">
        <v>87</v>
      </c>
      <c r="BB681" s="55" t="s">
        <v>88</v>
      </c>
      <c r="BC681" s="55" t="s">
        <v>89</v>
      </c>
      <c r="BD681" s="55" t="s">
        <v>90</v>
      </c>
      <c r="BE681" s="55" t="s">
        <v>1458</v>
      </c>
      <c r="BF681" s="55">
        <v>101.57</v>
      </c>
      <c r="BG681" s="55">
        <v>0</v>
      </c>
      <c r="BH681" s="55">
        <v>65.849999999999994</v>
      </c>
      <c r="BI681" s="55">
        <v>5</v>
      </c>
      <c r="BJ681" s="55">
        <v>430</v>
      </c>
      <c r="BK681" s="55" t="s">
        <v>91</v>
      </c>
      <c r="BL681" s="55" t="s">
        <v>84</v>
      </c>
      <c r="BM681" s="55">
        <v>1</v>
      </c>
      <c r="BN681" s="55" t="s">
        <v>428</v>
      </c>
      <c r="BO681" s="60" t="s">
        <v>1463</v>
      </c>
      <c r="BP681" s="55" t="s">
        <v>1464</v>
      </c>
      <c r="BQ681" s="55" t="s">
        <v>117</v>
      </c>
      <c r="BR681" s="55" t="s">
        <v>134</v>
      </c>
      <c r="BS681" s="55">
        <v>29.22</v>
      </c>
      <c r="BT681" s="55">
        <v>0.01</v>
      </c>
      <c r="BU681" s="57">
        <v>42552</v>
      </c>
      <c r="BV681" s="57">
        <v>42643</v>
      </c>
      <c r="BW681" s="55" t="s">
        <v>94</v>
      </c>
      <c r="BX681" s="55" t="s">
        <v>95</v>
      </c>
      <c r="BY681" s="55" t="s">
        <v>748</v>
      </c>
      <c r="BZ681" s="55">
        <v>1</v>
      </c>
      <c r="CA681" s="55">
        <v>1</v>
      </c>
      <c r="CB681" s="55" t="s">
        <v>303</v>
      </c>
      <c r="CC681" s="55" t="s">
        <v>314</v>
      </c>
      <c r="CD681" s="55">
        <v>1</v>
      </c>
      <c r="CE681" s="55" t="s">
        <v>1462</v>
      </c>
      <c r="CF681" s="55">
        <v>0</v>
      </c>
      <c r="CG681" s="55" t="s">
        <v>97</v>
      </c>
      <c r="CH681" s="55">
        <v>1</v>
      </c>
      <c r="CI681" s="55" t="s">
        <v>1465</v>
      </c>
      <c r="CJ681" s="55" t="s">
        <v>98</v>
      </c>
      <c r="CK681" s="55">
        <v>179</v>
      </c>
      <c r="CL681" s="55">
        <v>0</v>
      </c>
      <c r="CM681" s="55">
        <v>0</v>
      </c>
      <c r="CN681" s="55" t="s">
        <v>124</v>
      </c>
      <c r="CO681" s="55" t="s">
        <v>943</v>
      </c>
      <c r="CP681" s="55" t="s">
        <v>100</v>
      </c>
      <c r="CQ681" s="55" t="s">
        <v>126</v>
      </c>
      <c r="CR681" s="57">
        <v>46233</v>
      </c>
      <c r="CT681" s="55" t="s">
        <v>1517</v>
      </c>
    </row>
    <row r="682" spans="1:98" s="55" customFormat="1" x14ac:dyDescent="0.35">
      <c r="A682" s="54" t="s">
        <v>1459</v>
      </c>
      <c r="B682" s="54" t="s">
        <v>1523</v>
      </c>
      <c r="C682" s="55" t="s">
        <v>1460</v>
      </c>
      <c r="D682" s="55">
        <v>2022</v>
      </c>
      <c r="E682" s="60" t="s">
        <v>1461</v>
      </c>
      <c r="F682" s="54" t="s">
        <v>998</v>
      </c>
      <c r="G682" s="55" t="s">
        <v>78</v>
      </c>
      <c r="H682" s="55">
        <v>1</v>
      </c>
      <c r="I682" s="55" t="s">
        <v>290</v>
      </c>
      <c r="J682" s="55" t="s">
        <v>79</v>
      </c>
      <c r="K682" s="55">
        <v>81</v>
      </c>
      <c r="L682" s="55" t="s">
        <v>104</v>
      </c>
      <c r="M682" s="55" t="s">
        <v>380</v>
      </c>
      <c r="N682" s="55">
        <v>-1.6E-2</v>
      </c>
      <c r="O682" s="55">
        <v>4.7000000000000002E-3</v>
      </c>
      <c r="P682" s="88">
        <f t="shared" si="278"/>
        <v>-3.4042553191489362</v>
      </c>
      <c r="Q682" s="55" t="s">
        <v>312</v>
      </c>
      <c r="R682" s="88">
        <f t="shared" si="279"/>
        <v>-2.5211999999999998E-2</v>
      </c>
      <c r="S682" s="88">
        <f t="shared" si="280"/>
        <v>-6.7880000000000006E-3</v>
      </c>
      <c r="T682" s="55">
        <v>1</v>
      </c>
      <c r="U682" s="55">
        <v>66374</v>
      </c>
      <c r="V682" s="55" t="s">
        <v>312</v>
      </c>
      <c r="W682" s="55" t="s">
        <v>312</v>
      </c>
      <c r="X682" s="55">
        <f t="shared" si="289"/>
        <v>66374</v>
      </c>
      <c r="Y682" s="88">
        <f t="shared" si="284"/>
        <v>-1.3212506636184168E-2</v>
      </c>
      <c r="Z682" s="88">
        <f t="shared" si="285"/>
        <v>3.8811738243790992E-3</v>
      </c>
      <c r="AA682" s="88">
        <f t="shared" si="286"/>
        <v>1.3212506636184168E-2</v>
      </c>
      <c r="AB682" s="55" t="s">
        <v>81</v>
      </c>
      <c r="AC682" s="88">
        <f t="shared" si="288"/>
        <v>-0.16233600000000001</v>
      </c>
      <c r="AD682" s="88" cm="1">
        <f t="array" ref="AD682">_xlfn.IFS(
AND(L682="marginal_effect",M682="level"),N682*AN682/BF682,
AND(L682="marginal_effect",M682="sd (Y)"),N682*BI682*AN682/BF682,
AND(L682="marginal_effect",M682="sd (X)"),N682/AQ682*AN682/BF682,
AND(L682="semi_elasticity",M682="level"),N682*AN682,
AND(L682="semi_elasticity",M682="sd (Y)"),N682*AN682*BI682,
AND(L682="semi_elasticity",M682="sd (X)"),N682*AN682/AQ682,
AND(L682="level-log",M682="level"),N682/BF682,
AND(L682="level-log",M682="sd (X)"),N682/BF682/AQ682,
AND(L682="level-log",M682="sd (Y)"),N682/BF682*BI682,
AND(L682="elasticity",M682="level"),N682,
AND(L682="elasticity",M682="sd (X)"),N682/AQ682,
AND(L682="elasticity",M682="sd (Y)"),N682*BI682,
AND(L682="marginal_effect",M682="percent_of_mean"),N682*AN682/BF682/10)</f>
        <v>-0.16233600000000001</v>
      </c>
      <c r="AE682" s="56">
        <f t="shared" si="275"/>
        <v>1</v>
      </c>
      <c r="AF682" s="88">
        <f t="shared" si="281"/>
        <v>4.7686200000000005E-2</v>
      </c>
      <c r="AG682" s="88" cm="1">
        <f t="array" ref="AG682">_xlfn.IFS(
AND(L682="marginal_effect",M682="level"),O682*AN682/BF682,
AND(L682="marginal_effect",M682="sd (Y)"),O682*BI682*AN682/BF682,
AND(L682="marginal_effect",M682="sd (X)"),O682/AQ682*AN682/BF682,
AND(L682="semi_elasticity",M682="level"),O682*AN682,
AND(L682="semi_elasticity",M682="sd (Y)"),O682*AN682*BI682,
AND(L682="semi_elasticity",M682="sd (X)"),O682*AN682/AQ682,
AND(L682="level-log",M682="level"),O682/BF682,
AND(L682="level-log",M682="sd (X)"),O682/BF682/AQ682,
AND(L682="level-log",M682="sd (Y)"),O682/BF682*BI682,
AND(L682="elasticity",M682="level"),O682,
AND(L682="elasticity",M682="sd (X)"),O682/AQ682,
AND(L682="elasticity",M682="sd (Y)"),O682*BI682,
AND(L682="marginal_effect",M682="percent_of_mean"),O682*AN682/BF682/10)</f>
        <v>4.7686200000000005E-2</v>
      </c>
      <c r="AH682" s="56">
        <f t="shared" si="282"/>
        <v>1</v>
      </c>
      <c r="AI682" s="88">
        <f t="shared" si="287"/>
        <v>-0.16233600000000001</v>
      </c>
      <c r="AJ682" s="55">
        <v>0</v>
      </c>
      <c r="AK682" s="55">
        <f t="shared" si="283"/>
        <v>1</v>
      </c>
      <c r="AL682" s="55" t="s">
        <v>148</v>
      </c>
      <c r="AM682" s="55" t="s">
        <v>1466</v>
      </c>
      <c r="AN682" s="55">
        <v>10.146000000000001</v>
      </c>
      <c r="AO682" s="55">
        <v>0</v>
      </c>
      <c r="AP682" s="55">
        <f t="shared" si="277"/>
        <v>101.46000000000001</v>
      </c>
      <c r="AQ682" s="55">
        <v>48.17</v>
      </c>
      <c r="AR682" s="55">
        <v>18</v>
      </c>
      <c r="AS682" s="55">
        <v>300</v>
      </c>
      <c r="AT682" s="55" t="s">
        <v>83</v>
      </c>
      <c r="AU682" s="55" t="s">
        <v>109</v>
      </c>
      <c r="AV682" s="55" t="s">
        <v>133</v>
      </c>
      <c r="AW682" s="55" t="s">
        <v>109</v>
      </c>
      <c r="AX682" s="55" t="s">
        <v>86</v>
      </c>
      <c r="AY682" s="55">
        <v>0</v>
      </c>
      <c r="AZ682" s="55">
        <v>0</v>
      </c>
      <c r="BA682" s="55" t="s">
        <v>87</v>
      </c>
      <c r="BB682" s="55" t="s">
        <v>88</v>
      </c>
      <c r="BC682" s="55" t="s">
        <v>89</v>
      </c>
      <c r="BD682" s="55" t="s">
        <v>90</v>
      </c>
      <c r="BE682" s="55" t="s">
        <v>1458</v>
      </c>
      <c r="BF682" s="55">
        <v>101.57</v>
      </c>
      <c r="BG682" s="55">
        <v>0</v>
      </c>
      <c r="BH682" s="55">
        <v>65.849999999999994</v>
      </c>
      <c r="BI682" s="55">
        <v>5</v>
      </c>
      <c r="BJ682" s="55">
        <v>430</v>
      </c>
      <c r="BK682" s="55" t="s">
        <v>91</v>
      </c>
      <c r="BL682" s="55" t="s">
        <v>84</v>
      </c>
      <c r="BM682" s="55">
        <v>1</v>
      </c>
      <c r="BN682" s="55" t="s">
        <v>428</v>
      </c>
      <c r="BO682" s="60" t="s">
        <v>1463</v>
      </c>
      <c r="BP682" s="55" t="s">
        <v>1464</v>
      </c>
      <c r="BQ682" s="55" t="s">
        <v>117</v>
      </c>
      <c r="BR682" s="55" t="s">
        <v>134</v>
      </c>
      <c r="BS682" s="55">
        <v>29.22</v>
      </c>
      <c r="BT682" s="55">
        <v>0.01</v>
      </c>
      <c r="BU682" s="57">
        <v>42552</v>
      </c>
      <c r="BV682" s="57">
        <v>42643</v>
      </c>
      <c r="BW682" s="55" t="s">
        <v>94</v>
      </c>
      <c r="BX682" s="55" t="s">
        <v>95</v>
      </c>
      <c r="BY682" s="55" t="s">
        <v>748</v>
      </c>
      <c r="BZ682" s="55">
        <v>1</v>
      </c>
      <c r="CA682" s="55">
        <v>1</v>
      </c>
      <c r="CB682" s="55" t="s">
        <v>303</v>
      </c>
      <c r="CC682" s="55" t="s">
        <v>314</v>
      </c>
      <c r="CD682" s="55">
        <v>1</v>
      </c>
      <c r="CE682" s="55" t="s">
        <v>1462</v>
      </c>
      <c r="CF682" s="55">
        <v>0</v>
      </c>
      <c r="CG682" s="55" t="s">
        <v>97</v>
      </c>
      <c r="CH682" s="55">
        <v>1</v>
      </c>
      <c r="CI682" s="55" t="s">
        <v>1465</v>
      </c>
      <c r="CJ682" s="55" t="s">
        <v>98</v>
      </c>
      <c r="CK682" s="55">
        <v>179</v>
      </c>
      <c r="CL682" s="55">
        <v>0</v>
      </c>
      <c r="CM682" s="55">
        <v>0</v>
      </c>
      <c r="CN682" s="55" t="s">
        <v>124</v>
      </c>
      <c r="CO682" s="55" t="s">
        <v>943</v>
      </c>
      <c r="CP682" s="55" t="s">
        <v>100</v>
      </c>
      <c r="CQ682" s="55" t="s">
        <v>126</v>
      </c>
      <c r="CR682" s="57">
        <v>46233</v>
      </c>
      <c r="CT682" s="55" t="s">
        <v>1518</v>
      </c>
    </row>
    <row r="683" spans="1:98" s="55" customFormat="1" x14ac:dyDescent="0.35">
      <c r="A683" s="54" t="s">
        <v>1459</v>
      </c>
      <c r="B683" s="54" t="s">
        <v>1524</v>
      </c>
      <c r="C683" s="55" t="s">
        <v>1460</v>
      </c>
      <c r="D683" s="55">
        <v>2022</v>
      </c>
      <c r="E683" s="60" t="s">
        <v>1461</v>
      </c>
      <c r="F683" s="54" t="s">
        <v>998</v>
      </c>
      <c r="G683" s="55" t="s">
        <v>78</v>
      </c>
      <c r="H683" s="55">
        <v>1</v>
      </c>
      <c r="I683" s="55" t="s">
        <v>290</v>
      </c>
      <c r="J683" s="55" t="s">
        <v>79</v>
      </c>
      <c r="K683" s="55">
        <v>81</v>
      </c>
      <c r="L683" s="55" t="s">
        <v>104</v>
      </c>
      <c r="M683" s="55" t="s">
        <v>380</v>
      </c>
      <c r="N683" s="55">
        <v>-2.4400000000000002E-2</v>
      </c>
      <c r="O683" s="55">
        <v>7.1999999999999998E-3</v>
      </c>
      <c r="P683" s="88">
        <f t="shared" si="278"/>
        <v>-3.3888888888888893</v>
      </c>
      <c r="Q683" s="55" t="s">
        <v>312</v>
      </c>
      <c r="R683" s="88">
        <f t="shared" si="279"/>
        <v>-3.8512000000000005E-2</v>
      </c>
      <c r="S683" s="88">
        <f t="shared" si="280"/>
        <v>-1.0288000000000002E-2</v>
      </c>
      <c r="T683" s="55">
        <v>1</v>
      </c>
      <c r="U683" s="55">
        <v>66374</v>
      </c>
      <c r="V683" s="55" t="s">
        <v>312</v>
      </c>
      <c r="W683" s="55" t="s">
        <v>312</v>
      </c>
      <c r="X683" s="55">
        <f t="shared" si="289"/>
        <v>66374</v>
      </c>
      <c r="Y683" s="88">
        <f t="shared" si="284"/>
        <v>-1.3152877190246933E-2</v>
      </c>
      <c r="Z683" s="88">
        <f t="shared" si="285"/>
        <v>3.8811768758105704E-3</v>
      </c>
      <c r="AA683" s="88">
        <f t="shared" si="286"/>
        <v>1.3152877190246933E-2</v>
      </c>
      <c r="AB683" s="55" t="s">
        <v>81</v>
      </c>
      <c r="AC683" s="88">
        <f t="shared" si="288"/>
        <v>-0.24756240000000004</v>
      </c>
      <c r="AD683" s="88" cm="1">
        <f t="array" ref="AD683">_xlfn.IFS(
AND(L683="marginal_effect",M683="level"),N683*AN683/BF683,
AND(L683="marginal_effect",M683="sd (Y)"),N683*BI683*AN683/BF683,
AND(L683="marginal_effect",M683="sd (X)"),N683/AQ683*AN683/BF683,
AND(L683="semi_elasticity",M683="level"),N683*AN683,
AND(L683="semi_elasticity",M683="sd (Y)"),N683*AN683*BI683,
AND(L683="semi_elasticity",M683="sd (X)"),N683*AN683/AQ683,
AND(L683="level-log",M683="level"),N683/BF683,
AND(L683="level-log",M683="sd (X)"),N683/BF683/AQ683,
AND(L683="level-log",M683="sd (Y)"),N683/BF683*BI683,
AND(L683="elasticity",M683="level"),N683,
AND(L683="elasticity",M683="sd (X)"),N683/AQ683,
AND(L683="elasticity",M683="sd (Y)"),N683*BI683,
AND(L683="marginal_effect",M683="percent_of_mean"),N683*AN683/BF683/10)</f>
        <v>-0.24756240000000004</v>
      </c>
      <c r="AE683" s="56">
        <f t="shared" si="275"/>
        <v>1</v>
      </c>
      <c r="AF683" s="88">
        <f t="shared" si="281"/>
        <v>7.3051200000000011E-2</v>
      </c>
      <c r="AG683" s="88" cm="1">
        <f t="array" ref="AG683">_xlfn.IFS(
AND(L683="marginal_effect",M683="level"),O683*AN683/BF683,
AND(L683="marginal_effect",M683="sd (Y)"),O683*BI683*AN683/BF683,
AND(L683="marginal_effect",M683="sd (X)"),O683/AQ683*AN683/BF683,
AND(L683="semi_elasticity",M683="level"),O683*AN683,
AND(L683="semi_elasticity",M683="sd (Y)"),O683*AN683*BI683,
AND(L683="semi_elasticity",M683="sd (X)"),O683*AN683/AQ683,
AND(L683="level-log",M683="level"),O683/BF683,
AND(L683="level-log",M683="sd (X)"),O683/BF683/AQ683,
AND(L683="level-log",M683="sd (Y)"),O683/BF683*BI683,
AND(L683="elasticity",M683="level"),O683,
AND(L683="elasticity",M683="sd (X)"),O683/AQ683,
AND(L683="elasticity",M683="sd (Y)"),O683*BI683,
AND(L683="marginal_effect",M683="percent_of_mean"),O683*AN683/BF683/10)</f>
        <v>7.3051200000000011E-2</v>
      </c>
      <c r="AH683" s="56">
        <f t="shared" si="282"/>
        <v>1</v>
      </c>
      <c r="AI683" s="88">
        <f t="shared" si="287"/>
        <v>-0.24756240000000004</v>
      </c>
      <c r="AJ683" s="55">
        <v>0</v>
      </c>
      <c r="AK683" s="55">
        <f t="shared" si="283"/>
        <v>1</v>
      </c>
      <c r="AL683" s="55" t="s">
        <v>148</v>
      </c>
      <c r="AM683" s="55" t="s">
        <v>1466</v>
      </c>
      <c r="AN683" s="55">
        <v>10.146000000000001</v>
      </c>
      <c r="AO683" s="55">
        <v>0</v>
      </c>
      <c r="AP683" s="55">
        <f t="shared" si="277"/>
        <v>101.46000000000001</v>
      </c>
      <c r="AQ683" s="55">
        <v>48.17</v>
      </c>
      <c r="AR683" s="55">
        <v>18</v>
      </c>
      <c r="AS683" s="55">
        <v>300</v>
      </c>
      <c r="AT683" s="55" t="s">
        <v>83</v>
      </c>
      <c r="AU683" s="55" t="s">
        <v>109</v>
      </c>
      <c r="AV683" s="55" t="s">
        <v>133</v>
      </c>
      <c r="AW683" s="55" t="s">
        <v>109</v>
      </c>
      <c r="AX683" s="55" t="s">
        <v>86</v>
      </c>
      <c r="AY683" s="55">
        <v>0</v>
      </c>
      <c r="AZ683" s="55">
        <v>0</v>
      </c>
      <c r="BA683" s="55" t="s">
        <v>87</v>
      </c>
      <c r="BB683" s="55" t="s">
        <v>88</v>
      </c>
      <c r="BC683" s="55" t="s">
        <v>89</v>
      </c>
      <c r="BD683" s="55" t="s">
        <v>90</v>
      </c>
      <c r="BE683" s="55" t="s">
        <v>1458</v>
      </c>
      <c r="BF683" s="55">
        <v>101.57</v>
      </c>
      <c r="BG683" s="55">
        <v>0</v>
      </c>
      <c r="BH683" s="55">
        <v>65.849999999999994</v>
      </c>
      <c r="BI683" s="55">
        <v>5</v>
      </c>
      <c r="BJ683" s="55">
        <v>430</v>
      </c>
      <c r="BK683" s="55" t="s">
        <v>91</v>
      </c>
      <c r="BL683" s="55" t="s">
        <v>84</v>
      </c>
      <c r="BM683" s="55">
        <v>1</v>
      </c>
      <c r="BN683" s="55" t="s">
        <v>428</v>
      </c>
      <c r="BO683" s="60" t="s">
        <v>1463</v>
      </c>
      <c r="BP683" s="55" t="s">
        <v>1464</v>
      </c>
      <c r="BQ683" s="55" t="s">
        <v>117</v>
      </c>
      <c r="BR683" s="55" t="s">
        <v>134</v>
      </c>
      <c r="BS683" s="55">
        <v>29.22</v>
      </c>
      <c r="BT683" s="55">
        <v>0.01</v>
      </c>
      <c r="BU683" s="57">
        <v>42552</v>
      </c>
      <c r="BV683" s="57">
        <v>42643</v>
      </c>
      <c r="BW683" s="55" t="s">
        <v>94</v>
      </c>
      <c r="BX683" s="55" t="s">
        <v>95</v>
      </c>
      <c r="BY683" s="55" t="s">
        <v>748</v>
      </c>
      <c r="BZ683" s="55">
        <v>1</v>
      </c>
      <c r="CA683" s="55">
        <v>1</v>
      </c>
      <c r="CB683" s="55" t="s">
        <v>303</v>
      </c>
      <c r="CC683" s="55" t="s">
        <v>314</v>
      </c>
      <c r="CD683" s="55">
        <v>1</v>
      </c>
      <c r="CE683" s="55" t="s">
        <v>1462</v>
      </c>
      <c r="CF683" s="55">
        <v>0</v>
      </c>
      <c r="CG683" s="55" t="s">
        <v>97</v>
      </c>
      <c r="CH683" s="55">
        <v>1</v>
      </c>
      <c r="CI683" s="55" t="s">
        <v>1465</v>
      </c>
      <c r="CJ683" s="55" t="s">
        <v>98</v>
      </c>
      <c r="CK683" s="55">
        <v>179</v>
      </c>
      <c r="CL683" s="55">
        <v>0</v>
      </c>
      <c r="CM683" s="55">
        <v>0</v>
      </c>
      <c r="CN683" s="55" t="s">
        <v>124</v>
      </c>
      <c r="CO683" s="55" t="s">
        <v>943</v>
      </c>
      <c r="CP683" s="55" t="s">
        <v>100</v>
      </c>
      <c r="CQ683" s="55" t="s">
        <v>126</v>
      </c>
      <c r="CR683" s="57">
        <v>46233</v>
      </c>
      <c r="CT683" s="55" t="s">
        <v>1511</v>
      </c>
    </row>
    <row r="684" spans="1:98" s="55" customFormat="1" x14ac:dyDescent="0.35">
      <c r="A684" s="54" t="s">
        <v>1459</v>
      </c>
      <c r="B684" s="54" t="s">
        <v>1525</v>
      </c>
      <c r="C684" s="55" t="s">
        <v>1460</v>
      </c>
      <c r="D684" s="55">
        <v>2022</v>
      </c>
      <c r="E684" s="60" t="s">
        <v>1461</v>
      </c>
      <c r="F684" s="54" t="s">
        <v>998</v>
      </c>
      <c r="G684" s="55" t="s">
        <v>78</v>
      </c>
      <c r="H684" s="55">
        <v>1</v>
      </c>
      <c r="I684" s="55" t="s">
        <v>290</v>
      </c>
      <c r="J684" s="55" t="s">
        <v>79</v>
      </c>
      <c r="K684" s="55">
        <v>81</v>
      </c>
      <c r="L684" s="55" t="s">
        <v>104</v>
      </c>
      <c r="M684" s="55" t="s">
        <v>380</v>
      </c>
      <c r="N684" s="55">
        <v>-1.37E-2</v>
      </c>
      <c r="O684" s="55">
        <v>3.5000000000000001E-3</v>
      </c>
      <c r="P684" s="88">
        <f t="shared" si="278"/>
        <v>-3.9142857142857141</v>
      </c>
      <c r="Q684" s="55" t="s">
        <v>312</v>
      </c>
      <c r="R684" s="88">
        <f t="shared" si="279"/>
        <v>-2.0560000000000002E-2</v>
      </c>
      <c r="S684" s="88">
        <f t="shared" si="280"/>
        <v>-6.8400000000000006E-3</v>
      </c>
      <c r="T684" s="55">
        <v>1</v>
      </c>
      <c r="U684" s="55">
        <v>66374</v>
      </c>
      <c r="V684" s="55" t="s">
        <v>312</v>
      </c>
      <c r="W684" s="55" t="s">
        <v>312</v>
      </c>
      <c r="X684" s="55">
        <f t="shared" si="289"/>
        <v>66374</v>
      </c>
      <c r="Y684" s="88">
        <f t="shared" si="284"/>
        <v>-1.5191596170675919E-2</v>
      </c>
      <c r="Z684" s="88">
        <f t="shared" si="285"/>
        <v>3.8810647151361838E-3</v>
      </c>
      <c r="AA684" s="88">
        <f t="shared" si="286"/>
        <v>1.5191596170675919E-2</v>
      </c>
      <c r="AB684" s="55" t="s">
        <v>81</v>
      </c>
      <c r="AC684" s="88">
        <f t="shared" si="288"/>
        <v>-0.13900020000000002</v>
      </c>
      <c r="AD684" s="88" cm="1">
        <f t="array" ref="AD684">_xlfn.IFS(
AND(L684="marginal_effect",M684="level"),N684*AN684/BF684,
AND(L684="marginal_effect",M684="sd (Y)"),N684*BI684*AN684/BF684,
AND(L684="marginal_effect",M684="sd (X)"),N684/AQ684*AN684/BF684,
AND(L684="semi_elasticity",M684="level"),N684*AN684,
AND(L684="semi_elasticity",M684="sd (Y)"),N684*AN684*BI684,
AND(L684="semi_elasticity",M684="sd (X)"),N684*AN684/AQ684,
AND(L684="level-log",M684="level"),N684/BF684,
AND(L684="level-log",M684="sd (X)"),N684/BF684/AQ684,
AND(L684="level-log",M684="sd (Y)"),N684/BF684*BI684,
AND(L684="elasticity",M684="level"),N684,
AND(L684="elasticity",M684="sd (X)"),N684/AQ684,
AND(L684="elasticity",M684="sd (Y)"),N684*BI684,
AND(L684="marginal_effect",M684="percent_of_mean"),N684*AN684/BF684/10)</f>
        <v>-0.13900020000000002</v>
      </c>
      <c r="AE684" s="56">
        <f t="shared" si="275"/>
        <v>1</v>
      </c>
      <c r="AF684" s="88">
        <f t="shared" si="281"/>
        <v>3.5511000000000001E-2</v>
      </c>
      <c r="AG684" s="88" cm="1">
        <f t="array" ref="AG684">_xlfn.IFS(
AND(L684="marginal_effect",M684="level"),O684*AN684/BF684,
AND(L684="marginal_effect",M684="sd (Y)"),O684*BI684*AN684/BF684,
AND(L684="marginal_effect",M684="sd (X)"),O684/AQ684*AN684/BF684,
AND(L684="semi_elasticity",M684="level"),O684*AN684,
AND(L684="semi_elasticity",M684="sd (Y)"),O684*AN684*BI684,
AND(L684="semi_elasticity",M684="sd (X)"),O684*AN684/AQ684,
AND(L684="level-log",M684="level"),O684/BF684,
AND(L684="level-log",M684="sd (X)"),O684/BF684/AQ684,
AND(L684="level-log",M684="sd (Y)"),O684/BF684*BI684,
AND(L684="elasticity",M684="level"),O684,
AND(L684="elasticity",M684="sd (X)"),O684/AQ684,
AND(L684="elasticity",M684="sd (Y)"),O684*BI684,
AND(L684="marginal_effect",M684="percent_of_mean"),O684*AN684/BF684/10)</f>
        <v>3.5511000000000001E-2</v>
      </c>
      <c r="AH684" s="56">
        <f t="shared" si="282"/>
        <v>1</v>
      </c>
      <c r="AI684" s="88">
        <f t="shared" si="287"/>
        <v>-0.13900020000000002</v>
      </c>
      <c r="AJ684" s="55">
        <v>0</v>
      </c>
      <c r="AK684" s="55">
        <f t="shared" si="283"/>
        <v>1</v>
      </c>
      <c r="AL684" s="55" t="s">
        <v>148</v>
      </c>
      <c r="AM684" s="55" t="s">
        <v>1466</v>
      </c>
      <c r="AN684" s="55">
        <v>10.146000000000001</v>
      </c>
      <c r="AO684" s="55">
        <v>0</v>
      </c>
      <c r="AP684" s="55">
        <f t="shared" si="277"/>
        <v>101.46000000000001</v>
      </c>
      <c r="AQ684" s="55">
        <v>48.17</v>
      </c>
      <c r="AR684" s="55">
        <v>18</v>
      </c>
      <c r="AS684" s="55">
        <v>300</v>
      </c>
      <c r="AT684" s="55" t="s">
        <v>83</v>
      </c>
      <c r="AU684" s="55" t="s">
        <v>109</v>
      </c>
      <c r="AV684" s="55" t="s">
        <v>133</v>
      </c>
      <c r="AW684" s="55" t="s">
        <v>109</v>
      </c>
      <c r="AX684" s="55" t="s">
        <v>86</v>
      </c>
      <c r="AY684" s="55">
        <v>0</v>
      </c>
      <c r="AZ684" s="55">
        <v>0</v>
      </c>
      <c r="BA684" s="55" t="s">
        <v>87</v>
      </c>
      <c r="BB684" s="55" t="s">
        <v>88</v>
      </c>
      <c r="BC684" s="55" t="s">
        <v>89</v>
      </c>
      <c r="BD684" s="55" t="s">
        <v>90</v>
      </c>
      <c r="BE684" s="55" t="s">
        <v>1458</v>
      </c>
      <c r="BF684" s="55">
        <v>101.57</v>
      </c>
      <c r="BG684" s="55">
        <v>0</v>
      </c>
      <c r="BH684" s="55">
        <v>65.849999999999994</v>
      </c>
      <c r="BI684" s="55">
        <v>5</v>
      </c>
      <c r="BJ684" s="55">
        <v>430</v>
      </c>
      <c r="BK684" s="55" t="s">
        <v>91</v>
      </c>
      <c r="BL684" s="55" t="s">
        <v>84</v>
      </c>
      <c r="BM684" s="55">
        <v>1</v>
      </c>
      <c r="BN684" s="55" t="s">
        <v>428</v>
      </c>
      <c r="BO684" s="60" t="s">
        <v>1463</v>
      </c>
      <c r="BP684" s="55" t="s">
        <v>1464</v>
      </c>
      <c r="BQ684" s="55" t="s">
        <v>117</v>
      </c>
      <c r="BR684" s="55" t="s">
        <v>134</v>
      </c>
      <c r="BS684" s="55">
        <v>29.22</v>
      </c>
      <c r="BT684" s="55">
        <v>0.01</v>
      </c>
      <c r="BU684" s="57">
        <v>42552</v>
      </c>
      <c r="BV684" s="57">
        <v>42643</v>
      </c>
      <c r="BW684" s="55" t="s">
        <v>94</v>
      </c>
      <c r="BX684" s="55" t="s">
        <v>95</v>
      </c>
      <c r="BY684" s="55" t="s">
        <v>748</v>
      </c>
      <c r="BZ684" s="55">
        <v>1</v>
      </c>
      <c r="CA684" s="55">
        <v>1</v>
      </c>
      <c r="CB684" s="55" t="s">
        <v>303</v>
      </c>
      <c r="CC684" s="55" t="s">
        <v>314</v>
      </c>
      <c r="CD684" s="55">
        <v>1</v>
      </c>
      <c r="CE684" s="55" t="s">
        <v>1462</v>
      </c>
      <c r="CF684" s="55">
        <v>0</v>
      </c>
      <c r="CG684" s="55" t="s">
        <v>97</v>
      </c>
      <c r="CH684" s="55">
        <v>1</v>
      </c>
      <c r="CI684" s="55" t="s">
        <v>1465</v>
      </c>
      <c r="CJ684" s="55" t="s">
        <v>98</v>
      </c>
      <c r="CK684" s="55">
        <v>179</v>
      </c>
      <c r="CL684" s="55">
        <v>0</v>
      </c>
      <c r="CM684" s="55">
        <v>0</v>
      </c>
      <c r="CN684" s="55" t="s">
        <v>124</v>
      </c>
      <c r="CO684" s="55" t="s">
        <v>97</v>
      </c>
      <c r="CP684" s="55" t="s">
        <v>100</v>
      </c>
      <c r="CQ684" s="55" t="s">
        <v>126</v>
      </c>
      <c r="CR684" s="57">
        <v>46233</v>
      </c>
      <c r="CT684" s="55" t="s">
        <v>1511</v>
      </c>
    </row>
    <row r="685" spans="1:98" s="55" customFormat="1" x14ac:dyDescent="0.35">
      <c r="A685" s="54" t="s">
        <v>1459</v>
      </c>
      <c r="B685" s="54" t="s">
        <v>1526</v>
      </c>
      <c r="C685" s="55" t="s">
        <v>1460</v>
      </c>
      <c r="D685" s="55">
        <v>2022</v>
      </c>
      <c r="E685" s="60" t="s">
        <v>1461</v>
      </c>
      <c r="F685" s="54" t="s">
        <v>998</v>
      </c>
      <c r="G685" s="55" t="s">
        <v>78</v>
      </c>
      <c r="H685" s="55">
        <v>1</v>
      </c>
      <c r="I685" s="55" t="s">
        <v>290</v>
      </c>
      <c r="J685" s="55" t="s">
        <v>79</v>
      </c>
      <c r="K685" s="55">
        <v>81</v>
      </c>
      <c r="L685" s="55" t="s">
        <v>104</v>
      </c>
      <c r="M685" s="55" t="s">
        <v>380</v>
      </c>
      <c r="N685" s="55">
        <v>-1.03E-2</v>
      </c>
      <c r="O685" s="55">
        <v>3.0999999999999999E-3</v>
      </c>
      <c r="P685" s="88">
        <f t="shared" si="278"/>
        <v>-3.3225806451612905</v>
      </c>
      <c r="Q685" s="55" t="s">
        <v>312</v>
      </c>
      <c r="R685" s="88">
        <f t="shared" si="279"/>
        <v>-1.6376000000000002E-2</v>
      </c>
      <c r="S685" s="88">
        <f t="shared" si="280"/>
        <v>-4.2240000000000003E-3</v>
      </c>
      <c r="T685" s="55">
        <v>1</v>
      </c>
      <c r="U685" s="55">
        <v>66374</v>
      </c>
      <c r="V685" s="55" t="s">
        <v>312</v>
      </c>
      <c r="W685" s="55" t="s">
        <v>312</v>
      </c>
      <c r="X685" s="55">
        <f t="shared" si="289"/>
        <v>66374</v>
      </c>
      <c r="Y685" s="88">
        <f t="shared" si="284"/>
        <v>-1.2895566391838406E-2</v>
      </c>
      <c r="Z685" s="88">
        <f t="shared" si="285"/>
        <v>3.8811898849222381E-3</v>
      </c>
      <c r="AA685" s="88">
        <f t="shared" si="286"/>
        <v>1.2895566391838406E-2</v>
      </c>
      <c r="AB685" s="55" t="s">
        <v>81</v>
      </c>
      <c r="AC685" s="88">
        <f t="shared" si="288"/>
        <v>-0.10450380000000001</v>
      </c>
      <c r="AD685" s="88" cm="1">
        <f t="array" ref="AD685">_xlfn.IFS(
AND(L685="marginal_effect",M685="level"),N685*AN685/BF685,
AND(L685="marginal_effect",M685="sd (Y)"),N685*BI685*AN685/BF685,
AND(L685="marginal_effect",M685="sd (X)"),N685/AQ685*AN685/BF685,
AND(L685="semi_elasticity",M685="level"),N685*AN685,
AND(L685="semi_elasticity",M685="sd (Y)"),N685*AN685*BI685,
AND(L685="semi_elasticity",M685="sd (X)"),N685*AN685/AQ685,
AND(L685="level-log",M685="level"),N685/BF685,
AND(L685="level-log",M685="sd (X)"),N685/BF685/AQ685,
AND(L685="level-log",M685="sd (Y)"),N685/BF685*BI685,
AND(L685="elasticity",M685="level"),N685,
AND(L685="elasticity",M685="sd (X)"),N685/AQ685,
AND(L685="elasticity",M685="sd (Y)"),N685*BI685,
AND(L685="marginal_effect",M685="percent_of_mean"),N685*AN685/BF685/10)</f>
        <v>-0.10450380000000001</v>
      </c>
      <c r="AE685" s="56">
        <f t="shared" si="275"/>
        <v>1</v>
      </c>
      <c r="AF685" s="88">
        <f t="shared" si="281"/>
        <v>3.1452600000000004E-2</v>
      </c>
      <c r="AG685" s="88" cm="1">
        <f t="array" ref="AG685">_xlfn.IFS(
AND(L685="marginal_effect",M685="level"),O685*AN685/BF685,
AND(L685="marginal_effect",M685="sd (Y)"),O685*BI685*AN685/BF685,
AND(L685="marginal_effect",M685="sd (X)"),O685/AQ685*AN685/BF685,
AND(L685="semi_elasticity",M685="level"),O685*AN685,
AND(L685="semi_elasticity",M685="sd (Y)"),O685*AN685*BI685,
AND(L685="semi_elasticity",M685="sd (X)"),O685*AN685/AQ685,
AND(L685="level-log",M685="level"),O685/BF685,
AND(L685="level-log",M685="sd (X)"),O685/BF685/AQ685,
AND(L685="level-log",M685="sd (Y)"),O685/BF685*BI685,
AND(L685="elasticity",M685="level"),O685,
AND(L685="elasticity",M685="sd (X)"),O685/AQ685,
AND(L685="elasticity",M685="sd (Y)"),O685*BI685,
AND(L685="marginal_effect",M685="percent_of_mean"),O685*AN685/BF685/10)</f>
        <v>3.1452600000000004E-2</v>
      </c>
      <c r="AH685" s="56">
        <f t="shared" si="282"/>
        <v>1</v>
      </c>
      <c r="AI685" s="88">
        <f t="shared" si="287"/>
        <v>-0.10450380000000001</v>
      </c>
      <c r="AJ685" s="55">
        <v>0</v>
      </c>
      <c r="AK685" s="55">
        <f t="shared" si="283"/>
        <v>1</v>
      </c>
      <c r="AL685" s="55" t="s">
        <v>148</v>
      </c>
      <c r="AM685" s="55" t="s">
        <v>1466</v>
      </c>
      <c r="AN685" s="55">
        <v>10.146000000000001</v>
      </c>
      <c r="AO685" s="55">
        <v>0</v>
      </c>
      <c r="AP685" s="55">
        <f t="shared" si="277"/>
        <v>101.46000000000001</v>
      </c>
      <c r="AQ685" s="55">
        <v>48.17</v>
      </c>
      <c r="AR685" s="55">
        <v>18</v>
      </c>
      <c r="AS685" s="55">
        <v>300</v>
      </c>
      <c r="AT685" s="55" t="s">
        <v>83</v>
      </c>
      <c r="AU685" s="55" t="s">
        <v>109</v>
      </c>
      <c r="AV685" s="55" t="s">
        <v>133</v>
      </c>
      <c r="AW685" s="55" t="s">
        <v>109</v>
      </c>
      <c r="AX685" s="55" t="s">
        <v>86</v>
      </c>
      <c r="AY685" s="55">
        <v>0</v>
      </c>
      <c r="AZ685" s="55">
        <v>0</v>
      </c>
      <c r="BA685" s="55" t="s">
        <v>87</v>
      </c>
      <c r="BB685" s="55" t="s">
        <v>88</v>
      </c>
      <c r="BC685" s="55" t="s">
        <v>89</v>
      </c>
      <c r="BD685" s="55" t="s">
        <v>90</v>
      </c>
      <c r="BE685" s="55" t="s">
        <v>1458</v>
      </c>
      <c r="BF685" s="55">
        <v>101.57</v>
      </c>
      <c r="BG685" s="55">
        <v>0</v>
      </c>
      <c r="BH685" s="55">
        <v>65.849999999999994</v>
      </c>
      <c r="BI685" s="55">
        <v>5</v>
      </c>
      <c r="BJ685" s="55">
        <v>430</v>
      </c>
      <c r="BK685" s="55" t="s">
        <v>91</v>
      </c>
      <c r="BL685" s="55" t="s">
        <v>84</v>
      </c>
      <c r="BM685" s="55">
        <v>1</v>
      </c>
      <c r="BN685" s="55" t="s">
        <v>428</v>
      </c>
      <c r="BO685" s="60" t="s">
        <v>1463</v>
      </c>
      <c r="BP685" s="55" t="s">
        <v>1464</v>
      </c>
      <c r="BQ685" s="55" t="s">
        <v>117</v>
      </c>
      <c r="BR685" s="55" t="s">
        <v>134</v>
      </c>
      <c r="BS685" s="55">
        <v>29.22</v>
      </c>
      <c r="BT685" s="55">
        <v>0.01</v>
      </c>
      <c r="BU685" s="57">
        <v>42552</v>
      </c>
      <c r="BV685" s="57">
        <v>42643</v>
      </c>
      <c r="BW685" s="55" t="s">
        <v>94</v>
      </c>
      <c r="BX685" s="55" t="s">
        <v>95</v>
      </c>
      <c r="BY685" s="55" t="s">
        <v>748</v>
      </c>
      <c r="BZ685" s="55">
        <v>1</v>
      </c>
      <c r="CA685" s="55">
        <v>1</v>
      </c>
      <c r="CB685" s="55" t="s">
        <v>303</v>
      </c>
      <c r="CC685" s="55" t="s">
        <v>314</v>
      </c>
      <c r="CD685" s="55">
        <v>1</v>
      </c>
      <c r="CE685" s="55" t="s">
        <v>1462</v>
      </c>
      <c r="CF685" s="55">
        <v>0</v>
      </c>
      <c r="CG685" s="55" t="s">
        <v>97</v>
      </c>
      <c r="CH685" s="55">
        <v>1</v>
      </c>
      <c r="CI685" s="55" t="s">
        <v>1465</v>
      </c>
      <c r="CJ685" s="55" t="s">
        <v>98</v>
      </c>
      <c r="CK685" s="55">
        <v>179</v>
      </c>
      <c r="CL685" s="55">
        <v>0</v>
      </c>
      <c r="CM685" s="55">
        <v>0</v>
      </c>
      <c r="CN685" s="55" t="s">
        <v>124</v>
      </c>
      <c r="CO685" s="55" t="s">
        <v>97</v>
      </c>
      <c r="CP685" s="55" t="s">
        <v>100</v>
      </c>
      <c r="CQ685" s="55" t="s">
        <v>126</v>
      </c>
      <c r="CR685" s="57">
        <v>46233</v>
      </c>
      <c r="CT685" s="55" t="s">
        <v>1511</v>
      </c>
    </row>
    <row r="686" spans="1:98" s="55" customFormat="1" x14ac:dyDescent="0.35">
      <c r="A686" s="54" t="s">
        <v>1459</v>
      </c>
      <c r="B686" s="54" t="s">
        <v>1527</v>
      </c>
      <c r="C686" s="55" t="s">
        <v>1460</v>
      </c>
      <c r="D686" s="55">
        <v>2022</v>
      </c>
      <c r="E686" s="60" t="s">
        <v>1461</v>
      </c>
      <c r="F686" s="54" t="s">
        <v>998</v>
      </c>
      <c r="G686" s="55" t="s">
        <v>78</v>
      </c>
      <c r="H686" s="55">
        <v>1</v>
      </c>
      <c r="I686" s="55" t="s">
        <v>290</v>
      </c>
      <c r="J686" s="55" t="s">
        <v>79</v>
      </c>
      <c r="K686" s="55">
        <v>81</v>
      </c>
      <c r="L686" s="55" t="s">
        <v>104</v>
      </c>
      <c r="M686" s="55" t="s">
        <v>380</v>
      </c>
      <c r="N686" s="55">
        <v>-1.4200000000000001E-2</v>
      </c>
      <c r="O686" s="55">
        <v>3.5999999999999999E-3</v>
      </c>
      <c r="P686" s="88">
        <f t="shared" si="278"/>
        <v>-3.9444444444444446</v>
      </c>
      <c r="Q686" s="55" t="s">
        <v>312</v>
      </c>
      <c r="R686" s="88">
        <f t="shared" si="279"/>
        <v>-2.1256000000000001E-2</v>
      </c>
      <c r="S686" s="88">
        <f t="shared" si="280"/>
        <v>-7.144000000000001E-3</v>
      </c>
      <c r="T686" s="55">
        <v>1</v>
      </c>
      <c r="U686" s="55">
        <v>66374</v>
      </c>
      <c r="V686" s="55" t="s">
        <v>312</v>
      </c>
      <c r="W686" s="55" t="s">
        <v>312</v>
      </c>
      <c r="X686" s="55">
        <f t="shared" si="289"/>
        <v>66374</v>
      </c>
      <c r="Y686" s="88">
        <f t="shared" si="284"/>
        <v>-1.5308616828355732E-2</v>
      </c>
      <c r="Z686" s="88">
        <f t="shared" si="285"/>
        <v>3.8810577874704671E-3</v>
      </c>
      <c r="AA686" s="88">
        <f t="shared" si="286"/>
        <v>1.5308616828355732E-2</v>
      </c>
      <c r="AB686" s="55" t="s">
        <v>81</v>
      </c>
      <c r="AC686" s="88">
        <f t="shared" si="288"/>
        <v>-0.14407320000000001</v>
      </c>
      <c r="AD686" s="88" cm="1">
        <f t="array" ref="AD686">_xlfn.IFS(
AND(L686="marginal_effect",M686="level"),N686*AN686/BF686,
AND(L686="marginal_effect",M686="sd (Y)"),N686*BI686*AN686/BF686,
AND(L686="marginal_effect",M686="sd (X)"),N686/AQ686*AN686/BF686,
AND(L686="semi_elasticity",M686="level"),N686*AN686,
AND(L686="semi_elasticity",M686="sd (Y)"),N686*AN686*BI686,
AND(L686="semi_elasticity",M686="sd (X)"),N686*AN686/AQ686,
AND(L686="level-log",M686="level"),N686/BF686,
AND(L686="level-log",M686="sd (X)"),N686/BF686/AQ686,
AND(L686="level-log",M686="sd (Y)"),N686/BF686*BI686,
AND(L686="elasticity",M686="level"),N686,
AND(L686="elasticity",M686="sd (X)"),N686/AQ686,
AND(L686="elasticity",M686="sd (Y)"),N686*BI686,
AND(L686="marginal_effect",M686="percent_of_mean"),N686*AN686/BF686/10)</f>
        <v>-0.14407320000000001</v>
      </c>
      <c r="AE686" s="56">
        <f t="shared" si="275"/>
        <v>1</v>
      </c>
      <c r="AF686" s="88">
        <f t="shared" si="281"/>
        <v>3.6525600000000005E-2</v>
      </c>
      <c r="AG686" s="88" cm="1">
        <f t="array" ref="AG686">_xlfn.IFS(
AND(L686="marginal_effect",M686="level"),O686*AN686/BF686,
AND(L686="marginal_effect",M686="sd (Y)"),O686*BI686*AN686/BF686,
AND(L686="marginal_effect",M686="sd (X)"),O686/AQ686*AN686/BF686,
AND(L686="semi_elasticity",M686="level"),O686*AN686,
AND(L686="semi_elasticity",M686="sd (Y)"),O686*AN686*BI686,
AND(L686="semi_elasticity",M686="sd (X)"),O686*AN686/AQ686,
AND(L686="level-log",M686="level"),O686/BF686,
AND(L686="level-log",M686="sd (X)"),O686/BF686/AQ686,
AND(L686="level-log",M686="sd (Y)"),O686/BF686*BI686,
AND(L686="elasticity",M686="level"),O686,
AND(L686="elasticity",M686="sd (X)"),O686/AQ686,
AND(L686="elasticity",M686="sd (Y)"),O686*BI686,
AND(L686="marginal_effect",M686="percent_of_mean"),O686*AN686/BF686/10)</f>
        <v>3.6525600000000005E-2</v>
      </c>
      <c r="AH686" s="56">
        <f t="shared" si="282"/>
        <v>1</v>
      </c>
      <c r="AI686" s="88">
        <f t="shared" si="287"/>
        <v>-0.14407320000000001</v>
      </c>
      <c r="AJ686" s="55">
        <v>0</v>
      </c>
      <c r="AK686" s="55">
        <f t="shared" si="283"/>
        <v>1</v>
      </c>
      <c r="AL686" s="55" t="s">
        <v>148</v>
      </c>
      <c r="AM686" s="55" t="s">
        <v>1466</v>
      </c>
      <c r="AN686" s="55">
        <v>10.146000000000001</v>
      </c>
      <c r="AO686" s="55">
        <v>0</v>
      </c>
      <c r="AP686" s="55">
        <f t="shared" si="277"/>
        <v>101.46000000000001</v>
      </c>
      <c r="AQ686" s="55">
        <v>48.17</v>
      </c>
      <c r="AR686" s="55">
        <v>18</v>
      </c>
      <c r="AS686" s="55">
        <v>300</v>
      </c>
      <c r="AT686" s="55" t="s">
        <v>83</v>
      </c>
      <c r="AU686" s="55" t="s">
        <v>109</v>
      </c>
      <c r="AV686" s="55" t="s">
        <v>133</v>
      </c>
      <c r="AW686" s="55" t="s">
        <v>109</v>
      </c>
      <c r="AX686" s="55" t="s">
        <v>86</v>
      </c>
      <c r="AY686" s="55">
        <v>0</v>
      </c>
      <c r="AZ686" s="55">
        <v>0</v>
      </c>
      <c r="BA686" s="55" t="s">
        <v>87</v>
      </c>
      <c r="BB686" s="55" t="s">
        <v>88</v>
      </c>
      <c r="BC686" s="55" t="s">
        <v>89</v>
      </c>
      <c r="BD686" s="55" t="s">
        <v>90</v>
      </c>
      <c r="BE686" s="55" t="s">
        <v>1458</v>
      </c>
      <c r="BF686" s="55">
        <v>101.57</v>
      </c>
      <c r="BG686" s="55">
        <v>0</v>
      </c>
      <c r="BH686" s="55">
        <v>65.849999999999994</v>
      </c>
      <c r="BI686" s="55">
        <v>5</v>
      </c>
      <c r="BJ686" s="55">
        <v>430</v>
      </c>
      <c r="BK686" s="55" t="s">
        <v>91</v>
      </c>
      <c r="BL686" s="55" t="s">
        <v>84</v>
      </c>
      <c r="BM686" s="55">
        <v>1</v>
      </c>
      <c r="BN686" s="55" t="s">
        <v>428</v>
      </c>
      <c r="BO686" s="60" t="s">
        <v>1463</v>
      </c>
      <c r="BP686" s="55" t="s">
        <v>1464</v>
      </c>
      <c r="BQ686" s="55" t="s">
        <v>117</v>
      </c>
      <c r="BR686" s="55" t="s">
        <v>134</v>
      </c>
      <c r="BS686" s="55">
        <v>29.22</v>
      </c>
      <c r="BT686" s="55">
        <v>0.01</v>
      </c>
      <c r="BU686" s="57">
        <v>42552</v>
      </c>
      <c r="BV686" s="57">
        <v>42643</v>
      </c>
      <c r="BW686" s="55" t="s">
        <v>94</v>
      </c>
      <c r="BX686" s="55" t="s">
        <v>95</v>
      </c>
      <c r="BY686" s="55" t="s">
        <v>748</v>
      </c>
      <c r="BZ686" s="55">
        <v>1</v>
      </c>
      <c r="CA686" s="55">
        <v>1</v>
      </c>
      <c r="CB686" s="55" t="s">
        <v>303</v>
      </c>
      <c r="CC686" s="55" t="s">
        <v>314</v>
      </c>
      <c r="CD686" s="55">
        <v>1</v>
      </c>
      <c r="CE686" s="55" t="s">
        <v>1462</v>
      </c>
      <c r="CF686" s="55">
        <v>0</v>
      </c>
      <c r="CG686" s="55" t="s">
        <v>97</v>
      </c>
      <c r="CH686" s="55">
        <v>1</v>
      </c>
      <c r="CI686" s="55" t="s">
        <v>1465</v>
      </c>
      <c r="CJ686" s="55" t="s">
        <v>98</v>
      </c>
      <c r="CK686" s="55">
        <v>179</v>
      </c>
      <c r="CL686" s="55">
        <v>0</v>
      </c>
      <c r="CM686" s="55">
        <v>0</v>
      </c>
      <c r="CN686" s="55" t="s">
        <v>124</v>
      </c>
      <c r="CO686" s="55" t="s">
        <v>97</v>
      </c>
      <c r="CP686" s="55" t="s">
        <v>100</v>
      </c>
      <c r="CQ686" s="55" t="s">
        <v>126</v>
      </c>
      <c r="CR686" s="57">
        <v>46233</v>
      </c>
      <c r="CT686" s="55" t="s">
        <v>1530</v>
      </c>
    </row>
    <row r="687" spans="1:98" s="55" customFormat="1" x14ac:dyDescent="0.35">
      <c r="A687" s="54" t="s">
        <v>1459</v>
      </c>
      <c r="B687" s="54" t="s">
        <v>1528</v>
      </c>
      <c r="C687" s="55" t="s">
        <v>1460</v>
      </c>
      <c r="D687" s="55">
        <v>2022</v>
      </c>
      <c r="E687" s="60" t="s">
        <v>1461</v>
      </c>
      <c r="F687" s="54" t="s">
        <v>998</v>
      </c>
      <c r="G687" s="55" t="s">
        <v>78</v>
      </c>
      <c r="H687" s="55">
        <v>1</v>
      </c>
      <c r="I687" s="55" t="s">
        <v>290</v>
      </c>
      <c r="J687" s="55" t="s">
        <v>79</v>
      </c>
      <c r="K687" s="55">
        <v>81</v>
      </c>
      <c r="L687" s="55" t="s">
        <v>104</v>
      </c>
      <c r="M687" s="55" t="s">
        <v>380</v>
      </c>
      <c r="N687" s="55">
        <v>-1.35E-2</v>
      </c>
      <c r="O687" s="55">
        <v>3.3999999999999998E-3</v>
      </c>
      <c r="P687" s="88">
        <f t="shared" si="278"/>
        <v>-3.9705882352941178</v>
      </c>
      <c r="Q687" s="55" t="s">
        <v>312</v>
      </c>
      <c r="R687" s="88">
        <f t="shared" si="279"/>
        <v>-2.0164000000000001E-2</v>
      </c>
      <c r="S687" s="88">
        <f t="shared" si="280"/>
        <v>-6.8360000000000001E-3</v>
      </c>
      <c r="T687" s="55">
        <v>1</v>
      </c>
      <c r="U687" s="55">
        <v>66374</v>
      </c>
      <c r="V687" s="55" t="s">
        <v>312</v>
      </c>
      <c r="W687" s="55" t="s">
        <v>312</v>
      </c>
      <c r="X687" s="55">
        <f t="shared" si="289"/>
        <v>66374</v>
      </c>
      <c r="Y687" s="88">
        <f t="shared" si="284"/>
        <v>-1.541005837571627E-2</v>
      </c>
      <c r="Z687" s="88">
        <f t="shared" si="285"/>
        <v>3.8810517390692831E-3</v>
      </c>
      <c r="AA687" s="88">
        <f t="shared" si="286"/>
        <v>1.541005837571627E-2</v>
      </c>
      <c r="AB687" s="55" t="s">
        <v>81</v>
      </c>
      <c r="AC687" s="88">
        <f t="shared" si="288"/>
        <v>-0.13697100000000001</v>
      </c>
      <c r="AD687" s="88" cm="1">
        <f t="array" ref="AD687">_xlfn.IFS(
AND(L687="marginal_effect",M687="level"),N687*AN687/BF687,
AND(L687="marginal_effect",M687="sd (Y)"),N687*BI687*AN687/BF687,
AND(L687="marginal_effect",M687="sd (X)"),N687/AQ687*AN687/BF687,
AND(L687="semi_elasticity",M687="level"),N687*AN687,
AND(L687="semi_elasticity",M687="sd (Y)"),N687*AN687*BI687,
AND(L687="semi_elasticity",M687="sd (X)"),N687*AN687/AQ687,
AND(L687="level-log",M687="level"),N687/BF687,
AND(L687="level-log",M687="sd (X)"),N687/BF687/AQ687,
AND(L687="level-log",M687="sd (Y)"),N687/BF687*BI687,
AND(L687="elasticity",M687="level"),N687,
AND(L687="elasticity",M687="sd (X)"),N687/AQ687,
AND(L687="elasticity",M687="sd (Y)"),N687*BI687,
AND(L687="marginal_effect",M687="percent_of_mean"),N687*AN687/BF687/10)</f>
        <v>-0.13697100000000001</v>
      </c>
      <c r="AE687" s="56">
        <f t="shared" si="275"/>
        <v>1</v>
      </c>
      <c r="AF687" s="88">
        <f t="shared" si="281"/>
        <v>3.4496400000000003E-2</v>
      </c>
      <c r="AG687" s="88" cm="1">
        <f t="array" ref="AG687">_xlfn.IFS(
AND(L687="marginal_effect",M687="level"),O687*AN687/BF687,
AND(L687="marginal_effect",M687="sd (Y)"),O687*BI687*AN687/BF687,
AND(L687="marginal_effect",M687="sd (X)"),O687/AQ687*AN687/BF687,
AND(L687="semi_elasticity",M687="level"),O687*AN687,
AND(L687="semi_elasticity",M687="sd (Y)"),O687*AN687*BI687,
AND(L687="semi_elasticity",M687="sd (X)"),O687*AN687/AQ687,
AND(L687="level-log",M687="level"),O687/BF687,
AND(L687="level-log",M687="sd (X)"),O687/BF687/AQ687,
AND(L687="level-log",M687="sd (Y)"),O687/BF687*BI687,
AND(L687="elasticity",M687="level"),O687,
AND(L687="elasticity",M687="sd (X)"),O687/AQ687,
AND(L687="elasticity",M687="sd (Y)"),O687*BI687,
AND(L687="marginal_effect",M687="percent_of_mean"),O687*AN687/BF687/10)</f>
        <v>3.4496400000000003E-2</v>
      </c>
      <c r="AH687" s="56">
        <f t="shared" si="282"/>
        <v>1</v>
      </c>
      <c r="AI687" s="88">
        <f t="shared" si="287"/>
        <v>-0.13697100000000001</v>
      </c>
      <c r="AJ687" s="55">
        <v>0</v>
      </c>
      <c r="AK687" s="55">
        <f t="shared" si="283"/>
        <v>1</v>
      </c>
      <c r="AL687" s="55" t="s">
        <v>148</v>
      </c>
      <c r="AM687" s="55" t="s">
        <v>1466</v>
      </c>
      <c r="AN687" s="55">
        <v>10.146000000000001</v>
      </c>
      <c r="AO687" s="55">
        <v>0</v>
      </c>
      <c r="AP687" s="55">
        <f t="shared" si="277"/>
        <v>101.46000000000001</v>
      </c>
      <c r="AQ687" s="55">
        <v>48.17</v>
      </c>
      <c r="AR687" s="55">
        <v>18</v>
      </c>
      <c r="AS687" s="55">
        <v>300</v>
      </c>
      <c r="AT687" s="55" t="s">
        <v>83</v>
      </c>
      <c r="AU687" s="55" t="s">
        <v>109</v>
      </c>
      <c r="AV687" s="55" t="s">
        <v>133</v>
      </c>
      <c r="AW687" s="55" t="s">
        <v>109</v>
      </c>
      <c r="AX687" s="55" t="s">
        <v>86</v>
      </c>
      <c r="AY687" s="55">
        <v>0</v>
      </c>
      <c r="AZ687" s="55">
        <v>0</v>
      </c>
      <c r="BA687" s="55" t="s">
        <v>87</v>
      </c>
      <c r="BB687" s="55" t="s">
        <v>88</v>
      </c>
      <c r="BC687" s="55" t="s">
        <v>89</v>
      </c>
      <c r="BD687" s="55" t="s">
        <v>90</v>
      </c>
      <c r="BE687" s="55" t="s">
        <v>1458</v>
      </c>
      <c r="BF687" s="55">
        <v>101.57</v>
      </c>
      <c r="BG687" s="55">
        <v>0</v>
      </c>
      <c r="BH687" s="55">
        <v>65.849999999999994</v>
      </c>
      <c r="BI687" s="55">
        <v>5</v>
      </c>
      <c r="BJ687" s="55">
        <v>430</v>
      </c>
      <c r="BK687" s="55" t="s">
        <v>91</v>
      </c>
      <c r="BL687" s="55" t="s">
        <v>84</v>
      </c>
      <c r="BM687" s="55">
        <v>1</v>
      </c>
      <c r="BN687" s="55" t="s">
        <v>428</v>
      </c>
      <c r="BO687" s="60" t="s">
        <v>1463</v>
      </c>
      <c r="BP687" s="55" t="s">
        <v>1464</v>
      </c>
      <c r="BQ687" s="55" t="s">
        <v>117</v>
      </c>
      <c r="BR687" s="55" t="s">
        <v>134</v>
      </c>
      <c r="BS687" s="55">
        <v>29.22</v>
      </c>
      <c r="BT687" s="55">
        <v>0.01</v>
      </c>
      <c r="BU687" s="57">
        <v>42552</v>
      </c>
      <c r="BV687" s="57">
        <v>42643</v>
      </c>
      <c r="BW687" s="55" t="s">
        <v>94</v>
      </c>
      <c r="BX687" s="55" t="s">
        <v>95</v>
      </c>
      <c r="BY687" s="55" t="s">
        <v>748</v>
      </c>
      <c r="BZ687" s="55">
        <v>1</v>
      </c>
      <c r="CA687" s="55">
        <v>1</v>
      </c>
      <c r="CB687" s="55" t="s">
        <v>303</v>
      </c>
      <c r="CC687" s="55" t="s">
        <v>314</v>
      </c>
      <c r="CD687" s="55">
        <v>1</v>
      </c>
      <c r="CE687" s="55" t="s">
        <v>1462</v>
      </c>
      <c r="CF687" s="55">
        <v>0</v>
      </c>
      <c r="CG687" s="55" t="s">
        <v>97</v>
      </c>
      <c r="CH687" s="55">
        <v>1</v>
      </c>
      <c r="CI687" s="55" t="s">
        <v>1465</v>
      </c>
      <c r="CJ687" s="55" t="s">
        <v>98</v>
      </c>
      <c r="CK687" s="55">
        <v>179</v>
      </c>
      <c r="CL687" s="55">
        <v>0</v>
      </c>
      <c r="CM687" s="55">
        <v>0</v>
      </c>
      <c r="CN687" s="55" t="s">
        <v>124</v>
      </c>
      <c r="CO687" s="55" t="s">
        <v>97</v>
      </c>
      <c r="CP687" s="55" t="s">
        <v>100</v>
      </c>
      <c r="CQ687" s="55" t="s">
        <v>126</v>
      </c>
      <c r="CR687" s="57">
        <v>46233</v>
      </c>
      <c r="CT687" s="55" t="s">
        <v>1531</v>
      </c>
    </row>
    <row r="688" spans="1:98" s="55" customFormat="1" x14ac:dyDescent="0.35">
      <c r="A688" s="54" t="s">
        <v>1459</v>
      </c>
      <c r="B688" s="54" t="s">
        <v>1529</v>
      </c>
      <c r="C688" s="55" t="s">
        <v>1460</v>
      </c>
      <c r="D688" s="55">
        <v>2022</v>
      </c>
      <c r="E688" s="60" t="s">
        <v>1461</v>
      </c>
      <c r="F688" s="54" t="s">
        <v>998</v>
      </c>
      <c r="G688" s="55" t="s">
        <v>78</v>
      </c>
      <c r="H688" s="55">
        <v>1</v>
      </c>
      <c r="I688" s="55" t="s">
        <v>290</v>
      </c>
      <c r="J688" s="55" t="s">
        <v>79</v>
      </c>
      <c r="K688" s="55">
        <v>81</v>
      </c>
      <c r="L688" s="55" t="s">
        <v>104</v>
      </c>
      <c r="M688" s="55" t="s">
        <v>380</v>
      </c>
      <c r="N688" s="55">
        <v>-1.1299999999999999E-2</v>
      </c>
      <c r="O688" s="55">
        <v>3.0999999999999999E-3</v>
      </c>
      <c r="P688" s="88">
        <f t="shared" si="278"/>
        <v>-3.6451612903225805</v>
      </c>
      <c r="Q688" s="55" t="s">
        <v>312</v>
      </c>
      <c r="R688" s="88">
        <f t="shared" si="279"/>
        <v>-1.7375999999999999E-2</v>
      </c>
      <c r="S688" s="88">
        <f t="shared" si="280"/>
        <v>-5.2239999999999995E-3</v>
      </c>
      <c r="T688" s="55">
        <v>1</v>
      </c>
      <c r="U688" s="55">
        <v>66374</v>
      </c>
      <c r="V688" s="55" t="s">
        <v>312</v>
      </c>
      <c r="W688" s="55" t="s">
        <v>312</v>
      </c>
      <c r="X688" s="55">
        <f t="shared" si="289"/>
        <v>66374</v>
      </c>
      <c r="Y688" s="88">
        <f t="shared" si="284"/>
        <v>-1.4147323631532734E-2</v>
      </c>
      <c r="Z688" s="88">
        <f t="shared" si="285"/>
        <v>3.8811241821019005E-3</v>
      </c>
      <c r="AA688" s="88">
        <f t="shared" si="286"/>
        <v>1.4147323631532734E-2</v>
      </c>
      <c r="AB688" s="55" t="s">
        <v>81</v>
      </c>
      <c r="AC688" s="88">
        <f t="shared" si="288"/>
        <v>-0.1146498</v>
      </c>
      <c r="AD688" s="88" cm="1">
        <f t="array" ref="AD688">_xlfn.IFS(
AND(L688="marginal_effect",M688="level"),N688*AN688/BF688,
AND(L688="marginal_effect",M688="sd (Y)"),N688*BI688*AN688/BF688,
AND(L688="marginal_effect",M688="sd (X)"),N688/AQ688*AN688/BF688,
AND(L688="semi_elasticity",M688="level"),N688*AN688,
AND(L688="semi_elasticity",M688="sd (Y)"),N688*AN688*BI688,
AND(L688="semi_elasticity",M688="sd (X)"),N688*AN688/AQ688,
AND(L688="level-log",M688="level"),N688/BF688,
AND(L688="level-log",M688="sd (X)"),N688/BF688/AQ688,
AND(L688="level-log",M688="sd (Y)"),N688/BF688*BI688,
AND(L688="elasticity",M688="level"),N688,
AND(L688="elasticity",M688="sd (X)"),N688/AQ688,
AND(L688="elasticity",M688="sd (Y)"),N688*BI688,
AND(L688="marginal_effect",M688="percent_of_mean"),N688*AN688/BF688/10)</f>
        <v>-0.1146498</v>
      </c>
      <c r="AE688" s="56">
        <f t="shared" si="275"/>
        <v>1</v>
      </c>
      <c r="AF688" s="88">
        <f t="shared" si="281"/>
        <v>3.1452600000000004E-2</v>
      </c>
      <c r="AG688" s="88" cm="1">
        <f t="array" ref="AG688">_xlfn.IFS(
AND(L688="marginal_effect",M688="level"),O688*AN688/BF688,
AND(L688="marginal_effect",M688="sd (Y)"),O688*BI688*AN688/BF688,
AND(L688="marginal_effect",M688="sd (X)"),O688/AQ688*AN688/BF688,
AND(L688="semi_elasticity",M688="level"),O688*AN688,
AND(L688="semi_elasticity",M688="sd (Y)"),O688*AN688*BI688,
AND(L688="semi_elasticity",M688="sd (X)"),O688*AN688/AQ688,
AND(L688="level-log",M688="level"),O688/BF688,
AND(L688="level-log",M688="sd (X)"),O688/BF688/AQ688,
AND(L688="level-log",M688="sd (Y)"),O688/BF688*BI688,
AND(L688="elasticity",M688="level"),O688,
AND(L688="elasticity",M688="sd (X)"),O688/AQ688,
AND(L688="elasticity",M688="sd (Y)"),O688*BI688,
AND(L688="marginal_effect",M688="percent_of_mean"),O688*AN688/BF688/10)</f>
        <v>3.1452600000000004E-2</v>
      </c>
      <c r="AH688" s="56">
        <f t="shared" si="282"/>
        <v>1</v>
      </c>
      <c r="AI688" s="88">
        <f t="shared" si="287"/>
        <v>-0.1146498</v>
      </c>
      <c r="AJ688" s="55">
        <v>0</v>
      </c>
      <c r="AK688" s="55">
        <f t="shared" si="283"/>
        <v>1</v>
      </c>
      <c r="AL688" s="55" t="s">
        <v>148</v>
      </c>
      <c r="AM688" s="55" t="s">
        <v>1466</v>
      </c>
      <c r="AN688" s="55">
        <v>10.146000000000001</v>
      </c>
      <c r="AO688" s="55">
        <v>0</v>
      </c>
      <c r="AP688" s="55">
        <f t="shared" si="277"/>
        <v>101.46000000000001</v>
      </c>
      <c r="AQ688" s="55">
        <v>48.17</v>
      </c>
      <c r="AR688" s="55">
        <v>18</v>
      </c>
      <c r="AS688" s="55">
        <v>300</v>
      </c>
      <c r="AT688" s="55" t="s">
        <v>83</v>
      </c>
      <c r="AU688" s="55" t="s">
        <v>109</v>
      </c>
      <c r="AV688" s="55" t="s">
        <v>133</v>
      </c>
      <c r="AW688" s="55" t="s">
        <v>109</v>
      </c>
      <c r="AX688" s="55" t="s">
        <v>86</v>
      </c>
      <c r="AY688" s="55">
        <v>0</v>
      </c>
      <c r="AZ688" s="55">
        <v>0</v>
      </c>
      <c r="BA688" s="55" t="s">
        <v>87</v>
      </c>
      <c r="BB688" s="55" t="s">
        <v>88</v>
      </c>
      <c r="BC688" s="55" t="s">
        <v>89</v>
      </c>
      <c r="BD688" s="55" t="s">
        <v>90</v>
      </c>
      <c r="BE688" s="55" t="s">
        <v>1458</v>
      </c>
      <c r="BF688" s="55">
        <v>101.57</v>
      </c>
      <c r="BG688" s="55">
        <v>0</v>
      </c>
      <c r="BH688" s="55">
        <v>65.849999999999994</v>
      </c>
      <c r="BI688" s="55">
        <v>5</v>
      </c>
      <c r="BJ688" s="55">
        <v>430</v>
      </c>
      <c r="BK688" s="55" t="s">
        <v>91</v>
      </c>
      <c r="BL688" s="55" t="s">
        <v>84</v>
      </c>
      <c r="BM688" s="55">
        <v>1</v>
      </c>
      <c r="BN688" s="55" t="s">
        <v>428</v>
      </c>
      <c r="BO688" s="60" t="s">
        <v>1463</v>
      </c>
      <c r="BP688" s="55" t="s">
        <v>1464</v>
      </c>
      <c r="BQ688" s="55" t="s">
        <v>117</v>
      </c>
      <c r="BR688" s="55" t="s">
        <v>134</v>
      </c>
      <c r="BS688" s="55">
        <v>29.22</v>
      </c>
      <c r="BT688" s="55">
        <v>0.01</v>
      </c>
      <c r="BU688" s="57">
        <v>42552</v>
      </c>
      <c r="BV688" s="57">
        <v>42643</v>
      </c>
      <c r="BW688" s="55" t="s">
        <v>94</v>
      </c>
      <c r="BX688" s="55" t="s">
        <v>95</v>
      </c>
      <c r="BY688" s="55" t="s">
        <v>748</v>
      </c>
      <c r="BZ688" s="55">
        <v>1</v>
      </c>
      <c r="CA688" s="55">
        <v>1</v>
      </c>
      <c r="CB688" s="55" t="s">
        <v>303</v>
      </c>
      <c r="CC688" s="55" t="s">
        <v>314</v>
      </c>
      <c r="CD688" s="55">
        <v>1</v>
      </c>
      <c r="CE688" s="55" t="s">
        <v>1462</v>
      </c>
      <c r="CF688" s="55">
        <v>0</v>
      </c>
      <c r="CG688" s="55" t="s">
        <v>97</v>
      </c>
      <c r="CH688" s="55">
        <v>1</v>
      </c>
      <c r="CI688" s="55" t="s">
        <v>1465</v>
      </c>
      <c r="CJ688" s="55" t="s">
        <v>98</v>
      </c>
      <c r="CK688" s="55">
        <v>179</v>
      </c>
      <c r="CL688" s="55">
        <v>0</v>
      </c>
      <c r="CM688" s="55">
        <v>0</v>
      </c>
      <c r="CN688" s="55" t="s">
        <v>124</v>
      </c>
      <c r="CO688" s="55" t="s">
        <v>97</v>
      </c>
      <c r="CP688" s="55" t="s">
        <v>100</v>
      </c>
      <c r="CQ688" s="55" t="s">
        <v>126</v>
      </c>
      <c r="CR688" s="57">
        <v>46233</v>
      </c>
      <c r="CT688" s="55" t="s">
        <v>1532</v>
      </c>
    </row>
    <row r="689" spans="1:98" s="55" customFormat="1" x14ac:dyDescent="0.35">
      <c r="A689" s="54" t="s">
        <v>1459</v>
      </c>
      <c r="B689" s="54" t="s">
        <v>1533</v>
      </c>
      <c r="C689" s="55" t="s">
        <v>1460</v>
      </c>
      <c r="D689" s="55">
        <v>2022</v>
      </c>
      <c r="E689" s="60" t="s">
        <v>1461</v>
      </c>
      <c r="F689" s="54" t="s">
        <v>998</v>
      </c>
      <c r="G689" s="55" t="s">
        <v>78</v>
      </c>
      <c r="H689" s="55">
        <v>1</v>
      </c>
      <c r="I689" s="55" t="s">
        <v>290</v>
      </c>
      <c r="J689" s="55" t="s">
        <v>79</v>
      </c>
      <c r="K689" s="55">
        <v>81</v>
      </c>
      <c r="L689" s="55" t="s">
        <v>104</v>
      </c>
      <c r="M689" s="55" t="s">
        <v>380</v>
      </c>
      <c r="N689" s="55">
        <v>-2.46E-2</v>
      </c>
      <c r="O689" s="55">
        <v>8.8000000000000005E-3</v>
      </c>
      <c r="P689" s="88">
        <f t="shared" si="278"/>
        <v>-2.7954545454545454</v>
      </c>
      <c r="Q689" s="55" t="s">
        <v>312</v>
      </c>
      <c r="R689" s="88">
        <f t="shared" si="279"/>
        <v>-4.1847999999999996E-2</v>
      </c>
      <c r="S689" s="88">
        <f t="shared" si="280"/>
        <v>-7.3520000000000009E-3</v>
      </c>
      <c r="T689" s="55">
        <v>1</v>
      </c>
      <c r="U689" s="55">
        <v>66374</v>
      </c>
      <c r="V689" s="55" t="s">
        <v>312</v>
      </c>
      <c r="W689" s="55" t="s">
        <v>312</v>
      </c>
      <c r="X689" s="55">
        <f t="shared" si="289"/>
        <v>66374</v>
      </c>
      <c r="Y689" s="88">
        <f t="shared" si="284"/>
        <v>-1.0849953453397019E-2</v>
      </c>
      <c r="Z689" s="88">
        <f t="shared" si="285"/>
        <v>3.8812841621908042E-3</v>
      </c>
      <c r="AA689" s="88">
        <f t="shared" si="286"/>
        <v>1.0849953453397019E-2</v>
      </c>
      <c r="AB689" s="55" t="s">
        <v>81</v>
      </c>
      <c r="AC689" s="88">
        <f t="shared" si="288"/>
        <v>-0.24959160000000002</v>
      </c>
      <c r="AD689" s="88" cm="1">
        <f t="array" ref="AD689">_xlfn.IFS(
AND(L689="marginal_effect",M689="level"),N689*AN689/BF689,
AND(L689="marginal_effect",M689="sd (Y)"),N689*BI689*AN689/BF689,
AND(L689="marginal_effect",M689="sd (X)"),N689/AQ689*AN689/BF689,
AND(L689="semi_elasticity",M689="level"),N689*AN689,
AND(L689="semi_elasticity",M689="sd (Y)"),N689*AN689*BI689,
AND(L689="semi_elasticity",M689="sd (X)"),N689*AN689/AQ689,
AND(L689="level-log",M689="level"),N689/BF689,
AND(L689="level-log",M689="sd (X)"),N689/BF689/AQ689,
AND(L689="level-log",M689="sd (Y)"),N689/BF689*BI689,
AND(L689="elasticity",M689="level"),N689,
AND(L689="elasticity",M689="sd (X)"),N689/AQ689,
AND(L689="elasticity",M689="sd (Y)"),N689*BI689,
AND(L689="marginal_effect",M689="percent_of_mean"),N689*AN689/BF689/10)</f>
        <v>-0.24959160000000002</v>
      </c>
      <c r="AE689" s="56">
        <f t="shared" si="275"/>
        <v>1</v>
      </c>
      <c r="AF689" s="88">
        <f t="shared" si="281"/>
        <v>8.9284800000000011E-2</v>
      </c>
      <c r="AG689" s="88" cm="1">
        <f t="array" ref="AG689">_xlfn.IFS(
AND(L689="marginal_effect",M689="level"),O689*AN689/BF689,
AND(L689="marginal_effect",M689="sd (Y)"),O689*BI689*AN689/BF689,
AND(L689="marginal_effect",M689="sd (X)"),O689/AQ689*AN689/BF689,
AND(L689="semi_elasticity",M689="level"),O689*AN689,
AND(L689="semi_elasticity",M689="sd (Y)"),O689*AN689*BI689,
AND(L689="semi_elasticity",M689="sd (X)"),O689*AN689/AQ689,
AND(L689="level-log",M689="level"),O689/BF689,
AND(L689="level-log",M689="sd (X)"),O689/BF689/AQ689,
AND(L689="level-log",M689="sd (Y)"),O689/BF689*BI689,
AND(L689="elasticity",M689="level"),O689,
AND(L689="elasticity",M689="sd (X)"),O689/AQ689,
AND(L689="elasticity",M689="sd (Y)"),O689*BI689,
AND(L689="marginal_effect",M689="percent_of_mean"),O689*AN689/BF689/10)</f>
        <v>8.9284800000000011E-2</v>
      </c>
      <c r="AH689" s="56">
        <f t="shared" si="282"/>
        <v>1</v>
      </c>
      <c r="AI689" s="88">
        <f t="shared" si="287"/>
        <v>-0.24959160000000002</v>
      </c>
      <c r="AJ689" s="55">
        <v>0</v>
      </c>
      <c r="AK689" s="55">
        <f t="shared" si="283"/>
        <v>1</v>
      </c>
      <c r="AL689" s="55" t="s">
        <v>148</v>
      </c>
      <c r="AM689" s="55" t="s">
        <v>1466</v>
      </c>
      <c r="AN689" s="55">
        <v>10.146000000000001</v>
      </c>
      <c r="AO689" s="55">
        <v>0</v>
      </c>
      <c r="AP689" s="55">
        <f t="shared" si="277"/>
        <v>101.46000000000001</v>
      </c>
      <c r="AQ689" s="55">
        <v>48.17</v>
      </c>
      <c r="AR689" s="55">
        <v>18</v>
      </c>
      <c r="AS689" s="55">
        <v>300</v>
      </c>
      <c r="AT689" s="55" t="s">
        <v>83</v>
      </c>
      <c r="AU689" s="55" t="s">
        <v>109</v>
      </c>
      <c r="AV689" s="55" t="s">
        <v>133</v>
      </c>
      <c r="AW689" s="55" t="s">
        <v>109</v>
      </c>
      <c r="AX689" s="55" t="s">
        <v>86</v>
      </c>
      <c r="AY689" s="55">
        <v>0</v>
      </c>
      <c r="AZ689" s="55">
        <v>0</v>
      </c>
      <c r="BA689" s="55" t="s">
        <v>87</v>
      </c>
      <c r="BB689" s="55" t="s">
        <v>88</v>
      </c>
      <c r="BC689" s="55" t="s">
        <v>89</v>
      </c>
      <c r="BD689" s="55" t="s">
        <v>90</v>
      </c>
      <c r="BE689" s="55" t="s">
        <v>1458</v>
      </c>
      <c r="BF689" s="55">
        <v>101.57</v>
      </c>
      <c r="BG689" s="55">
        <v>0</v>
      </c>
      <c r="BH689" s="55">
        <v>65.849999999999994</v>
      </c>
      <c r="BI689" s="55">
        <v>5</v>
      </c>
      <c r="BJ689" s="55">
        <v>430</v>
      </c>
      <c r="BK689" s="55" t="s">
        <v>91</v>
      </c>
      <c r="BL689" s="55" t="s">
        <v>84</v>
      </c>
      <c r="BM689" s="55">
        <v>1</v>
      </c>
      <c r="BN689" s="55" t="s">
        <v>428</v>
      </c>
      <c r="BO689" s="60" t="s">
        <v>1463</v>
      </c>
      <c r="BP689" s="55" t="s">
        <v>1464</v>
      </c>
      <c r="BQ689" s="55" t="s">
        <v>117</v>
      </c>
      <c r="BR689" s="55" t="s">
        <v>134</v>
      </c>
      <c r="BS689" s="55">
        <v>29.22</v>
      </c>
      <c r="BT689" s="55">
        <v>0.01</v>
      </c>
      <c r="BU689" s="57">
        <v>42552</v>
      </c>
      <c r="BV689" s="57">
        <v>42643</v>
      </c>
      <c r="BW689" s="55" t="s">
        <v>94</v>
      </c>
      <c r="BX689" s="55" t="s">
        <v>95</v>
      </c>
      <c r="BY689" s="55" t="s">
        <v>748</v>
      </c>
      <c r="BZ689" s="55">
        <v>1</v>
      </c>
      <c r="CA689" s="55">
        <v>1</v>
      </c>
      <c r="CB689" s="55" t="s">
        <v>303</v>
      </c>
      <c r="CC689" s="55" t="s">
        <v>314</v>
      </c>
      <c r="CD689" s="55">
        <v>1</v>
      </c>
      <c r="CE689" s="55" t="s">
        <v>1462</v>
      </c>
      <c r="CF689" s="55">
        <v>0</v>
      </c>
      <c r="CG689" s="55" t="s">
        <v>97</v>
      </c>
      <c r="CH689" s="55">
        <v>1</v>
      </c>
      <c r="CI689" s="55" t="s">
        <v>1465</v>
      </c>
      <c r="CJ689" s="55" t="s">
        <v>98</v>
      </c>
      <c r="CK689" s="55">
        <v>179</v>
      </c>
      <c r="CL689" s="55">
        <v>0</v>
      </c>
      <c r="CM689" s="55">
        <v>0</v>
      </c>
      <c r="CN689" s="55" t="s">
        <v>124</v>
      </c>
      <c r="CO689" s="55" t="s">
        <v>97</v>
      </c>
      <c r="CP689" s="55" t="s">
        <v>100</v>
      </c>
      <c r="CQ689" s="55" t="s">
        <v>126</v>
      </c>
      <c r="CR689" s="57">
        <v>46233</v>
      </c>
      <c r="CT689" s="55" t="s">
        <v>1536</v>
      </c>
    </row>
    <row r="690" spans="1:98" s="55" customFormat="1" x14ac:dyDescent="0.35">
      <c r="A690" s="54" t="s">
        <v>1459</v>
      </c>
      <c r="B690" s="54" t="s">
        <v>1534</v>
      </c>
      <c r="C690" s="55" t="s">
        <v>1460</v>
      </c>
      <c r="D690" s="55">
        <v>2022</v>
      </c>
      <c r="E690" s="60" t="s">
        <v>1461</v>
      </c>
      <c r="F690" s="54" t="s">
        <v>998</v>
      </c>
      <c r="G690" s="55" t="s">
        <v>78</v>
      </c>
      <c r="H690" s="55">
        <v>1</v>
      </c>
      <c r="I690" s="55" t="s">
        <v>290</v>
      </c>
      <c r="J690" s="55" t="s">
        <v>79</v>
      </c>
      <c r="K690" s="55">
        <v>81</v>
      </c>
      <c r="L690" s="55" t="s">
        <v>104</v>
      </c>
      <c r="M690" s="55" t="s">
        <v>380</v>
      </c>
      <c r="N690" s="55">
        <v>-2.2200000000000001E-2</v>
      </c>
      <c r="O690" s="55">
        <v>7.1999999999999998E-3</v>
      </c>
      <c r="P690" s="88">
        <f t="shared" si="278"/>
        <v>-3.0833333333333335</v>
      </c>
      <c r="Q690" s="55" t="s">
        <v>312</v>
      </c>
      <c r="R690" s="88">
        <f t="shared" si="279"/>
        <v>-3.6311999999999997E-2</v>
      </c>
      <c r="S690" s="88">
        <f t="shared" si="280"/>
        <v>-8.0880000000000014E-3</v>
      </c>
      <c r="T690" s="55">
        <v>1</v>
      </c>
      <c r="U690" s="55">
        <v>66374</v>
      </c>
      <c r="V690" s="55" t="s">
        <v>312</v>
      </c>
      <c r="W690" s="55" t="s">
        <v>312</v>
      </c>
      <c r="X690" s="55">
        <f t="shared" si="289"/>
        <v>66374</v>
      </c>
      <c r="Y690" s="88">
        <f t="shared" si="284"/>
        <v>-1.1967140285619774E-2</v>
      </c>
      <c r="Z690" s="88">
        <f t="shared" si="285"/>
        <v>3.8812346872280339E-3</v>
      </c>
      <c r="AA690" s="88">
        <f t="shared" si="286"/>
        <v>1.1967140285619774E-2</v>
      </c>
      <c r="AB690" s="55" t="s">
        <v>81</v>
      </c>
      <c r="AC690" s="88">
        <f t="shared" si="288"/>
        <v>-0.22524120000000003</v>
      </c>
      <c r="AD690" s="88" cm="1">
        <f t="array" ref="AD690">_xlfn.IFS(
AND(L690="marginal_effect",M690="level"),N690*AN690/BF690,
AND(L690="marginal_effect",M690="sd (Y)"),N690*BI690*AN690/BF690,
AND(L690="marginal_effect",M690="sd (X)"),N690/AQ690*AN690/BF690,
AND(L690="semi_elasticity",M690="level"),N690*AN690,
AND(L690="semi_elasticity",M690="sd (Y)"),N690*AN690*BI690,
AND(L690="semi_elasticity",M690="sd (X)"),N690*AN690/AQ690,
AND(L690="level-log",M690="level"),N690/BF690,
AND(L690="level-log",M690="sd (X)"),N690/BF690/AQ690,
AND(L690="level-log",M690="sd (Y)"),N690/BF690*BI690,
AND(L690="elasticity",M690="level"),N690,
AND(L690="elasticity",M690="sd (X)"),N690/AQ690,
AND(L690="elasticity",M690="sd (Y)"),N690*BI690,
AND(L690="marginal_effect",M690="percent_of_mean"),N690*AN690/BF690/10)</f>
        <v>-0.22524120000000003</v>
      </c>
      <c r="AE690" s="56">
        <f t="shared" si="275"/>
        <v>1</v>
      </c>
      <c r="AF690" s="88">
        <f t="shared" si="281"/>
        <v>7.3051200000000011E-2</v>
      </c>
      <c r="AG690" s="88" cm="1">
        <f t="array" ref="AG690">_xlfn.IFS(
AND(L690="marginal_effect",M690="level"),O690*AN690/BF690,
AND(L690="marginal_effect",M690="sd (Y)"),O690*BI690*AN690/BF690,
AND(L690="marginal_effect",M690="sd (X)"),O690/AQ690*AN690/BF690,
AND(L690="semi_elasticity",M690="level"),O690*AN690,
AND(L690="semi_elasticity",M690="sd (Y)"),O690*AN690*BI690,
AND(L690="semi_elasticity",M690="sd (X)"),O690*AN690/AQ690,
AND(L690="level-log",M690="level"),O690/BF690,
AND(L690="level-log",M690="sd (X)"),O690/BF690/AQ690,
AND(L690="level-log",M690="sd (Y)"),O690/BF690*BI690,
AND(L690="elasticity",M690="level"),O690,
AND(L690="elasticity",M690="sd (X)"),O690/AQ690,
AND(L690="elasticity",M690="sd (Y)"),O690*BI690,
AND(L690="marginal_effect",M690="percent_of_mean"),O690*AN690/BF690/10)</f>
        <v>7.3051200000000011E-2</v>
      </c>
      <c r="AH690" s="56">
        <f t="shared" si="282"/>
        <v>1</v>
      </c>
      <c r="AI690" s="88">
        <f t="shared" si="287"/>
        <v>-0.22524120000000003</v>
      </c>
      <c r="AJ690" s="55">
        <v>0</v>
      </c>
      <c r="AK690" s="55">
        <f t="shared" si="283"/>
        <v>1</v>
      </c>
      <c r="AL690" s="55" t="s">
        <v>148</v>
      </c>
      <c r="AM690" s="55" t="s">
        <v>1466</v>
      </c>
      <c r="AN690" s="55">
        <v>10.146000000000001</v>
      </c>
      <c r="AO690" s="55">
        <v>0</v>
      </c>
      <c r="AP690" s="55">
        <f t="shared" si="277"/>
        <v>101.46000000000001</v>
      </c>
      <c r="AQ690" s="55">
        <v>48.17</v>
      </c>
      <c r="AR690" s="55">
        <v>18</v>
      </c>
      <c r="AS690" s="55">
        <v>300</v>
      </c>
      <c r="AT690" s="55" t="s">
        <v>83</v>
      </c>
      <c r="AU690" s="55" t="s">
        <v>109</v>
      </c>
      <c r="AV690" s="55" t="s">
        <v>133</v>
      </c>
      <c r="AW690" s="55" t="s">
        <v>109</v>
      </c>
      <c r="AX690" s="55" t="s">
        <v>86</v>
      </c>
      <c r="AY690" s="55">
        <v>0</v>
      </c>
      <c r="AZ690" s="55">
        <v>0</v>
      </c>
      <c r="BA690" s="55" t="s">
        <v>87</v>
      </c>
      <c r="BB690" s="55" t="s">
        <v>88</v>
      </c>
      <c r="BC690" s="55" t="s">
        <v>89</v>
      </c>
      <c r="BD690" s="55" t="s">
        <v>90</v>
      </c>
      <c r="BE690" s="55" t="s">
        <v>1458</v>
      </c>
      <c r="BF690" s="55">
        <v>101.57</v>
      </c>
      <c r="BG690" s="55">
        <v>0</v>
      </c>
      <c r="BH690" s="55">
        <v>65.849999999999994</v>
      </c>
      <c r="BI690" s="55">
        <v>5</v>
      </c>
      <c r="BJ690" s="55">
        <v>430</v>
      </c>
      <c r="BK690" s="55" t="s">
        <v>91</v>
      </c>
      <c r="BL690" s="55" t="s">
        <v>84</v>
      </c>
      <c r="BM690" s="55">
        <v>1</v>
      </c>
      <c r="BN690" s="55" t="s">
        <v>428</v>
      </c>
      <c r="BO690" s="60" t="s">
        <v>1463</v>
      </c>
      <c r="BP690" s="55" t="s">
        <v>1464</v>
      </c>
      <c r="BQ690" s="55" t="s">
        <v>117</v>
      </c>
      <c r="BR690" s="55" t="s">
        <v>134</v>
      </c>
      <c r="BS690" s="55">
        <v>29.22</v>
      </c>
      <c r="BT690" s="55">
        <v>0.01</v>
      </c>
      <c r="BU690" s="57">
        <v>42552</v>
      </c>
      <c r="BV690" s="57">
        <v>42643</v>
      </c>
      <c r="BW690" s="55" t="s">
        <v>94</v>
      </c>
      <c r="BX690" s="55" t="s">
        <v>95</v>
      </c>
      <c r="BY690" s="55" t="s">
        <v>748</v>
      </c>
      <c r="BZ690" s="55">
        <v>1</v>
      </c>
      <c r="CA690" s="55">
        <v>1</v>
      </c>
      <c r="CB690" s="55" t="s">
        <v>303</v>
      </c>
      <c r="CC690" s="55" t="s">
        <v>314</v>
      </c>
      <c r="CD690" s="55">
        <v>1</v>
      </c>
      <c r="CE690" s="55" t="s">
        <v>1462</v>
      </c>
      <c r="CF690" s="55">
        <v>0</v>
      </c>
      <c r="CG690" s="55" t="s">
        <v>97</v>
      </c>
      <c r="CH690" s="55">
        <v>1</v>
      </c>
      <c r="CI690" s="55" t="s">
        <v>1465</v>
      </c>
      <c r="CJ690" s="55" t="s">
        <v>98</v>
      </c>
      <c r="CK690" s="55">
        <v>179</v>
      </c>
      <c r="CL690" s="55">
        <v>0</v>
      </c>
      <c r="CM690" s="55">
        <v>0</v>
      </c>
      <c r="CN690" s="55" t="s">
        <v>124</v>
      </c>
      <c r="CO690" s="55" t="s">
        <v>97</v>
      </c>
      <c r="CP690" s="55" t="s">
        <v>100</v>
      </c>
      <c r="CQ690" s="55" t="s">
        <v>126</v>
      </c>
      <c r="CR690" s="57">
        <v>46233</v>
      </c>
      <c r="CT690" s="55" t="s">
        <v>1537</v>
      </c>
    </row>
    <row r="691" spans="1:98" s="55" customFormat="1" x14ac:dyDescent="0.35">
      <c r="A691" s="54" t="s">
        <v>1459</v>
      </c>
      <c r="B691" s="54" t="s">
        <v>1535</v>
      </c>
      <c r="C691" s="55" t="s">
        <v>1460</v>
      </c>
      <c r="D691" s="55">
        <v>2022</v>
      </c>
      <c r="E691" s="60" t="s">
        <v>1461</v>
      </c>
      <c r="F691" s="54" t="s">
        <v>998</v>
      </c>
      <c r="G691" s="55" t="s">
        <v>78</v>
      </c>
      <c r="H691" s="55">
        <v>1</v>
      </c>
      <c r="I691" s="55" t="s">
        <v>290</v>
      </c>
      <c r="J691" s="55" t="s">
        <v>79</v>
      </c>
      <c r="K691" s="55">
        <v>81</v>
      </c>
      <c r="L691" s="55" t="s">
        <v>104</v>
      </c>
      <c r="M691" s="55" t="s">
        <v>380</v>
      </c>
      <c r="N691" s="55">
        <v>-0.02</v>
      </c>
      <c r="O691" s="55">
        <v>6.4999999999999997E-3</v>
      </c>
      <c r="P691" s="88">
        <f t="shared" si="278"/>
        <v>-3.0769230769230771</v>
      </c>
      <c r="Q691" s="55" t="s">
        <v>312</v>
      </c>
      <c r="R691" s="88">
        <f t="shared" si="279"/>
        <v>-3.2739999999999998E-2</v>
      </c>
      <c r="S691" s="88">
        <f t="shared" si="280"/>
        <v>-7.2600000000000008E-3</v>
      </c>
      <c r="T691" s="55">
        <v>1</v>
      </c>
      <c r="U691" s="55">
        <v>66374</v>
      </c>
      <c r="V691" s="55" t="s">
        <v>312</v>
      </c>
      <c r="W691" s="55" t="s">
        <v>312</v>
      </c>
      <c r="X691" s="55">
        <f t="shared" si="289"/>
        <v>66374</v>
      </c>
      <c r="Y691" s="88">
        <f t="shared" si="284"/>
        <v>-1.194226412806813E-2</v>
      </c>
      <c r="Z691" s="88">
        <f t="shared" si="285"/>
        <v>3.8812358416221416E-3</v>
      </c>
      <c r="AA691" s="88">
        <f t="shared" si="286"/>
        <v>1.194226412806813E-2</v>
      </c>
      <c r="AB691" s="55" t="s">
        <v>81</v>
      </c>
      <c r="AC691" s="88">
        <f t="shared" si="288"/>
        <v>-0.20292000000000002</v>
      </c>
      <c r="AD691" s="88" cm="1">
        <f t="array" ref="AD691">_xlfn.IFS(
AND(L691="marginal_effect",M691="level"),N691*AN691/BF691,
AND(L691="marginal_effect",M691="sd (Y)"),N691*BI691*AN691/BF691,
AND(L691="marginal_effect",M691="sd (X)"),N691/AQ691*AN691/BF691,
AND(L691="semi_elasticity",M691="level"),N691*AN691,
AND(L691="semi_elasticity",M691="sd (Y)"),N691*AN691*BI691,
AND(L691="semi_elasticity",M691="sd (X)"),N691*AN691/AQ691,
AND(L691="level-log",M691="level"),N691/BF691,
AND(L691="level-log",M691="sd (X)"),N691/BF691/AQ691,
AND(L691="level-log",M691="sd (Y)"),N691/BF691*BI691,
AND(L691="elasticity",M691="level"),N691,
AND(L691="elasticity",M691="sd (X)"),N691/AQ691,
AND(L691="elasticity",M691="sd (Y)"),N691*BI691,
AND(L691="marginal_effect",M691="percent_of_mean"),N691*AN691/BF691/10)</f>
        <v>-0.20292000000000002</v>
      </c>
      <c r="AE691" s="56">
        <f t="shared" si="275"/>
        <v>1</v>
      </c>
      <c r="AF691" s="88">
        <f t="shared" si="281"/>
        <v>6.5949000000000008E-2</v>
      </c>
      <c r="AG691" s="88" cm="1">
        <f t="array" ref="AG691">_xlfn.IFS(
AND(L691="marginal_effect",M691="level"),O691*AN691/BF691,
AND(L691="marginal_effect",M691="sd (Y)"),O691*BI691*AN691/BF691,
AND(L691="marginal_effect",M691="sd (X)"),O691/AQ691*AN691/BF691,
AND(L691="semi_elasticity",M691="level"),O691*AN691,
AND(L691="semi_elasticity",M691="sd (Y)"),O691*AN691*BI691,
AND(L691="semi_elasticity",M691="sd (X)"),O691*AN691/AQ691,
AND(L691="level-log",M691="level"),O691/BF691,
AND(L691="level-log",M691="sd (X)"),O691/BF691/AQ691,
AND(L691="level-log",M691="sd (Y)"),O691/BF691*BI691,
AND(L691="elasticity",M691="level"),O691,
AND(L691="elasticity",M691="sd (X)"),O691/AQ691,
AND(L691="elasticity",M691="sd (Y)"),O691*BI691,
AND(L691="marginal_effect",M691="percent_of_mean"),O691*AN691/BF691/10)</f>
        <v>6.5949000000000008E-2</v>
      </c>
      <c r="AH691" s="56">
        <f t="shared" si="282"/>
        <v>1</v>
      </c>
      <c r="AI691" s="88">
        <f t="shared" si="287"/>
        <v>-0.20292000000000002</v>
      </c>
      <c r="AJ691" s="55">
        <v>0</v>
      </c>
      <c r="AK691" s="55">
        <f t="shared" si="283"/>
        <v>1</v>
      </c>
      <c r="AL691" s="55" t="s">
        <v>148</v>
      </c>
      <c r="AM691" s="55" t="s">
        <v>1466</v>
      </c>
      <c r="AN691" s="55">
        <v>10.146000000000001</v>
      </c>
      <c r="AO691" s="55">
        <v>0</v>
      </c>
      <c r="AP691" s="55">
        <f t="shared" si="277"/>
        <v>101.46000000000001</v>
      </c>
      <c r="AQ691" s="55">
        <v>48.17</v>
      </c>
      <c r="AR691" s="55">
        <v>18</v>
      </c>
      <c r="AS691" s="55">
        <v>300</v>
      </c>
      <c r="AT691" s="55" t="s">
        <v>83</v>
      </c>
      <c r="AU691" s="55" t="s">
        <v>109</v>
      </c>
      <c r="AV691" s="55" t="s">
        <v>133</v>
      </c>
      <c r="AW691" s="55" t="s">
        <v>109</v>
      </c>
      <c r="AX691" s="55" t="s">
        <v>86</v>
      </c>
      <c r="AY691" s="55">
        <v>0</v>
      </c>
      <c r="AZ691" s="55">
        <v>0</v>
      </c>
      <c r="BA691" s="55" t="s">
        <v>87</v>
      </c>
      <c r="BB691" s="55" t="s">
        <v>88</v>
      </c>
      <c r="BC691" s="55" t="s">
        <v>89</v>
      </c>
      <c r="BD691" s="55" t="s">
        <v>90</v>
      </c>
      <c r="BE691" s="55" t="s">
        <v>1458</v>
      </c>
      <c r="BF691" s="55">
        <v>101.57</v>
      </c>
      <c r="BG691" s="55">
        <v>0</v>
      </c>
      <c r="BH691" s="55">
        <v>65.849999999999994</v>
      </c>
      <c r="BI691" s="55">
        <v>5</v>
      </c>
      <c r="BJ691" s="55">
        <v>430</v>
      </c>
      <c r="BK691" s="55" t="s">
        <v>91</v>
      </c>
      <c r="BL691" s="55" t="s">
        <v>84</v>
      </c>
      <c r="BM691" s="55">
        <v>1</v>
      </c>
      <c r="BN691" s="55" t="s">
        <v>428</v>
      </c>
      <c r="BO691" s="60" t="s">
        <v>1463</v>
      </c>
      <c r="BP691" s="55" t="s">
        <v>1464</v>
      </c>
      <c r="BQ691" s="55" t="s">
        <v>117</v>
      </c>
      <c r="BR691" s="55" t="s">
        <v>134</v>
      </c>
      <c r="BS691" s="55">
        <v>29.22</v>
      </c>
      <c r="BT691" s="55">
        <v>0.01</v>
      </c>
      <c r="BU691" s="57">
        <v>42552</v>
      </c>
      <c r="BV691" s="57">
        <v>42643</v>
      </c>
      <c r="BW691" s="55" t="s">
        <v>94</v>
      </c>
      <c r="BX691" s="55" t="s">
        <v>95</v>
      </c>
      <c r="BY691" s="55" t="s">
        <v>748</v>
      </c>
      <c r="BZ691" s="55">
        <v>1</v>
      </c>
      <c r="CA691" s="55">
        <v>1</v>
      </c>
      <c r="CB691" s="55" t="s">
        <v>303</v>
      </c>
      <c r="CC691" s="55" t="s">
        <v>314</v>
      </c>
      <c r="CD691" s="55">
        <v>1</v>
      </c>
      <c r="CE691" s="55" t="s">
        <v>1462</v>
      </c>
      <c r="CF691" s="55">
        <v>0</v>
      </c>
      <c r="CG691" s="55" t="s">
        <v>97</v>
      </c>
      <c r="CH691" s="55">
        <v>1</v>
      </c>
      <c r="CI691" s="55" t="s">
        <v>1465</v>
      </c>
      <c r="CJ691" s="55" t="s">
        <v>98</v>
      </c>
      <c r="CK691" s="55">
        <v>179</v>
      </c>
      <c r="CL691" s="55">
        <v>0</v>
      </c>
      <c r="CM691" s="55">
        <v>0</v>
      </c>
      <c r="CN691" s="55" t="s">
        <v>124</v>
      </c>
      <c r="CO691" s="55" t="s">
        <v>97</v>
      </c>
      <c r="CP691" s="55" t="s">
        <v>100</v>
      </c>
      <c r="CQ691" s="55" t="s">
        <v>126</v>
      </c>
      <c r="CR691" s="57">
        <v>46233</v>
      </c>
      <c r="CT691" s="55" t="s">
        <v>1538</v>
      </c>
    </row>
    <row r="692" spans="1:98" s="55" customFormat="1" x14ac:dyDescent="0.35">
      <c r="A692" s="54" t="s">
        <v>1459</v>
      </c>
      <c r="B692" s="54" t="s">
        <v>1542</v>
      </c>
      <c r="C692" s="55" t="s">
        <v>1460</v>
      </c>
      <c r="D692" s="55">
        <v>2022</v>
      </c>
      <c r="E692" s="60" t="s">
        <v>1461</v>
      </c>
      <c r="F692" s="54" t="s">
        <v>998</v>
      </c>
      <c r="G692" s="55" t="s">
        <v>78</v>
      </c>
      <c r="H692" s="55">
        <v>1</v>
      </c>
      <c r="I692" s="55" t="s">
        <v>290</v>
      </c>
      <c r="J692" s="55" t="s">
        <v>79</v>
      </c>
      <c r="K692" s="55">
        <v>81</v>
      </c>
      <c r="L692" s="55" t="s">
        <v>104</v>
      </c>
      <c r="M692" s="55" t="s">
        <v>380</v>
      </c>
      <c r="N692" s="55">
        <v>-1.4E-2</v>
      </c>
      <c r="O692" s="55">
        <v>3.5999999999999999E-3</v>
      </c>
      <c r="P692" s="88">
        <f t="shared" si="278"/>
        <v>-3.8888888888888893</v>
      </c>
      <c r="Q692" s="55" t="s">
        <v>312</v>
      </c>
      <c r="R692" s="88">
        <f t="shared" si="279"/>
        <v>-2.1055999999999998E-2</v>
      </c>
      <c r="S692" s="88">
        <f t="shared" si="280"/>
        <v>-6.9440000000000005E-3</v>
      </c>
      <c r="T692" s="55">
        <v>1</v>
      </c>
      <c r="U692" s="55">
        <v>66374</v>
      </c>
      <c r="V692" s="55" t="s">
        <v>312</v>
      </c>
      <c r="W692" s="55" t="s">
        <v>312</v>
      </c>
      <c r="X692" s="55">
        <f t="shared" si="289"/>
        <v>66374</v>
      </c>
      <c r="Y692" s="88">
        <f t="shared" si="284"/>
        <v>-1.5093051974573595E-2</v>
      </c>
      <c r="Z692" s="88">
        <f t="shared" si="285"/>
        <v>3.8810705077474959E-3</v>
      </c>
      <c r="AA692" s="88">
        <f t="shared" si="286"/>
        <v>1.5093051974573595E-2</v>
      </c>
      <c r="AB692" s="55" t="s">
        <v>81</v>
      </c>
      <c r="AC692" s="88">
        <f t="shared" si="288"/>
        <v>-0.142044</v>
      </c>
      <c r="AD692" s="88" cm="1">
        <f t="array" ref="AD692">_xlfn.IFS(
AND(L692="marginal_effect",M692="level"),N692*AN692/BF692,
AND(L692="marginal_effect",M692="sd (Y)"),N692*BI692*AN692/BF692,
AND(L692="marginal_effect",M692="sd (X)"),N692/AQ692*AN692/BF692,
AND(L692="semi_elasticity",M692="level"),N692*AN692,
AND(L692="semi_elasticity",M692="sd (Y)"),N692*AN692*BI692,
AND(L692="semi_elasticity",M692="sd (X)"),N692*AN692/AQ692,
AND(L692="level-log",M692="level"),N692/BF692,
AND(L692="level-log",M692="sd (X)"),N692/BF692/AQ692,
AND(L692="level-log",M692="sd (Y)"),N692/BF692*BI692,
AND(L692="elasticity",M692="level"),N692,
AND(L692="elasticity",M692="sd (X)"),N692/AQ692,
AND(L692="elasticity",M692="sd (Y)"),N692*BI692,
AND(L692="marginal_effect",M692="percent_of_mean"),N692*AN692/BF692/10)</f>
        <v>-0.142044</v>
      </c>
      <c r="AE692" s="56">
        <f t="shared" si="275"/>
        <v>1</v>
      </c>
      <c r="AF692" s="88">
        <f t="shared" si="281"/>
        <v>3.6525600000000005E-2</v>
      </c>
      <c r="AG692" s="88" cm="1">
        <f t="array" ref="AG692">_xlfn.IFS(
AND(L692="marginal_effect",M692="level"),O692*AN692/BF692,
AND(L692="marginal_effect",M692="sd (Y)"),O692*BI692*AN692/BF692,
AND(L692="marginal_effect",M692="sd (X)"),O692/AQ692*AN692/BF692,
AND(L692="semi_elasticity",M692="level"),O692*AN692,
AND(L692="semi_elasticity",M692="sd (Y)"),O692*AN692*BI692,
AND(L692="semi_elasticity",M692="sd (X)"),O692*AN692/AQ692,
AND(L692="level-log",M692="level"),O692/BF692,
AND(L692="level-log",M692="sd (X)"),O692/BF692/AQ692,
AND(L692="level-log",M692="sd (Y)"),O692/BF692*BI692,
AND(L692="elasticity",M692="level"),O692,
AND(L692="elasticity",M692="sd (X)"),O692/AQ692,
AND(L692="elasticity",M692="sd (Y)"),O692*BI692,
AND(L692="marginal_effect",M692="percent_of_mean"),O692*AN692/BF692/10)</f>
        <v>3.6525600000000005E-2</v>
      </c>
      <c r="AH692" s="56">
        <f t="shared" si="282"/>
        <v>1</v>
      </c>
      <c r="AI692" s="88">
        <f t="shared" si="287"/>
        <v>-0.142044</v>
      </c>
      <c r="AJ692" s="55">
        <v>0</v>
      </c>
      <c r="AK692" s="55">
        <f t="shared" si="283"/>
        <v>1</v>
      </c>
      <c r="AL692" s="55" t="s">
        <v>148</v>
      </c>
      <c r="AM692" s="55" t="s">
        <v>1466</v>
      </c>
      <c r="AN692" s="55">
        <v>10.146000000000001</v>
      </c>
      <c r="AO692" s="55">
        <v>0</v>
      </c>
      <c r="AP692" s="55">
        <f t="shared" si="277"/>
        <v>101.46000000000001</v>
      </c>
      <c r="AQ692" s="55">
        <v>48.17</v>
      </c>
      <c r="AR692" s="55">
        <v>18</v>
      </c>
      <c r="AS692" s="55">
        <v>300</v>
      </c>
      <c r="AT692" s="55" t="s">
        <v>83</v>
      </c>
      <c r="AU692" s="55" t="s">
        <v>109</v>
      </c>
      <c r="AV692" s="55" t="s">
        <v>133</v>
      </c>
      <c r="AW692" s="55" t="s">
        <v>109</v>
      </c>
      <c r="AX692" s="55" t="s">
        <v>86</v>
      </c>
      <c r="AY692" s="55">
        <v>0</v>
      </c>
      <c r="AZ692" s="55">
        <v>0</v>
      </c>
      <c r="BA692" s="55" t="s">
        <v>87</v>
      </c>
      <c r="BB692" s="55" t="s">
        <v>88</v>
      </c>
      <c r="BC692" s="55" t="s">
        <v>89</v>
      </c>
      <c r="BD692" s="55" t="s">
        <v>90</v>
      </c>
      <c r="BE692" s="55" t="s">
        <v>1458</v>
      </c>
      <c r="BF692" s="55">
        <v>101.57</v>
      </c>
      <c r="BG692" s="55">
        <v>0</v>
      </c>
      <c r="BH692" s="55">
        <v>65.849999999999994</v>
      </c>
      <c r="BI692" s="55">
        <v>5</v>
      </c>
      <c r="BJ692" s="55">
        <v>430</v>
      </c>
      <c r="BK692" s="55" t="s">
        <v>91</v>
      </c>
      <c r="BL692" s="55" t="s">
        <v>84</v>
      </c>
      <c r="BM692" s="55">
        <v>1</v>
      </c>
      <c r="BN692" s="55" t="s">
        <v>428</v>
      </c>
      <c r="BO692" s="60" t="s">
        <v>1463</v>
      </c>
      <c r="BP692" s="55" t="s">
        <v>1464</v>
      </c>
      <c r="BQ692" s="55" t="s">
        <v>117</v>
      </c>
      <c r="BR692" s="55" t="s">
        <v>134</v>
      </c>
      <c r="BS692" s="55">
        <v>29.22</v>
      </c>
      <c r="BT692" s="55">
        <v>0.01</v>
      </c>
      <c r="BU692" s="57">
        <v>42552</v>
      </c>
      <c r="BV692" s="57">
        <v>42643</v>
      </c>
      <c r="BW692" s="55" t="s">
        <v>94</v>
      </c>
      <c r="BX692" s="55" t="s">
        <v>95</v>
      </c>
      <c r="BY692" s="55" t="s">
        <v>748</v>
      </c>
      <c r="BZ692" s="55">
        <v>1</v>
      </c>
      <c r="CA692" s="55">
        <v>1</v>
      </c>
      <c r="CB692" s="55" t="s">
        <v>303</v>
      </c>
      <c r="CC692" s="55" t="s">
        <v>314</v>
      </c>
      <c r="CD692" s="55">
        <v>1</v>
      </c>
      <c r="CE692" s="55" t="s">
        <v>1462</v>
      </c>
      <c r="CF692" s="55">
        <v>0</v>
      </c>
      <c r="CG692" s="55" t="s">
        <v>97</v>
      </c>
      <c r="CH692" s="55">
        <v>1</v>
      </c>
      <c r="CI692" s="55" t="s">
        <v>1465</v>
      </c>
      <c r="CJ692" s="55" t="s">
        <v>98</v>
      </c>
      <c r="CK692" s="55">
        <v>179</v>
      </c>
      <c r="CL692" s="55">
        <v>0</v>
      </c>
      <c r="CM692" s="55">
        <v>0</v>
      </c>
      <c r="CN692" s="55" t="s">
        <v>124</v>
      </c>
      <c r="CO692" s="55" t="s">
        <v>97</v>
      </c>
      <c r="CP692" s="55" t="s">
        <v>100</v>
      </c>
      <c r="CQ692" s="55" t="s">
        <v>126</v>
      </c>
      <c r="CR692" s="57">
        <v>46233</v>
      </c>
      <c r="CT692" s="55" t="s">
        <v>1536</v>
      </c>
    </row>
    <row r="693" spans="1:98" s="55" customFormat="1" x14ac:dyDescent="0.35">
      <c r="A693" s="54" t="s">
        <v>1459</v>
      </c>
      <c r="B693" s="54" t="s">
        <v>1543</v>
      </c>
      <c r="C693" s="55" t="s">
        <v>1460</v>
      </c>
      <c r="D693" s="55">
        <v>2022</v>
      </c>
      <c r="E693" s="60" t="s">
        <v>1461</v>
      </c>
      <c r="F693" s="54" t="s">
        <v>998</v>
      </c>
      <c r="G693" s="55" t="s">
        <v>78</v>
      </c>
      <c r="H693" s="55">
        <v>1</v>
      </c>
      <c r="I693" s="55" t="s">
        <v>290</v>
      </c>
      <c r="J693" s="55" t="s">
        <v>79</v>
      </c>
      <c r="K693" s="55">
        <v>81</v>
      </c>
      <c r="L693" s="55" t="s">
        <v>104</v>
      </c>
      <c r="M693" s="55" t="s">
        <v>380</v>
      </c>
      <c r="N693" s="55">
        <v>-1.34E-2</v>
      </c>
      <c r="O693" s="55">
        <v>3.3999999999999998E-3</v>
      </c>
      <c r="P693" s="88">
        <f t="shared" si="278"/>
        <v>-3.9411764705882355</v>
      </c>
      <c r="Q693" s="55" t="s">
        <v>312</v>
      </c>
      <c r="R693" s="88">
        <f t="shared" si="279"/>
        <v>-2.0063999999999999E-2</v>
      </c>
      <c r="S693" s="88">
        <f t="shared" si="280"/>
        <v>-6.7360000000000007E-3</v>
      </c>
      <c r="T693" s="55">
        <v>1</v>
      </c>
      <c r="U693" s="55">
        <v>66374</v>
      </c>
      <c r="V693" s="55" t="s">
        <v>312</v>
      </c>
      <c r="W693" s="55" t="s">
        <v>312</v>
      </c>
      <c r="X693" s="55">
        <f t="shared" si="289"/>
        <v>66374</v>
      </c>
      <c r="Y693" s="88">
        <f t="shared" si="284"/>
        <v>-1.5295936601634219E-2</v>
      </c>
      <c r="Z693" s="88">
        <f t="shared" si="285"/>
        <v>3.8810585407131602E-3</v>
      </c>
      <c r="AA693" s="88">
        <f t="shared" si="286"/>
        <v>1.5295936601634219E-2</v>
      </c>
      <c r="AB693" s="55" t="s">
        <v>81</v>
      </c>
      <c r="AC693" s="88">
        <f t="shared" si="288"/>
        <v>-0.13595640000000001</v>
      </c>
      <c r="AD693" s="88" cm="1">
        <f t="array" ref="AD693">_xlfn.IFS(
AND(L693="marginal_effect",M693="level"),N693*AN693/BF693,
AND(L693="marginal_effect",M693="sd (Y)"),N693*BI693*AN693/BF693,
AND(L693="marginal_effect",M693="sd (X)"),N693/AQ693*AN693/BF693,
AND(L693="semi_elasticity",M693="level"),N693*AN693,
AND(L693="semi_elasticity",M693="sd (Y)"),N693*AN693*BI693,
AND(L693="semi_elasticity",M693="sd (X)"),N693*AN693/AQ693,
AND(L693="level-log",M693="level"),N693/BF693,
AND(L693="level-log",M693="sd (X)"),N693/BF693/AQ693,
AND(L693="level-log",M693="sd (Y)"),N693/BF693*BI693,
AND(L693="elasticity",M693="level"),N693,
AND(L693="elasticity",M693="sd (X)"),N693/AQ693,
AND(L693="elasticity",M693="sd (Y)"),N693*BI693,
AND(L693="marginal_effect",M693="percent_of_mean"),N693*AN693/BF693/10)</f>
        <v>-0.13595640000000001</v>
      </c>
      <c r="AE693" s="56">
        <f t="shared" si="275"/>
        <v>1</v>
      </c>
      <c r="AF693" s="88">
        <f t="shared" si="281"/>
        <v>3.4496400000000003E-2</v>
      </c>
      <c r="AG693" s="88" cm="1">
        <f t="array" ref="AG693">_xlfn.IFS(
AND(L693="marginal_effect",M693="level"),O693*AN693/BF693,
AND(L693="marginal_effect",M693="sd (Y)"),O693*BI693*AN693/BF693,
AND(L693="marginal_effect",M693="sd (X)"),O693/AQ693*AN693/BF693,
AND(L693="semi_elasticity",M693="level"),O693*AN693,
AND(L693="semi_elasticity",M693="sd (Y)"),O693*AN693*BI693,
AND(L693="semi_elasticity",M693="sd (X)"),O693*AN693/AQ693,
AND(L693="level-log",M693="level"),O693/BF693,
AND(L693="level-log",M693="sd (X)"),O693/BF693/AQ693,
AND(L693="level-log",M693="sd (Y)"),O693/BF693*BI693,
AND(L693="elasticity",M693="level"),O693,
AND(L693="elasticity",M693="sd (X)"),O693/AQ693,
AND(L693="elasticity",M693="sd (Y)"),O693*BI693,
AND(L693="marginal_effect",M693="percent_of_mean"),O693*AN693/BF693/10)</f>
        <v>3.4496400000000003E-2</v>
      </c>
      <c r="AH693" s="56">
        <f t="shared" si="282"/>
        <v>1</v>
      </c>
      <c r="AI693" s="88">
        <f t="shared" si="287"/>
        <v>-0.13595640000000001</v>
      </c>
      <c r="AJ693" s="55">
        <v>0</v>
      </c>
      <c r="AK693" s="55">
        <f t="shared" si="283"/>
        <v>1</v>
      </c>
      <c r="AL693" s="55" t="s">
        <v>148</v>
      </c>
      <c r="AM693" s="55" t="s">
        <v>1466</v>
      </c>
      <c r="AN693" s="55">
        <v>10.146000000000001</v>
      </c>
      <c r="AO693" s="55">
        <v>0</v>
      </c>
      <c r="AP693" s="55">
        <f t="shared" si="277"/>
        <v>101.46000000000001</v>
      </c>
      <c r="AQ693" s="55">
        <v>48.17</v>
      </c>
      <c r="AR693" s="55">
        <v>18</v>
      </c>
      <c r="AS693" s="55">
        <v>300</v>
      </c>
      <c r="AT693" s="55" t="s">
        <v>83</v>
      </c>
      <c r="AU693" s="55" t="s">
        <v>109</v>
      </c>
      <c r="AV693" s="55" t="s">
        <v>133</v>
      </c>
      <c r="AW693" s="55" t="s">
        <v>109</v>
      </c>
      <c r="AX693" s="55" t="s">
        <v>86</v>
      </c>
      <c r="AY693" s="55">
        <v>0</v>
      </c>
      <c r="AZ693" s="55">
        <v>0</v>
      </c>
      <c r="BA693" s="55" t="s">
        <v>87</v>
      </c>
      <c r="BB693" s="55" t="s">
        <v>88</v>
      </c>
      <c r="BC693" s="55" t="s">
        <v>89</v>
      </c>
      <c r="BD693" s="55" t="s">
        <v>90</v>
      </c>
      <c r="BE693" s="55" t="s">
        <v>1458</v>
      </c>
      <c r="BF693" s="55">
        <v>101.57</v>
      </c>
      <c r="BG693" s="55">
        <v>0</v>
      </c>
      <c r="BH693" s="55">
        <v>65.849999999999994</v>
      </c>
      <c r="BI693" s="55">
        <v>5</v>
      </c>
      <c r="BJ693" s="55">
        <v>430</v>
      </c>
      <c r="BK693" s="55" t="s">
        <v>91</v>
      </c>
      <c r="BL693" s="55" t="s">
        <v>84</v>
      </c>
      <c r="BM693" s="55">
        <v>1</v>
      </c>
      <c r="BN693" s="55" t="s">
        <v>428</v>
      </c>
      <c r="BO693" s="60" t="s">
        <v>1463</v>
      </c>
      <c r="BP693" s="55" t="s">
        <v>1464</v>
      </c>
      <c r="BQ693" s="55" t="s">
        <v>117</v>
      </c>
      <c r="BR693" s="55" t="s">
        <v>134</v>
      </c>
      <c r="BS693" s="55">
        <v>29.22</v>
      </c>
      <c r="BT693" s="55">
        <v>0.01</v>
      </c>
      <c r="BU693" s="57">
        <v>42552</v>
      </c>
      <c r="BV693" s="57">
        <v>42643</v>
      </c>
      <c r="BW693" s="55" t="s">
        <v>94</v>
      </c>
      <c r="BX693" s="55" t="s">
        <v>95</v>
      </c>
      <c r="BY693" s="55" t="s">
        <v>748</v>
      </c>
      <c r="BZ693" s="55">
        <v>1</v>
      </c>
      <c r="CA693" s="55">
        <v>1</v>
      </c>
      <c r="CB693" s="55" t="s">
        <v>303</v>
      </c>
      <c r="CC693" s="55" t="s">
        <v>314</v>
      </c>
      <c r="CD693" s="55">
        <v>1</v>
      </c>
      <c r="CE693" s="55" t="s">
        <v>1462</v>
      </c>
      <c r="CF693" s="55">
        <v>0</v>
      </c>
      <c r="CG693" s="55" t="s">
        <v>97</v>
      </c>
      <c r="CH693" s="55">
        <v>1</v>
      </c>
      <c r="CI693" s="55" t="s">
        <v>1465</v>
      </c>
      <c r="CJ693" s="55" t="s">
        <v>98</v>
      </c>
      <c r="CK693" s="55">
        <v>179</v>
      </c>
      <c r="CL693" s="55">
        <v>0</v>
      </c>
      <c r="CM693" s="55">
        <v>0</v>
      </c>
      <c r="CN693" s="55" t="s">
        <v>124</v>
      </c>
      <c r="CO693" s="55" t="s">
        <v>97</v>
      </c>
      <c r="CP693" s="55" t="s">
        <v>100</v>
      </c>
      <c r="CQ693" s="55" t="s">
        <v>126</v>
      </c>
      <c r="CR693" s="57">
        <v>46233</v>
      </c>
      <c r="CT693" s="55" t="s">
        <v>1537</v>
      </c>
    </row>
    <row r="694" spans="1:98" s="55" customFormat="1" x14ac:dyDescent="0.35">
      <c r="A694" s="54" t="s">
        <v>1459</v>
      </c>
      <c r="B694" s="54" t="s">
        <v>1544</v>
      </c>
      <c r="C694" s="55" t="s">
        <v>1460</v>
      </c>
      <c r="D694" s="55">
        <v>2022</v>
      </c>
      <c r="E694" s="60" t="s">
        <v>1461</v>
      </c>
      <c r="F694" s="54" t="s">
        <v>998</v>
      </c>
      <c r="G694" s="55" t="s">
        <v>78</v>
      </c>
      <c r="H694" s="55">
        <v>1</v>
      </c>
      <c r="I694" s="55" t="s">
        <v>290</v>
      </c>
      <c r="J694" s="55" t="s">
        <v>79</v>
      </c>
      <c r="K694" s="55">
        <v>81</v>
      </c>
      <c r="L694" s="55" t="s">
        <v>104</v>
      </c>
      <c r="M694" s="55" t="s">
        <v>380</v>
      </c>
      <c r="N694" s="55">
        <v>-1.12E-2</v>
      </c>
      <c r="O694" s="55">
        <v>3.0999999999999999E-3</v>
      </c>
      <c r="P694" s="88">
        <f t="shared" si="278"/>
        <v>-3.6129032258064515</v>
      </c>
      <c r="Q694" s="55" t="s">
        <v>312</v>
      </c>
      <c r="R694" s="88">
        <f t="shared" si="279"/>
        <v>-1.7276E-2</v>
      </c>
      <c r="S694" s="88">
        <f t="shared" si="280"/>
        <v>-5.1240000000000001E-3</v>
      </c>
      <c r="T694" s="55">
        <v>1</v>
      </c>
      <c r="U694" s="55">
        <v>66374</v>
      </c>
      <c r="V694" s="55" t="s">
        <v>312</v>
      </c>
      <c r="W694" s="55" t="s">
        <v>312</v>
      </c>
      <c r="X694" s="55">
        <f t="shared" si="289"/>
        <v>66374</v>
      </c>
      <c r="Y694" s="88">
        <f t="shared" si="284"/>
        <v>-1.4022150803576772E-2</v>
      </c>
      <c r="Z694" s="88">
        <f t="shared" si="285"/>
        <v>3.8811310259899996E-3</v>
      </c>
      <c r="AA694" s="88">
        <f t="shared" si="286"/>
        <v>1.4022150803576772E-2</v>
      </c>
      <c r="AB694" s="55" t="s">
        <v>81</v>
      </c>
      <c r="AC694" s="88">
        <f t="shared" si="288"/>
        <v>-0.11363520000000001</v>
      </c>
      <c r="AD694" s="88" cm="1">
        <f t="array" ref="AD694">_xlfn.IFS(
AND(L694="marginal_effect",M694="level"),N694*AN694/BF694,
AND(L694="marginal_effect",M694="sd (Y)"),N694*BI694*AN694/BF694,
AND(L694="marginal_effect",M694="sd (X)"),N694/AQ694*AN694/BF694,
AND(L694="semi_elasticity",M694="level"),N694*AN694,
AND(L694="semi_elasticity",M694="sd (Y)"),N694*AN694*BI694,
AND(L694="semi_elasticity",M694="sd (X)"),N694*AN694/AQ694,
AND(L694="level-log",M694="level"),N694/BF694,
AND(L694="level-log",M694="sd (X)"),N694/BF694/AQ694,
AND(L694="level-log",M694="sd (Y)"),N694/BF694*BI694,
AND(L694="elasticity",M694="level"),N694,
AND(L694="elasticity",M694="sd (X)"),N694/AQ694,
AND(L694="elasticity",M694="sd (Y)"),N694*BI694,
AND(L694="marginal_effect",M694="percent_of_mean"),N694*AN694/BF694/10)</f>
        <v>-0.11363520000000001</v>
      </c>
      <c r="AE694" s="56">
        <f t="shared" si="275"/>
        <v>1</v>
      </c>
      <c r="AF694" s="88">
        <f t="shared" si="281"/>
        <v>3.1452600000000004E-2</v>
      </c>
      <c r="AG694" s="88" cm="1">
        <f t="array" ref="AG694">_xlfn.IFS(
AND(L694="marginal_effect",M694="level"),O694*AN694/BF694,
AND(L694="marginal_effect",M694="sd (Y)"),O694*BI694*AN694/BF694,
AND(L694="marginal_effect",M694="sd (X)"),O694/AQ694*AN694/BF694,
AND(L694="semi_elasticity",M694="level"),O694*AN694,
AND(L694="semi_elasticity",M694="sd (Y)"),O694*AN694*BI694,
AND(L694="semi_elasticity",M694="sd (X)"),O694*AN694/AQ694,
AND(L694="level-log",M694="level"),O694/BF694,
AND(L694="level-log",M694="sd (X)"),O694/BF694/AQ694,
AND(L694="level-log",M694="sd (Y)"),O694/BF694*BI694,
AND(L694="elasticity",M694="level"),O694,
AND(L694="elasticity",M694="sd (X)"),O694/AQ694,
AND(L694="elasticity",M694="sd (Y)"),O694*BI694,
AND(L694="marginal_effect",M694="percent_of_mean"),O694*AN694/BF694/10)</f>
        <v>3.1452600000000004E-2</v>
      </c>
      <c r="AH694" s="56">
        <f t="shared" si="282"/>
        <v>1</v>
      </c>
      <c r="AI694" s="88">
        <f t="shared" si="287"/>
        <v>-0.11363520000000001</v>
      </c>
      <c r="AJ694" s="55">
        <v>0</v>
      </c>
      <c r="AK694" s="55">
        <f t="shared" si="283"/>
        <v>1</v>
      </c>
      <c r="AL694" s="55" t="s">
        <v>148</v>
      </c>
      <c r="AM694" s="55" t="s">
        <v>1466</v>
      </c>
      <c r="AN694" s="55">
        <v>10.146000000000001</v>
      </c>
      <c r="AO694" s="55">
        <v>0</v>
      </c>
      <c r="AP694" s="55">
        <f t="shared" si="277"/>
        <v>101.46000000000001</v>
      </c>
      <c r="AQ694" s="55">
        <v>48.17</v>
      </c>
      <c r="AR694" s="55">
        <v>18</v>
      </c>
      <c r="AS694" s="55">
        <v>300</v>
      </c>
      <c r="AT694" s="55" t="s">
        <v>83</v>
      </c>
      <c r="AU694" s="55" t="s">
        <v>109</v>
      </c>
      <c r="AV694" s="55" t="s">
        <v>133</v>
      </c>
      <c r="AW694" s="55" t="s">
        <v>109</v>
      </c>
      <c r="AX694" s="55" t="s">
        <v>86</v>
      </c>
      <c r="AY694" s="55">
        <v>0</v>
      </c>
      <c r="AZ694" s="55">
        <v>0</v>
      </c>
      <c r="BA694" s="55" t="s">
        <v>87</v>
      </c>
      <c r="BB694" s="55" t="s">
        <v>88</v>
      </c>
      <c r="BC694" s="55" t="s">
        <v>89</v>
      </c>
      <c r="BD694" s="55" t="s">
        <v>90</v>
      </c>
      <c r="BE694" s="55" t="s">
        <v>1458</v>
      </c>
      <c r="BF694" s="55">
        <v>101.57</v>
      </c>
      <c r="BG694" s="55">
        <v>0</v>
      </c>
      <c r="BH694" s="55">
        <v>65.849999999999994</v>
      </c>
      <c r="BI694" s="55">
        <v>5</v>
      </c>
      <c r="BJ694" s="55">
        <v>430</v>
      </c>
      <c r="BK694" s="55" t="s">
        <v>91</v>
      </c>
      <c r="BL694" s="55" t="s">
        <v>84</v>
      </c>
      <c r="BM694" s="55">
        <v>1</v>
      </c>
      <c r="BN694" s="55" t="s">
        <v>428</v>
      </c>
      <c r="BO694" s="60" t="s">
        <v>1463</v>
      </c>
      <c r="BP694" s="55" t="s">
        <v>1464</v>
      </c>
      <c r="BQ694" s="55" t="s">
        <v>117</v>
      </c>
      <c r="BR694" s="55" t="s">
        <v>134</v>
      </c>
      <c r="BS694" s="55">
        <v>29.22</v>
      </c>
      <c r="BT694" s="55">
        <v>0.01</v>
      </c>
      <c r="BU694" s="57">
        <v>42552</v>
      </c>
      <c r="BV694" s="57">
        <v>42643</v>
      </c>
      <c r="BW694" s="55" t="s">
        <v>94</v>
      </c>
      <c r="BX694" s="55" t="s">
        <v>95</v>
      </c>
      <c r="BY694" s="55" t="s">
        <v>748</v>
      </c>
      <c r="BZ694" s="55">
        <v>1</v>
      </c>
      <c r="CA694" s="55">
        <v>1</v>
      </c>
      <c r="CB694" s="55" t="s">
        <v>303</v>
      </c>
      <c r="CC694" s="55" t="s">
        <v>314</v>
      </c>
      <c r="CD694" s="55">
        <v>1</v>
      </c>
      <c r="CE694" s="55" t="s">
        <v>1462</v>
      </c>
      <c r="CF694" s="55">
        <v>0</v>
      </c>
      <c r="CG694" s="55" t="s">
        <v>97</v>
      </c>
      <c r="CH694" s="55">
        <v>1</v>
      </c>
      <c r="CI694" s="55" t="s">
        <v>1465</v>
      </c>
      <c r="CJ694" s="55" t="s">
        <v>98</v>
      </c>
      <c r="CK694" s="55">
        <v>179</v>
      </c>
      <c r="CL694" s="55">
        <v>0</v>
      </c>
      <c r="CM694" s="55">
        <v>0</v>
      </c>
      <c r="CN694" s="55" t="s">
        <v>124</v>
      </c>
      <c r="CO694" s="55" t="s">
        <v>97</v>
      </c>
      <c r="CP694" s="55" t="s">
        <v>100</v>
      </c>
      <c r="CQ694" s="55" t="s">
        <v>126</v>
      </c>
      <c r="CR694" s="57">
        <v>46233</v>
      </c>
      <c r="CT694" s="55" t="s">
        <v>1538</v>
      </c>
    </row>
    <row r="695" spans="1:98" s="55" customFormat="1" x14ac:dyDescent="0.35">
      <c r="A695" s="54" t="s">
        <v>1459</v>
      </c>
      <c r="B695" s="54" t="s">
        <v>1539</v>
      </c>
      <c r="C695" s="55" t="s">
        <v>1460</v>
      </c>
      <c r="D695" s="55">
        <v>2022</v>
      </c>
      <c r="E695" s="60" t="s">
        <v>1461</v>
      </c>
      <c r="F695" s="54" t="s">
        <v>998</v>
      </c>
      <c r="G695" s="55" t="s">
        <v>78</v>
      </c>
      <c r="H695" s="55">
        <v>1</v>
      </c>
      <c r="I695" s="55" t="s">
        <v>290</v>
      </c>
      <c r="J695" s="55" t="s">
        <v>79</v>
      </c>
      <c r="K695" s="55">
        <v>81</v>
      </c>
      <c r="L695" s="55" t="s">
        <v>104</v>
      </c>
      <c r="M695" s="55" t="s">
        <v>380</v>
      </c>
      <c r="N695" s="55">
        <v>-2.4199999999999999E-2</v>
      </c>
      <c r="O695" s="55">
        <v>8.8000000000000005E-3</v>
      </c>
      <c r="P695" s="88">
        <f t="shared" si="278"/>
        <v>-2.7499999999999996</v>
      </c>
      <c r="Q695" s="55" t="s">
        <v>312</v>
      </c>
      <c r="R695" s="88">
        <f t="shared" si="279"/>
        <v>-4.1447999999999999E-2</v>
      </c>
      <c r="S695" s="88">
        <f t="shared" si="280"/>
        <v>-6.9519999999999998E-3</v>
      </c>
      <c r="T695" s="55">
        <v>1</v>
      </c>
      <c r="U695" s="55">
        <v>66374</v>
      </c>
      <c r="V695" s="55" t="s">
        <v>312</v>
      </c>
      <c r="W695" s="55" t="s">
        <v>312</v>
      </c>
      <c r="X695" s="55">
        <f t="shared" si="289"/>
        <v>66374</v>
      </c>
      <c r="Y695" s="88">
        <f t="shared" si="284"/>
        <v>-1.0673551710936811E-2</v>
      </c>
      <c r="Z695" s="88">
        <f t="shared" si="285"/>
        <v>3.8812915312497497E-3</v>
      </c>
      <c r="AA695" s="88">
        <f t="shared" si="286"/>
        <v>1.0673551710936811E-2</v>
      </c>
      <c r="AB695" s="55" t="s">
        <v>81</v>
      </c>
      <c r="AC695" s="88">
        <f t="shared" si="288"/>
        <v>-0.24553320000000001</v>
      </c>
      <c r="AD695" s="88" cm="1">
        <f t="array" ref="AD695">_xlfn.IFS(
AND(L695="marginal_effect",M695="level"),N695*AN695/BF695,
AND(L695="marginal_effect",M695="sd (Y)"),N695*BI695*AN695/BF695,
AND(L695="marginal_effect",M695="sd (X)"),N695/AQ695*AN695/BF695,
AND(L695="semi_elasticity",M695="level"),N695*AN695,
AND(L695="semi_elasticity",M695="sd (Y)"),N695*AN695*BI695,
AND(L695="semi_elasticity",M695="sd (X)"),N695*AN695/AQ695,
AND(L695="level-log",M695="level"),N695/BF695,
AND(L695="level-log",M695="sd (X)"),N695/BF695/AQ695,
AND(L695="level-log",M695="sd (Y)"),N695/BF695*BI695,
AND(L695="elasticity",M695="level"),N695,
AND(L695="elasticity",M695="sd (X)"),N695/AQ695,
AND(L695="elasticity",M695="sd (Y)"),N695*BI695,
AND(L695="marginal_effect",M695="percent_of_mean"),N695*AN695/BF695/10)</f>
        <v>-0.24553320000000001</v>
      </c>
      <c r="AE695" s="56">
        <f t="shared" si="275"/>
        <v>1</v>
      </c>
      <c r="AF695" s="88">
        <f t="shared" si="281"/>
        <v>8.9284800000000011E-2</v>
      </c>
      <c r="AG695" s="88" cm="1">
        <f t="array" ref="AG695">_xlfn.IFS(
AND(L695="marginal_effect",M695="level"),O695*AN695/BF695,
AND(L695="marginal_effect",M695="sd (Y)"),O695*BI695*AN695/BF695,
AND(L695="marginal_effect",M695="sd (X)"),O695/AQ695*AN695/BF695,
AND(L695="semi_elasticity",M695="level"),O695*AN695,
AND(L695="semi_elasticity",M695="sd (Y)"),O695*AN695*BI695,
AND(L695="semi_elasticity",M695="sd (X)"),O695*AN695/AQ695,
AND(L695="level-log",M695="level"),O695/BF695,
AND(L695="level-log",M695="sd (X)"),O695/BF695/AQ695,
AND(L695="level-log",M695="sd (Y)"),O695/BF695*BI695,
AND(L695="elasticity",M695="level"),O695,
AND(L695="elasticity",M695="sd (X)"),O695/AQ695,
AND(L695="elasticity",M695="sd (Y)"),O695*BI695,
AND(L695="marginal_effect",M695="percent_of_mean"),O695*AN695/BF695/10)</f>
        <v>8.9284800000000011E-2</v>
      </c>
      <c r="AH695" s="56">
        <f t="shared" si="282"/>
        <v>1</v>
      </c>
      <c r="AI695" s="88">
        <f t="shared" si="287"/>
        <v>-0.24553320000000001</v>
      </c>
      <c r="AJ695" s="55">
        <v>0</v>
      </c>
      <c r="AK695" s="55">
        <f t="shared" si="283"/>
        <v>1</v>
      </c>
      <c r="AL695" s="55" t="s">
        <v>148</v>
      </c>
      <c r="AM695" s="55" t="s">
        <v>1466</v>
      </c>
      <c r="AN695" s="55">
        <v>10.146000000000001</v>
      </c>
      <c r="AO695" s="55">
        <v>0</v>
      </c>
      <c r="AP695" s="55">
        <f t="shared" si="277"/>
        <v>101.46000000000001</v>
      </c>
      <c r="AQ695" s="55">
        <v>48.17</v>
      </c>
      <c r="AR695" s="55">
        <v>18</v>
      </c>
      <c r="AS695" s="55">
        <v>300</v>
      </c>
      <c r="AT695" s="55" t="s">
        <v>83</v>
      </c>
      <c r="AU695" s="55" t="s">
        <v>109</v>
      </c>
      <c r="AV695" s="55" t="s">
        <v>133</v>
      </c>
      <c r="AW695" s="55" t="s">
        <v>109</v>
      </c>
      <c r="AX695" s="55" t="s">
        <v>86</v>
      </c>
      <c r="AY695" s="55">
        <v>0</v>
      </c>
      <c r="AZ695" s="55">
        <v>0</v>
      </c>
      <c r="BA695" s="55" t="s">
        <v>87</v>
      </c>
      <c r="BB695" s="55" t="s">
        <v>88</v>
      </c>
      <c r="BC695" s="55" t="s">
        <v>89</v>
      </c>
      <c r="BD695" s="55" t="s">
        <v>90</v>
      </c>
      <c r="BE695" s="55" t="s">
        <v>1458</v>
      </c>
      <c r="BF695" s="55">
        <v>101.57</v>
      </c>
      <c r="BG695" s="55">
        <v>0</v>
      </c>
      <c r="BH695" s="55">
        <v>65.849999999999994</v>
      </c>
      <c r="BI695" s="55">
        <v>5</v>
      </c>
      <c r="BJ695" s="55">
        <v>430</v>
      </c>
      <c r="BK695" s="55" t="s">
        <v>91</v>
      </c>
      <c r="BL695" s="55" t="s">
        <v>84</v>
      </c>
      <c r="BM695" s="55">
        <v>1</v>
      </c>
      <c r="BN695" s="55" t="s">
        <v>428</v>
      </c>
      <c r="BO695" s="60" t="s">
        <v>1463</v>
      </c>
      <c r="BP695" s="55" t="s">
        <v>1464</v>
      </c>
      <c r="BQ695" s="55" t="s">
        <v>117</v>
      </c>
      <c r="BR695" s="55" t="s">
        <v>134</v>
      </c>
      <c r="BS695" s="55">
        <v>29.22</v>
      </c>
      <c r="BT695" s="55">
        <v>0.01</v>
      </c>
      <c r="BU695" s="57">
        <v>42552</v>
      </c>
      <c r="BV695" s="57">
        <v>42643</v>
      </c>
      <c r="BW695" s="55" t="s">
        <v>94</v>
      </c>
      <c r="BX695" s="55" t="s">
        <v>95</v>
      </c>
      <c r="BY695" s="55" t="s">
        <v>748</v>
      </c>
      <c r="BZ695" s="55">
        <v>1</v>
      </c>
      <c r="CA695" s="55">
        <v>1</v>
      </c>
      <c r="CB695" s="55" t="s">
        <v>303</v>
      </c>
      <c r="CC695" s="55" t="s">
        <v>314</v>
      </c>
      <c r="CD695" s="55">
        <v>1</v>
      </c>
      <c r="CE695" s="55" t="s">
        <v>1462</v>
      </c>
      <c r="CF695" s="55">
        <v>0</v>
      </c>
      <c r="CG695" s="55" t="s">
        <v>97</v>
      </c>
      <c r="CH695" s="55">
        <v>1</v>
      </c>
      <c r="CI695" s="55" t="s">
        <v>1465</v>
      </c>
      <c r="CJ695" s="55" t="s">
        <v>98</v>
      </c>
      <c r="CK695" s="55">
        <v>179</v>
      </c>
      <c r="CL695" s="55">
        <v>0</v>
      </c>
      <c r="CM695" s="55">
        <v>0</v>
      </c>
      <c r="CN695" s="55" t="s">
        <v>124</v>
      </c>
      <c r="CO695" s="55" t="s">
        <v>97</v>
      </c>
      <c r="CP695" s="55" t="s">
        <v>100</v>
      </c>
      <c r="CQ695" s="55" t="s">
        <v>126</v>
      </c>
      <c r="CR695" s="57">
        <v>46233</v>
      </c>
      <c r="CT695" s="55" t="s">
        <v>1536</v>
      </c>
    </row>
    <row r="696" spans="1:98" s="55" customFormat="1" x14ac:dyDescent="0.35">
      <c r="A696" s="54" t="s">
        <v>1459</v>
      </c>
      <c r="B696" s="54" t="s">
        <v>1540</v>
      </c>
      <c r="C696" s="55" t="s">
        <v>1460</v>
      </c>
      <c r="D696" s="55">
        <v>2022</v>
      </c>
      <c r="E696" s="60" t="s">
        <v>1461</v>
      </c>
      <c r="F696" s="54" t="s">
        <v>998</v>
      </c>
      <c r="G696" s="55" t="s">
        <v>78</v>
      </c>
      <c r="H696" s="55">
        <v>1</v>
      </c>
      <c r="I696" s="55" t="s">
        <v>290</v>
      </c>
      <c r="J696" s="55" t="s">
        <v>79</v>
      </c>
      <c r="K696" s="55">
        <v>81</v>
      </c>
      <c r="L696" s="55" t="s">
        <v>104</v>
      </c>
      <c r="M696" s="55" t="s">
        <v>380</v>
      </c>
      <c r="N696" s="55">
        <v>-2.2200000000000001E-2</v>
      </c>
      <c r="O696" s="55">
        <v>7.3000000000000001E-3</v>
      </c>
      <c r="P696" s="88">
        <f t="shared" si="278"/>
        <v>-3.0410958904109591</v>
      </c>
      <c r="Q696" s="55" t="s">
        <v>312</v>
      </c>
      <c r="R696" s="88">
        <f t="shared" si="279"/>
        <v>-3.6507999999999999E-2</v>
      </c>
      <c r="S696" s="88">
        <f t="shared" si="280"/>
        <v>-7.8920000000000014E-3</v>
      </c>
      <c r="T696" s="55">
        <v>1</v>
      </c>
      <c r="U696" s="55">
        <v>66374</v>
      </c>
      <c r="V696" s="55" t="s">
        <v>312</v>
      </c>
      <c r="W696" s="55" t="s">
        <v>312</v>
      </c>
      <c r="X696" s="55">
        <f t="shared" si="289"/>
        <v>66374</v>
      </c>
      <c r="Y696" s="88">
        <f t="shared" si="284"/>
        <v>-1.1803229854216599E-2</v>
      </c>
      <c r="Z696" s="88">
        <f t="shared" si="285"/>
        <v>3.8812422493595118E-3</v>
      </c>
      <c r="AA696" s="88">
        <f t="shared" si="286"/>
        <v>1.1803229854216599E-2</v>
      </c>
      <c r="AB696" s="55" t="s">
        <v>81</v>
      </c>
      <c r="AC696" s="88">
        <f t="shared" si="288"/>
        <v>-0.22524120000000003</v>
      </c>
      <c r="AD696" s="88" cm="1">
        <f t="array" ref="AD696">_xlfn.IFS(
AND(L696="marginal_effect",M696="level"),N696*AN696/BF696,
AND(L696="marginal_effect",M696="sd (Y)"),N696*BI696*AN696/BF696,
AND(L696="marginal_effect",M696="sd (X)"),N696/AQ696*AN696/BF696,
AND(L696="semi_elasticity",M696="level"),N696*AN696,
AND(L696="semi_elasticity",M696="sd (Y)"),N696*AN696*BI696,
AND(L696="semi_elasticity",M696="sd (X)"),N696*AN696/AQ696,
AND(L696="level-log",M696="level"),N696/BF696,
AND(L696="level-log",M696="sd (X)"),N696/BF696/AQ696,
AND(L696="level-log",M696="sd (Y)"),N696/BF696*BI696,
AND(L696="elasticity",M696="level"),N696,
AND(L696="elasticity",M696="sd (X)"),N696/AQ696,
AND(L696="elasticity",M696="sd (Y)"),N696*BI696,
AND(L696="marginal_effect",M696="percent_of_mean"),N696*AN696/BF696/10)</f>
        <v>-0.22524120000000003</v>
      </c>
      <c r="AE696" s="56">
        <f t="shared" si="275"/>
        <v>1</v>
      </c>
      <c r="AF696" s="88">
        <f t="shared" si="281"/>
        <v>7.4065800000000001E-2</v>
      </c>
      <c r="AG696" s="88" cm="1">
        <f t="array" ref="AG696">_xlfn.IFS(
AND(L696="marginal_effect",M696="level"),O696*AN696/BF696,
AND(L696="marginal_effect",M696="sd (Y)"),O696*BI696*AN696/BF696,
AND(L696="marginal_effect",M696="sd (X)"),O696/AQ696*AN696/BF696,
AND(L696="semi_elasticity",M696="level"),O696*AN696,
AND(L696="semi_elasticity",M696="sd (Y)"),O696*AN696*BI696,
AND(L696="semi_elasticity",M696="sd (X)"),O696*AN696/AQ696,
AND(L696="level-log",M696="level"),O696/BF696,
AND(L696="level-log",M696="sd (X)"),O696/BF696/AQ696,
AND(L696="level-log",M696="sd (Y)"),O696/BF696*BI696,
AND(L696="elasticity",M696="level"),O696,
AND(L696="elasticity",M696="sd (X)"),O696/AQ696,
AND(L696="elasticity",M696="sd (Y)"),O696*BI696,
AND(L696="marginal_effect",M696="percent_of_mean"),O696*AN696/BF696/10)</f>
        <v>7.4065800000000001E-2</v>
      </c>
      <c r="AH696" s="56">
        <f t="shared" si="282"/>
        <v>1</v>
      </c>
      <c r="AI696" s="88">
        <f t="shared" si="287"/>
        <v>-0.22524120000000003</v>
      </c>
      <c r="AJ696" s="55">
        <v>0</v>
      </c>
      <c r="AK696" s="55">
        <f t="shared" si="283"/>
        <v>1</v>
      </c>
      <c r="AL696" s="55" t="s">
        <v>148</v>
      </c>
      <c r="AM696" s="55" t="s">
        <v>1466</v>
      </c>
      <c r="AN696" s="55">
        <v>10.146000000000001</v>
      </c>
      <c r="AO696" s="55">
        <v>0</v>
      </c>
      <c r="AP696" s="55">
        <f t="shared" si="277"/>
        <v>101.46000000000001</v>
      </c>
      <c r="AQ696" s="55">
        <v>48.17</v>
      </c>
      <c r="AR696" s="55">
        <v>18</v>
      </c>
      <c r="AS696" s="55">
        <v>300</v>
      </c>
      <c r="AT696" s="55" t="s">
        <v>83</v>
      </c>
      <c r="AU696" s="55" t="s">
        <v>109</v>
      </c>
      <c r="AV696" s="55" t="s">
        <v>133</v>
      </c>
      <c r="AW696" s="55" t="s">
        <v>109</v>
      </c>
      <c r="AX696" s="55" t="s">
        <v>86</v>
      </c>
      <c r="AY696" s="55">
        <v>0</v>
      </c>
      <c r="AZ696" s="55">
        <v>0</v>
      </c>
      <c r="BA696" s="55" t="s">
        <v>87</v>
      </c>
      <c r="BB696" s="55" t="s">
        <v>88</v>
      </c>
      <c r="BC696" s="55" t="s">
        <v>89</v>
      </c>
      <c r="BD696" s="55" t="s">
        <v>90</v>
      </c>
      <c r="BE696" s="55" t="s">
        <v>1458</v>
      </c>
      <c r="BF696" s="55">
        <v>101.57</v>
      </c>
      <c r="BG696" s="55">
        <v>0</v>
      </c>
      <c r="BH696" s="55">
        <v>65.849999999999994</v>
      </c>
      <c r="BI696" s="55">
        <v>5</v>
      </c>
      <c r="BJ696" s="55">
        <v>430</v>
      </c>
      <c r="BK696" s="55" t="s">
        <v>91</v>
      </c>
      <c r="BL696" s="55" t="s">
        <v>84</v>
      </c>
      <c r="BM696" s="55">
        <v>1</v>
      </c>
      <c r="BN696" s="55" t="s">
        <v>428</v>
      </c>
      <c r="BO696" s="60" t="s">
        <v>1463</v>
      </c>
      <c r="BP696" s="55" t="s">
        <v>1464</v>
      </c>
      <c r="BQ696" s="55" t="s">
        <v>117</v>
      </c>
      <c r="BR696" s="55" t="s">
        <v>134</v>
      </c>
      <c r="BS696" s="55">
        <v>29.22</v>
      </c>
      <c r="BT696" s="55">
        <v>0.01</v>
      </c>
      <c r="BU696" s="57">
        <v>42552</v>
      </c>
      <c r="BV696" s="57">
        <v>42643</v>
      </c>
      <c r="BW696" s="55" t="s">
        <v>94</v>
      </c>
      <c r="BX696" s="55" t="s">
        <v>95</v>
      </c>
      <c r="BY696" s="55" t="s">
        <v>748</v>
      </c>
      <c r="BZ696" s="55">
        <v>1</v>
      </c>
      <c r="CA696" s="55">
        <v>1</v>
      </c>
      <c r="CB696" s="55" t="s">
        <v>303</v>
      </c>
      <c r="CC696" s="55" t="s">
        <v>314</v>
      </c>
      <c r="CD696" s="55">
        <v>1</v>
      </c>
      <c r="CE696" s="55" t="s">
        <v>1462</v>
      </c>
      <c r="CF696" s="55">
        <v>0</v>
      </c>
      <c r="CG696" s="55" t="s">
        <v>97</v>
      </c>
      <c r="CH696" s="55">
        <v>1</v>
      </c>
      <c r="CI696" s="55" t="s">
        <v>1465</v>
      </c>
      <c r="CJ696" s="55" t="s">
        <v>98</v>
      </c>
      <c r="CK696" s="55">
        <v>179</v>
      </c>
      <c r="CL696" s="55">
        <v>0</v>
      </c>
      <c r="CM696" s="55">
        <v>0</v>
      </c>
      <c r="CN696" s="55" t="s">
        <v>124</v>
      </c>
      <c r="CO696" s="55" t="s">
        <v>97</v>
      </c>
      <c r="CP696" s="55" t="s">
        <v>100</v>
      </c>
      <c r="CQ696" s="55" t="s">
        <v>126</v>
      </c>
      <c r="CR696" s="57">
        <v>46233</v>
      </c>
      <c r="CT696" s="55" t="s">
        <v>1537</v>
      </c>
    </row>
    <row r="697" spans="1:98" s="55" customFormat="1" x14ac:dyDescent="0.35">
      <c r="A697" s="54" t="s">
        <v>1459</v>
      </c>
      <c r="B697" s="54" t="s">
        <v>1541</v>
      </c>
      <c r="C697" s="55" t="s">
        <v>1460</v>
      </c>
      <c r="D697" s="55">
        <v>2022</v>
      </c>
      <c r="E697" s="60" t="s">
        <v>1461</v>
      </c>
      <c r="F697" s="54" t="s">
        <v>998</v>
      </c>
      <c r="G697" s="55" t="s">
        <v>78</v>
      </c>
      <c r="H697" s="55">
        <v>1</v>
      </c>
      <c r="I697" s="55" t="s">
        <v>290</v>
      </c>
      <c r="J697" s="55" t="s">
        <v>79</v>
      </c>
      <c r="K697" s="55">
        <v>81</v>
      </c>
      <c r="L697" s="55" t="s">
        <v>104</v>
      </c>
      <c r="M697" s="55" t="s">
        <v>380</v>
      </c>
      <c r="N697" s="55">
        <v>-2.0199999999999999E-2</v>
      </c>
      <c r="O697" s="55">
        <v>6.6E-3</v>
      </c>
      <c r="P697" s="88">
        <f t="shared" si="278"/>
        <v>-3.0606060606060606</v>
      </c>
      <c r="Q697" s="55" t="s">
        <v>312</v>
      </c>
      <c r="R697" s="88">
        <f t="shared" si="279"/>
        <v>-3.3135999999999999E-2</v>
      </c>
      <c r="S697" s="88">
        <f t="shared" si="280"/>
        <v>-7.2639999999999996E-3</v>
      </c>
      <c r="T697" s="55">
        <v>1</v>
      </c>
      <c r="U697" s="55">
        <v>66374</v>
      </c>
      <c r="V697" s="55" t="s">
        <v>312</v>
      </c>
      <c r="W697" s="55" t="s">
        <v>312</v>
      </c>
      <c r="X697" s="55">
        <f t="shared" si="289"/>
        <v>66374</v>
      </c>
      <c r="Y697" s="88">
        <f t="shared" si="284"/>
        <v>-1.1878942899805933E-2</v>
      </c>
      <c r="Z697" s="88">
        <f t="shared" si="285"/>
        <v>3.881238769243523E-3</v>
      </c>
      <c r="AA697" s="88">
        <f t="shared" si="286"/>
        <v>1.1878942899805933E-2</v>
      </c>
      <c r="AB697" s="55" t="s">
        <v>81</v>
      </c>
      <c r="AC697" s="88">
        <f t="shared" si="288"/>
        <v>-0.2049492</v>
      </c>
      <c r="AD697" s="88" cm="1">
        <f t="array" ref="AD697">_xlfn.IFS(
AND(L697="marginal_effect",M697="level"),N697*AN697/BF697,
AND(L697="marginal_effect",M697="sd (Y)"),N697*BI697*AN697/BF697,
AND(L697="marginal_effect",M697="sd (X)"),N697/AQ697*AN697/BF697,
AND(L697="semi_elasticity",M697="level"),N697*AN697,
AND(L697="semi_elasticity",M697="sd (Y)"),N697*AN697*BI697,
AND(L697="semi_elasticity",M697="sd (X)"),N697*AN697/AQ697,
AND(L697="level-log",M697="level"),N697/BF697,
AND(L697="level-log",M697="sd (X)"),N697/BF697/AQ697,
AND(L697="level-log",M697="sd (Y)"),N697/BF697*BI697,
AND(L697="elasticity",M697="level"),N697,
AND(L697="elasticity",M697="sd (X)"),N697/AQ697,
AND(L697="elasticity",M697="sd (Y)"),N697*BI697,
AND(L697="marginal_effect",M697="percent_of_mean"),N697*AN697/BF697/10)</f>
        <v>-0.2049492</v>
      </c>
      <c r="AE697" s="56">
        <f t="shared" si="275"/>
        <v>1</v>
      </c>
      <c r="AF697" s="88">
        <f t="shared" si="281"/>
        <v>6.6963599999999998E-2</v>
      </c>
      <c r="AG697" s="88" cm="1">
        <f t="array" ref="AG697">_xlfn.IFS(
AND(L697="marginal_effect",M697="level"),O697*AN697/BF697,
AND(L697="marginal_effect",M697="sd (Y)"),O697*BI697*AN697/BF697,
AND(L697="marginal_effect",M697="sd (X)"),O697/AQ697*AN697/BF697,
AND(L697="semi_elasticity",M697="level"),O697*AN697,
AND(L697="semi_elasticity",M697="sd (Y)"),O697*AN697*BI697,
AND(L697="semi_elasticity",M697="sd (X)"),O697*AN697/AQ697,
AND(L697="level-log",M697="level"),O697/BF697,
AND(L697="level-log",M697="sd (X)"),O697/BF697/AQ697,
AND(L697="level-log",M697="sd (Y)"),O697/BF697*BI697,
AND(L697="elasticity",M697="level"),O697,
AND(L697="elasticity",M697="sd (X)"),O697/AQ697,
AND(L697="elasticity",M697="sd (Y)"),O697*BI697,
AND(L697="marginal_effect",M697="percent_of_mean"),O697*AN697/BF697/10)</f>
        <v>6.6963599999999998E-2</v>
      </c>
      <c r="AH697" s="56">
        <f t="shared" si="282"/>
        <v>1</v>
      </c>
      <c r="AI697" s="88">
        <f t="shared" si="287"/>
        <v>-0.2049492</v>
      </c>
      <c r="AJ697" s="55">
        <v>0</v>
      </c>
      <c r="AK697" s="55">
        <f t="shared" si="283"/>
        <v>1</v>
      </c>
      <c r="AL697" s="55" t="s">
        <v>148</v>
      </c>
      <c r="AM697" s="55" t="s">
        <v>1466</v>
      </c>
      <c r="AN697" s="55">
        <v>10.146000000000001</v>
      </c>
      <c r="AO697" s="55">
        <v>0</v>
      </c>
      <c r="AP697" s="55">
        <f t="shared" si="277"/>
        <v>101.46000000000001</v>
      </c>
      <c r="AQ697" s="55">
        <v>48.17</v>
      </c>
      <c r="AR697" s="55">
        <v>18</v>
      </c>
      <c r="AS697" s="55">
        <v>300</v>
      </c>
      <c r="AT697" s="55" t="s">
        <v>83</v>
      </c>
      <c r="AU697" s="55" t="s">
        <v>109</v>
      </c>
      <c r="AV697" s="55" t="s">
        <v>133</v>
      </c>
      <c r="AW697" s="55" t="s">
        <v>109</v>
      </c>
      <c r="AX697" s="55" t="s">
        <v>86</v>
      </c>
      <c r="AY697" s="55">
        <v>0</v>
      </c>
      <c r="AZ697" s="55">
        <v>0</v>
      </c>
      <c r="BA697" s="55" t="s">
        <v>87</v>
      </c>
      <c r="BB697" s="55" t="s">
        <v>88</v>
      </c>
      <c r="BC697" s="55" t="s">
        <v>89</v>
      </c>
      <c r="BD697" s="55" t="s">
        <v>90</v>
      </c>
      <c r="BE697" s="55" t="s">
        <v>1458</v>
      </c>
      <c r="BF697" s="55">
        <v>101.57</v>
      </c>
      <c r="BG697" s="55">
        <v>0</v>
      </c>
      <c r="BH697" s="55">
        <v>65.849999999999994</v>
      </c>
      <c r="BI697" s="55">
        <v>5</v>
      </c>
      <c r="BJ697" s="55">
        <v>430</v>
      </c>
      <c r="BK697" s="55" t="s">
        <v>91</v>
      </c>
      <c r="BL697" s="55" t="s">
        <v>84</v>
      </c>
      <c r="BM697" s="55">
        <v>1</v>
      </c>
      <c r="BN697" s="55" t="s">
        <v>428</v>
      </c>
      <c r="BO697" s="60" t="s">
        <v>1463</v>
      </c>
      <c r="BP697" s="55" t="s">
        <v>1464</v>
      </c>
      <c r="BQ697" s="55" t="s">
        <v>117</v>
      </c>
      <c r="BR697" s="55" t="s">
        <v>134</v>
      </c>
      <c r="BS697" s="55">
        <v>29.22</v>
      </c>
      <c r="BT697" s="55">
        <v>0.01</v>
      </c>
      <c r="BU697" s="57">
        <v>42552</v>
      </c>
      <c r="BV697" s="57">
        <v>42643</v>
      </c>
      <c r="BW697" s="55" t="s">
        <v>94</v>
      </c>
      <c r="BX697" s="55" t="s">
        <v>95</v>
      </c>
      <c r="BY697" s="55" t="s">
        <v>748</v>
      </c>
      <c r="BZ697" s="55">
        <v>1</v>
      </c>
      <c r="CA697" s="55">
        <v>1</v>
      </c>
      <c r="CB697" s="55" t="s">
        <v>303</v>
      </c>
      <c r="CC697" s="55" t="s">
        <v>314</v>
      </c>
      <c r="CD697" s="55">
        <v>1</v>
      </c>
      <c r="CE697" s="55" t="s">
        <v>1462</v>
      </c>
      <c r="CF697" s="55">
        <v>0</v>
      </c>
      <c r="CG697" s="55" t="s">
        <v>97</v>
      </c>
      <c r="CH697" s="55">
        <v>1</v>
      </c>
      <c r="CI697" s="55" t="s">
        <v>1465</v>
      </c>
      <c r="CJ697" s="55" t="s">
        <v>98</v>
      </c>
      <c r="CK697" s="55">
        <v>179</v>
      </c>
      <c r="CL697" s="55">
        <v>0</v>
      </c>
      <c r="CM697" s="55">
        <v>0</v>
      </c>
      <c r="CN697" s="55" t="s">
        <v>124</v>
      </c>
      <c r="CO697" s="55" t="s">
        <v>97</v>
      </c>
      <c r="CP697" s="55" t="s">
        <v>100</v>
      </c>
      <c r="CQ697" s="55" t="s">
        <v>126</v>
      </c>
      <c r="CR697" s="57">
        <v>46233</v>
      </c>
      <c r="CT697" s="55" t="s">
        <v>1538</v>
      </c>
    </row>
    <row r="698" spans="1:98" s="55" customFormat="1" x14ac:dyDescent="0.35">
      <c r="A698" s="54" t="s">
        <v>1459</v>
      </c>
      <c r="B698" s="54" t="s">
        <v>1545</v>
      </c>
      <c r="C698" s="55" t="s">
        <v>1460</v>
      </c>
      <c r="D698" s="55">
        <v>2022</v>
      </c>
      <c r="E698" s="60" t="s">
        <v>1461</v>
      </c>
      <c r="F698" s="54" t="s">
        <v>998</v>
      </c>
      <c r="G698" s="55" t="s">
        <v>78</v>
      </c>
      <c r="H698" s="55">
        <v>1</v>
      </c>
      <c r="I698" s="55" t="s">
        <v>290</v>
      </c>
      <c r="J698" s="55" t="s">
        <v>79</v>
      </c>
      <c r="K698" s="55">
        <v>81</v>
      </c>
      <c r="L698" s="55" t="s">
        <v>104</v>
      </c>
      <c r="M698" s="55" t="s">
        <v>380</v>
      </c>
      <c r="N698" s="55">
        <v>-2.0999999999999999E-3</v>
      </c>
      <c r="O698" s="55">
        <v>1.5E-3</v>
      </c>
      <c r="P698" s="88">
        <f t="shared" si="278"/>
        <v>-1.4</v>
      </c>
      <c r="Q698" s="55" t="s">
        <v>312</v>
      </c>
      <c r="R698" s="88">
        <f t="shared" si="279"/>
        <v>-5.0399999999999993E-3</v>
      </c>
      <c r="S698" s="88">
        <f t="shared" si="280"/>
        <v>8.4000000000000003E-4</v>
      </c>
      <c r="T698" s="55">
        <v>1</v>
      </c>
      <c r="U698" s="55">
        <v>66374</v>
      </c>
      <c r="V698" s="55" t="s">
        <v>312</v>
      </c>
      <c r="W698" s="55" t="s">
        <v>312</v>
      </c>
      <c r="X698" s="55">
        <f t="shared" si="289"/>
        <v>66374</v>
      </c>
      <c r="Y698" s="88">
        <f t="shared" si="284"/>
        <v>-5.4340374607174547E-3</v>
      </c>
      <c r="Z698" s="88">
        <f t="shared" si="285"/>
        <v>3.8814553290838967E-3</v>
      </c>
      <c r="AA698" s="88">
        <f t="shared" si="286"/>
        <v>5.4340374607174547E-3</v>
      </c>
      <c r="AB698" s="55" t="s">
        <v>81</v>
      </c>
      <c r="AC698" s="88">
        <f t="shared" si="288"/>
        <v>-2.1306600000000002E-2</v>
      </c>
      <c r="AD698" s="88" cm="1">
        <f t="array" ref="AD698">_xlfn.IFS(
AND(L698="marginal_effect",M698="level"),N698*AN698/BF698,
AND(L698="marginal_effect",M698="sd (Y)"),N698*BI698*AN698/BF698,
AND(L698="marginal_effect",M698="sd (X)"),N698/AQ698*AN698/BF698,
AND(L698="semi_elasticity",M698="level"),N698*AN698,
AND(L698="semi_elasticity",M698="sd (Y)"),N698*AN698*BI698,
AND(L698="semi_elasticity",M698="sd (X)"),N698*AN698/AQ698,
AND(L698="level-log",M698="level"),N698/BF698,
AND(L698="level-log",M698="sd (X)"),N698/BF698/AQ698,
AND(L698="level-log",M698="sd (Y)"),N698/BF698*BI698,
AND(L698="elasticity",M698="level"),N698,
AND(L698="elasticity",M698="sd (X)"),N698/AQ698,
AND(L698="elasticity",M698="sd (Y)"),N698*BI698,
AND(L698="marginal_effect",M698="percent_of_mean"),N698*AN698/BF698/10)</f>
        <v>-2.1306600000000002E-2</v>
      </c>
      <c r="AE698" s="56">
        <f t="shared" si="275"/>
        <v>1</v>
      </c>
      <c r="AF698" s="88">
        <f t="shared" si="281"/>
        <v>1.5219000000000002E-2</v>
      </c>
      <c r="AG698" s="88" cm="1">
        <f t="array" ref="AG698">_xlfn.IFS(
AND(L698="marginal_effect",M698="level"),O698*AN698/BF698,
AND(L698="marginal_effect",M698="sd (Y)"),O698*BI698*AN698/BF698,
AND(L698="marginal_effect",M698="sd (X)"),O698/AQ698*AN698/BF698,
AND(L698="semi_elasticity",M698="level"),O698*AN698,
AND(L698="semi_elasticity",M698="sd (Y)"),O698*AN698*BI698,
AND(L698="semi_elasticity",M698="sd (X)"),O698*AN698/AQ698,
AND(L698="level-log",M698="level"),O698/BF698,
AND(L698="level-log",M698="sd (X)"),O698/BF698/AQ698,
AND(L698="level-log",M698="sd (Y)"),O698/BF698*BI698,
AND(L698="elasticity",M698="level"),O698,
AND(L698="elasticity",M698="sd (X)"),O698/AQ698,
AND(L698="elasticity",M698="sd (Y)"),O698*BI698,
AND(L698="marginal_effect",M698="percent_of_mean"),O698*AN698/BF698/10)</f>
        <v>1.5219000000000002E-2</v>
      </c>
      <c r="AH698" s="56">
        <f t="shared" si="282"/>
        <v>1</v>
      </c>
      <c r="AI698" s="88">
        <f t="shared" si="287"/>
        <v>-2.1306600000000002E-2</v>
      </c>
      <c r="AJ698" s="55">
        <v>0</v>
      </c>
      <c r="AK698" s="55">
        <f t="shared" si="283"/>
        <v>1</v>
      </c>
      <c r="AL698" s="55" t="s">
        <v>148</v>
      </c>
      <c r="AM698" s="55" t="s">
        <v>1466</v>
      </c>
      <c r="AN698" s="55">
        <v>10.146000000000001</v>
      </c>
      <c r="AO698" s="55">
        <v>0</v>
      </c>
      <c r="AP698" s="55">
        <f t="shared" si="277"/>
        <v>101.46000000000001</v>
      </c>
      <c r="AQ698" s="55">
        <v>48.17</v>
      </c>
      <c r="AR698" s="55">
        <v>18</v>
      </c>
      <c r="AS698" s="55">
        <v>300</v>
      </c>
      <c r="AT698" s="55" t="s">
        <v>83</v>
      </c>
      <c r="AU698" s="55" t="s">
        <v>109</v>
      </c>
      <c r="AV698" s="55" t="s">
        <v>133</v>
      </c>
      <c r="AW698" s="55" t="s">
        <v>109</v>
      </c>
      <c r="AX698" s="55" t="s">
        <v>86</v>
      </c>
      <c r="AY698" s="55">
        <v>0</v>
      </c>
      <c r="AZ698" s="55">
        <v>0</v>
      </c>
      <c r="BA698" s="55" t="s">
        <v>87</v>
      </c>
      <c r="BB698" s="55" t="s">
        <v>88</v>
      </c>
      <c r="BC698" s="55" t="s">
        <v>89</v>
      </c>
      <c r="BD698" s="55" t="s">
        <v>90</v>
      </c>
      <c r="BE698" s="55" t="s">
        <v>1458</v>
      </c>
      <c r="BF698" s="55">
        <v>101.57</v>
      </c>
      <c r="BG698" s="55">
        <v>0</v>
      </c>
      <c r="BH698" s="55">
        <v>65.849999999999994</v>
      </c>
      <c r="BI698" s="55">
        <v>5</v>
      </c>
      <c r="BJ698" s="55">
        <v>430</v>
      </c>
      <c r="BK698" s="55" t="s">
        <v>91</v>
      </c>
      <c r="BL698" s="55" t="s">
        <v>84</v>
      </c>
      <c r="BM698" s="55">
        <v>1</v>
      </c>
      <c r="BN698" s="55" t="s">
        <v>428</v>
      </c>
      <c r="BO698" s="60" t="s">
        <v>1463</v>
      </c>
      <c r="BP698" s="55" t="s">
        <v>1464</v>
      </c>
      <c r="BQ698" s="55" t="s">
        <v>117</v>
      </c>
      <c r="BR698" s="55" t="s">
        <v>134</v>
      </c>
      <c r="BS698" s="55">
        <v>29.22</v>
      </c>
      <c r="BT698" s="55">
        <v>0.01</v>
      </c>
      <c r="BU698" s="57">
        <v>42552</v>
      </c>
      <c r="BV698" s="57">
        <v>42643</v>
      </c>
      <c r="BW698" s="55" t="s">
        <v>94</v>
      </c>
      <c r="BX698" s="55" t="s">
        <v>95</v>
      </c>
      <c r="BY698" s="55" t="s">
        <v>96</v>
      </c>
      <c r="BZ698" s="55">
        <v>0</v>
      </c>
      <c r="CA698" s="55">
        <v>0</v>
      </c>
      <c r="CB698" s="55" t="s">
        <v>97</v>
      </c>
      <c r="CC698" s="55" t="s">
        <v>314</v>
      </c>
      <c r="CD698" s="55">
        <v>0</v>
      </c>
      <c r="CE698" s="55" t="s">
        <v>97</v>
      </c>
      <c r="CF698" s="55">
        <v>0</v>
      </c>
      <c r="CG698" s="55" t="s">
        <v>97</v>
      </c>
      <c r="CH698" s="55">
        <v>1</v>
      </c>
      <c r="CI698" s="55" t="s">
        <v>1465</v>
      </c>
      <c r="CJ698" s="55" t="s">
        <v>98</v>
      </c>
      <c r="CK698" s="55">
        <v>179</v>
      </c>
      <c r="CL698" s="55">
        <v>0</v>
      </c>
      <c r="CM698" s="55">
        <v>0</v>
      </c>
      <c r="CN698" s="55" t="s">
        <v>124</v>
      </c>
      <c r="CO698" s="55" t="s">
        <v>97</v>
      </c>
      <c r="CP698" s="55" t="s">
        <v>100</v>
      </c>
      <c r="CQ698" s="55" t="s">
        <v>126</v>
      </c>
      <c r="CR698" s="57">
        <v>46233</v>
      </c>
      <c r="CT698" s="55" t="s">
        <v>1547</v>
      </c>
    </row>
    <row r="699" spans="1:98" s="55" customFormat="1" x14ac:dyDescent="0.35">
      <c r="A699" s="54" t="s">
        <v>1459</v>
      </c>
      <c r="B699" s="54" t="s">
        <v>1546</v>
      </c>
      <c r="C699" s="55" t="s">
        <v>1460</v>
      </c>
      <c r="D699" s="55">
        <v>2022</v>
      </c>
      <c r="E699" s="60" t="s">
        <v>1461</v>
      </c>
      <c r="F699" s="54" t="s">
        <v>998</v>
      </c>
      <c r="G699" s="55" t="s">
        <v>78</v>
      </c>
      <c r="H699" s="55">
        <v>1</v>
      </c>
      <c r="I699" s="55" t="s">
        <v>290</v>
      </c>
      <c r="J699" s="55" t="s">
        <v>79</v>
      </c>
      <c r="K699" s="55">
        <v>81</v>
      </c>
      <c r="L699" s="55" t="s">
        <v>104</v>
      </c>
      <c r="M699" s="55" t="s">
        <v>380</v>
      </c>
      <c r="N699" s="55">
        <v>-1.5699999999999999E-2</v>
      </c>
      <c r="O699" s="55">
        <v>4.4999999999999997E-3</v>
      </c>
      <c r="P699" s="88">
        <f t="shared" si="278"/>
        <v>-3.4888888888888889</v>
      </c>
      <c r="Q699" s="55" t="s">
        <v>312</v>
      </c>
      <c r="R699" s="88">
        <f t="shared" si="279"/>
        <v>-2.452E-2</v>
      </c>
      <c r="S699" s="88">
        <f t="shared" si="280"/>
        <v>-6.879999999999999E-3</v>
      </c>
      <c r="T699" s="55">
        <v>1</v>
      </c>
      <c r="U699" s="55">
        <v>66374</v>
      </c>
      <c r="V699" s="55" t="s">
        <v>312</v>
      </c>
      <c r="W699" s="55" t="s">
        <v>312</v>
      </c>
      <c r="X699" s="55">
        <f t="shared" si="289"/>
        <v>66374</v>
      </c>
      <c r="Y699" s="88">
        <f t="shared" si="284"/>
        <v>-1.354092473355578E-2</v>
      </c>
      <c r="Z699" s="88">
        <f t="shared" si="285"/>
        <v>3.8811567707643956E-3</v>
      </c>
      <c r="AA699" s="88">
        <f t="shared" si="286"/>
        <v>1.354092473355578E-2</v>
      </c>
      <c r="AB699" s="55" t="s">
        <v>81</v>
      </c>
      <c r="AC699" s="88">
        <f t="shared" si="288"/>
        <v>-0.15929219999999999</v>
      </c>
      <c r="AD699" s="88" cm="1">
        <f t="array" ref="AD699">_xlfn.IFS(
AND(L699="marginal_effect",M699="level"),N699*AN699/BF699,
AND(L699="marginal_effect",M699="sd (Y)"),N699*BI699*AN699/BF699,
AND(L699="marginal_effect",M699="sd (X)"),N699/AQ699*AN699/BF699,
AND(L699="semi_elasticity",M699="level"),N699*AN699,
AND(L699="semi_elasticity",M699="sd (Y)"),N699*AN699*BI699,
AND(L699="semi_elasticity",M699="sd (X)"),N699*AN699/AQ699,
AND(L699="level-log",M699="level"),N699/BF699,
AND(L699="level-log",M699="sd (X)"),N699/BF699/AQ699,
AND(L699="level-log",M699="sd (Y)"),N699/BF699*BI699,
AND(L699="elasticity",M699="level"),N699,
AND(L699="elasticity",M699="sd (X)"),N699/AQ699,
AND(L699="elasticity",M699="sd (Y)"),N699*BI699,
AND(L699="marginal_effect",M699="percent_of_mean"),N699*AN699/BF699/10)</f>
        <v>-0.15929219999999999</v>
      </c>
      <c r="AE699" s="56">
        <f t="shared" si="275"/>
        <v>1</v>
      </c>
      <c r="AF699" s="88">
        <f t="shared" si="281"/>
        <v>4.5657000000000003E-2</v>
      </c>
      <c r="AG699" s="88" cm="1">
        <f t="array" ref="AG699">_xlfn.IFS(
AND(L699="marginal_effect",M699="level"),O699*AN699/BF699,
AND(L699="marginal_effect",M699="sd (Y)"),O699*BI699*AN699/BF699,
AND(L699="marginal_effect",M699="sd (X)"),O699/AQ699*AN699/BF699,
AND(L699="semi_elasticity",M699="level"),O699*AN699,
AND(L699="semi_elasticity",M699="sd (Y)"),O699*AN699*BI699,
AND(L699="semi_elasticity",M699="sd (X)"),O699*AN699/AQ699,
AND(L699="level-log",M699="level"),O699/BF699,
AND(L699="level-log",M699="sd (X)"),O699/BF699/AQ699,
AND(L699="level-log",M699="sd (Y)"),O699/BF699*BI699,
AND(L699="elasticity",M699="level"),O699,
AND(L699="elasticity",M699="sd (X)"),O699/AQ699,
AND(L699="elasticity",M699="sd (Y)"),O699*BI699,
AND(L699="marginal_effect",M699="percent_of_mean"),O699*AN699/BF699/10)</f>
        <v>4.5657000000000003E-2</v>
      </c>
      <c r="AH699" s="56">
        <f t="shared" si="282"/>
        <v>1</v>
      </c>
      <c r="AI699" s="88">
        <f t="shared" si="287"/>
        <v>-0.15929219999999999</v>
      </c>
      <c r="AJ699" s="55">
        <v>0</v>
      </c>
      <c r="AK699" s="55">
        <f t="shared" si="283"/>
        <v>1</v>
      </c>
      <c r="AL699" s="55" t="s">
        <v>148</v>
      </c>
      <c r="AM699" s="55" t="s">
        <v>1466</v>
      </c>
      <c r="AN699" s="55">
        <v>10.146000000000001</v>
      </c>
      <c r="AO699" s="55">
        <v>0</v>
      </c>
      <c r="AP699" s="55">
        <f t="shared" si="277"/>
        <v>101.46000000000001</v>
      </c>
      <c r="AQ699" s="55">
        <v>48.17</v>
      </c>
      <c r="AR699" s="55">
        <v>18</v>
      </c>
      <c r="AS699" s="55">
        <v>300</v>
      </c>
      <c r="AT699" s="55" t="s">
        <v>83</v>
      </c>
      <c r="AU699" s="55" t="s">
        <v>109</v>
      </c>
      <c r="AV699" s="55" t="s">
        <v>133</v>
      </c>
      <c r="AW699" s="55" t="s">
        <v>109</v>
      </c>
      <c r="AX699" s="55" t="s">
        <v>86</v>
      </c>
      <c r="AY699" s="55">
        <v>0</v>
      </c>
      <c r="AZ699" s="55">
        <v>0</v>
      </c>
      <c r="BA699" s="55" t="s">
        <v>87</v>
      </c>
      <c r="BB699" s="55" t="s">
        <v>88</v>
      </c>
      <c r="BC699" s="55" t="s">
        <v>89</v>
      </c>
      <c r="BD699" s="55" t="s">
        <v>90</v>
      </c>
      <c r="BE699" s="55" t="s">
        <v>1458</v>
      </c>
      <c r="BF699" s="55">
        <v>101.57</v>
      </c>
      <c r="BG699" s="55">
        <v>0</v>
      </c>
      <c r="BH699" s="55">
        <v>65.849999999999994</v>
      </c>
      <c r="BI699" s="55">
        <v>5</v>
      </c>
      <c r="BJ699" s="55">
        <v>430</v>
      </c>
      <c r="BK699" s="55" t="s">
        <v>91</v>
      </c>
      <c r="BL699" s="55" t="s">
        <v>84</v>
      </c>
      <c r="BM699" s="55">
        <v>1</v>
      </c>
      <c r="BN699" s="55" t="s">
        <v>428</v>
      </c>
      <c r="BO699" s="60" t="s">
        <v>1463</v>
      </c>
      <c r="BP699" s="55" t="s">
        <v>1464</v>
      </c>
      <c r="BQ699" s="55" t="s">
        <v>117</v>
      </c>
      <c r="BR699" s="55" t="s">
        <v>134</v>
      </c>
      <c r="BS699" s="55">
        <v>29.22</v>
      </c>
      <c r="BT699" s="55">
        <v>0.01</v>
      </c>
      <c r="BU699" s="57">
        <v>42552</v>
      </c>
      <c r="BV699" s="57">
        <v>42643</v>
      </c>
      <c r="BW699" s="55" t="s">
        <v>94</v>
      </c>
      <c r="BX699" s="55" t="s">
        <v>95</v>
      </c>
      <c r="BY699" s="55" t="s">
        <v>748</v>
      </c>
      <c r="BZ699" s="55">
        <v>1</v>
      </c>
      <c r="CA699" s="55">
        <v>0</v>
      </c>
      <c r="CB699" s="55" t="s">
        <v>97</v>
      </c>
      <c r="CC699" s="55" t="s">
        <v>314</v>
      </c>
      <c r="CD699" s="55">
        <v>0</v>
      </c>
      <c r="CE699" s="55" t="s">
        <v>97</v>
      </c>
      <c r="CF699" s="55">
        <v>0</v>
      </c>
      <c r="CG699" s="55" t="s">
        <v>97</v>
      </c>
      <c r="CH699" s="55">
        <v>1</v>
      </c>
      <c r="CI699" s="55" t="s">
        <v>1465</v>
      </c>
      <c r="CJ699" s="55" t="s">
        <v>98</v>
      </c>
      <c r="CK699" s="55">
        <v>179</v>
      </c>
      <c r="CL699" s="55">
        <v>0</v>
      </c>
      <c r="CM699" s="55">
        <v>0</v>
      </c>
      <c r="CN699" s="55" t="s">
        <v>124</v>
      </c>
      <c r="CO699" s="55" t="s">
        <v>97</v>
      </c>
      <c r="CP699" s="55" t="s">
        <v>100</v>
      </c>
      <c r="CQ699" s="55" t="s">
        <v>126</v>
      </c>
      <c r="CR699" s="57">
        <v>46233</v>
      </c>
      <c r="CT699" s="55" t="s">
        <v>1549</v>
      </c>
    </row>
    <row r="700" spans="1:98" s="55" customFormat="1" x14ac:dyDescent="0.35">
      <c r="A700" s="54" t="s">
        <v>1459</v>
      </c>
      <c r="B700" s="54" t="s">
        <v>1550</v>
      </c>
      <c r="C700" s="55" t="s">
        <v>1460</v>
      </c>
      <c r="D700" s="55">
        <v>2022</v>
      </c>
      <c r="E700" s="60" t="s">
        <v>1461</v>
      </c>
      <c r="F700" s="54" t="s">
        <v>998</v>
      </c>
      <c r="G700" s="55" t="s">
        <v>78</v>
      </c>
      <c r="H700" s="55">
        <v>1</v>
      </c>
      <c r="I700" s="55" t="s">
        <v>290</v>
      </c>
      <c r="J700" s="55" t="s">
        <v>79</v>
      </c>
      <c r="K700" s="55">
        <v>81</v>
      </c>
      <c r="L700" s="55" t="s">
        <v>104</v>
      </c>
      <c r="M700" s="55" t="s">
        <v>380</v>
      </c>
      <c r="N700" s="55">
        <v>-1.2E-2</v>
      </c>
      <c r="O700" s="55">
        <v>3.5999999999999999E-3</v>
      </c>
      <c r="P700" s="88">
        <f t="shared" si="278"/>
        <v>-3.3333333333333335</v>
      </c>
      <c r="Q700" s="55" t="s">
        <v>312</v>
      </c>
      <c r="R700" s="88">
        <f t="shared" si="279"/>
        <v>-1.9056E-2</v>
      </c>
      <c r="S700" s="88">
        <f t="shared" si="280"/>
        <v>-4.9440000000000005E-3</v>
      </c>
      <c r="T700" s="55">
        <v>1</v>
      </c>
      <c r="U700" s="55">
        <v>66374</v>
      </c>
      <c r="V700" s="55" t="s">
        <v>312</v>
      </c>
      <c r="W700" s="55" t="s">
        <v>312</v>
      </c>
      <c r="X700" s="55">
        <f t="shared" si="289"/>
        <v>66374</v>
      </c>
      <c r="Y700" s="88">
        <f t="shared" si="284"/>
        <v>-1.2937292642634202E-2</v>
      </c>
      <c r="Z700" s="88">
        <f t="shared" si="285"/>
        <v>3.8811877927902604E-3</v>
      </c>
      <c r="AA700" s="88">
        <f t="shared" si="286"/>
        <v>1.2937292642634202E-2</v>
      </c>
      <c r="AB700" s="55" t="s">
        <v>81</v>
      </c>
      <c r="AC700" s="88">
        <f t="shared" si="288"/>
        <v>-0.12175200000000001</v>
      </c>
      <c r="AD700" s="88" cm="1">
        <f t="array" ref="AD700">_xlfn.IFS(
AND(L700="marginal_effect",M700="level"),N700*AN700/BF700,
AND(L700="marginal_effect",M700="sd (Y)"),N700*BI700*AN700/BF700,
AND(L700="marginal_effect",M700="sd (X)"),N700/AQ700*AN700/BF700,
AND(L700="semi_elasticity",M700="level"),N700*AN700,
AND(L700="semi_elasticity",M700="sd (Y)"),N700*AN700*BI700,
AND(L700="semi_elasticity",M700="sd (X)"),N700*AN700/AQ700,
AND(L700="level-log",M700="level"),N700/BF700,
AND(L700="level-log",M700="sd (X)"),N700/BF700/AQ700,
AND(L700="level-log",M700="sd (Y)"),N700/BF700*BI700,
AND(L700="elasticity",M700="level"),N700,
AND(L700="elasticity",M700="sd (X)"),N700/AQ700,
AND(L700="elasticity",M700="sd (Y)"),N700*BI700,
AND(L700="marginal_effect",M700="percent_of_mean"),N700*AN700/BF700/10)</f>
        <v>-0.12175200000000001</v>
      </c>
      <c r="AE700" s="56">
        <f t="shared" si="275"/>
        <v>1</v>
      </c>
      <c r="AF700" s="88">
        <f t="shared" si="281"/>
        <v>3.6525600000000005E-2</v>
      </c>
      <c r="AG700" s="88" cm="1">
        <f t="array" ref="AG700">_xlfn.IFS(
AND(L700="marginal_effect",M700="level"),O700*AN700/BF700,
AND(L700="marginal_effect",M700="sd (Y)"),O700*BI700*AN700/BF700,
AND(L700="marginal_effect",M700="sd (X)"),O700/AQ700*AN700/BF700,
AND(L700="semi_elasticity",M700="level"),O700*AN700,
AND(L700="semi_elasticity",M700="sd (Y)"),O700*AN700*BI700,
AND(L700="semi_elasticity",M700="sd (X)"),O700*AN700/AQ700,
AND(L700="level-log",M700="level"),O700/BF700,
AND(L700="level-log",M700="sd (X)"),O700/BF700/AQ700,
AND(L700="level-log",M700="sd (Y)"),O700/BF700*BI700,
AND(L700="elasticity",M700="level"),O700,
AND(L700="elasticity",M700="sd (X)"),O700/AQ700,
AND(L700="elasticity",M700="sd (Y)"),O700*BI700,
AND(L700="marginal_effect",M700="percent_of_mean"),O700*AN700/BF700/10)</f>
        <v>3.6525600000000005E-2</v>
      </c>
      <c r="AH700" s="56">
        <f t="shared" si="282"/>
        <v>1</v>
      </c>
      <c r="AI700" s="88">
        <f t="shared" si="287"/>
        <v>-0.12175200000000001</v>
      </c>
      <c r="AJ700" s="55">
        <v>0</v>
      </c>
      <c r="AK700" s="55">
        <f t="shared" si="283"/>
        <v>1</v>
      </c>
      <c r="AL700" s="55" t="s">
        <v>148</v>
      </c>
      <c r="AM700" s="55" t="s">
        <v>1466</v>
      </c>
      <c r="AN700" s="55">
        <v>10.146000000000001</v>
      </c>
      <c r="AO700" s="55">
        <v>0</v>
      </c>
      <c r="AP700" s="55">
        <f t="shared" si="277"/>
        <v>101.46000000000001</v>
      </c>
      <c r="AQ700" s="55">
        <v>48.17</v>
      </c>
      <c r="AR700" s="55">
        <v>18</v>
      </c>
      <c r="AS700" s="55">
        <v>300</v>
      </c>
      <c r="AT700" s="55" t="s">
        <v>83</v>
      </c>
      <c r="AU700" s="55" t="s">
        <v>109</v>
      </c>
      <c r="AV700" s="55" t="s">
        <v>133</v>
      </c>
      <c r="AW700" s="55" t="s">
        <v>109</v>
      </c>
      <c r="AX700" s="55" t="s">
        <v>86</v>
      </c>
      <c r="AY700" s="55">
        <v>0</v>
      </c>
      <c r="AZ700" s="55">
        <v>0</v>
      </c>
      <c r="BA700" s="55" t="s">
        <v>87</v>
      </c>
      <c r="BB700" s="55" t="s">
        <v>88</v>
      </c>
      <c r="BC700" s="55" t="s">
        <v>89</v>
      </c>
      <c r="BD700" s="55" t="s">
        <v>90</v>
      </c>
      <c r="BE700" s="55" t="s">
        <v>1458</v>
      </c>
      <c r="BF700" s="55">
        <v>101.57</v>
      </c>
      <c r="BG700" s="55">
        <v>0</v>
      </c>
      <c r="BH700" s="55">
        <v>65.849999999999994</v>
      </c>
      <c r="BI700" s="55">
        <v>5</v>
      </c>
      <c r="BJ700" s="55">
        <v>430</v>
      </c>
      <c r="BK700" s="55" t="s">
        <v>91</v>
      </c>
      <c r="BL700" s="55" t="s">
        <v>84</v>
      </c>
      <c r="BM700" s="55">
        <v>1</v>
      </c>
      <c r="BN700" s="55" t="s">
        <v>428</v>
      </c>
      <c r="BO700" s="60" t="s">
        <v>1463</v>
      </c>
      <c r="BP700" s="55" t="s">
        <v>1464</v>
      </c>
      <c r="BQ700" s="55" t="s">
        <v>117</v>
      </c>
      <c r="BR700" s="55" t="s">
        <v>134</v>
      </c>
      <c r="BS700" s="55">
        <v>29.22</v>
      </c>
      <c r="BT700" s="55">
        <v>0.01</v>
      </c>
      <c r="BU700" s="57">
        <v>42552</v>
      </c>
      <c r="BV700" s="57">
        <v>42643</v>
      </c>
      <c r="BW700" s="55" t="s">
        <v>94</v>
      </c>
      <c r="BX700" s="55" t="s">
        <v>95</v>
      </c>
      <c r="BY700" s="55" t="s">
        <v>748</v>
      </c>
      <c r="BZ700" s="55">
        <v>1</v>
      </c>
      <c r="CA700" s="55">
        <v>1</v>
      </c>
      <c r="CB700" s="55" t="s">
        <v>303</v>
      </c>
      <c r="CC700" s="55" t="s">
        <v>314</v>
      </c>
      <c r="CD700" s="55">
        <v>1</v>
      </c>
      <c r="CE700" s="55" t="s">
        <v>1462</v>
      </c>
      <c r="CF700" s="55">
        <v>0</v>
      </c>
      <c r="CG700" s="55" t="s">
        <v>97</v>
      </c>
      <c r="CH700" s="55">
        <v>1</v>
      </c>
      <c r="CI700" s="55" t="s">
        <v>1465</v>
      </c>
      <c r="CJ700" s="55" t="s">
        <v>98</v>
      </c>
      <c r="CK700" s="55">
        <v>179</v>
      </c>
      <c r="CL700" s="55">
        <v>0</v>
      </c>
      <c r="CM700" s="55">
        <v>0</v>
      </c>
      <c r="CN700" s="55" t="s">
        <v>124</v>
      </c>
      <c r="CO700" s="55" t="s">
        <v>97</v>
      </c>
      <c r="CP700" s="55" t="s">
        <v>100</v>
      </c>
      <c r="CQ700" s="55" t="s">
        <v>126</v>
      </c>
      <c r="CR700" s="57">
        <v>46233</v>
      </c>
      <c r="CT700" s="55" t="s">
        <v>1556</v>
      </c>
    </row>
    <row r="701" spans="1:98" s="55" customFormat="1" x14ac:dyDescent="0.35">
      <c r="A701" s="54" t="s">
        <v>1459</v>
      </c>
      <c r="B701" s="54" t="s">
        <v>1551</v>
      </c>
      <c r="C701" s="55" t="s">
        <v>1460</v>
      </c>
      <c r="D701" s="55">
        <v>2022</v>
      </c>
      <c r="E701" s="60" t="s">
        <v>1461</v>
      </c>
      <c r="F701" s="54" t="s">
        <v>998</v>
      </c>
      <c r="G701" s="55" t="s">
        <v>78</v>
      </c>
      <c r="H701" s="55">
        <v>1</v>
      </c>
      <c r="I701" s="55" t="s">
        <v>290</v>
      </c>
      <c r="J701" s="55" t="s">
        <v>79</v>
      </c>
      <c r="K701" s="55">
        <v>81</v>
      </c>
      <c r="L701" s="55" t="s">
        <v>104</v>
      </c>
      <c r="M701" s="55" t="s">
        <v>380</v>
      </c>
      <c r="N701" s="55">
        <v>-1.4200000000000001E-2</v>
      </c>
      <c r="O701" s="55">
        <v>3.5999999999999999E-3</v>
      </c>
      <c r="P701" s="88">
        <f t="shared" si="278"/>
        <v>-3.9444444444444446</v>
      </c>
      <c r="Q701" s="55" t="s">
        <v>312</v>
      </c>
      <c r="R701" s="88">
        <f t="shared" si="279"/>
        <v>-2.1256000000000001E-2</v>
      </c>
      <c r="S701" s="88">
        <f t="shared" si="280"/>
        <v>-7.144000000000001E-3</v>
      </c>
      <c r="T701" s="55">
        <v>1</v>
      </c>
      <c r="U701" s="55">
        <v>66374</v>
      </c>
      <c r="V701" s="55" t="s">
        <v>312</v>
      </c>
      <c r="W701" s="55" t="s">
        <v>312</v>
      </c>
      <c r="X701" s="55">
        <f t="shared" si="289"/>
        <v>66374</v>
      </c>
      <c r="Y701" s="88">
        <f t="shared" si="284"/>
        <v>-1.5308616828355732E-2</v>
      </c>
      <c r="Z701" s="88">
        <f t="shared" si="285"/>
        <v>3.8810577874704671E-3</v>
      </c>
      <c r="AA701" s="88">
        <f t="shared" si="286"/>
        <v>1.5308616828355732E-2</v>
      </c>
      <c r="AB701" s="55" t="s">
        <v>81</v>
      </c>
      <c r="AC701" s="88">
        <f t="shared" si="288"/>
        <v>-0.14407320000000001</v>
      </c>
      <c r="AD701" s="88" cm="1">
        <f t="array" ref="AD701">_xlfn.IFS(
AND(L701="marginal_effect",M701="level"),N701*AN701/BF701,
AND(L701="marginal_effect",M701="sd (Y)"),N701*BI701*AN701/BF701,
AND(L701="marginal_effect",M701="sd (X)"),N701/AQ701*AN701/BF701,
AND(L701="semi_elasticity",M701="level"),N701*AN701,
AND(L701="semi_elasticity",M701="sd (Y)"),N701*AN701*BI701,
AND(L701="semi_elasticity",M701="sd (X)"),N701*AN701/AQ701,
AND(L701="level-log",M701="level"),N701/BF701,
AND(L701="level-log",M701="sd (X)"),N701/BF701/AQ701,
AND(L701="level-log",M701="sd (Y)"),N701/BF701*BI701,
AND(L701="elasticity",M701="level"),N701,
AND(L701="elasticity",M701="sd (X)"),N701/AQ701,
AND(L701="elasticity",M701="sd (Y)"),N701*BI701,
AND(L701="marginal_effect",M701="percent_of_mean"),N701*AN701/BF701/10)</f>
        <v>-0.14407320000000001</v>
      </c>
      <c r="AE701" s="56">
        <f t="shared" si="275"/>
        <v>1</v>
      </c>
      <c r="AF701" s="88">
        <f t="shared" si="281"/>
        <v>3.6525600000000005E-2</v>
      </c>
      <c r="AG701" s="88" cm="1">
        <f t="array" ref="AG701">_xlfn.IFS(
AND(L701="marginal_effect",M701="level"),O701*AN701/BF701,
AND(L701="marginal_effect",M701="sd (Y)"),O701*BI701*AN701/BF701,
AND(L701="marginal_effect",M701="sd (X)"),O701/AQ701*AN701/BF701,
AND(L701="semi_elasticity",M701="level"),O701*AN701,
AND(L701="semi_elasticity",M701="sd (Y)"),O701*AN701*BI701,
AND(L701="semi_elasticity",M701="sd (X)"),O701*AN701/AQ701,
AND(L701="level-log",M701="level"),O701/BF701,
AND(L701="level-log",M701="sd (X)"),O701/BF701/AQ701,
AND(L701="level-log",M701="sd (Y)"),O701/BF701*BI701,
AND(L701="elasticity",M701="level"),O701,
AND(L701="elasticity",M701="sd (X)"),O701/AQ701,
AND(L701="elasticity",M701="sd (Y)"),O701*BI701,
AND(L701="marginal_effect",M701="percent_of_mean"),O701*AN701/BF701/10)</f>
        <v>3.6525600000000005E-2</v>
      </c>
      <c r="AH701" s="56">
        <f t="shared" si="282"/>
        <v>1</v>
      </c>
      <c r="AI701" s="88">
        <f t="shared" si="287"/>
        <v>-0.14407320000000001</v>
      </c>
      <c r="AJ701" s="55">
        <v>0</v>
      </c>
      <c r="AK701" s="55">
        <f t="shared" si="283"/>
        <v>1</v>
      </c>
      <c r="AL701" s="55" t="s">
        <v>148</v>
      </c>
      <c r="AM701" s="55" t="s">
        <v>1466</v>
      </c>
      <c r="AN701" s="55">
        <v>10.146000000000001</v>
      </c>
      <c r="AO701" s="55">
        <v>0</v>
      </c>
      <c r="AP701" s="55">
        <f t="shared" ref="AP701:AP720" si="290">AN701*10</f>
        <v>101.46000000000001</v>
      </c>
      <c r="AQ701" s="55">
        <v>48.17</v>
      </c>
      <c r="AR701" s="55">
        <v>18</v>
      </c>
      <c r="AS701" s="55">
        <v>300</v>
      </c>
      <c r="AT701" s="55" t="s">
        <v>83</v>
      </c>
      <c r="AU701" s="55" t="s">
        <v>109</v>
      </c>
      <c r="AV701" s="55" t="s">
        <v>133</v>
      </c>
      <c r="AW701" s="55" t="s">
        <v>109</v>
      </c>
      <c r="AX701" s="55" t="s">
        <v>86</v>
      </c>
      <c r="AY701" s="55">
        <v>0</v>
      </c>
      <c r="AZ701" s="55">
        <v>0</v>
      </c>
      <c r="BA701" s="55" t="s">
        <v>87</v>
      </c>
      <c r="BB701" s="55" t="s">
        <v>88</v>
      </c>
      <c r="BC701" s="55" t="s">
        <v>89</v>
      </c>
      <c r="BD701" s="55" t="s">
        <v>90</v>
      </c>
      <c r="BE701" s="55" t="s">
        <v>1458</v>
      </c>
      <c r="BF701" s="55">
        <v>101.57</v>
      </c>
      <c r="BG701" s="55">
        <v>0</v>
      </c>
      <c r="BH701" s="55">
        <v>65.849999999999994</v>
      </c>
      <c r="BI701" s="55">
        <v>5</v>
      </c>
      <c r="BJ701" s="55">
        <v>430</v>
      </c>
      <c r="BK701" s="55" t="s">
        <v>91</v>
      </c>
      <c r="BL701" s="55" t="s">
        <v>84</v>
      </c>
      <c r="BM701" s="55">
        <v>1</v>
      </c>
      <c r="BN701" s="55" t="s">
        <v>428</v>
      </c>
      <c r="BO701" s="60" t="s">
        <v>1463</v>
      </c>
      <c r="BP701" s="55" t="s">
        <v>1464</v>
      </c>
      <c r="BQ701" s="55" t="s">
        <v>117</v>
      </c>
      <c r="BR701" s="55" t="s">
        <v>134</v>
      </c>
      <c r="BS701" s="55">
        <v>29.22</v>
      </c>
      <c r="BT701" s="55">
        <v>0.01</v>
      </c>
      <c r="BU701" s="57">
        <v>42552</v>
      </c>
      <c r="BV701" s="57">
        <v>42643</v>
      </c>
      <c r="BW701" s="55" t="s">
        <v>94</v>
      </c>
      <c r="BX701" s="55" t="s">
        <v>95</v>
      </c>
      <c r="BY701" s="55" t="s">
        <v>748</v>
      </c>
      <c r="BZ701" s="55">
        <v>1</v>
      </c>
      <c r="CA701" s="55">
        <v>1</v>
      </c>
      <c r="CB701" s="55" t="s">
        <v>303</v>
      </c>
      <c r="CC701" s="55" t="s">
        <v>314</v>
      </c>
      <c r="CD701" s="55">
        <v>1</v>
      </c>
      <c r="CE701" s="55" t="s">
        <v>1462</v>
      </c>
      <c r="CF701" s="55">
        <v>0</v>
      </c>
      <c r="CG701" s="55" t="s">
        <v>97</v>
      </c>
      <c r="CH701" s="55">
        <v>1</v>
      </c>
      <c r="CI701" s="55" t="s">
        <v>1465</v>
      </c>
      <c r="CJ701" s="55" t="s">
        <v>98</v>
      </c>
      <c r="CK701" s="55">
        <v>179</v>
      </c>
      <c r="CL701" s="55">
        <v>0</v>
      </c>
      <c r="CM701" s="55">
        <v>0</v>
      </c>
      <c r="CN701" s="55" t="s">
        <v>124</v>
      </c>
      <c r="CO701" s="55" t="s">
        <v>97</v>
      </c>
      <c r="CP701" s="55" t="s">
        <v>100</v>
      </c>
      <c r="CQ701" s="55" t="s">
        <v>126</v>
      </c>
      <c r="CR701" s="57">
        <v>46233</v>
      </c>
      <c r="CT701" s="55" t="s">
        <v>1557</v>
      </c>
    </row>
    <row r="702" spans="1:98" s="55" customFormat="1" x14ac:dyDescent="0.35">
      <c r="A702" s="54" t="s">
        <v>1459</v>
      </c>
      <c r="B702" s="54" t="s">
        <v>1552</v>
      </c>
      <c r="C702" s="55" t="s">
        <v>1460</v>
      </c>
      <c r="D702" s="55">
        <v>2022</v>
      </c>
      <c r="E702" s="60" t="s">
        <v>1461</v>
      </c>
      <c r="F702" s="54" t="s">
        <v>998</v>
      </c>
      <c r="G702" s="55" t="s">
        <v>78</v>
      </c>
      <c r="H702" s="55">
        <v>1</v>
      </c>
      <c r="I702" s="55" t="s">
        <v>290</v>
      </c>
      <c r="J702" s="55" t="s">
        <v>79</v>
      </c>
      <c r="K702" s="55">
        <v>81</v>
      </c>
      <c r="L702" s="55" t="s">
        <v>104</v>
      </c>
      <c r="M702" s="55" t="s">
        <v>380</v>
      </c>
      <c r="N702" s="55">
        <v>-1.41E-2</v>
      </c>
      <c r="O702" s="55">
        <v>3.5999999999999999E-3</v>
      </c>
      <c r="P702" s="88">
        <f t="shared" si="278"/>
        <v>-3.9166666666666665</v>
      </c>
      <c r="Q702" s="55" t="s">
        <v>312</v>
      </c>
      <c r="R702" s="88">
        <f t="shared" si="279"/>
        <v>-2.1156000000000001E-2</v>
      </c>
      <c r="S702" s="88">
        <f t="shared" si="280"/>
        <v>-7.0439999999999999E-3</v>
      </c>
      <c r="T702" s="55">
        <v>1</v>
      </c>
      <c r="U702" s="55">
        <v>66374</v>
      </c>
      <c r="V702" s="55" t="s">
        <v>312</v>
      </c>
      <c r="W702" s="55" t="s">
        <v>312</v>
      </c>
      <c r="X702" s="55">
        <f t="shared" si="289"/>
        <v>66374</v>
      </c>
      <c r="Y702" s="88">
        <f t="shared" si="284"/>
        <v>-1.52008346664092E-2</v>
      </c>
      <c r="Z702" s="88">
        <f t="shared" si="285"/>
        <v>3.8810641701470302E-3</v>
      </c>
      <c r="AA702" s="88">
        <f t="shared" si="286"/>
        <v>1.52008346664092E-2</v>
      </c>
      <c r="AB702" s="55" t="s">
        <v>81</v>
      </c>
      <c r="AC702" s="88">
        <f t="shared" si="288"/>
        <v>-0.14305860000000001</v>
      </c>
      <c r="AD702" s="88" cm="1">
        <f t="array" ref="AD702">_xlfn.IFS(
AND(L702="marginal_effect",M702="level"),N702*AN702/BF702,
AND(L702="marginal_effect",M702="sd (Y)"),N702*BI702*AN702/BF702,
AND(L702="marginal_effect",M702="sd (X)"),N702/AQ702*AN702/BF702,
AND(L702="semi_elasticity",M702="level"),N702*AN702,
AND(L702="semi_elasticity",M702="sd (Y)"),N702*AN702*BI702,
AND(L702="semi_elasticity",M702="sd (X)"),N702*AN702/AQ702,
AND(L702="level-log",M702="level"),N702/BF702,
AND(L702="level-log",M702="sd (X)"),N702/BF702/AQ702,
AND(L702="level-log",M702="sd (Y)"),N702/BF702*BI702,
AND(L702="elasticity",M702="level"),N702,
AND(L702="elasticity",M702="sd (X)"),N702/AQ702,
AND(L702="elasticity",M702="sd (Y)"),N702*BI702,
AND(L702="marginal_effect",M702="percent_of_mean"),N702*AN702/BF702/10)</f>
        <v>-0.14305860000000001</v>
      </c>
      <c r="AE702" s="56">
        <f t="shared" si="275"/>
        <v>1</v>
      </c>
      <c r="AF702" s="88">
        <f t="shared" si="281"/>
        <v>3.6525600000000005E-2</v>
      </c>
      <c r="AG702" s="88" cm="1">
        <f t="array" ref="AG702">_xlfn.IFS(
AND(L702="marginal_effect",M702="level"),O702*AN702/BF702,
AND(L702="marginal_effect",M702="sd (Y)"),O702*BI702*AN702/BF702,
AND(L702="marginal_effect",M702="sd (X)"),O702/AQ702*AN702/BF702,
AND(L702="semi_elasticity",M702="level"),O702*AN702,
AND(L702="semi_elasticity",M702="sd (Y)"),O702*AN702*BI702,
AND(L702="semi_elasticity",M702="sd (X)"),O702*AN702/AQ702,
AND(L702="level-log",M702="level"),O702/BF702,
AND(L702="level-log",M702="sd (X)"),O702/BF702/AQ702,
AND(L702="level-log",M702="sd (Y)"),O702/BF702*BI702,
AND(L702="elasticity",M702="level"),O702,
AND(L702="elasticity",M702="sd (X)"),O702/AQ702,
AND(L702="elasticity",M702="sd (Y)"),O702*BI702,
AND(L702="marginal_effect",M702="percent_of_mean"),O702*AN702/BF702/10)</f>
        <v>3.6525600000000005E-2</v>
      </c>
      <c r="AH702" s="56">
        <f t="shared" si="282"/>
        <v>1</v>
      </c>
      <c r="AI702" s="88">
        <f t="shared" si="287"/>
        <v>-0.14305860000000001</v>
      </c>
      <c r="AJ702" s="55">
        <v>0</v>
      </c>
      <c r="AK702" s="55">
        <f t="shared" si="283"/>
        <v>1</v>
      </c>
      <c r="AL702" s="55" t="s">
        <v>148</v>
      </c>
      <c r="AM702" s="55" t="s">
        <v>1466</v>
      </c>
      <c r="AN702" s="55">
        <v>10.146000000000001</v>
      </c>
      <c r="AO702" s="55">
        <v>0</v>
      </c>
      <c r="AP702" s="55">
        <f t="shared" si="290"/>
        <v>101.46000000000001</v>
      </c>
      <c r="AQ702" s="55">
        <v>48.17</v>
      </c>
      <c r="AR702" s="55">
        <v>18</v>
      </c>
      <c r="AS702" s="55">
        <v>300</v>
      </c>
      <c r="AT702" s="55" t="s">
        <v>83</v>
      </c>
      <c r="AU702" s="55" t="s">
        <v>109</v>
      </c>
      <c r="AV702" s="55" t="s">
        <v>133</v>
      </c>
      <c r="AW702" s="55" t="s">
        <v>109</v>
      </c>
      <c r="AX702" s="55" t="s">
        <v>86</v>
      </c>
      <c r="AY702" s="55">
        <v>0</v>
      </c>
      <c r="AZ702" s="55">
        <v>0</v>
      </c>
      <c r="BA702" s="55" t="s">
        <v>87</v>
      </c>
      <c r="BB702" s="55" t="s">
        <v>88</v>
      </c>
      <c r="BC702" s="55" t="s">
        <v>89</v>
      </c>
      <c r="BD702" s="55" t="s">
        <v>90</v>
      </c>
      <c r="BE702" s="55" t="s">
        <v>1458</v>
      </c>
      <c r="BF702" s="55">
        <v>101.57</v>
      </c>
      <c r="BG702" s="55">
        <v>0</v>
      </c>
      <c r="BH702" s="55">
        <v>65.849999999999994</v>
      </c>
      <c r="BI702" s="55">
        <v>5</v>
      </c>
      <c r="BJ702" s="55">
        <v>430</v>
      </c>
      <c r="BK702" s="55" t="s">
        <v>91</v>
      </c>
      <c r="BL702" s="55" t="s">
        <v>84</v>
      </c>
      <c r="BM702" s="55">
        <v>1</v>
      </c>
      <c r="BN702" s="55" t="s">
        <v>428</v>
      </c>
      <c r="BO702" s="60" t="s">
        <v>1463</v>
      </c>
      <c r="BP702" s="55" t="s">
        <v>1464</v>
      </c>
      <c r="BQ702" s="55" t="s">
        <v>117</v>
      </c>
      <c r="BR702" s="55" t="s">
        <v>134</v>
      </c>
      <c r="BS702" s="55">
        <v>29.22</v>
      </c>
      <c r="BT702" s="55">
        <v>0.01</v>
      </c>
      <c r="BU702" s="57">
        <v>42552</v>
      </c>
      <c r="BV702" s="57">
        <v>42643</v>
      </c>
      <c r="BW702" s="55" t="s">
        <v>94</v>
      </c>
      <c r="BX702" s="55" t="s">
        <v>95</v>
      </c>
      <c r="BY702" s="55" t="s">
        <v>748</v>
      </c>
      <c r="BZ702" s="55">
        <v>1</v>
      </c>
      <c r="CA702" s="55">
        <v>1</v>
      </c>
      <c r="CB702" s="55" t="s">
        <v>303</v>
      </c>
      <c r="CC702" s="55" t="s">
        <v>314</v>
      </c>
      <c r="CD702" s="55">
        <v>1</v>
      </c>
      <c r="CE702" s="55" t="s">
        <v>1462</v>
      </c>
      <c r="CF702" s="55">
        <v>0</v>
      </c>
      <c r="CG702" s="55" t="s">
        <v>97</v>
      </c>
      <c r="CH702" s="55">
        <v>1</v>
      </c>
      <c r="CI702" s="55" t="s">
        <v>1465</v>
      </c>
      <c r="CJ702" s="55" t="s">
        <v>98</v>
      </c>
      <c r="CK702" s="55">
        <v>179</v>
      </c>
      <c r="CL702" s="55">
        <v>0</v>
      </c>
      <c r="CM702" s="55">
        <v>0</v>
      </c>
      <c r="CN702" s="55" t="s">
        <v>124</v>
      </c>
      <c r="CO702" s="55" t="s">
        <v>97</v>
      </c>
      <c r="CP702" s="55" t="s">
        <v>100</v>
      </c>
      <c r="CQ702" s="55" t="s">
        <v>126</v>
      </c>
      <c r="CR702" s="57">
        <v>46233</v>
      </c>
      <c r="CT702" s="55" t="s">
        <v>1558</v>
      </c>
    </row>
    <row r="703" spans="1:98" s="55" customFormat="1" x14ac:dyDescent="0.35">
      <c r="A703" s="54" t="s">
        <v>1459</v>
      </c>
      <c r="B703" s="54" t="s">
        <v>1553</v>
      </c>
      <c r="C703" s="55" t="s">
        <v>1460</v>
      </c>
      <c r="D703" s="55">
        <v>2022</v>
      </c>
      <c r="E703" s="60" t="s">
        <v>1461</v>
      </c>
      <c r="F703" s="54" t="s">
        <v>998</v>
      </c>
      <c r="G703" s="55" t="s">
        <v>78</v>
      </c>
      <c r="H703" s="55">
        <v>1</v>
      </c>
      <c r="I703" s="55" t="s">
        <v>290</v>
      </c>
      <c r="J703" s="55" t="s">
        <v>79</v>
      </c>
      <c r="K703" s="55">
        <v>81</v>
      </c>
      <c r="L703" s="55" t="s">
        <v>104</v>
      </c>
      <c r="M703" s="55" t="s">
        <v>380</v>
      </c>
      <c r="N703" s="55">
        <v>-1.41E-2</v>
      </c>
      <c r="O703" s="55">
        <v>3.5999999999999999E-3</v>
      </c>
      <c r="P703" s="88">
        <f t="shared" ref="P703:P734" si="291">N703/O703</f>
        <v>-3.9166666666666665</v>
      </c>
      <c r="Q703" s="55" t="s">
        <v>312</v>
      </c>
      <c r="R703" s="88">
        <f t="shared" ref="R703:R734" si="292">N703-1.96*O703</f>
        <v>-2.1156000000000001E-2</v>
      </c>
      <c r="S703" s="88">
        <f t="shared" ref="S703:S734" si="293">N703+1.96*O703</f>
        <v>-7.0439999999999999E-3</v>
      </c>
      <c r="T703" s="55">
        <v>1</v>
      </c>
      <c r="U703" s="55">
        <v>66374</v>
      </c>
      <c r="V703" s="55" t="s">
        <v>312</v>
      </c>
      <c r="W703" s="55" t="s">
        <v>312</v>
      </c>
      <c r="X703" s="55">
        <f t="shared" si="289"/>
        <v>66374</v>
      </c>
      <c r="Y703" s="88">
        <f t="shared" si="284"/>
        <v>-1.52008346664092E-2</v>
      </c>
      <c r="Z703" s="88">
        <f t="shared" si="285"/>
        <v>3.8810641701470302E-3</v>
      </c>
      <c r="AA703" s="88">
        <f t="shared" si="286"/>
        <v>1.52008346664092E-2</v>
      </c>
      <c r="AB703" s="55" t="s">
        <v>81</v>
      </c>
      <c r="AC703" s="88">
        <f t="shared" si="288"/>
        <v>-0.14305860000000001</v>
      </c>
      <c r="AD703" s="88" cm="1">
        <f t="array" ref="AD703">_xlfn.IFS(
AND(L703="marginal_effect",M703="level"),N703*AN703/BF703,
AND(L703="marginal_effect",M703="sd (Y)"),N703*BI703*AN703/BF703,
AND(L703="marginal_effect",M703="sd (X)"),N703/AQ703*AN703/BF703,
AND(L703="semi_elasticity",M703="level"),N703*AN703,
AND(L703="semi_elasticity",M703="sd (Y)"),N703*AN703*BI703,
AND(L703="semi_elasticity",M703="sd (X)"),N703*AN703/AQ703,
AND(L703="level-log",M703="level"),N703/BF703,
AND(L703="level-log",M703="sd (X)"),N703/BF703/AQ703,
AND(L703="level-log",M703="sd (Y)"),N703/BF703*BI703,
AND(L703="elasticity",M703="level"),N703,
AND(L703="elasticity",M703="sd (X)"),N703/AQ703,
AND(L703="elasticity",M703="sd (Y)"),N703*BI703,
AND(L703="marginal_effect",M703="percent_of_mean"),N703*AN703/BF703/10)</f>
        <v>-0.14305860000000001</v>
      </c>
      <c r="AE703" s="56">
        <f t="shared" si="275"/>
        <v>1</v>
      </c>
      <c r="AF703" s="88">
        <f t="shared" si="281"/>
        <v>3.6525600000000005E-2</v>
      </c>
      <c r="AG703" s="88" cm="1">
        <f t="array" ref="AG703">_xlfn.IFS(
AND(L703="marginal_effect",M703="level"),O703*AN703/BF703,
AND(L703="marginal_effect",M703="sd (Y)"),O703*BI703*AN703/BF703,
AND(L703="marginal_effect",M703="sd (X)"),O703/AQ703*AN703/BF703,
AND(L703="semi_elasticity",M703="level"),O703*AN703,
AND(L703="semi_elasticity",M703="sd (Y)"),O703*AN703*BI703,
AND(L703="semi_elasticity",M703="sd (X)"),O703*AN703/AQ703,
AND(L703="level-log",M703="level"),O703/BF703,
AND(L703="level-log",M703="sd (X)"),O703/BF703/AQ703,
AND(L703="level-log",M703="sd (Y)"),O703/BF703*BI703,
AND(L703="elasticity",M703="level"),O703,
AND(L703="elasticity",M703="sd (X)"),O703/AQ703,
AND(L703="elasticity",M703="sd (Y)"),O703*BI703,
AND(L703="marginal_effect",M703="percent_of_mean"),O703*AN703/BF703/10)</f>
        <v>3.6525600000000005E-2</v>
      </c>
      <c r="AH703" s="56">
        <f t="shared" ref="AH703:AH734" si="294">IF(AF703=AG703,1,0)</f>
        <v>1</v>
      </c>
      <c r="AI703" s="88">
        <f t="shared" si="287"/>
        <v>-0.14305860000000001</v>
      </c>
      <c r="AJ703" s="55">
        <v>0</v>
      </c>
      <c r="AK703" s="55">
        <f t="shared" ref="AK703:AK734" si="295">IF(P703=(AC703/AF703),1,0)</f>
        <v>1</v>
      </c>
      <c r="AL703" s="55" t="s">
        <v>148</v>
      </c>
      <c r="AM703" s="55" t="s">
        <v>1466</v>
      </c>
      <c r="AN703" s="55">
        <v>10.146000000000001</v>
      </c>
      <c r="AO703" s="55">
        <v>0</v>
      </c>
      <c r="AP703" s="55">
        <f t="shared" si="290"/>
        <v>101.46000000000001</v>
      </c>
      <c r="AQ703" s="55">
        <v>48.17</v>
      </c>
      <c r="AR703" s="55">
        <v>18</v>
      </c>
      <c r="AS703" s="55">
        <v>300</v>
      </c>
      <c r="AT703" s="55" t="s">
        <v>83</v>
      </c>
      <c r="AU703" s="55" t="s">
        <v>109</v>
      </c>
      <c r="AV703" s="55" t="s">
        <v>133</v>
      </c>
      <c r="AW703" s="55" t="s">
        <v>109</v>
      </c>
      <c r="AX703" s="55" t="s">
        <v>86</v>
      </c>
      <c r="AY703" s="55">
        <v>0</v>
      </c>
      <c r="AZ703" s="55">
        <v>0</v>
      </c>
      <c r="BA703" s="55" t="s">
        <v>87</v>
      </c>
      <c r="BB703" s="55" t="s">
        <v>88</v>
      </c>
      <c r="BC703" s="55" t="s">
        <v>89</v>
      </c>
      <c r="BD703" s="55" t="s">
        <v>90</v>
      </c>
      <c r="BE703" s="55" t="s">
        <v>1458</v>
      </c>
      <c r="BF703" s="55">
        <v>101.57</v>
      </c>
      <c r="BG703" s="55">
        <v>0</v>
      </c>
      <c r="BH703" s="55">
        <v>65.849999999999994</v>
      </c>
      <c r="BI703" s="55">
        <v>5</v>
      </c>
      <c r="BJ703" s="55">
        <v>430</v>
      </c>
      <c r="BK703" s="55" t="s">
        <v>91</v>
      </c>
      <c r="BL703" s="55" t="s">
        <v>84</v>
      </c>
      <c r="BM703" s="55">
        <v>1</v>
      </c>
      <c r="BN703" s="55" t="s">
        <v>428</v>
      </c>
      <c r="BO703" s="60" t="s">
        <v>1463</v>
      </c>
      <c r="BP703" s="55" t="s">
        <v>1464</v>
      </c>
      <c r="BQ703" s="55" t="s">
        <v>117</v>
      </c>
      <c r="BR703" s="55" t="s">
        <v>134</v>
      </c>
      <c r="BS703" s="55">
        <v>29.22</v>
      </c>
      <c r="BT703" s="55">
        <v>0.01</v>
      </c>
      <c r="BU703" s="57">
        <v>42552</v>
      </c>
      <c r="BV703" s="57">
        <v>42643</v>
      </c>
      <c r="BW703" s="55" t="s">
        <v>94</v>
      </c>
      <c r="BX703" s="55" t="s">
        <v>95</v>
      </c>
      <c r="BY703" s="55" t="s">
        <v>748</v>
      </c>
      <c r="BZ703" s="55">
        <v>1</v>
      </c>
      <c r="CA703" s="55">
        <v>1</v>
      </c>
      <c r="CB703" s="55" t="s">
        <v>303</v>
      </c>
      <c r="CC703" s="55" t="s">
        <v>314</v>
      </c>
      <c r="CD703" s="55">
        <v>1</v>
      </c>
      <c r="CE703" s="55" t="s">
        <v>1462</v>
      </c>
      <c r="CF703" s="55">
        <v>0</v>
      </c>
      <c r="CG703" s="55" t="s">
        <v>97</v>
      </c>
      <c r="CH703" s="55">
        <v>1</v>
      </c>
      <c r="CI703" s="55" t="s">
        <v>1465</v>
      </c>
      <c r="CJ703" s="55" t="s">
        <v>98</v>
      </c>
      <c r="CK703" s="55">
        <v>179</v>
      </c>
      <c r="CL703" s="55">
        <v>0</v>
      </c>
      <c r="CM703" s="55">
        <v>0</v>
      </c>
      <c r="CN703" s="55" t="s">
        <v>124</v>
      </c>
      <c r="CO703" s="55" t="s">
        <v>97</v>
      </c>
      <c r="CP703" s="55" t="s">
        <v>100</v>
      </c>
      <c r="CQ703" s="55" t="s">
        <v>126</v>
      </c>
      <c r="CR703" s="57">
        <v>46233</v>
      </c>
      <c r="CT703" s="55" t="s">
        <v>1548</v>
      </c>
    </row>
    <row r="704" spans="1:98" s="55" customFormat="1" x14ac:dyDescent="0.35">
      <c r="A704" s="54" t="s">
        <v>1459</v>
      </c>
      <c r="B704" s="54" t="s">
        <v>1554</v>
      </c>
      <c r="C704" s="55" t="s">
        <v>1460</v>
      </c>
      <c r="D704" s="55">
        <v>2022</v>
      </c>
      <c r="E704" s="60" t="s">
        <v>1461</v>
      </c>
      <c r="F704" s="54" t="s">
        <v>998</v>
      </c>
      <c r="G704" s="55" t="s">
        <v>78</v>
      </c>
      <c r="H704" s="55">
        <v>1</v>
      </c>
      <c r="I704" s="55" t="s">
        <v>290</v>
      </c>
      <c r="J704" s="55" t="s">
        <v>79</v>
      </c>
      <c r="K704" s="55">
        <v>81</v>
      </c>
      <c r="L704" s="55" t="s">
        <v>104</v>
      </c>
      <c r="M704" s="55" t="s">
        <v>380</v>
      </c>
      <c r="N704" s="55">
        <v>-1.3899999999999999E-2</v>
      </c>
      <c r="O704" s="55">
        <v>3.5999999999999999E-3</v>
      </c>
      <c r="P704" s="88">
        <f t="shared" si="291"/>
        <v>-3.8611111111111112</v>
      </c>
      <c r="Q704" s="55" t="s">
        <v>312</v>
      </c>
      <c r="R704" s="88">
        <f t="shared" si="292"/>
        <v>-2.0955999999999999E-2</v>
      </c>
      <c r="S704" s="88">
        <f t="shared" si="293"/>
        <v>-6.8439999999999994E-3</v>
      </c>
      <c r="T704" s="55">
        <v>1</v>
      </c>
      <c r="U704" s="55">
        <v>66374</v>
      </c>
      <c r="V704" s="55" t="s">
        <v>312</v>
      </c>
      <c r="W704" s="55" t="s">
        <v>312</v>
      </c>
      <c r="X704" s="55">
        <f t="shared" si="289"/>
        <v>66374</v>
      </c>
      <c r="Y704" s="88">
        <f t="shared" ref="Y704:Y735" si="296">P704/(P704^2 + X704)^(1/2)</f>
        <v>-1.4985268756602693E-2</v>
      </c>
      <c r="Z704" s="88">
        <f t="shared" ref="Z704:Z735" si="297">((1-Y704^2)/X704)^(1/2)</f>
        <v>3.8810768002712011E-3</v>
      </c>
      <c r="AA704" s="88">
        <f t="shared" ref="AA704:AA735" si="298">-Y704</f>
        <v>1.4985268756602693E-2</v>
      </c>
      <c r="AB704" s="55" t="s">
        <v>81</v>
      </c>
      <c r="AC704" s="88">
        <f t="shared" si="288"/>
        <v>-0.1410294</v>
      </c>
      <c r="AD704" s="88" cm="1">
        <f t="array" ref="AD704">_xlfn.IFS(
AND(L704="marginal_effect",M704="level"),N704*AN704/BF704,
AND(L704="marginal_effect",M704="sd (Y)"),N704*BI704*AN704/BF704,
AND(L704="marginal_effect",M704="sd (X)"),N704/AQ704*AN704/BF704,
AND(L704="semi_elasticity",M704="level"),N704*AN704,
AND(L704="semi_elasticity",M704="sd (Y)"),N704*AN704*BI704,
AND(L704="semi_elasticity",M704="sd (X)"),N704*AN704/AQ704,
AND(L704="level-log",M704="level"),N704/BF704,
AND(L704="level-log",M704="sd (X)"),N704/BF704/AQ704,
AND(L704="level-log",M704="sd (Y)"),N704/BF704*BI704,
AND(L704="elasticity",M704="level"),N704,
AND(L704="elasticity",M704="sd (X)"),N704/AQ704,
AND(L704="elasticity",M704="sd (Y)"),N704*BI704,
AND(L704="marginal_effect",M704="percent_of_mean"),N704*AN704/BF704/10)</f>
        <v>-0.1410294</v>
      </c>
      <c r="AE704" s="56">
        <f t="shared" si="275"/>
        <v>1</v>
      </c>
      <c r="AF704" s="88">
        <f t="shared" si="281"/>
        <v>3.6525600000000005E-2</v>
      </c>
      <c r="AG704" s="88" cm="1">
        <f t="array" ref="AG704">_xlfn.IFS(
AND(L704="marginal_effect",M704="level"),O704*AN704/BF704,
AND(L704="marginal_effect",M704="sd (Y)"),O704*BI704*AN704/BF704,
AND(L704="marginal_effect",M704="sd (X)"),O704/AQ704*AN704/BF704,
AND(L704="semi_elasticity",M704="level"),O704*AN704,
AND(L704="semi_elasticity",M704="sd (Y)"),O704*AN704*BI704,
AND(L704="semi_elasticity",M704="sd (X)"),O704*AN704/AQ704,
AND(L704="level-log",M704="level"),O704/BF704,
AND(L704="level-log",M704="sd (X)"),O704/BF704/AQ704,
AND(L704="level-log",M704="sd (Y)"),O704/BF704*BI704,
AND(L704="elasticity",M704="level"),O704,
AND(L704="elasticity",M704="sd (X)"),O704/AQ704,
AND(L704="elasticity",M704="sd (Y)"),O704*BI704,
AND(L704="marginal_effect",M704="percent_of_mean"),O704*AN704/BF704/10)</f>
        <v>3.6525600000000005E-2</v>
      </c>
      <c r="AH704" s="56">
        <f t="shared" si="294"/>
        <v>1</v>
      </c>
      <c r="AI704" s="88">
        <f t="shared" si="287"/>
        <v>-0.1410294</v>
      </c>
      <c r="AJ704" s="55">
        <v>0</v>
      </c>
      <c r="AK704" s="55">
        <f t="shared" si="295"/>
        <v>1</v>
      </c>
      <c r="AL704" s="55" t="s">
        <v>148</v>
      </c>
      <c r="AM704" s="55" t="s">
        <v>1466</v>
      </c>
      <c r="AN704" s="55">
        <v>10.146000000000001</v>
      </c>
      <c r="AO704" s="55">
        <v>0</v>
      </c>
      <c r="AP704" s="55">
        <f t="shared" si="290"/>
        <v>101.46000000000001</v>
      </c>
      <c r="AQ704" s="55">
        <v>48.17</v>
      </c>
      <c r="AR704" s="55">
        <v>18</v>
      </c>
      <c r="AS704" s="55">
        <v>300</v>
      </c>
      <c r="AT704" s="55" t="s">
        <v>83</v>
      </c>
      <c r="AU704" s="55" t="s">
        <v>109</v>
      </c>
      <c r="AV704" s="55" t="s">
        <v>133</v>
      </c>
      <c r="AW704" s="55" t="s">
        <v>109</v>
      </c>
      <c r="AX704" s="55" t="s">
        <v>86</v>
      </c>
      <c r="AY704" s="55">
        <v>0</v>
      </c>
      <c r="AZ704" s="55">
        <v>0</v>
      </c>
      <c r="BA704" s="55" t="s">
        <v>87</v>
      </c>
      <c r="BB704" s="55" t="s">
        <v>88</v>
      </c>
      <c r="BC704" s="55" t="s">
        <v>89</v>
      </c>
      <c r="BD704" s="55" t="s">
        <v>90</v>
      </c>
      <c r="BE704" s="55" t="s">
        <v>1458</v>
      </c>
      <c r="BF704" s="55">
        <v>101.57</v>
      </c>
      <c r="BG704" s="55">
        <v>0</v>
      </c>
      <c r="BH704" s="55">
        <v>65.849999999999994</v>
      </c>
      <c r="BI704" s="55">
        <v>5</v>
      </c>
      <c r="BJ704" s="55">
        <v>430</v>
      </c>
      <c r="BK704" s="55" t="s">
        <v>91</v>
      </c>
      <c r="BL704" s="55" t="s">
        <v>84</v>
      </c>
      <c r="BM704" s="55">
        <v>1</v>
      </c>
      <c r="BN704" s="55" t="s">
        <v>428</v>
      </c>
      <c r="BO704" s="60" t="s">
        <v>1463</v>
      </c>
      <c r="BP704" s="55" t="s">
        <v>1464</v>
      </c>
      <c r="BQ704" s="55" t="s">
        <v>117</v>
      </c>
      <c r="BR704" s="55" t="s">
        <v>134</v>
      </c>
      <c r="BS704" s="55">
        <v>29.22</v>
      </c>
      <c r="BT704" s="55">
        <v>0.01</v>
      </c>
      <c r="BU704" s="57">
        <v>42552</v>
      </c>
      <c r="BV704" s="57">
        <v>42643</v>
      </c>
      <c r="BW704" s="55" t="s">
        <v>94</v>
      </c>
      <c r="BX704" s="55" t="s">
        <v>95</v>
      </c>
      <c r="BY704" s="55" t="s">
        <v>748</v>
      </c>
      <c r="BZ704" s="55">
        <v>1</v>
      </c>
      <c r="CA704" s="55">
        <v>1</v>
      </c>
      <c r="CB704" s="55" t="s">
        <v>303</v>
      </c>
      <c r="CC704" s="55" t="s">
        <v>314</v>
      </c>
      <c r="CD704" s="55">
        <v>1</v>
      </c>
      <c r="CE704" s="55" t="s">
        <v>1462</v>
      </c>
      <c r="CF704" s="55">
        <v>0</v>
      </c>
      <c r="CG704" s="55" t="s">
        <v>97</v>
      </c>
      <c r="CH704" s="55">
        <v>1</v>
      </c>
      <c r="CI704" s="55" t="s">
        <v>1465</v>
      </c>
      <c r="CJ704" s="55" t="s">
        <v>98</v>
      </c>
      <c r="CK704" s="55">
        <v>179</v>
      </c>
      <c r="CL704" s="55">
        <v>0</v>
      </c>
      <c r="CM704" s="55">
        <v>0</v>
      </c>
      <c r="CN704" s="55" t="s">
        <v>124</v>
      </c>
      <c r="CO704" s="55" t="s">
        <v>97</v>
      </c>
      <c r="CP704" s="55" t="s">
        <v>100</v>
      </c>
      <c r="CQ704" s="55" t="s">
        <v>126</v>
      </c>
      <c r="CR704" s="57">
        <v>46233</v>
      </c>
      <c r="CT704" s="55" t="s">
        <v>1559</v>
      </c>
    </row>
    <row r="705" spans="1:98" s="55" customFormat="1" x14ac:dyDescent="0.35">
      <c r="A705" s="54" t="s">
        <v>1459</v>
      </c>
      <c r="B705" s="54" t="s">
        <v>1555</v>
      </c>
      <c r="C705" s="55" t="s">
        <v>1460</v>
      </c>
      <c r="D705" s="55">
        <v>2022</v>
      </c>
      <c r="E705" s="60" t="s">
        <v>1461</v>
      </c>
      <c r="F705" s="54" t="s">
        <v>998</v>
      </c>
      <c r="G705" s="55" t="s">
        <v>78</v>
      </c>
      <c r="H705" s="55">
        <v>1</v>
      </c>
      <c r="I705" s="55" t="s">
        <v>290</v>
      </c>
      <c r="J705" s="55" t="s">
        <v>79</v>
      </c>
      <c r="K705" s="55">
        <v>81</v>
      </c>
      <c r="L705" s="55" t="s">
        <v>104</v>
      </c>
      <c r="M705" s="55" t="s">
        <v>380</v>
      </c>
      <c r="N705" s="55">
        <v>-1.43E-2</v>
      </c>
      <c r="O705" s="55">
        <v>3.5999999999999999E-3</v>
      </c>
      <c r="P705" s="88">
        <f t="shared" si="291"/>
        <v>-3.9722222222222223</v>
      </c>
      <c r="Q705" s="55" t="s">
        <v>312</v>
      </c>
      <c r="R705" s="88">
        <f t="shared" si="292"/>
        <v>-2.1356E-2</v>
      </c>
      <c r="S705" s="88">
        <f t="shared" si="293"/>
        <v>-7.2440000000000004E-3</v>
      </c>
      <c r="T705" s="55">
        <v>1</v>
      </c>
      <c r="U705" s="55">
        <v>66374</v>
      </c>
      <c r="V705" s="55" t="s">
        <v>312</v>
      </c>
      <c r="W705" s="55" t="s">
        <v>312</v>
      </c>
      <c r="X705" s="55">
        <f t="shared" si="289"/>
        <v>66374</v>
      </c>
      <c r="Y705" s="88">
        <f t="shared" si="296"/>
        <v>-1.5416398456659495E-2</v>
      </c>
      <c r="Z705" s="88">
        <f t="shared" si="297"/>
        <v>3.8810513597184737E-3</v>
      </c>
      <c r="AA705" s="88">
        <f t="shared" si="298"/>
        <v>1.5416398456659495E-2</v>
      </c>
      <c r="AB705" s="55" t="s">
        <v>81</v>
      </c>
      <c r="AC705" s="88">
        <f t="shared" si="288"/>
        <v>-0.14508780000000002</v>
      </c>
      <c r="AD705" s="88" cm="1">
        <f t="array" ref="AD705">_xlfn.IFS(
AND(L705="marginal_effect",M705="level"),N705*AN705/BF705,
AND(L705="marginal_effect",M705="sd (Y)"),N705*BI705*AN705/BF705,
AND(L705="marginal_effect",M705="sd (X)"),N705/AQ705*AN705/BF705,
AND(L705="semi_elasticity",M705="level"),N705*AN705,
AND(L705="semi_elasticity",M705="sd (Y)"),N705*AN705*BI705,
AND(L705="semi_elasticity",M705="sd (X)"),N705*AN705/AQ705,
AND(L705="level-log",M705="level"),N705/BF705,
AND(L705="level-log",M705="sd (X)"),N705/BF705/AQ705,
AND(L705="level-log",M705="sd (Y)"),N705/BF705*BI705,
AND(L705="elasticity",M705="level"),N705,
AND(L705="elasticity",M705="sd (X)"),N705/AQ705,
AND(L705="elasticity",M705="sd (Y)"),N705*BI705,
AND(L705="marginal_effect",M705="percent_of_mean"),N705*AN705/BF705/10)</f>
        <v>-0.14508780000000002</v>
      </c>
      <c r="AE705" s="56">
        <f t="shared" si="275"/>
        <v>1</v>
      </c>
      <c r="AF705" s="88">
        <f t="shared" si="281"/>
        <v>3.6525600000000005E-2</v>
      </c>
      <c r="AG705" s="88" cm="1">
        <f t="array" ref="AG705">_xlfn.IFS(
AND(L705="marginal_effect",M705="level"),O705*AN705/BF705,
AND(L705="marginal_effect",M705="sd (Y)"),O705*BI705*AN705/BF705,
AND(L705="marginal_effect",M705="sd (X)"),O705/AQ705*AN705/BF705,
AND(L705="semi_elasticity",M705="level"),O705*AN705,
AND(L705="semi_elasticity",M705="sd (Y)"),O705*AN705*BI705,
AND(L705="semi_elasticity",M705="sd (X)"),O705*AN705/AQ705,
AND(L705="level-log",M705="level"),O705/BF705,
AND(L705="level-log",M705="sd (X)"),O705/BF705/AQ705,
AND(L705="level-log",M705="sd (Y)"),O705/BF705*BI705,
AND(L705="elasticity",M705="level"),O705,
AND(L705="elasticity",M705="sd (X)"),O705/AQ705,
AND(L705="elasticity",M705="sd (Y)"),O705*BI705,
AND(L705="marginal_effect",M705="percent_of_mean"),O705*AN705/BF705/10)</f>
        <v>3.6525600000000005E-2</v>
      </c>
      <c r="AH705" s="56">
        <f t="shared" si="294"/>
        <v>1</v>
      </c>
      <c r="AI705" s="88">
        <f t="shared" si="287"/>
        <v>-0.14508780000000002</v>
      </c>
      <c r="AJ705" s="55">
        <v>0</v>
      </c>
      <c r="AK705" s="55">
        <f t="shared" si="295"/>
        <v>1</v>
      </c>
      <c r="AL705" s="55" t="s">
        <v>148</v>
      </c>
      <c r="AM705" s="55" t="s">
        <v>1466</v>
      </c>
      <c r="AN705" s="55">
        <v>10.146000000000001</v>
      </c>
      <c r="AO705" s="55">
        <v>0</v>
      </c>
      <c r="AP705" s="55">
        <f t="shared" si="290"/>
        <v>101.46000000000001</v>
      </c>
      <c r="AQ705" s="55">
        <v>48.17</v>
      </c>
      <c r="AR705" s="55">
        <v>18</v>
      </c>
      <c r="AS705" s="55">
        <v>300</v>
      </c>
      <c r="AT705" s="55" t="s">
        <v>83</v>
      </c>
      <c r="AU705" s="55" t="s">
        <v>109</v>
      </c>
      <c r="AV705" s="55" t="s">
        <v>133</v>
      </c>
      <c r="AW705" s="55" t="s">
        <v>109</v>
      </c>
      <c r="AX705" s="55" t="s">
        <v>86</v>
      </c>
      <c r="AY705" s="55">
        <v>0</v>
      </c>
      <c r="AZ705" s="55">
        <v>0</v>
      </c>
      <c r="BA705" s="55" t="s">
        <v>87</v>
      </c>
      <c r="BB705" s="55" t="s">
        <v>88</v>
      </c>
      <c r="BC705" s="55" t="s">
        <v>89</v>
      </c>
      <c r="BD705" s="55" t="s">
        <v>90</v>
      </c>
      <c r="BE705" s="55" t="s">
        <v>1458</v>
      </c>
      <c r="BF705" s="55">
        <v>101.57</v>
      </c>
      <c r="BG705" s="55">
        <v>0</v>
      </c>
      <c r="BH705" s="55">
        <v>65.849999999999994</v>
      </c>
      <c r="BI705" s="55">
        <v>5</v>
      </c>
      <c r="BJ705" s="55">
        <v>430</v>
      </c>
      <c r="BK705" s="55" t="s">
        <v>91</v>
      </c>
      <c r="BL705" s="55" t="s">
        <v>84</v>
      </c>
      <c r="BM705" s="55">
        <v>1</v>
      </c>
      <c r="BN705" s="55" t="s">
        <v>428</v>
      </c>
      <c r="BO705" s="60" t="s">
        <v>1463</v>
      </c>
      <c r="BP705" s="55" t="s">
        <v>1464</v>
      </c>
      <c r="BQ705" s="55" t="s">
        <v>117</v>
      </c>
      <c r="BR705" s="55" t="s">
        <v>134</v>
      </c>
      <c r="BS705" s="55">
        <v>29.22</v>
      </c>
      <c r="BT705" s="55">
        <v>0.01</v>
      </c>
      <c r="BU705" s="57">
        <v>42552</v>
      </c>
      <c r="BV705" s="57">
        <v>42643</v>
      </c>
      <c r="BW705" s="55" t="s">
        <v>94</v>
      </c>
      <c r="BX705" s="55" t="s">
        <v>95</v>
      </c>
      <c r="BY705" s="55" t="s">
        <v>748</v>
      </c>
      <c r="BZ705" s="55">
        <v>1</v>
      </c>
      <c r="CA705" s="55">
        <v>1</v>
      </c>
      <c r="CB705" s="55" t="s">
        <v>303</v>
      </c>
      <c r="CC705" s="55" t="s">
        <v>314</v>
      </c>
      <c r="CD705" s="55">
        <v>1</v>
      </c>
      <c r="CE705" s="55" t="s">
        <v>1462</v>
      </c>
      <c r="CF705" s="55">
        <v>0</v>
      </c>
      <c r="CG705" s="55" t="s">
        <v>97</v>
      </c>
      <c r="CH705" s="55">
        <v>1</v>
      </c>
      <c r="CI705" s="55" t="s">
        <v>1465</v>
      </c>
      <c r="CJ705" s="55" t="s">
        <v>98</v>
      </c>
      <c r="CK705" s="55">
        <v>179</v>
      </c>
      <c r="CL705" s="55">
        <v>0</v>
      </c>
      <c r="CM705" s="55">
        <v>0</v>
      </c>
      <c r="CN705" s="55" t="s">
        <v>124</v>
      </c>
      <c r="CO705" s="55" t="s">
        <v>97</v>
      </c>
      <c r="CP705" s="55" t="s">
        <v>100</v>
      </c>
      <c r="CQ705" s="55" t="s">
        <v>126</v>
      </c>
      <c r="CR705" s="57">
        <v>46233</v>
      </c>
      <c r="CT705" s="55" t="s">
        <v>1560</v>
      </c>
    </row>
    <row r="706" spans="1:98" s="55" customFormat="1" x14ac:dyDescent="0.35">
      <c r="A706" s="54" t="s">
        <v>1459</v>
      </c>
      <c r="B706" s="54" t="s">
        <v>1566</v>
      </c>
      <c r="C706" s="55" t="s">
        <v>1460</v>
      </c>
      <c r="D706" s="55">
        <v>2022</v>
      </c>
      <c r="E706" s="60" t="s">
        <v>1461</v>
      </c>
      <c r="F706" s="54" t="s">
        <v>998</v>
      </c>
      <c r="G706" s="55" t="s">
        <v>78</v>
      </c>
      <c r="H706" s="55">
        <v>1</v>
      </c>
      <c r="I706" s="55" t="s">
        <v>290</v>
      </c>
      <c r="J706" s="55" t="s">
        <v>79</v>
      </c>
      <c r="K706" s="55">
        <v>81</v>
      </c>
      <c r="L706" s="55" t="s">
        <v>104</v>
      </c>
      <c r="M706" s="55" t="s">
        <v>380</v>
      </c>
      <c r="N706" s="55">
        <v>-8.3999999999999995E-3</v>
      </c>
      <c r="O706" s="55">
        <v>2.3E-3</v>
      </c>
      <c r="P706" s="88">
        <f t="shared" si="291"/>
        <v>-3.652173913043478</v>
      </c>
      <c r="Q706" s="55" t="s">
        <v>312</v>
      </c>
      <c r="R706" s="88">
        <f t="shared" si="292"/>
        <v>-1.2907999999999999E-2</v>
      </c>
      <c r="S706" s="88">
        <f t="shared" si="293"/>
        <v>-3.8919999999999996E-3</v>
      </c>
      <c r="T706" s="55">
        <v>1</v>
      </c>
      <c r="U706" s="55">
        <v>66374</v>
      </c>
      <c r="V706" s="55" t="s">
        <v>312</v>
      </c>
      <c r="W706" s="55" t="s">
        <v>312</v>
      </c>
      <c r="X706" s="55">
        <f t="shared" si="289"/>
        <v>66374</v>
      </c>
      <c r="Y706" s="88">
        <f t="shared" si="296"/>
        <v>-1.4174535028061808E-2</v>
      </c>
      <c r="Z706" s="88">
        <f t="shared" si="297"/>
        <v>3.8811226862550193E-3</v>
      </c>
      <c r="AA706" s="88">
        <f t="shared" si="298"/>
        <v>1.4174535028061808E-2</v>
      </c>
      <c r="AB706" s="55" t="s">
        <v>81</v>
      </c>
      <c r="AC706" s="88">
        <f t="shared" si="288"/>
        <v>-5.1979199999999996E-2</v>
      </c>
      <c r="AD706" s="88" cm="1">
        <f t="array" ref="AD706">_xlfn.IFS(
AND(L706="marginal_effect",M706="level"),N706*AN706/BF706,
AND(L706="marginal_effect",M706="sd (Y)"),N706*BI706*AN706/BF706,
AND(L706="marginal_effect",M706="sd (X)"),N706/AQ706*AN706/BF706,
AND(L706="semi_elasticity",M706="level"),N706*AN706,
AND(L706="semi_elasticity",M706="sd (Y)"),N706*AN706*BI706,
AND(L706="semi_elasticity",M706="sd (X)"),N706*AN706/AQ706,
AND(L706="level-log",M706="level"),N706/BF706,
AND(L706="level-log",M706="sd (X)"),N706/BF706/AQ706,
AND(L706="level-log",M706="sd (Y)"),N706/BF706*BI706,
AND(L706="elasticity",M706="level"),N706,
AND(L706="elasticity",M706="sd (X)"),N706/AQ706,
AND(L706="elasticity",M706="sd (Y)"),N706*BI706,
AND(L706="marginal_effect",M706="percent_of_mean"),N706*AN706/BF706/10)</f>
        <v>-5.1979199999999996E-2</v>
      </c>
      <c r="AE706" s="56">
        <f t="shared" si="275"/>
        <v>1</v>
      </c>
      <c r="AF706" s="88">
        <f t="shared" si="281"/>
        <v>1.4232399999999999E-2</v>
      </c>
      <c r="AG706" s="88" cm="1">
        <f t="array" ref="AG706">_xlfn.IFS(
AND(L706="marginal_effect",M706="level"),O706*AN706/BF706,
AND(L706="marginal_effect",M706="sd (Y)"),O706*BI706*AN706/BF706,
AND(L706="marginal_effect",M706="sd (X)"),O706/AQ706*AN706/BF706,
AND(L706="semi_elasticity",M706="level"),O706*AN706,
AND(L706="semi_elasticity",M706="sd (Y)"),O706*AN706*BI706,
AND(L706="semi_elasticity",M706="sd (X)"),O706*AN706/AQ706,
AND(L706="level-log",M706="level"),O706/BF706,
AND(L706="level-log",M706="sd (X)"),O706/BF706/AQ706,
AND(L706="level-log",M706="sd (Y)"),O706/BF706*BI706,
AND(L706="elasticity",M706="level"),O706,
AND(L706="elasticity",M706="sd (X)"),O706/AQ706,
AND(L706="elasticity",M706="sd (Y)"),O706*BI706,
AND(L706="marginal_effect",M706="percent_of_mean"),O706*AN706/BF706/10)</f>
        <v>1.4232399999999999E-2</v>
      </c>
      <c r="AH706" s="56">
        <f t="shared" si="294"/>
        <v>1</v>
      </c>
      <c r="AI706" s="88">
        <f t="shared" si="287"/>
        <v>-5.1979199999999996E-2</v>
      </c>
      <c r="AJ706" s="55">
        <v>0</v>
      </c>
      <c r="AK706" s="55">
        <f t="shared" si="295"/>
        <v>1</v>
      </c>
      <c r="AL706" s="55" t="s">
        <v>735</v>
      </c>
      <c r="AM706" s="55" t="s">
        <v>1466</v>
      </c>
      <c r="AN706" s="55">
        <v>6.1879999999999997</v>
      </c>
      <c r="AO706" s="55">
        <v>0</v>
      </c>
      <c r="AP706" s="55">
        <f t="shared" si="290"/>
        <v>61.879999999999995</v>
      </c>
      <c r="AQ706" s="55">
        <v>33.57</v>
      </c>
      <c r="AR706" s="55">
        <v>20</v>
      </c>
      <c r="AS706" s="55">
        <v>207</v>
      </c>
      <c r="AT706" s="55" t="s">
        <v>83</v>
      </c>
      <c r="AU706" s="55" t="s">
        <v>109</v>
      </c>
      <c r="AV706" s="55" t="s">
        <v>133</v>
      </c>
      <c r="AW706" s="55" t="s">
        <v>109</v>
      </c>
      <c r="AX706" s="55" t="s">
        <v>86</v>
      </c>
      <c r="AY706" s="55">
        <v>0</v>
      </c>
      <c r="AZ706" s="55">
        <v>0</v>
      </c>
      <c r="BA706" s="55" t="s">
        <v>87</v>
      </c>
      <c r="BB706" s="55" t="s">
        <v>88</v>
      </c>
      <c r="BC706" s="55" t="s">
        <v>89</v>
      </c>
      <c r="BD706" s="55" t="s">
        <v>90</v>
      </c>
      <c r="BE706" s="55" t="s">
        <v>1458</v>
      </c>
      <c r="BF706" s="55">
        <v>101.57</v>
      </c>
      <c r="BG706" s="55">
        <v>0</v>
      </c>
      <c r="BH706" s="55">
        <v>65.849999999999994</v>
      </c>
      <c r="BI706" s="55">
        <v>5</v>
      </c>
      <c r="BJ706" s="55">
        <v>430</v>
      </c>
      <c r="BK706" s="55" t="s">
        <v>91</v>
      </c>
      <c r="BL706" s="55" t="s">
        <v>84</v>
      </c>
      <c r="BM706" s="55">
        <v>1</v>
      </c>
      <c r="BN706" s="55" t="s">
        <v>428</v>
      </c>
      <c r="BO706" s="60" t="s">
        <v>1463</v>
      </c>
      <c r="BP706" s="55" t="s">
        <v>1464</v>
      </c>
      <c r="BQ706" s="55" t="s">
        <v>117</v>
      </c>
      <c r="BR706" s="55" t="s">
        <v>134</v>
      </c>
      <c r="BS706" s="55">
        <v>29.22</v>
      </c>
      <c r="BT706" s="55">
        <v>0.01</v>
      </c>
      <c r="BU706" s="57">
        <v>42552</v>
      </c>
      <c r="BV706" s="57">
        <v>42643</v>
      </c>
      <c r="BW706" s="55" t="s">
        <v>94</v>
      </c>
      <c r="BX706" s="55" t="s">
        <v>95</v>
      </c>
      <c r="BY706" s="55" t="s">
        <v>96</v>
      </c>
      <c r="BZ706" s="55">
        <v>0</v>
      </c>
      <c r="CA706" s="55">
        <v>0</v>
      </c>
      <c r="CB706" s="55" t="s">
        <v>97</v>
      </c>
      <c r="CC706" s="55" t="s">
        <v>509</v>
      </c>
      <c r="CD706" s="55">
        <v>1</v>
      </c>
      <c r="CE706" s="55" t="s">
        <v>1462</v>
      </c>
      <c r="CF706" s="55">
        <v>0</v>
      </c>
      <c r="CG706" s="55" t="s">
        <v>97</v>
      </c>
      <c r="CH706" s="55">
        <v>1</v>
      </c>
      <c r="CI706" s="55" t="s">
        <v>1465</v>
      </c>
      <c r="CJ706" s="55" t="s">
        <v>98</v>
      </c>
      <c r="CK706" s="55">
        <v>179</v>
      </c>
      <c r="CL706" s="55">
        <v>0</v>
      </c>
      <c r="CM706" s="55">
        <v>0</v>
      </c>
      <c r="CN706" s="55" t="s">
        <v>124</v>
      </c>
      <c r="CO706" s="55" t="s">
        <v>97</v>
      </c>
      <c r="CP706" s="55" t="s">
        <v>100</v>
      </c>
      <c r="CQ706" s="55" t="s">
        <v>126</v>
      </c>
      <c r="CR706" s="57">
        <v>46233</v>
      </c>
      <c r="CT706" s="55" t="s">
        <v>1561</v>
      </c>
    </row>
    <row r="707" spans="1:98" s="55" customFormat="1" x14ac:dyDescent="0.35">
      <c r="A707" s="54" t="s">
        <v>1459</v>
      </c>
      <c r="B707" s="54" t="s">
        <v>1568</v>
      </c>
      <c r="C707" s="55" t="s">
        <v>1460</v>
      </c>
      <c r="D707" s="55">
        <v>2022</v>
      </c>
      <c r="E707" s="60" t="s">
        <v>1461</v>
      </c>
      <c r="F707" s="54" t="s">
        <v>998</v>
      </c>
      <c r="G707" s="55" t="s">
        <v>78</v>
      </c>
      <c r="H707" s="55">
        <v>1</v>
      </c>
      <c r="I707" s="55" t="s">
        <v>290</v>
      </c>
      <c r="J707" s="55" t="s">
        <v>79</v>
      </c>
      <c r="K707" s="55">
        <v>81</v>
      </c>
      <c r="L707" s="55" t="s">
        <v>104</v>
      </c>
      <c r="M707" s="55" t="s">
        <v>380</v>
      </c>
      <c r="N707" s="55">
        <v>-3.3999999999999998E-3</v>
      </c>
      <c r="O707" s="55">
        <v>1.8E-3</v>
      </c>
      <c r="P707" s="88">
        <f t="shared" si="291"/>
        <v>-1.8888888888888888</v>
      </c>
      <c r="Q707" s="55" t="s">
        <v>312</v>
      </c>
      <c r="R707" s="88">
        <f t="shared" si="292"/>
        <v>-6.9280000000000001E-3</v>
      </c>
      <c r="S707" s="88">
        <f t="shared" si="293"/>
        <v>1.2800000000000008E-4</v>
      </c>
      <c r="T707" s="55">
        <v>1</v>
      </c>
      <c r="U707" s="55">
        <v>66374</v>
      </c>
      <c r="V707" s="55" t="s">
        <v>312</v>
      </c>
      <c r="W707" s="55" t="s">
        <v>312</v>
      </c>
      <c r="X707" s="55">
        <f t="shared" si="289"/>
        <v>66374</v>
      </c>
      <c r="Y707" s="88">
        <f t="shared" si="296"/>
        <v>-7.3315490440897437E-3</v>
      </c>
      <c r="Z707" s="88">
        <f t="shared" si="297"/>
        <v>3.8814083174592761E-3</v>
      </c>
      <c r="AA707" s="88">
        <f t="shared" si="298"/>
        <v>7.3315490440897437E-3</v>
      </c>
      <c r="AB707" s="55" t="s">
        <v>81</v>
      </c>
      <c r="AC707" s="88">
        <f t="shared" si="288"/>
        <v>-2.1039199999999997E-2</v>
      </c>
      <c r="AD707" s="88" cm="1">
        <f t="array" ref="AD707">_xlfn.IFS(
AND(L707="marginal_effect",M707="level"),N707*AN707/BF707,
AND(L707="marginal_effect",M707="sd (Y)"),N707*BI707*AN707/BF707,
AND(L707="marginal_effect",M707="sd (X)"),N707/AQ707*AN707/BF707,
AND(L707="semi_elasticity",M707="level"),N707*AN707,
AND(L707="semi_elasticity",M707="sd (Y)"),N707*AN707*BI707,
AND(L707="semi_elasticity",M707="sd (X)"),N707*AN707/AQ707,
AND(L707="level-log",M707="level"),N707/BF707,
AND(L707="level-log",M707="sd (X)"),N707/BF707/AQ707,
AND(L707="level-log",M707="sd (Y)"),N707/BF707*BI707,
AND(L707="elasticity",M707="level"),N707,
AND(L707="elasticity",M707="sd (X)"),N707/AQ707,
AND(L707="elasticity",M707="sd (Y)"),N707*BI707,
AND(L707="marginal_effect",M707="percent_of_mean"),N707*AN707/BF707/10)</f>
        <v>-2.1039199999999997E-2</v>
      </c>
      <c r="AE707" s="56">
        <f t="shared" si="275"/>
        <v>1</v>
      </c>
      <c r="AF707" s="88">
        <f t="shared" si="281"/>
        <v>1.11384E-2</v>
      </c>
      <c r="AG707" s="88" cm="1">
        <f t="array" ref="AG707">_xlfn.IFS(
AND(L707="marginal_effect",M707="level"),O707*AN707/BF707,
AND(L707="marginal_effect",M707="sd (Y)"),O707*BI707*AN707/BF707,
AND(L707="marginal_effect",M707="sd (X)"),O707/AQ707*AN707/BF707,
AND(L707="semi_elasticity",M707="level"),O707*AN707,
AND(L707="semi_elasticity",M707="sd (Y)"),O707*AN707*BI707,
AND(L707="semi_elasticity",M707="sd (X)"),O707*AN707/AQ707,
AND(L707="level-log",M707="level"),O707/BF707,
AND(L707="level-log",M707="sd (X)"),O707/BF707/AQ707,
AND(L707="level-log",M707="sd (Y)"),O707/BF707*BI707,
AND(L707="elasticity",M707="level"),O707,
AND(L707="elasticity",M707="sd (X)"),O707/AQ707,
AND(L707="elasticity",M707="sd (Y)"),O707*BI707,
AND(L707="marginal_effect",M707="percent_of_mean"),O707*AN707/BF707/10)</f>
        <v>1.11384E-2</v>
      </c>
      <c r="AH707" s="56">
        <f t="shared" si="294"/>
        <v>1</v>
      </c>
      <c r="AI707" s="88">
        <f t="shared" si="287"/>
        <v>-2.1039199999999997E-2</v>
      </c>
      <c r="AJ707" s="55">
        <v>0</v>
      </c>
      <c r="AK707" s="55">
        <f t="shared" si="295"/>
        <v>1</v>
      </c>
      <c r="AL707" s="55" t="s">
        <v>735</v>
      </c>
      <c r="AM707" s="55" t="s">
        <v>1466</v>
      </c>
      <c r="AN707" s="55">
        <v>6.1879999999999997</v>
      </c>
      <c r="AO707" s="55">
        <v>0</v>
      </c>
      <c r="AP707" s="55">
        <f t="shared" si="290"/>
        <v>61.879999999999995</v>
      </c>
      <c r="AQ707" s="55">
        <v>33.57</v>
      </c>
      <c r="AR707" s="55">
        <v>20</v>
      </c>
      <c r="AS707" s="55">
        <v>207</v>
      </c>
      <c r="AT707" s="55" t="s">
        <v>83</v>
      </c>
      <c r="AU707" s="55" t="s">
        <v>109</v>
      </c>
      <c r="AV707" s="55" t="s">
        <v>133</v>
      </c>
      <c r="AW707" s="55" t="s">
        <v>109</v>
      </c>
      <c r="AX707" s="55" t="s">
        <v>86</v>
      </c>
      <c r="AY707" s="55">
        <v>0</v>
      </c>
      <c r="AZ707" s="55">
        <v>0</v>
      </c>
      <c r="BA707" s="55" t="s">
        <v>87</v>
      </c>
      <c r="BB707" s="55" t="s">
        <v>88</v>
      </c>
      <c r="BC707" s="55" t="s">
        <v>89</v>
      </c>
      <c r="BD707" s="55" t="s">
        <v>90</v>
      </c>
      <c r="BE707" s="55" t="s">
        <v>1458</v>
      </c>
      <c r="BF707" s="55">
        <v>101.57</v>
      </c>
      <c r="BG707" s="55">
        <v>0</v>
      </c>
      <c r="BH707" s="55">
        <v>65.849999999999994</v>
      </c>
      <c r="BI707" s="55">
        <v>5</v>
      </c>
      <c r="BJ707" s="55">
        <v>430</v>
      </c>
      <c r="BK707" s="55" t="s">
        <v>91</v>
      </c>
      <c r="BL707" s="55" t="s">
        <v>84</v>
      </c>
      <c r="BM707" s="55">
        <v>1</v>
      </c>
      <c r="BN707" s="55" t="s">
        <v>428</v>
      </c>
      <c r="BO707" s="60" t="s">
        <v>1463</v>
      </c>
      <c r="BP707" s="55" t="s">
        <v>1464</v>
      </c>
      <c r="BQ707" s="55" t="s">
        <v>117</v>
      </c>
      <c r="BR707" s="55" t="s">
        <v>134</v>
      </c>
      <c r="BS707" s="55">
        <v>29.22</v>
      </c>
      <c r="BT707" s="55">
        <v>0.01</v>
      </c>
      <c r="BU707" s="57">
        <v>42552</v>
      </c>
      <c r="BV707" s="57">
        <v>42643</v>
      </c>
      <c r="BW707" s="55" t="s">
        <v>94</v>
      </c>
      <c r="BX707" s="55" t="s">
        <v>95</v>
      </c>
      <c r="BY707" s="55" t="s">
        <v>96</v>
      </c>
      <c r="BZ707" s="55">
        <v>0</v>
      </c>
      <c r="CA707" s="55">
        <v>0</v>
      </c>
      <c r="CB707" s="55" t="s">
        <v>97</v>
      </c>
      <c r="CC707" s="55" t="s">
        <v>1490</v>
      </c>
      <c r="CD707" s="55">
        <v>1</v>
      </c>
      <c r="CE707" s="55" t="s">
        <v>1462</v>
      </c>
      <c r="CF707" s="55">
        <v>0</v>
      </c>
      <c r="CG707" s="55" t="s">
        <v>97</v>
      </c>
      <c r="CH707" s="55">
        <v>1</v>
      </c>
      <c r="CI707" s="55" t="s">
        <v>1465</v>
      </c>
      <c r="CJ707" s="55" t="s">
        <v>98</v>
      </c>
      <c r="CK707" s="55">
        <v>179</v>
      </c>
      <c r="CL707" s="55">
        <v>0</v>
      </c>
      <c r="CM707" s="55">
        <v>0</v>
      </c>
      <c r="CN707" s="55" t="s">
        <v>124</v>
      </c>
      <c r="CO707" s="55" t="s">
        <v>97</v>
      </c>
      <c r="CP707" s="55" t="s">
        <v>100</v>
      </c>
      <c r="CQ707" s="55" t="s">
        <v>126</v>
      </c>
      <c r="CR707" s="57">
        <v>46233</v>
      </c>
      <c r="CT707" s="55" t="s">
        <v>1562</v>
      </c>
    </row>
    <row r="708" spans="1:98" s="55" customFormat="1" x14ac:dyDescent="0.35">
      <c r="A708" s="54" t="s">
        <v>1459</v>
      </c>
      <c r="B708" s="54" t="s">
        <v>1567</v>
      </c>
      <c r="C708" s="55" t="s">
        <v>1460</v>
      </c>
      <c r="D708" s="55">
        <v>2022</v>
      </c>
      <c r="E708" s="60" t="s">
        <v>1461</v>
      </c>
      <c r="F708" s="54" t="s">
        <v>998</v>
      </c>
      <c r="G708" s="55" t="s">
        <v>78</v>
      </c>
      <c r="H708" s="55">
        <v>1</v>
      </c>
      <c r="I708" s="55" t="s">
        <v>290</v>
      </c>
      <c r="J708" s="55" t="s">
        <v>79</v>
      </c>
      <c r="K708" s="55">
        <v>81</v>
      </c>
      <c r="L708" s="55" t="s">
        <v>104</v>
      </c>
      <c r="M708" s="55" t="s">
        <v>380</v>
      </c>
      <c r="N708" s="55">
        <v>-3.8E-3</v>
      </c>
      <c r="O708" s="55">
        <v>1.8E-3</v>
      </c>
      <c r="P708" s="88">
        <f t="shared" si="291"/>
        <v>-2.1111111111111112</v>
      </c>
      <c r="Q708" s="55" t="s">
        <v>312</v>
      </c>
      <c r="R708" s="88">
        <f t="shared" si="292"/>
        <v>-7.3279999999999994E-3</v>
      </c>
      <c r="S708" s="88">
        <f t="shared" si="293"/>
        <v>-2.7200000000000011E-4</v>
      </c>
      <c r="T708" s="55">
        <v>1</v>
      </c>
      <c r="U708" s="55">
        <v>66374</v>
      </c>
      <c r="V708" s="55" t="s">
        <v>312</v>
      </c>
      <c r="W708" s="55" t="s">
        <v>312</v>
      </c>
      <c r="X708" s="55">
        <f t="shared" si="289"/>
        <v>66374</v>
      </c>
      <c r="Y708" s="88">
        <f t="shared" si="296"/>
        <v>-8.1940293611485176E-3</v>
      </c>
      <c r="Z708" s="88">
        <f t="shared" si="297"/>
        <v>3.881382328965087E-3</v>
      </c>
      <c r="AA708" s="88">
        <f t="shared" si="298"/>
        <v>8.1940293611485176E-3</v>
      </c>
      <c r="AB708" s="55" t="s">
        <v>81</v>
      </c>
      <c r="AC708" s="88">
        <f t="shared" si="288"/>
        <v>-2.3514399999999998E-2</v>
      </c>
      <c r="AD708" s="88" cm="1">
        <f t="array" ref="AD708">_xlfn.IFS(
AND(L708="marginal_effect",M708="level"),N708*AN708/BF708,
AND(L708="marginal_effect",M708="sd (Y)"),N708*BI708*AN708/BF708,
AND(L708="marginal_effect",M708="sd (X)"),N708/AQ708*AN708/BF708,
AND(L708="semi_elasticity",M708="level"),N708*AN708,
AND(L708="semi_elasticity",M708="sd (Y)"),N708*AN708*BI708,
AND(L708="semi_elasticity",M708="sd (X)"),N708*AN708/AQ708,
AND(L708="level-log",M708="level"),N708/BF708,
AND(L708="level-log",M708="sd (X)"),N708/BF708/AQ708,
AND(L708="level-log",M708="sd (Y)"),N708/BF708*BI708,
AND(L708="elasticity",M708="level"),N708,
AND(L708="elasticity",M708="sd (X)"),N708/AQ708,
AND(L708="elasticity",M708="sd (Y)"),N708*BI708,
AND(L708="marginal_effect",M708="percent_of_mean"),N708*AN708/BF708/10)</f>
        <v>-2.3514399999999998E-2</v>
      </c>
      <c r="AE708" s="56">
        <f t="shared" si="275"/>
        <v>1</v>
      </c>
      <c r="AF708" s="88">
        <f t="shared" si="281"/>
        <v>1.11384E-2</v>
      </c>
      <c r="AG708" s="88" cm="1">
        <f t="array" ref="AG708">_xlfn.IFS(
AND(L708="marginal_effect",M708="level"),O708*AN708/BF708,
AND(L708="marginal_effect",M708="sd (Y)"),O708*BI708*AN708/BF708,
AND(L708="marginal_effect",M708="sd (X)"),O708/AQ708*AN708/BF708,
AND(L708="semi_elasticity",M708="level"),O708*AN708,
AND(L708="semi_elasticity",M708="sd (Y)"),O708*AN708*BI708,
AND(L708="semi_elasticity",M708="sd (X)"),O708*AN708/AQ708,
AND(L708="level-log",M708="level"),O708/BF708,
AND(L708="level-log",M708="sd (X)"),O708/BF708/AQ708,
AND(L708="level-log",M708="sd (Y)"),O708/BF708*BI708,
AND(L708="elasticity",M708="level"),O708,
AND(L708="elasticity",M708="sd (X)"),O708/AQ708,
AND(L708="elasticity",M708="sd (Y)"),O708*BI708,
AND(L708="marginal_effect",M708="percent_of_mean"),O708*AN708/BF708/10)</f>
        <v>1.11384E-2</v>
      </c>
      <c r="AH708" s="56">
        <f t="shared" si="294"/>
        <v>1</v>
      </c>
      <c r="AI708" s="88">
        <f t="shared" si="287"/>
        <v>-2.3514399999999998E-2</v>
      </c>
      <c r="AJ708" s="55">
        <v>0</v>
      </c>
      <c r="AK708" s="55">
        <f t="shared" si="295"/>
        <v>1</v>
      </c>
      <c r="AL708" s="55" t="s">
        <v>735</v>
      </c>
      <c r="AM708" s="55" t="s">
        <v>1466</v>
      </c>
      <c r="AN708" s="55">
        <v>6.1879999999999997</v>
      </c>
      <c r="AO708" s="55">
        <v>0</v>
      </c>
      <c r="AP708" s="55">
        <f t="shared" si="290"/>
        <v>61.879999999999995</v>
      </c>
      <c r="AQ708" s="55">
        <v>33.57</v>
      </c>
      <c r="AR708" s="55">
        <v>20</v>
      </c>
      <c r="AS708" s="55">
        <v>207</v>
      </c>
      <c r="AT708" s="55" t="s">
        <v>83</v>
      </c>
      <c r="AU708" s="55" t="s">
        <v>109</v>
      </c>
      <c r="AV708" s="55" t="s">
        <v>133</v>
      </c>
      <c r="AW708" s="55" t="s">
        <v>109</v>
      </c>
      <c r="AX708" s="55" t="s">
        <v>86</v>
      </c>
      <c r="AY708" s="55">
        <v>0</v>
      </c>
      <c r="AZ708" s="55">
        <v>0</v>
      </c>
      <c r="BA708" s="55" t="s">
        <v>87</v>
      </c>
      <c r="BB708" s="55" t="s">
        <v>88</v>
      </c>
      <c r="BC708" s="55" t="s">
        <v>89</v>
      </c>
      <c r="BD708" s="55" t="s">
        <v>90</v>
      </c>
      <c r="BE708" s="55" t="s">
        <v>1458</v>
      </c>
      <c r="BF708" s="55">
        <v>101.57</v>
      </c>
      <c r="BG708" s="55">
        <v>0</v>
      </c>
      <c r="BH708" s="55">
        <v>65.849999999999994</v>
      </c>
      <c r="BI708" s="55">
        <v>5</v>
      </c>
      <c r="BJ708" s="55">
        <v>430</v>
      </c>
      <c r="BK708" s="55" t="s">
        <v>91</v>
      </c>
      <c r="BL708" s="55" t="s">
        <v>84</v>
      </c>
      <c r="BM708" s="55">
        <v>1</v>
      </c>
      <c r="BN708" s="55" t="s">
        <v>428</v>
      </c>
      <c r="BO708" s="60" t="s">
        <v>1463</v>
      </c>
      <c r="BP708" s="55" t="s">
        <v>1464</v>
      </c>
      <c r="BQ708" s="55" t="s">
        <v>117</v>
      </c>
      <c r="BR708" s="55" t="s">
        <v>134</v>
      </c>
      <c r="BS708" s="55">
        <v>29.22</v>
      </c>
      <c r="BT708" s="55">
        <v>0.01</v>
      </c>
      <c r="BU708" s="57">
        <v>42552</v>
      </c>
      <c r="BV708" s="57">
        <v>42643</v>
      </c>
      <c r="BW708" s="55" t="s">
        <v>94</v>
      </c>
      <c r="BX708" s="55" t="s">
        <v>95</v>
      </c>
      <c r="BY708" s="55" t="s">
        <v>96</v>
      </c>
      <c r="BZ708" s="55">
        <v>0</v>
      </c>
      <c r="CA708" s="55">
        <v>0</v>
      </c>
      <c r="CB708" s="55" t="s">
        <v>97</v>
      </c>
      <c r="CC708" s="55" t="s">
        <v>314</v>
      </c>
      <c r="CD708" s="55">
        <v>1</v>
      </c>
      <c r="CE708" s="55" t="s">
        <v>1462</v>
      </c>
      <c r="CF708" s="55">
        <v>0</v>
      </c>
      <c r="CG708" s="55" t="s">
        <v>97</v>
      </c>
      <c r="CH708" s="55">
        <v>1</v>
      </c>
      <c r="CI708" s="55" t="s">
        <v>1465</v>
      </c>
      <c r="CJ708" s="55" t="s">
        <v>98</v>
      </c>
      <c r="CK708" s="55">
        <v>179</v>
      </c>
      <c r="CL708" s="55">
        <v>0</v>
      </c>
      <c r="CM708" s="55">
        <v>0</v>
      </c>
      <c r="CN708" s="55" t="s">
        <v>124</v>
      </c>
      <c r="CO708" s="55" t="s">
        <v>97</v>
      </c>
      <c r="CP708" s="55" t="s">
        <v>100</v>
      </c>
      <c r="CQ708" s="55" t="s">
        <v>126</v>
      </c>
      <c r="CR708" s="57">
        <v>46233</v>
      </c>
      <c r="CT708" s="55" t="s">
        <v>1563</v>
      </c>
    </row>
    <row r="709" spans="1:98" s="55" customFormat="1" x14ac:dyDescent="0.35">
      <c r="A709" s="54" t="s">
        <v>1459</v>
      </c>
      <c r="B709" s="54" t="s">
        <v>1569</v>
      </c>
      <c r="C709" s="55" t="s">
        <v>1460</v>
      </c>
      <c r="D709" s="55">
        <v>2022</v>
      </c>
      <c r="E709" s="60" t="s">
        <v>1461</v>
      </c>
      <c r="F709" s="54" t="s">
        <v>998</v>
      </c>
      <c r="G709" s="55" t="s">
        <v>78</v>
      </c>
      <c r="H709" s="55">
        <v>1</v>
      </c>
      <c r="I709" s="55" t="s">
        <v>290</v>
      </c>
      <c r="J709" s="55" t="s">
        <v>79</v>
      </c>
      <c r="K709" s="55">
        <v>81</v>
      </c>
      <c r="L709" s="55" t="s">
        <v>104</v>
      </c>
      <c r="M709" s="55" t="s">
        <v>380</v>
      </c>
      <c r="N709" s="55">
        <v>-1.8E-3</v>
      </c>
      <c r="O709" s="55">
        <v>1.6999999999999999E-3</v>
      </c>
      <c r="P709" s="88">
        <f t="shared" si="291"/>
        <v>-1.0588235294117647</v>
      </c>
      <c r="Q709" s="55" t="s">
        <v>312</v>
      </c>
      <c r="R709" s="88">
        <f t="shared" si="292"/>
        <v>-5.1319999999999994E-3</v>
      </c>
      <c r="S709" s="88">
        <f t="shared" si="293"/>
        <v>1.5319999999999999E-3</v>
      </c>
      <c r="T709" s="55">
        <v>1</v>
      </c>
      <c r="U709" s="55">
        <v>66374</v>
      </c>
      <c r="V709" s="55" t="s">
        <v>312</v>
      </c>
      <c r="W709" s="55" t="s">
        <v>312</v>
      </c>
      <c r="X709" s="55">
        <f t="shared" si="289"/>
        <v>66374</v>
      </c>
      <c r="Y709" s="88">
        <f t="shared" si="296"/>
        <v>-4.1098022017493855E-3</v>
      </c>
      <c r="Z709" s="88">
        <f t="shared" si="297"/>
        <v>3.8814798572077533E-3</v>
      </c>
      <c r="AA709" s="88">
        <f t="shared" si="298"/>
        <v>4.1098022017493855E-3</v>
      </c>
      <c r="AB709" s="55" t="s">
        <v>81</v>
      </c>
      <c r="AC709" s="88">
        <f t="shared" si="288"/>
        <v>-1.11384E-2</v>
      </c>
      <c r="AD709" s="88" cm="1">
        <f t="array" ref="AD709">_xlfn.IFS(
AND(L709="marginal_effect",M709="level"),N709*AN709/BF709,
AND(L709="marginal_effect",M709="sd (Y)"),N709*BI709*AN709/BF709,
AND(L709="marginal_effect",M709="sd (X)"),N709/AQ709*AN709/BF709,
AND(L709="semi_elasticity",M709="level"),N709*AN709,
AND(L709="semi_elasticity",M709="sd (Y)"),N709*AN709*BI709,
AND(L709="semi_elasticity",M709="sd (X)"),N709*AN709/AQ709,
AND(L709="level-log",M709="level"),N709/BF709,
AND(L709="level-log",M709="sd (X)"),N709/BF709/AQ709,
AND(L709="level-log",M709="sd (Y)"),N709/BF709*BI709,
AND(L709="elasticity",M709="level"),N709,
AND(L709="elasticity",M709="sd (X)"),N709/AQ709,
AND(L709="elasticity",M709="sd (Y)"),N709*BI709,
AND(L709="marginal_effect",M709="percent_of_mean"),N709*AN709/BF709/10)</f>
        <v>-1.11384E-2</v>
      </c>
      <c r="AE709" s="56">
        <f t="shared" si="275"/>
        <v>1</v>
      </c>
      <c r="AF709" s="88">
        <f t="shared" si="281"/>
        <v>1.0519599999999999E-2</v>
      </c>
      <c r="AG709" s="88" cm="1">
        <f t="array" ref="AG709">_xlfn.IFS(
AND(L709="marginal_effect",M709="level"),O709*AN709/BF709,
AND(L709="marginal_effect",M709="sd (Y)"),O709*BI709*AN709/BF709,
AND(L709="marginal_effect",M709="sd (X)"),O709/AQ709*AN709/BF709,
AND(L709="semi_elasticity",M709="level"),O709*AN709,
AND(L709="semi_elasticity",M709="sd (Y)"),O709*AN709*BI709,
AND(L709="semi_elasticity",M709="sd (X)"),O709*AN709/AQ709,
AND(L709="level-log",M709="level"),O709/BF709,
AND(L709="level-log",M709="sd (X)"),O709/BF709/AQ709,
AND(L709="level-log",M709="sd (Y)"),O709/BF709*BI709,
AND(L709="elasticity",M709="level"),O709,
AND(L709="elasticity",M709="sd (X)"),O709/AQ709,
AND(L709="elasticity",M709="sd (Y)"),O709*BI709,
AND(L709="marginal_effect",M709="percent_of_mean"),O709*AN709/BF709/10)</f>
        <v>1.0519599999999999E-2</v>
      </c>
      <c r="AH709" s="56">
        <f t="shared" si="294"/>
        <v>1</v>
      </c>
      <c r="AI709" s="88">
        <f t="shared" si="287"/>
        <v>-1.11384E-2</v>
      </c>
      <c r="AJ709" s="55">
        <v>0</v>
      </c>
      <c r="AK709" s="55">
        <f t="shared" si="295"/>
        <v>1</v>
      </c>
      <c r="AL709" s="55" t="s">
        <v>735</v>
      </c>
      <c r="AM709" s="55" t="s">
        <v>1466</v>
      </c>
      <c r="AN709" s="55">
        <v>6.1879999999999997</v>
      </c>
      <c r="AO709" s="55">
        <v>0</v>
      </c>
      <c r="AP709" s="55">
        <f t="shared" si="290"/>
        <v>61.879999999999995</v>
      </c>
      <c r="AQ709" s="55">
        <v>33.57</v>
      </c>
      <c r="AR709" s="55">
        <v>20</v>
      </c>
      <c r="AS709" s="55">
        <v>207</v>
      </c>
      <c r="AT709" s="55" t="s">
        <v>83</v>
      </c>
      <c r="AU709" s="55" t="s">
        <v>109</v>
      </c>
      <c r="AV709" s="55" t="s">
        <v>133</v>
      </c>
      <c r="AW709" s="55" t="s">
        <v>109</v>
      </c>
      <c r="AX709" s="55" t="s">
        <v>86</v>
      </c>
      <c r="AY709" s="55">
        <v>0</v>
      </c>
      <c r="AZ709" s="55">
        <v>0</v>
      </c>
      <c r="BA709" s="55" t="s">
        <v>87</v>
      </c>
      <c r="BB709" s="55" t="s">
        <v>88</v>
      </c>
      <c r="BC709" s="55" t="s">
        <v>89</v>
      </c>
      <c r="BD709" s="55" t="s">
        <v>90</v>
      </c>
      <c r="BE709" s="55" t="s">
        <v>1458</v>
      </c>
      <c r="BF709" s="55">
        <v>101.57</v>
      </c>
      <c r="BG709" s="55">
        <v>0</v>
      </c>
      <c r="BH709" s="55">
        <v>65.849999999999994</v>
      </c>
      <c r="BI709" s="55">
        <v>5</v>
      </c>
      <c r="BJ709" s="55">
        <v>430</v>
      </c>
      <c r="BK709" s="55" t="s">
        <v>91</v>
      </c>
      <c r="BL709" s="55" t="s">
        <v>84</v>
      </c>
      <c r="BM709" s="55">
        <v>1</v>
      </c>
      <c r="BN709" s="55" t="s">
        <v>428</v>
      </c>
      <c r="BO709" s="60" t="s">
        <v>1463</v>
      </c>
      <c r="BP709" s="55" t="s">
        <v>1464</v>
      </c>
      <c r="BQ709" s="55" t="s">
        <v>117</v>
      </c>
      <c r="BR709" s="55" t="s">
        <v>134</v>
      </c>
      <c r="BS709" s="55">
        <v>29.22</v>
      </c>
      <c r="BT709" s="55">
        <v>0.01</v>
      </c>
      <c r="BU709" s="57">
        <v>42552</v>
      </c>
      <c r="BV709" s="57">
        <v>42643</v>
      </c>
      <c r="BW709" s="55" t="s">
        <v>94</v>
      </c>
      <c r="BX709" s="55" t="s">
        <v>95</v>
      </c>
      <c r="BY709" s="55" t="s">
        <v>96</v>
      </c>
      <c r="BZ709" s="55">
        <v>0</v>
      </c>
      <c r="CA709" s="55">
        <v>0</v>
      </c>
      <c r="CB709" s="55" t="s">
        <v>97</v>
      </c>
      <c r="CC709" s="55" t="s">
        <v>314</v>
      </c>
      <c r="CD709" s="55">
        <v>1</v>
      </c>
      <c r="CE709" s="55" t="s">
        <v>1462</v>
      </c>
      <c r="CF709" s="55">
        <v>0</v>
      </c>
      <c r="CG709" s="55" t="s">
        <v>97</v>
      </c>
      <c r="CH709" s="55">
        <v>1</v>
      </c>
      <c r="CI709" s="55" t="s">
        <v>1465</v>
      </c>
      <c r="CJ709" s="55" t="s">
        <v>98</v>
      </c>
      <c r="CK709" s="55">
        <v>179</v>
      </c>
      <c r="CL709" s="55">
        <v>0</v>
      </c>
      <c r="CM709" s="55">
        <v>0</v>
      </c>
      <c r="CN709" s="55" t="s">
        <v>124</v>
      </c>
      <c r="CO709" s="55" t="s">
        <v>97</v>
      </c>
      <c r="CP709" s="55" t="s">
        <v>100</v>
      </c>
      <c r="CQ709" s="55" t="s">
        <v>126</v>
      </c>
      <c r="CR709" s="57">
        <v>46233</v>
      </c>
      <c r="CT709" s="55" t="s">
        <v>1564</v>
      </c>
    </row>
    <row r="710" spans="1:98" s="55" customFormat="1" x14ac:dyDescent="0.35">
      <c r="A710" s="54" t="s">
        <v>1459</v>
      </c>
      <c r="B710" s="54" t="s">
        <v>1570</v>
      </c>
      <c r="C710" s="55" t="s">
        <v>1460</v>
      </c>
      <c r="D710" s="55">
        <v>2022</v>
      </c>
      <c r="E710" s="60" t="s">
        <v>1461</v>
      </c>
      <c r="F710" s="54" t="s">
        <v>998</v>
      </c>
      <c r="G710" s="55" t="s">
        <v>78</v>
      </c>
      <c r="H710" s="55">
        <v>1</v>
      </c>
      <c r="I710" s="55" t="s">
        <v>290</v>
      </c>
      <c r="J710" s="55" t="s">
        <v>79</v>
      </c>
      <c r="K710" s="55">
        <v>81</v>
      </c>
      <c r="L710" s="55" t="s">
        <v>104</v>
      </c>
      <c r="M710" s="55" t="s">
        <v>380</v>
      </c>
      <c r="N710" s="55">
        <v>-4.7000000000000002E-3</v>
      </c>
      <c r="O710" s="55">
        <v>1.9E-3</v>
      </c>
      <c r="P710" s="88">
        <f t="shared" si="291"/>
        <v>-2.4736842105263159</v>
      </c>
      <c r="Q710" s="55" t="s">
        <v>312</v>
      </c>
      <c r="R710" s="88">
        <f t="shared" si="292"/>
        <v>-8.4240000000000009E-3</v>
      </c>
      <c r="S710" s="88">
        <f t="shared" si="293"/>
        <v>-9.760000000000003E-4</v>
      </c>
      <c r="T710" s="55">
        <v>1</v>
      </c>
      <c r="U710" s="55">
        <v>66374</v>
      </c>
      <c r="V710" s="55" t="s">
        <v>312</v>
      </c>
      <c r="W710" s="55" t="s">
        <v>312</v>
      </c>
      <c r="X710" s="55">
        <f t="shared" si="289"/>
        <v>66374</v>
      </c>
      <c r="Y710" s="88">
        <f t="shared" si="296"/>
        <v>-9.6011939610183197E-3</v>
      </c>
      <c r="Z710" s="88">
        <f t="shared" si="297"/>
        <v>3.8813337289222991E-3</v>
      </c>
      <c r="AA710" s="88">
        <f t="shared" si="298"/>
        <v>9.6011939610183197E-3</v>
      </c>
      <c r="AB710" s="55" t="s">
        <v>81</v>
      </c>
      <c r="AC710" s="88">
        <f t="shared" si="288"/>
        <v>-2.9083600000000001E-2</v>
      </c>
      <c r="AD710" s="88" cm="1">
        <f t="array" ref="AD710">_xlfn.IFS(
AND(L710="marginal_effect",M710="level"),N710*AN710/BF710,
AND(L710="marginal_effect",M710="sd (Y)"),N710*BI710*AN710/BF710,
AND(L710="marginal_effect",M710="sd (X)"),N710/AQ710*AN710/BF710,
AND(L710="semi_elasticity",M710="level"),N710*AN710,
AND(L710="semi_elasticity",M710="sd (Y)"),N710*AN710*BI710,
AND(L710="semi_elasticity",M710="sd (X)"),N710*AN710/AQ710,
AND(L710="level-log",M710="level"),N710/BF710,
AND(L710="level-log",M710="sd (X)"),N710/BF710/AQ710,
AND(L710="level-log",M710="sd (Y)"),N710/BF710*BI710,
AND(L710="elasticity",M710="level"),N710,
AND(L710="elasticity",M710="sd (X)"),N710/AQ710,
AND(L710="elasticity",M710="sd (Y)"),N710*BI710,
AND(L710="marginal_effect",M710="percent_of_mean"),N710*AN710/BF710/10)</f>
        <v>-2.9083600000000001E-2</v>
      </c>
      <c r="AE710" s="56">
        <f t="shared" si="275"/>
        <v>1</v>
      </c>
      <c r="AF710" s="88">
        <f t="shared" si="281"/>
        <v>1.1757199999999999E-2</v>
      </c>
      <c r="AG710" s="88" cm="1">
        <f t="array" ref="AG710">_xlfn.IFS(
AND(L710="marginal_effect",M710="level"),O710*AN710/BF710,
AND(L710="marginal_effect",M710="sd (Y)"),O710*BI710*AN710/BF710,
AND(L710="marginal_effect",M710="sd (X)"),O710/AQ710*AN710/BF710,
AND(L710="semi_elasticity",M710="level"),O710*AN710,
AND(L710="semi_elasticity",M710="sd (Y)"),O710*AN710*BI710,
AND(L710="semi_elasticity",M710="sd (X)"),O710*AN710/AQ710,
AND(L710="level-log",M710="level"),O710/BF710,
AND(L710="level-log",M710="sd (X)"),O710/BF710/AQ710,
AND(L710="level-log",M710="sd (Y)"),O710/BF710*BI710,
AND(L710="elasticity",M710="level"),O710,
AND(L710="elasticity",M710="sd (X)"),O710/AQ710,
AND(L710="elasticity",M710="sd (Y)"),O710*BI710,
AND(L710="marginal_effect",M710="percent_of_mean"),O710*AN710/BF710/10)</f>
        <v>1.1757199999999999E-2</v>
      </c>
      <c r="AH710" s="56">
        <f t="shared" si="294"/>
        <v>1</v>
      </c>
      <c r="AI710" s="88">
        <f t="shared" ref="AI710:AI741" si="299">AC710</f>
        <v>-2.9083600000000001E-2</v>
      </c>
      <c r="AJ710" s="55">
        <v>0</v>
      </c>
      <c r="AK710" s="55">
        <f t="shared" si="295"/>
        <v>1</v>
      </c>
      <c r="AL710" s="55" t="s">
        <v>735</v>
      </c>
      <c r="AM710" s="55" t="s">
        <v>1466</v>
      </c>
      <c r="AN710" s="55">
        <v>6.1879999999999997</v>
      </c>
      <c r="AO710" s="55">
        <v>0</v>
      </c>
      <c r="AP710" s="55">
        <f t="shared" si="290"/>
        <v>61.879999999999995</v>
      </c>
      <c r="AQ710" s="55">
        <v>33.57</v>
      </c>
      <c r="AR710" s="55">
        <v>20</v>
      </c>
      <c r="AS710" s="55">
        <v>207</v>
      </c>
      <c r="AT710" s="55" t="s">
        <v>83</v>
      </c>
      <c r="AU710" s="55" t="s">
        <v>109</v>
      </c>
      <c r="AV710" s="55" t="s">
        <v>133</v>
      </c>
      <c r="AW710" s="55" t="s">
        <v>109</v>
      </c>
      <c r="AX710" s="55" t="s">
        <v>86</v>
      </c>
      <c r="AY710" s="55">
        <v>0</v>
      </c>
      <c r="AZ710" s="55">
        <v>0</v>
      </c>
      <c r="BA710" s="55" t="s">
        <v>87</v>
      </c>
      <c r="BB710" s="55" t="s">
        <v>88</v>
      </c>
      <c r="BC710" s="55" t="s">
        <v>89</v>
      </c>
      <c r="BD710" s="55" t="s">
        <v>90</v>
      </c>
      <c r="BE710" s="55" t="s">
        <v>1458</v>
      </c>
      <c r="BF710" s="55">
        <v>101.57</v>
      </c>
      <c r="BG710" s="55">
        <v>0</v>
      </c>
      <c r="BH710" s="55">
        <v>65.849999999999994</v>
      </c>
      <c r="BI710" s="55">
        <v>5</v>
      </c>
      <c r="BJ710" s="55">
        <v>430</v>
      </c>
      <c r="BK710" s="55" t="s">
        <v>91</v>
      </c>
      <c r="BL710" s="55" t="s">
        <v>84</v>
      </c>
      <c r="BM710" s="55">
        <v>1</v>
      </c>
      <c r="BN710" s="55" t="s">
        <v>428</v>
      </c>
      <c r="BO710" s="60" t="s">
        <v>1463</v>
      </c>
      <c r="BP710" s="55" t="s">
        <v>1464</v>
      </c>
      <c r="BQ710" s="55" t="s">
        <v>117</v>
      </c>
      <c r="BR710" s="55" t="s">
        <v>134</v>
      </c>
      <c r="BS710" s="55">
        <v>29.22</v>
      </c>
      <c r="BT710" s="55">
        <v>0.01</v>
      </c>
      <c r="BU710" s="57">
        <v>42552</v>
      </c>
      <c r="BV710" s="57">
        <v>42643</v>
      </c>
      <c r="BW710" s="55" t="s">
        <v>94</v>
      </c>
      <c r="BX710" s="55" t="s">
        <v>95</v>
      </c>
      <c r="BY710" s="55" t="s">
        <v>96</v>
      </c>
      <c r="BZ710" s="55">
        <v>0</v>
      </c>
      <c r="CA710" s="55">
        <v>0</v>
      </c>
      <c r="CB710" s="55" t="s">
        <v>97</v>
      </c>
      <c r="CC710" s="55" t="s">
        <v>1490</v>
      </c>
      <c r="CD710" s="55">
        <v>1</v>
      </c>
      <c r="CE710" s="55" t="s">
        <v>1462</v>
      </c>
      <c r="CF710" s="55">
        <v>0</v>
      </c>
      <c r="CG710" s="55" t="s">
        <v>97</v>
      </c>
      <c r="CH710" s="55">
        <v>1</v>
      </c>
      <c r="CI710" s="55" t="s">
        <v>1465</v>
      </c>
      <c r="CJ710" s="55" t="s">
        <v>98</v>
      </c>
      <c r="CK710" s="55">
        <v>179</v>
      </c>
      <c r="CL710" s="55">
        <v>0</v>
      </c>
      <c r="CM710" s="55">
        <v>0</v>
      </c>
      <c r="CN710" s="55" t="s">
        <v>124</v>
      </c>
      <c r="CO710" s="55" t="s">
        <v>97</v>
      </c>
      <c r="CP710" s="55" t="s">
        <v>100</v>
      </c>
      <c r="CQ710" s="55" t="s">
        <v>126</v>
      </c>
      <c r="CR710" s="57">
        <v>46233</v>
      </c>
      <c r="CT710" s="55" t="s">
        <v>1565</v>
      </c>
    </row>
    <row r="711" spans="1:98" s="55" customFormat="1" x14ac:dyDescent="0.35">
      <c r="A711" s="54" t="s">
        <v>1459</v>
      </c>
      <c r="B711" s="54" t="s">
        <v>1571</v>
      </c>
      <c r="C711" s="55" t="s">
        <v>1460</v>
      </c>
      <c r="D711" s="55">
        <v>2022</v>
      </c>
      <c r="E711" s="60" t="s">
        <v>1461</v>
      </c>
      <c r="F711" s="54" t="s">
        <v>998</v>
      </c>
      <c r="G711" s="55" t="s">
        <v>78</v>
      </c>
      <c r="H711" s="55">
        <v>1</v>
      </c>
      <c r="I711" s="55" t="s">
        <v>290</v>
      </c>
      <c r="J711" s="55" t="s">
        <v>79</v>
      </c>
      <c r="K711" s="55">
        <v>81</v>
      </c>
      <c r="L711" s="55" t="s">
        <v>129</v>
      </c>
      <c r="M711" s="55" t="s">
        <v>380</v>
      </c>
      <c r="N711" s="55">
        <v>-0.86180000000000001</v>
      </c>
      <c r="O711" s="55">
        <v>0.21759999999999999</v>
      </c>
      <c r="P711" s="88">
        <f t="shared" si="291"/>
        <v>-3.960477941176471</v>
      </c>
      <c r="Q711" s="55" t="s">
        <v>312</v>
      </c>
      <c r="R711" s="88">
        <f t="shared" si="292"/>
        <v>-1.2882959999999999</v>
      </c>
      <c r="S711" s="88">
        <f t="shared" si="293"/>
        <v>-0.43530400000000002</v>
      </c>
      <c r="T711" s="55">
        <v>1</v>
      </c>
      <c r="U711" s="55">
        <v>66374</v>
      </c>
      <c r="V711" s="55" t="s">
        <v>312</v>
      </c>
      <c r="W711" s="55" t="s">
        <v>312</v>
      </c>
      <c r="X711" s="55">
        <f t="shared" si="289"/>
        <v>66374</v>
      </c>
      <c r="Y711" s="88">
        <f t="shared" si="296"/>
        <v>-1.5370829083577927E-2</v>
      </c>
      <c r="Z711" s="88">
        <f t="shared" si="297"/>
        <v>3.8810540828342504E-3</v>
      </c>
      <c r="AA711" s="88">
        <f t="shared" si="298"/>
        <v>1.5370829083577927E-2</v>
      </c>
      <c r="AB711" s="55" t="s">
        <v>81</v>
      </c>
      <c r="AC711" s="88">
        <f>N711*AN711/BF711</f>
        <v>-5.2503873190902828E-2</v>
      </c>
      <c r="AD711" s="88" cm="1">
        <f t="array" ref="AD711">_xlfn.IFS(
AND(L711="marginal_effect",M711="level"),N711*AN711/BF711,
AND(L711="marginal_effect",M711="sd (Y)"),N711*BI711*AN711/BF711,
AND(L711="marginal_effect",M711="sd (X)"),N711/AQ711*AN711/BF711,
AND(L711="semi_elasticity",M711="level"),N711*AN711,
AND(L711="semi_elasticity",M711="sd (Y)"),N711*AN711*BI711,
AND(L711="semi_elasticity",M711="sd (X)"),N711*AN711/AQ711,
AND(L711="level-log",M711="level"),N711/BF711,
AND(L711="level-log",M711="sd (X)"),N711/BF711/AQ711,
AND(L711="level-log",M711="sd (Y)"),N711/BF711*BI711,
AND(L711="elasticity",M711="level"),N711,
AND(L711="elasticity",M711="sd (X)"),N711/AQ711,
AND(L711="elasticity",M711="sd (Y)"),N711*BI711,
AND(L711="marginal_effect",M711="percent_of_mean"),N711*AN711/BF711/10)</f>
        <v>-5.2503873190902828E-2</v>
      </c>
      <c r="AE711" s="56">
        <f t="shared" si="275"/>
        <v>1</v>
      </c>
      <c r="AF711" s="88">
        <f>O711*AN711/BF711</f>
        <v>1.3256953824948311E-2</v>
      </c>
      <c r="AG711" s="88" cm="1">
        <f t="array" ref="AG711">_xlfn.IFS(
AND(L711="marginal_effect",M711="level"),O711*AN711/BF711,
AND(L711="marginal_effect",M711="sd (Y)"),O711*BI711*AN711/BF711,
AND(L711="marginal_effect",M711="sd (X)"),O711/AQ711*AN711/BF711,
AND(L711="semi_elasticity",M711="level"),O711*AN711,
AND(L711="semi_elasticity",M711="sd (Y)"),O711*AN711*BI711,
AND(L711="semi_elasticity",M711="sd (X)"),O711*AN711/AQ711,
AND(L711="level-log",M711="level"),O711/BF711,
AND(L711="level-log",M711="sd (X)"),O711/BF711/AQ711,
AND(L711="level-log",M711="sd (Y)"),O711/BF711*BI711,
AND(L711="elasticity",M711="level"),O711,
AND(L711="elasticity",M711="sd (X)"),O711/AQ711,
AND(L711="elasticity",M711="sd (Y)"),O711*BI711,
AND(L711="marginal_effect",M711="percent_of_mean"),O711*AN711/BF711/10)</f>
        <v>1.3256953824948311E-2</v>
      </c>
      <c r="AH711" s="56">
        <f t="shared" si="294"/>
        <v>1</v>
      </c>
      <c r="AI711" s="88">
        <f t="shared" si="299"/>
        <v>-5.2503873190902828E-2</v>
      </c>
      <c r="AJ711" s="55">
        <v>0</v>
      </c>
      <c r="AK711" s="55">
        <f t="shared" si="295"/>
        <v>1</v>
      </c>
      <c r="AL711" s="55" t="s">
        <v>735</v>
      </c>
      <c r="AM711" s="55" t="s">
        <v>1466</v>
      </c>
      <c r="AN711" s="55">
        <v>6.1879999999999997</v>
      </c>
      <c r="AO711" s="55">
        <v>0</v>
      </c>
      <c r="AP711" s="55">
        <f t="shared" si="290"/>
        <v>61.879999999999995</v>
      </c>
      <c r="AQ711" s="55">
        <v>33.57</v>
      </c>
      <c r="AR711" s="55">
        <v>20</v>
      </c>
      <c r="AS711" s="55">
        <v>207</v>
      </c>
      <c r="AT711" s="55" t="s">
        <v>83</v>
      </c>
      <c r="AU711" s="55" t="s">
        <v>109</v>
      </c>
      <c r="AV711" s="55" t="s">
        <v>133</v>
      </c>
      <c r="AW711" s="55" t="s">
        <v>109</v>
      </c>
      <c r="AX711" s="55" t="s">
        <v>86</v>
      </c>
      <c r="AY711" s="55">
        <v>0</v>
      </c>
      <c r="AZ711" s="55">
        <v>0</v>
      </c>
      <c r="BA711" s="55" t="s">
        <v>87</v>
      </c>
      <c r="BB711" s="55" t="s">
        <v>88</v>
      </c>
      <c r="BC711" s="55" t="s">
        <v>89</v>
      </c>
      <c r="BD711" s="55" t="s">
        <v>90</v>
      </c>
      <c r="BE711" s="55" t="s">
        <v>1458</v>
      </c>
      <c r="BF711" s="55">
        <v>101.57</v>
      </c>
      <c r="BG711" s="55">
        <v>0</v>
      </c>
      <c r="BH711" s="55">
        <v>65.849999999999994</v>
      </c>
      <c r="BI711" s="55">
        <v>5</v>
      </c>
      <c r="BJ711" s="55">
        <v>430</v>
      </c>
      <c r="BK711" s="55" t="s">
        <v>91</v>
      </c>
      <c r="BL711" s="55" t="s">
        <v>84</v>
      </c>
      <c r="BM711" s="55">
        <v>1</v>
      </c>
      <c r="BN711" s="55" t="s">
        <v>428</v>
      </c>
      <c r="BO711" s="60" t="s">
        <v>1463</v>
      </c>
      <c r="BP711" s="55" t="s">
        <v>1464</v>
      </c>
      <c r="BQ711" s="55" t="s">
        <v>117</v>
      </c>
      <c r="BR711" s="55" t="s">
        <v>134</v>
      </c>
      <c r="BS711" s="55">
        <v>29.22</v>
      </c>
      <c r="BT711" s="55">
        <v>0.01</v>
      </c>
      <c r="BU711" s="57">
        <v>42552</v>
      </c>
      <c r="BV711" s="57">
        <v>42643</v>
      </c>
      <c r="BW711" s="55" t="s">
        <v>94</v>
      </c>
      <c r="BX711" s="55" t="s">
        <v>95</v>
      </c>
      <c r="BY711" s="55" t="s">
        <v>96</v>
      </c>
      <c r="BZ711" s="55">
        <v>0</v>
      </c>
      <c r="CA711" s="55">
        <v>0</v>
      </c>
      <c r="CB711" s="55" t="s">
        <v>97</v>
      </c>
      <c r="CC711" s="55" t="s">
        <v>509</v>
      </c>
      <c r="CD711" s="55">
        <v>1</v>
      </c>
      <c r="CE711" s="55" t="s">
        <v>1462</v>
      </c>
      <c r="CF711" s="55">
        <v>0</v>
      </c>
      <c r="CG711" s="55" t="s">
        <v>97</v>
      </c>
      <c r="CH711" s="55">
        <v>1</v>
      </c>
      <c r="CI711" s="55" t="s">
        <v>1465</v>
      </c>
      <c r="CJ711" s="55" t="s">
        <v>98</v>
      </c>
      <c r="CK711" s="55">
        <v>179</v>
      </c>
      <c r="CL711" s="55">
        <v>0</v>
      </c>
      <c r="CM711" s="55">
        <v>0</v>
      </c>
      <c r="CN711" s="55" t="s">
        <v>124</v>
      </c>
      <c r="CO711" s="55" t="s">
        <v>97</v>
      </c>
      <c r="CP711" s="55" t="s">
        <v>100</v>
      </c>
      <c r="CQ711" s="55" t="s">
        <v>126</v>
      </c>
      <c r="CR711" s="57">
        <v>46233</v>
      </c>
      <c r="CT711" s="55" t="s">
        <v>1561</v>
      </c>
    </row>
    <row r="712" spans="1:98" s="55" customFormat="1" x14ac:dyDescent="0.35">
      <c r="A712" s="54" t="s">
        <v>1459</v>
      </c>
      <c r="B712" s="54" t="s">
        <v>1572</v>
      </c>
      <c r="C712" s="55" t="s">
        <v>1460</v>
      </c>
      <c r="D712" s="55">
        <v>2022</v>
      </c>
      <c r="E712" s="60" t="s">
        <v>1461</v>
      </c>
      <c r="F712" s="54" t="s">
        <v>998</v>
      </c>
      <c r="G712" s="55" t="s">
        <v>78</v>
      </c>
      <c r="H712" s="55">
        <v>1</v>
      </c>
      <c r="I712" s="55" t="s">
        <v>290</v>
      </c>
      <c r="J712" s="55" t="s">
        <v>79</v>
      </c>
      <c r="K712" s="55">
        <v>81</v>
      </c>
      <c r="L712" s="55" t="s">
        <v>129</v>
      </c>
      <c r="M712" s="55" t="s">
        <v>380</v>
      </c>
      <c r="N712" s="55">
        <v>-0.3836</v>
      </c>
      <c r="O712" s="55">
        <v>0.17180000000000001</v>
      </c>
      <c r="P712" s="88">
        <f t="shared" si="291"/>
        <v>-2.2328288707799766</v>
      </c>
      <c r="Q712" s="55" t="s">
        <v>312</v>
      </c>
      <c r="R712" s="88">
        <f t="shared" si="292"/>
        <v>-0.72032800000000008</v>
      </c>
      <c r="S712" s="88">
        <f t="shared" si="293"/>
        <v>-4.6871999999999969E-2</v>
      </c>
      <c r="T712" s="55">
        <v>1</v>
      </c>
      <c r="U712" s="55">
        <v>66374</v>
      </c>
      <c r="V712" s="55" t="s">
        <v>312</v>
      </c>
      <c r="W712" s="55" t="s">
        <v>312</v>
      </c>
      <c r="X712" s="55">
        <f t="shared" ref="X712:X720" si="300">U712</f>
        <v>66374</v>
      </c>
      <c r="Y712" s="88">
        <f t="shared" si="296"/>
        <v>-8.666428006693953E-3</v>
      </c>
      <c r="Z712" s="88">
        <f t="shared" si="297"/>
        <v>3.8813668705683559E-3</v>
      </c>
      <c r="AA712" s="88">
        <f t="shared" si="298"/>
        <v>8.666428006693953E-3</v>
      </c>
      <c r="AB712" s="55" t="s">
        <v>81</v>
      </c>
      <c r="AC712" s="88">
        <f>N712*AN712/BF712</f>
        <v>-2.3370254996554103E-2</v>
      </c>
      <c r="AD712" s="88" cm="1">
        <f t="array" ref="AD712">_xlfn.IFS(
AND(L712="marginal_effect",M712="level"),N712*AN712/BF712,
AND(L712="marginal_effect",M712="sd (Y)"),N712*BI712*AN712/BF712,
AND(L712="marginal_effect",M712="sd (X)"),N712/AQ712*AN712/BF712,
AND(L712="semi_elasticity",M712="level"),N712*AN712,
AND(L712="semi_elasticity",M712="sd (Y)"),N712*AN712*BI712,
AND(L712="semi_elasticity",M712="sd (X)"),N712*AN712/AQ712,
AND(L712="level-log",M712="level"),N712/BF712,
AND(L712="level-log",M712="sd (X)"),N712/BF712/AQ712,
AND(L712="level-log",M712="sd (Y)"),N712/BF712*BI712,
AND(L712="elasticity",M712="level"),N712,
AND(L712="elasticity",M712="sd (X)"),N712/AQ712,
AND(L712="elasticity",M712="sd (Y)"),N712*BI712,
AND(L712="marginal_effect",M712="percent_of_mean"),N712*AN712/BF712/10)</f>
        <v>-2.3370254996554103E-2</v>
      </c>
      <c r="AE712" s="56">
        <f t="shared" si="275"/>
        <v>1</v>
      </c>
      <c r="AF712" s="88">
        <f>O712*AN712/BF712</f>
        <v>1.0466657477601655E-2</v>
      </c>
      <c r="AG712" s="88" cm="1">
        <f t="array" ref="AG712">_xlfn.IFS(
AND(L712="marginal_effect",M712="level"),O712*AN712/BF712,
AND(L712="marginal_effect",M712="sd (Y)"),O712*BI712*AN712/BF712,
AND(L712="marginal_effect",M712="sd (X)"),O712/AQ712*AN712/BF712,
AND(L712="semi_elasticity",M712="level"),O712*AN712,
AND(L712="semi_elasticity",M712="sd (Y)"),O712*AN712*BI712,
AND(L712="semi_elasticity",M712="sd (X)"),O712*AN712/AQ712,
AND(L712="level-log",M712="level"),O712/BF712,
AND(L712="level-log",M712="sd (X)"),O712/BF712/AQ712,
AND(L712="level-log",M712="sd (Y)"),O712/BF712*BI712,
AND(L712="elasticity",M712="level"),O712,
AND(L712="elasticity",M712="sd (X)"),O712/AQ712,
AND(L712="elasticity",M712="sd (Y)"),O712*BI712,
AND(L712="marginal_effect",M712="percent_of_mean"),O712*AN712/BF712/10)</f>
        <v>1.0466657477601655E-2</v>
      </c>
      <c r="AH712" s="56">
        <f t="shared" si="294"/>
        <v>1</v>
      </c>
      <c r="AI712" s="88">
        <f t="shared" si="299"/>
        <v>-2.3370254996554103E-2</v>
      </c>
      <c r="AJ712" s="55">
        <v>0</v>
      </c>
      <c r="AK712" s="55">
        <f t="shared" si="295"/>
        <v>1</v>
      </c>
      <c r="AL712" s="55" t="s">
        <v>735</v>
      </c>
      <c r="AM712" s="55" t="s">
        <v>1466</v>
      </c>
      <c r="AN712" s="55">
        <v>6.1879999999999997</v>
      </c>
      <c r="AO712" s="55">
        <v>0</v>
      </c>
      <c r="AP712" s="55">
        <f t="shared" si="290"/>
        <v>61.879999999999995</v>
      </c>
      <c r="AQ712" s="55">
        <v>33.57</v>
      </c>
      <c r="AR712" s="55">
        <v>20</v>
      </c>
      <c r="AS712" s="55">
        <v>207</v>
      </c>
      <c r="AT712" s="55" t="s">
        <v>83</v>
      </c>
      <c r="AU712" s="55" t="s">
        <v>109</v>
      </c>
      <c r="AV712" s="55" t="s">
        <v>133</v>
      </c>
      <c r="AW712" s="55" t="s">
        <v>109</v>
      </c>
      <c r="AX712" s="55" t="s">
        <v>86</v>
      </c>
      <c r="AY712" s="55">
        <v>0</v>
      </c>
      <c r="AZ712" s="55">
        <v>0</v>
      </c>
      <c r="BA712" s="55" t="s">
        <v>87</v>
      </c>
      <c r="BB712" s="55" t="s">
        <v>88</v>
      </c>
      <c r="BC712" s="55" t="s">
        <v>89</v>
      </c>
      <c r="BD712" s="55" t="s">
        <v>90</v>
      </c>
      <c r="BE712" s="55" t="s">
        <v>1458</v>
      </c>
      <c r="BF712" s="55">
        <v>101.57</v>
      </c>
      <c r="BG712" s="55">
        <v>0</v>
      </c>
      <c r="BH712" s="55">
        <v>65.849999999999994</v>
      </c>
      <c r="BI712" s="55">
        <v>5</v>
      </c>
      <c r="BJ712" s="55">
        <v>430</v>
      </c>
      <c r="BK712" s="55" t="s">
        <v>91</v>
      </c>
      <c r="BL712" s="55" t="s">
        <v>84</v>
      </c>
      <c r="BM712" s="55">
        <v>1</v>
      </c>
      <c r="BN712" s="55" t="s">
        <v>428</v>
      </c>
      <c r="BO712" s="60" t="s">
        <v>1463</v>
      </c>
      <c r="BP712" s="55" t="s">
        <v>1464</v>
      </c>
      <c r="BQ712" s="55" t="s">
        <v>117</v>
      </c>
      <c r="BR712" s="55" t="s">
        <v>134</v>
      </c>
      <c r="BS712" s="55">
        <v>29.22</v>
      </c>
      <c r="BT712" s="55">
        <v>0.01</v>
      </c>
      <c r="BU712" s="57">
        <v>42552</v>
      </c>
      <c r="BV712" s="57">
        <v>42643</v>
      </c>
      <c r="BW712" s="55" t="s">
        <v>94</v>
      </c>
      <c r="BX712" s="55" t="s">
        <v>95</v>
      </c>
      <c r="BY712" s="55" t="s">
        <v>96</v>
      </c>
      <c r="BZ712" s="55">
        <v>0</v>
      </c>
      <c r="CA712" s="55">
        <v>0</v>
      </c>
      <c r="CB712" s="55" t="s">
        <v>97</v>
      </c>
      <c r="CC712" s="55" t="s">
        <v>1490</v>
      </c>
      <c r="CD712" s="55">
        <v>1</v>
      </c>
      <c r="CE712" s="55" t="s">
        <v>1462</v>
      </c>
      <c r="CF712" s="55">
        <v>0</v>
      </c>
      <c r="CG712" s="55" t="s">
        <v>97</v>
      </c>
      <c r="CH712" s="55">
        <v>1</v>
      </c>
      <c r="CI712" s="55" t="s">
        <v>1465</v>
      </c>
      <c r="CJ712" s="55" t="s">
        <v>98</v>
      </c>
      <c r="CK712" s="55">
        <v>179</v>
      </c>
      <c r="CL712" s="55">
        <v>0</v>
      </c>
      <c r="CM712" s="55">
        <v>0</v>
      </c>
      <c r="CN712" s="55" t="s">
        <v>124</v>
      </c>
      <c r="CO712" s="55" t="s">
        <v>97</v>
      </c>
      <c r="CP712" s="55" t="s">
        <v>100</v>
      </c>
      <c r="CQ712" s="55" t="s">
        <v>126</v>
      </c>
      <c r="CR712" s="57">
        <v>46233</v>
      </c>
      <c r="CT712" s="55" t="s">
        <v>1562</v>
      </c>
    </row>
    <row r="713" spans="1:98" s="55" customFormat="1" x14ac:dyDescent="0.35">
      <c r="A713" s="54" t="s">
        <v>1459</v>
      </c>
      <c r="B713" s="54" t="s">
        <v>1573</v>
      </c>
      <c r="C713" s="55" t="s">
        <v>1460</v>
      </c>
      <c r="D713" s="55">
        <v>2022</v>
      </c>
      <c r="E713" s="60" t="s">
        <v>1461</v>
      </c>
      <c r="F713" s="54" t="s">
        <v>998</v>
      </c>
      <c r="G713" s="55" t="s">
        <v>78</v>
      </c>
      <c r="H713" s="55">
        <v>1</v>
      </c>
      <c r="I713" s="55" t="s">
        <v>290</v>
      </c>
      <c r="J713" s="55" t="s">
        <v>79</v>
      </c>
      <c r="K713" s="55">
        <v>81</v>
      </c>
      <c r="L713" s="55" t="s">
        <v>129</v>
      </c>
      <c r="M713" s="55" t="s">
        <v>380</v>
      </c>
      <c r="N713" s="55">
        <v>-0.4299</v>
      </c>
      <c r="O713" s="55">
        <v>0.17249999999999999</v>
      </c>
      <c r="P713" s="88">
        <f t="shared" si="291"/>
        <v>-2.4921739130434784</v>
      </c>
      <c r="Q713" s="55" t="s">
        <v>312</v>
      </c>
      <c r="R713" s="88">
        <f t="shared" si="292"/>
        <v>-0.76800000000000002</v>
      </c>
      <c r="S713" s="88">
        <f t="shared" si="293"/>
        <v>-9.1800000000000048E-2</v>
      </c>
      <c r="T713" s="55">
        <v>1</v>
      </c>
      <c r="U713" s="55">
        <v>66374</v>
      </c>
      <c r="V713" s="55" t="s">
        <v>312</v>
      </c>
      <c r="W713" s="55" t="s">
        <v>312</v>
      </c>
      <c r="X713" s="55">
        <f t="shared" si="300"/>
        <v>66374</v>
      </c>
      <c r="Y713" s="88">
        <f t="shared" si="296"/>
        <v>-9.672951977205798E-3</v>
      </c>
      <c r="Z713" s="88">
        <f t="shared" si="297"/>
        <v>3.881331044587114E-3</v>
      </c>
      <c r="AA713" s="88">
        <f t="shared" si="298"/>
        <v>9.672951977205798E-3</v>
      </c>
      <c r="AB713" s="55" t="s">
        <v>81</v>
      </c>
      <c r="AC713" s="88">
        <f>N713*AN713/BF713</f>
        <v>-2.6191013094417646E-2</v>
      </c>
      <c r="AD713" s="88" cm="1">
        <f t="array" ref="AD713">_xlfn.IFS(
AND(L713="marginal_effect",M713="level"),N713*AN713/BF713,
AND(L713="marginal_effect",M713="sd (Y)"),N713*BI713*AN713/BF713,
AND(L713="marginal_effect",M713="sd (X)"),N713/AQ713*AN713/BF713,
AND(L713="semi_elasticity",M713="level"),N713*AN713,
AND(L713="semi_elasticity",M713="sd (Y)"),N713*AN713*BI713,
AND(L713="semi_elasticity",M713="sd (X)"),N713*AN713/AQ713,
AND(L713="level-log",M713="level"),N713/BF713,
AND(L713="level-log",M713="sd (X)"),N713/BF713/AQ713,
AND(L713="level-log",M713="sd (Y)"),N713/BF713*BI713,
AND(L713="elasticity",M713="level"),N713,
AND(L713="elasticity",M713="sd (X)"),N713/AQ713,
AND(L713="elasticity",M713="sd (Y)"),N713*BI713,
AND(L713="marginal_effect",M713="percent_of_mean"),N713*AN713/BF713/10)</f>
        <v>-2.6191013094417646E-2</v>
      </c>
      <c r="AE713" s="56">
        <f t="shared" si="275"/>
        <v>1</v>
      </c>
      <c r="AF713" s="88">
        <f>O713*AN713/BF713</f>
        <v>1.0509303928325293E-2</v>
      </c>
      <c r="AG713" s="88" cm="1">
        <f t="array" ref="AG713">_xlfn.IFS(
AND(L713="marginal_effect",M713="level"),O713*AN713/BF713,
AND(L713="marginal_effect",M713="sd (Y)"),O713*BI713*AN713/BF713,
AND(L713="marginal_effect",M713="sd (X)"),O713/AQ713*AN713/BF713,
AND(L713="semi_elasticity",M713="level"),O713*AN713,
AND(L713="semi_elasticity",M713="sd (Y)"),O713*AN713*BI713,
AND(L713="semi_elasticity",M713="sd (X)"),O713*AN713/AQ713,
AND(L713="level-log",M713="level"),O713/BF713,
AND(L713="level-log",M713="sd (X)"),O713/BF713/AQ713,
AND(L713="level-log",M713="sd (Y)"),O713/BF713*BI713,
AND(L713="elasticity",M713="level"),O713,
AND(L713="elasticity",M713="sd (X)"),O713/AQ713,
AND(L713="elasticity",M713="sd (Y)"),O713*BI713,
AND(L713="marginal_effect",M713="percent_of_mean"),O713*AN713/BF713/10)</f>
        <v>1.0509303928325293E-2</v>
      </c>
      <c r="AH713" s="56">
        <f t="shared" si="294"/>
        <v>1</v>
      </c>
      <c r="AI713" s="88">
        <f t="shared" si="299"/>
        <v>-2.6191013094417646E-2</v>
      </c>
      <c r="AJ713" s="55">
        <v>0</v>
      </c>
      <c r="AK713" s="55">
        <f t="shared" si="295"/>
        <v>1</v>
      </c>
      <c r="AL713" s="55" t="s">
        <v>735</v>
      </c>
      <c r="AM713" s="55" t="s">
        <v>1466</v>
      </c>
      <c r="AN713" s="55">
        <v>6.1879999999999997</v>
      </c>
      <c r="AO713" s="55">
        <v>0</v>
      </c>
      <c r="AP713" s="55">
        <f t="shared" si="290"/>
        <v>61.879999999999995</v>
      </c>
      <c r="AQ713" s="55">
        <v>33.57</v>
      </c>
      <c r="AR713" s="55">
        <v>20</v>
      </c>
      <c r="AS713" s="55">
        <v>207</v>
      </c>
      <c r="AT713" s="55" t="s">
        <v>83</v>
      </c>
      <c r="AU713" s="55" t="s">
        <v>109</v>
      </c>
      <c r="AV713" s="55" t="s">
        <v>133</v>
      </c>
      <c r="AW713" s="55" t="s">
        <v>109</v>
      </c>
      <c r="AX713" s="55" t="s">
        <v>86</v>
      </c>
      <c r="AY713" s="55">
        <v>0</v>
      </c>
      <c r="AZ713" s="55">
        <v>0</v>
      </c>
      <c r="BA713" s="55" t="s">
        <v>87</v>
      </c>
      <c r="BB713" s="55" t="s">
        <v>88</v>
      </c>
      <c r="BC713" s="55" t="s">
        <v>89</v>
      </c>
      <c r="BD713" s="55" t="s">
        <v>90</v>
      </c>
      <c r="BE713" s="55" t="s">
        <v>1458</v>
      </c>
      <c r="BF713" s="55">
        <v>101.57</v>
      </c>
      <c r="BG713" s="55">
        <v>0</v>
      </c>
      <c r="BH713" s="55">
        <v>65.849999999999994</v>
      </c>
      <c r="BI713" s="55">
        <v>5</v>
      </c>
      <c r="BJ713" s="55">
        <v>430</v>
      </c>
      <c r="BK713" s="55" t="s">
        <v>91</v>
      </c>
      <c r="BL713" s="55" t="s">
        <v>84</v>
      </c>
      <c r="BM713" s="55">
        <v>1</v>
      </c>
      <c r="BN713" s="55" t="s">
        <v>428</v>
      </c>
      <c r="BO713" s="60" t="s">
        <v>1463</v>
      </c>
      <c r="BP713" s="55" t="s">
        <v>1464</v>
      </c>
      <c r="BQ713" s="55" t="s">
        <v>117</v>
      </c>
      <c r="BR713" s="55" t="s">
        <v>134</v>
      </c>
      <c r="BS713" s="55">
        <v>29.22</v>
      </c>
      <c r="BT713" s="55">
        <v>0.01</v>
      </c>
      <c r="BU713" s="57">
        <v>42552</v>
      </c>
      <c r="BV713" s="57">
        <v>42643</v>
      </c>
      <c r="BW713" s="55" t="s">
        <v>94</v>
      </c>
      <c r="BX713" s="55" t="s">
        <v>95</v>
      </c>
      <c r="BY713" s="55" t="s">
        <v>96</v>
      </c>
      <c r="BZ713" s="55">
        <v>0</v>
      </c>
      <c r="CA713" s="55">
        <v>0</v>
      </c>
      <c r="CB713" s="55" t="s">
        <v>97</v>
      </c>
      <c r="CC713" s="55" t="s">
        <v>314</v>
      </c>
      <c r="CD713" s="55">
        <v>1</v>
      </c>
      <c r="CE713" s="55" t="s">
        <v>1462</v>
      </c>
      <c r="CF713" s="55">
        <v>0</v>
      </c>
      <c r="CG713" s="55" t="s">
        <v>97</v>
      </c>
      <c r="CH713" s="55">
        <v>1</v>
      </c>
      <c r="CI713" s="55" t="s">
        <v>1465</v>
      </c>
      <c r="CJ713" s="55" t="s">
        <v>98</v>
      </c>
      <c r="CK713" s="55">
        <v>179</v>
      </c>
      <c r="CL713" s="55">
        <v>0</v>
      </c>
      <c r="CM713" s="55">
        <v>0</v>
      </c>
      <c r="CN713" s="55" t="s">
        <v>124</v>
      </c>
      <c r="CO713" s="55" t="s">
        <v>97</v>
      </c>
      <c r="CP713" s="55" t="s">
        <v>100</v>
      </c>
      <c r="CQ713" s="55" t="s">
        <v>126</v>
      </c>
      <c r="CR713" s="57">
        <v>46233</v>
      </c>
      <c r="CT713" s="55" t="s">
        <v>1563</v>
      </c>
    </row>
    <row r="714" spans="1:98" s="55" customFormat="1" x14ac:dyDescent="0.35">
      <c r="A714" s="54" t="s">
        <v>1459</v>
      </c>
      <c r="B714" s="54" t="s">
        <v>1574</v>
      </c>
      <c r="C714" s="55" t="s">
        <v>1460</v>
      </c>
      <c r="D714" s="55">
        <v>2022</v>
      </c>
      <c r="E714" s="60" t="s">
        <v>1461</v>
      </c>
      <c r="F714" s="54" t="s">
        <v>998</v>
      </c>
      <c r="G714" s="55" t="s">
        <v>78</v>
      </c>
      <c r="H714" s="55">
        <v>1</v>
      </c>
      <c r="I714" s="55" t="s">
        <v>290</v>
      </c>
      <c r="J714" s="55" t="s">
        <v>79</v>
      </c>
      <c r="K714" s="55">
        <v>81</v>
      </c>
      <c r="L714" s="55" t="s">
        <v>129</v>
      </c>
      <c r="M714" s="55" t="s">
        <v>380</v>
      </c>
      <c r="N714" s="55">
        <v>-0.2442</v>
      </c>
      <c r="O714" s="55">
        <v>0.14050000000000001</v>
      </c>
      <c r="P714" s="88">
        <f t="shared" si="291"/>
        <v>-1.7380782918149464</v>
      </c>
      <c r="Q714" s="55" t="s">
        <v>312</v>
      </c>
      <c r="R714" s="88">
        <f t="shared" si="292"/>
        <v>-0.51958000000000004</v>
      </c>
      <c r="S714" s="88">
        <f t="shared" si="293"/>
        <v>3.1180000000000013E-2</v>
      </c>
      <c r="T714" s="55">
        <v>1</v>
      </c>
      <c r="U714" s="55">
        <v>66374</v>
      </c>
      <c r="V714" s="55" t="s">
        <v>312</v>
      </c>
      <c r="W714" s="55" t="s">
        <v>312</v>
      </c>
      <c r="X714" s="55">
        <f t="shared" si="300"/>
        <v>66374</v>
      </c>
      <c r="Y714" s="88">
        <f t="shared" si="296"/>
        <v>-6.7462193344509135E-3</v>
      </c>
      <c r="Z714" s="88">
        <f t="shared" si="297"/>
        <v>3.8814243099523074E-3</v>
      </c>
      <c r="AA714" s="88">
        <f t="shared" si="298"/>
        <v>6.7462193344509135E-3</v>
      </c>
      <c r="AB714" s="55" t="s">
        <v>81</v>
      </c>
      <c r="AC714" s="88">
        <f>N714*AN714/BF714</f>
        <v>-1.487751895244659E-2</v>
      </c>
      <c r="AD714" s="88" cm="1">
        <f t="array" ref="AD714">_xlfn.IFS(
AND(L714="marginal_effect",M714="level"),N714*AN714/BF714,
AND(L714="marginal_effect",M714="sd (Y)"),N714*BI714*AN714/BF714,
AND(L714="marginal_effect",M714="sd (X)"),N714/AQ714*AN714/BF714,
AND(L714="semi_elasticity",M714="level"),N714*AN714,
AND(L714="semi_elasticity",M714="sd (Y)"),N714*AN714*BI714,
AND(L714="semi_elasticity",M714="sd (X)"),N714*AN714/AQ714,
AND(L714="level-log",M714="level"),N714/BF714,
AND(L714="level-log",M714="sd (X)"),N714/BF714/AQ714,
AND(L714="level-log",M714="sd (Y)"),N714/BF714*BI714,
AND(L714="elasticity",M714="level"),N714,
AND(L714="elasticity",M714="sd (X)"),N714/AQ714,
AND(L714="elasticity",M714="sd (Y)"),N714*BI714,
AND(L714="marginal_effect",M714="percent_of_mean"),N714*AN714/BF714/10)</f>
        <v>-1.487751895244659E-2</v>
      </c>
      <c r="AE714" s="56">
        <f t="shared" si="275"/>
        <v>1</v>
      </c>
      <c r="AF714" s="88">
        <f>O714*AN714/BF714</f>
        <v>8.5597518952446588E-3</v>
      </c>
      <c r="AG714" s="88" cm="1">
        <f t="array" ref="AG714">_xlfn.IFS(
AND(L714="marginal_effect",M714="level"),O714*AN714/BF714,
AND(L714="marginal_effect",M714="sd (Y)"),O714*BI714*AN714/BF714,
AND(L714="marginal_effect",M714="sd (X)"),O714/AQ714*AN714/BF714,
AND(L714="semi_elasticity",M714="level"),O714*AN714,
AND(L714="semi_elasticity",M714="sd (Y)"),O714*AN714*BI714,
AND(L714="semi_elasticity",M714="sd (X)"),O714*AN714/AQ714,
AND(L714="level-log",M714="level"),O714/BF714,
AND(L714="level-log",M714="sd (X)"),O714/BF714/AQ714,
AND(L714="level-log",M714="sd (Y)"),O714/BF714*BI714,
AND(L714="elasticity",M714="level"),O714,
AND(L714="elasticity",M714="sd (X)"),O714/AQ714,
AND(L714="elasticity",M714="sd (Y)"),O714*BI714,
AND(L714="marginal_effect",M714="percent_of_mean"),O714*AN714/BF714/10)</f>
        <v>8.5597518952446588E-3</v>
      </c>
      <c r="AH714" s="56">
        <f t="shared" si="294"/>
        <v>1</v>
      </c>
      <c r="AI714" s="88">
        <f t="shared" si="299"/>
        <v>-1.487751895244659E-2</v>
      </c>
      <c r="AJ714" s="55">
        <v>0</v>
      </c>
      <c r="AK714" s="55">
        <f t="shared" si="295"/>
        <v>1</v>
      </c>
      <c r="AL714" s="55" t="s">
        <v>735</v>
      </c>
      <c r="AM714" s="55" t="s">
        <v>1466</v>
      </c>
      <c r="AN714" s="55">
        <v>6.1879999999999997</v>
      </c>
      <c r="AO714" s="55">
        <v>0</v>
      </c>
      <c r="AP714" s="55">
        <f t="shared" si="290"/>
        <v>61.879999999999995</v>
      </c>
      <c r="AQ714" s="55">
        <v>33.57</v>
      </c>
      <c r="AR714" s="55">
        <v>20</v>
      </c>
      <c r="AS714" s="55">
        <v>207</v>
      </c>
      <c r="AT714" s="55" t="s">
        <v>83</v>
      </c>
      <c r="AU714" s="55" t="s">
        <v>109</v>
      </c>
      <c r="AV714" s="55" t="s">
        <v>133</v>
      </c>
      <c r="AW714" s="55" t="s">
        <v>109</v>
      </c>
      <c r="AX714" s="55" t="s">
        <v>86</v>
      </c>
      <c r="AY714" s="55">
        <v>0</v>
      </c>
      <c r="AZ714" s="55">
        <v>0</v>
      </c>
      <c r="BA714" s="55" t="s">
        <v>87</v>
      </c>
      <c r="BB714" s="55" t="s">
        <v>88</v>
      </c>
      <c r="BC714" s="55" t="s">
        <v>89</v>
      </c>
      <c r="BD714" s="55" t="s">
        <v>90</v>
      </c>
      <c r="BE714" s="55" t="s">
        <v>1458</v>
      </c>
      <c r="BF714" s="55">
        <v>101.57</v>
      </c>
      <c r="BG714" s="55">
        <v>0</v>
      </c>
      <c r="BH714" s="55">
        <v>65.849999999999994</v>
      </c>
      <c r="BI714" s="55">
        <v>5</v>
      </c>
      <c r="BJ714" s="55">
        <v>430</v>
      </c>
      <c r="BK714" s="55" t="s">
        <v>91</v>
      </c>
      <c r="BL714" s="55" t="s">
        <v>84</v>
      </c>
      <c r="BM714" s="55">
        <v>1</v>
      </c>
      <c r="BN714" s="55" t="s">
        <v>428</v>
      </c>
      <c r="BO714" s="60" t="s">
        <v>1463</v>
      </c>
      <c r="BP714" s="55" t="s">
        <v>1464</v>
      </c>
      <c r="BQ714" s="55" t="s">
        <v>117</v>
      </c>
      <c r="BR714" s="55" t="s">
        <v>134</v>
      </c>
      <c r="BS714" s="55">
        <v>29.22</v>
      </c>
      <c r="BT714" s="55">
        <v>0.01</v>
      </c>
      <c r="BU714" s="57">
        <v>42552</v>
      </c>
      <c r="BV714" s="57">
        <v>42643</v>
      </c>
      <c r="BW714" s="55" t="s">
        <v>94</v>
      </c>
      <c r="BX714" s="55" t="s">
        <v>95</v>
      </c>
      <c r="BY714" s="55" t="s">
        <v>96</v>
      </c>
      <c r="BZ714" s="55">
        <v>0</v>
      </c>
      <c r="CA714" s="55">
        <v>0</v>
      </c>
      <c r="CB714" s="55" t="s">
        <v>97</v>
      </c>
      <c r="CC714" s="55" t="s">
        <v>314</v>
      </c>
      <c r="CD714" s="55">
        <v>1</v>
      </c>
      <c r="CE714" s="55" t="s">
        <v>1462</v>
      </c>
      <c r="CF714" s="55">
        <v>0</v>
      </c>
      <c r="CG714" s="55" t="s">
        <v>97</v>
      </c>
      <c r="CH714" s="55">
        <v>1</v>
      </c>
      <c r="CI714" s="55" t="s">
        <v>1465</v>
      </c>
      <c r="CJ714" s="55" t="s">
        <v>98</v>
      </c>
      <c r="CK714" s="55">
        <v>179</v>
      </c>
      <c r="CL714" s="55">
        <v>0</v>
      </c>
      <c r="CM714" s="55">
        <v>0</v>
      </c>
      <c r="CN714" s="55" t="s">
        <v>124</v>
      </c>
      <c r="CO714" s="55" t="s">
        <v>97</v>
      </c>
      <c r="CP714" s="55" t="s">
        <v>100</v>
      </c>
      <c r="CQ714" s="55" t="s">
        <v>126</v>
      </c>
      <c r="CR714" s="57">
        <v>46233</v>
      </c>
      <c r="CT714" s="55" t="s">
        <v>1564</v>
      </c>
    </row>
    <row r="715" spans="1:98" s="55" customFormat="1" x14ac:dyDescent="0.35">
      <c r="A715" s="54" t="s">
        <v>1459</v>
      </c>
      <c r="B715" s="54" t="s">
        <v>1575</v>
      </c>
      <c r="C715" s="55" t="s">
        <v>1460</v>
      </c>
      <c r="D715" s="55">
        <v>2022</v>
      </c>
      <c r="E715" s="60" t="s">
        <v>1461</v>
      </c>
      <c r="F715" s="54" t="s">
        <v>998</v>
      </c>
      <c r="G715" s="55" t="s">
        <v>78</v>
      </c>
      <c r="H715" s="55">
        <v>1</v>
      </c>
      <c r="I715" s="55" t="s">
        <v>290</v>
      </c>
      <c r="J715" s="55" t="s">
        <v>79</v>
      </c>
      <c r="K715" s="55">
        <v>81</v>
      </c>
      <c r="L715" s="55" t="s">
        <v>129</v>
      </c>
      <c r="M715" s="55" t="s">
        <v>380</v>
      </c>
      <c r="N715" s="55">
        <v>-0.4723</v>
      </c>
      <c r="O715" s="55">
        <v>0.19259999999999999</v>
      </c>
      <c r="P715" s="88">
        <f t="shared" si="291"/>
        <v>-2.4522326064382138</v>
      </c>
      <c r="Q715" s="55" t="s">
        <v>312</v>
      </c>
      <c r="R715" s="88">
        <f t="shared" si="292"/>
        <v>-0.849796</v>
      </c>
      <c r="S715" s="88">
        <f t="shared" si="293"/>
        <v>-9.4803999999999999E-2</v>
      </c>
      <c r="T715" s="55">
        <v>1</v>
      </c>
      <c r="U715" s="55">
        <v>66374</v>
      </c>
      <c r="V715" s="55" t="s">
        <v>312</v>
      </c>
      <c r="W715" s="55" t="s">
        <v>312</v>
      </c>
      <c r="X715" s="55">
        <f t="shared" si="300"/>
        <v>66374</v>
      </c>
      <c r="Y715" s="88">
        <f t="shared" si="296"/>
        <v>-9.5179407022181299E-3</v>
      </c>
      <c r="Z715" s="88">
        <f t="shared" si="297"/>
        <v>3.8813368182240354E-3</v>
      </c>
      <c r="AA715" s="88">
        <f t="shared" si="298"/>
        <v>9.5179407022181299E-3</v>
      </c>
      <c r="AB715" s="55" t="s">
        <v>81</v>
      </c>
      <c r="AC715" s="88">
        <f>N715*AN715/BF715</f>
        <v>-2.8774169538249482E-2</v>
      </c>
      <c r="AD715" s="88" cm="1">
        <f t="array" ref="AD715">_xlfn.IFS(
AND(L715="marginal_effect",M715="level"),N715*AN715/BF715,
AND(L715="marginal_effect",M715="sd (Y)"),N715*BI715*AN715/BF715,
AND(L715="marginal_effect",M715="sd (X)"),N715/AQ715*AN715/BF715,
AND(L715="semi_elasticity",M715="level"),N715*AN715,
AND(L715="semi_elasticity",M715="sd (Y)"),N715*AN715*BI715,
AND(L715="semi_elasticity",M715="sd (X)"),N715*AN715/AQ715,
AND(L715="level-log",M715="level"),N715/BF715,
AND(L715="level-log",M715="sd (X)"),N715/BF715/AQ715,
AND(L715="level-log",M715="sd (Y)"),N715/BF715*BI715,
AND(L715="elasticity",M715="level"),N715,
AND(L715="elasticity",M715="sd (X)"),N715/AQ715,
AND(L715="elasticity",M715="sd (Y)"),N715*BI715,
AND(L715="marginal_effect",M715="percent_of_mean"),N715*AN715/BF715/10)</f>
        <v>-2.8774169538249482E-2</v>
      </c>
      <c r="AE715" s="56">
        <f t="shared" si="275"/>
        <v>1</v>
      </c>
      <c r="AF715" s="88">
        <f>O715*AN715/BF715</f>
        <v>1.1733866299104067E-2</v>
      </c>
      <c r="AG715" s="88" cm="1">
        <f t="array" ref="AG715">_xlfn.IFS(
AND(L715="marginal_effect",M715="level"),O715*AN715/BF715,
AND(L715="marginal_effect",M715="sd (Y)"),O715*BI715*AN715/BF715,
AND(L715="marginal_effect",M715="sd (X)"),O715/AQ715*AN715/BF715,
AND(L715="semi_elasticity",M715="level"),O715*AN715,
AND(L715="semi_elasticity",M715="sd (Y)"),O715*AN715*BI715,
AND(L715="semi_elasticity",M715="sd (X)"),O715*AN715/AQ715,
AND(L715="level-log",M715="level"),O715/BF715,
AND(L715="level-log",M715="sd (X)"),O715/BF715/AQ715,
AND(L715="level-log",M715="sd (Y)"),O715/BF715*BI715,
AND(L715="elasticity",M715="level"),O715,
AND(L715="elasticity",M715="sd (X)"),O715/AQ715,
AND(L715="elasticity",M715="sd (Y)"),O715*BI715,
AND(L715="marginal_effect",M715="percent_of_mean"),O715*AN715/BF715/10)</f>
        <v>1.1733866299104067E-2</v>
      </c>
      <c r="AH715" s="56">
        <f t="shared" si="294"/>
        <v>1</v>
      </c>
      <c r="AI715" s="88">
        <f t="shared" si="299"/>
        <v>-2.8774169538249482E-2</v>
      </c>
      <c r="AJ715" s="55">
        <v>0</v>
      </c>
      <c r="AK715" s="55">
        <f t="shared" si="295"/>
        <v>1</v>
      </c>
      <c r="AL715" s="55" t="s">
        <v>735</v>
      </c>
      <c r="AM715" s="55" t="s">
        <v>1466</v>
      </c>
      <c r="AN715" s="55">
        <v>6.1879999999999997</v>
      </c>
      <c r="AO715" s="55">
        <v>0</v>
      </c>
      <c r="AP715" s="55">
        <f t="shared" si="290"/>
        <v>61.879999999999995</v>
      </c>
      <c r="AQ715" s="55">
        <v>33.57</v>
      </c>
      <c r="AR715" s="55">
        <v>20</v>
      </c>
      <c r="AS715" s="55">
        <v>207</v>
      </c>
      <c r="AT715" s="55" t="s">
        <v>83</v>
      </c>
      <c r="AU715" s="55" t="s">
        <v>109</v>
      </c>
      <c r="AV715" s="55" t="s">
        <v>133</v>
      </c>
      <c r="AW715" s="55" t="s">
        <v>109</v>
      </c>
      <c r="AX715" s="55" t="s">
        <v>86</v>
      </c>
      <c r="AY715" s="55">
        <v>0</v>
      </c>
      <c r="AZ715" s="55">
        <v>0</v>
      </c>
      <c r="BA715" s="55" t="s">
        <v>87</v>
      </c>
      <c r="BB715" s="55" t="s">
        <v>88</v>
      </c>
      <c r="BC715" s="55" t="s">
        <v>89</v>
      </c>
      <c r="BD715" s="55" t="s">
        <v>90</v>
      </c>
      <c r="BE715" s="55" t="s">
        <v>1458</v>
      </c>
      <c r="BF715" s="55">
        <v>101.57</v>
      </c>
      <c r="BG715" s="55">
        <v>0</v>
      </c>
      <c r="BH715" s="55">
        <v>65.849999999999994</v>
      </c>
      <c r="BI715" s="55">
        <v>5</v>
      </c>
      <c r="BJ715" s="55">
        <v>430</v>
      </c>
      <c r="BK715" s="55" t="s">
        <v>91</v>
      </c>
      <c r="BL715" s="55" t="s">
        <v>84</v>
      </c>
      <c r="BM715" s="55">
        <v>1</v>
      </c>
      <c r="BN715" s="55" t="s">
        <v>428</v>
      </c>
      <c r="BO715" s="60" t="s">
        <v>1463</v>
      </c>
      <c r="BP715" s="55" t="s">
        <v>1464</v>
      </c>
      <c r="BQ715" s="55" t="s">
        <v>117</v>
      </c>
      <c r="BR715" s="55" t="s">
        <v>134</v>
      </c>
      <c r="BS715" s="55">
        <v>29.22</v>
      </c>
      <c r="BT715" s="55">
        <v>0.01</v>
      </c>
      <c r="BU715" s="57">
        <v>42552</v>
      </c>
      <c r="BV715" s="57">
        <v>42643</v>
      </c>
      <c r="BW715" s="55" t="s">
        <v>94</v>
      </c>
      <c r="BX715" s="55" t="s">
        <v>95</v>
      </c>
      <c r="BY715" s="55" t="s">
        <v>96</v>
      </c>
      <c r="BZ715" s="55">
        <v>0</v>
      </c>
      <c r="CA715" s="55">
        <v>0</v>
      </c>
      <c r="CB715" s="55" t="s">
        <v>97</v>
      </c>
      <c r="CC715" s="55" t="s">
        <v>1490</v>
      </c>
      <c r="CD715" s="55">
        <v>1</v>
      </c>
      <c r="CE715" s="55" t="s">
        <v>1462</v>
      </c>
      <c r="CF715" s="55">
        <v>0</v>
      </c>
      <c r="CG715" s="55" t="s">
        <v>97</v>
      </c>
      <c r="CH715" s="55">
        <v>1</v>
      </c>
      <c r="CI715" s="55" t="s">
        <v>1465</v>
      </c>
      <c r="CJ715" s="55" t="s">
        <v>98</v>
      </c>
      <c r="CK715" s="55">
        <v>179</v>
      </c>
      <c r="CL715" s="55">
        <v>0</v>
      </c>
      <c r="CM715" s="55">
        <v>0</v>
      </c>
      <c r="CN715" s="55" t="s">
        <v>124</v>
      </c>
      <c r="CO715" s="55" t="s">
        <v>97</v>
      </c>
      <c r="CP715" s="55" t="s">
        <v>100</v>
      </c>
      <c r="CQ715" s="55" t="s">
        <v>126</v>
      </c>
      <c r="CR715" s="57">
        <v>46233</v>
      </c>
      <c r="CT715" s="55" t="s">
        <v>1565</v>
      </c>
    </row>
    <row r="716" spans="1:98" s="55" customFormat="1" x14ac:dyDescent="0.35">
      <c r="A716" s="54" t="s">
        <v>1459</v>
      </c>
      <c r="B716" s="54" t="s">
        <v>1576</v>
      </c>
      <c r="C716" s="55" t="s">
        <v>1460</v>
      </c>
      <c r="D716" s="55">
        <v>2022</v>
      </c>
      <c r="E716" s="60" t="s">
        <v>1461</v>
      </c>
      <c r="F716" s="54" t="s">
        <v>998</v>
      </c>
      <c r="G716" s="55" t="s">
        <v>78</v>
      </c>
      <c r="H716" s="55">
        <v>1</v>
      </c>
      <c r="I716" s="55" t="s">
        <v>290</v>
      </c>
      <c r="J716" s="55" t="s">
        <v>79</v>
      </c>
      <c r="K716" s="55">
        <v>81</v>
      </c>
      <c r="L716" s="55" t="s">
        <v>104</v>
      </c>
      <c r="M716" s="55" t="s">
        <v>380</v>
      </c>
      <c r="N716" s="55">
        <v>-3.0599999999999999E-2</v>
      </c>
      <c r="O716" s="55">
        <v>6.1000000000000004E-3</v>
      </c>
      <c r="P716" s="88">
        <f t="shared" si="291"/>
        <v>-5.0163934426229506</v>
      </c>
      <c r="Q716" s="55" t="s">
        <v>312</v>
      </c>
      <c r="R716" s="88">
        <f t="shared" si="292"/>
        <v>-4.2555999999999997E-2</v>
      </c>
      <c r="S716" s="88">
        <f t="shared" si="293"/>
        <v>-1.8643999999999997E-2</v>
      </c>
      <c r="T716" s="55">
        <v>1</v>
      </c>
      <c r="U716" s="55">
        <v>66374</v>
      </c>
      <c r="V716" s="55" t="s">
        <v>312</v>
      </c>
      <c r="W716" s="55" t="s">
        <v>312</v>
      </c>
      <c r="X716" s="55">
        <f t="shared" si="300"/>
        <v>66374</v>
      </c>
      <c r="Y716" s="88">
        <f t="shared" si="296"/>
        <v>-1.9467504560269602E-2</v>
      </c>
      <c r="Z716" s="88">
        <f t="shared" si="297"/>
        <v>3.8807770528642023E-3</v>
      </c>
      <c r="AA716" s="88">
        <f t="shared" si="298"/>
        <v>1.9467504560269602E-2</v>
      </c>
      <c r="AB716" s="55" t="s">
        <v>81</v>
      </c>
      <c r="AC716" s="88">
        <f t="shared" ref="AC716:AC761" si="301">N716*AN716</f>
        <v>-0.18935279999999999</v>
      </c>
      <c r="AD716" s="88" cm="1">
        <f t="array" ref="AD716">_xlfn.IFS(
AND(L716="marginal_effect",M716="level"),N716*AN716/BF716,
AND(L716="marginal_effect",M716="sd (Y)"),N716*BI716*AN716/BF716,
AND(L716="marginal_effect",M716="sd (X)"),N716/AQ716*AN716/BF716,
AND(L716="semi_elasticity",M716="level"),N716*AN716,
AND(L716="semi_elasticity",M716="sd (Y)"),N716*AN716*BI716,
AND(L716="semi_elasticity",M716="sd (X)"),N716*AN716/AQ716,
AND(L716="level-log",M716="level"),N716/BF716,
AND(L716="level-log",M716="sd (X)"),N716/BF716/AQ716,
AND(L716="level-log",M716="sd (Y)"),N716/BF716*BI716,
AND(L716="elasticity",M716="level"),N716,
AND(L716="elasticity",M716="sd (X)"),N716/AQ716,
AND(L716="elasticity",M716="sd (Y)"),N716*BI716,
AND(L716="marginal_effect",M716="percent_of_mean"),N716*AN716/BF716/10)</f>
        <v>-0.18935279999999999</v>
      </c>
      <c r="AE716" s="56">
        <f t="shared" si="275"/>
        <v>1</v>
      </c>
      <c r="AF716" s="88">
        <f t="shared" ref="AF716:AF761" si="302">O716*AN716</f>
        <v>3.7746800000000004E-2</v>
      </c>
      <c r="AG716" s="88" cm="1">
        <f t="array" ref="AG716">_xlfn.IFS(
AND(L716="marginal_effect",M716="level"),O716*AN716/BF716,
AND(L716="marginal_effect",M716="sd (Y)"),O716*BI716*AN716/BF716,
AND(L716="marginal_effect",M716="sd (X)"),O716/AQ716*AN716/BF716,
AND(L716="semi_elasticity",M716="level"),O716*AN716,
AND(L716="semi_elasticity",M716="sd (Y)"),O716*AN716*BI716,
AND(L716="semi_elasticity",M716="sd (X)"),O716*AN716/AQ716,
AND(L716="level-log",M716="level"),O716/BF716,
AND(L716="level-log",M716="sd (X)"),O716/BF716/AQ716,
AND(L716="level-log",M716="sd (Y)"),O716/BF716*BI716,
AND(L716="elasticity",M716="level"),O716,
AND(L716="elasticity",M716="sd (X)"),O716/AQ716,
AND(L716="elasticity",M716="sd (Y)"),O716*BI716,
AND(L716="marginal_effect",M716="percent_of_mean"),O716*AN716/BF716/10)</f>
        <v>3.7746800000000004E-2</v>
      </c>
      <c r="AH716" s="56">
        <f t="shared" si="294"/>
        <v>1</v>
      </c>
      <c r="AI716" s="88">
        <f t="shared" si="299"/>
        <v>-0.18935279999999999</v>
      </c>
      <c r="AJ716" s="55">
        <v>0</v>
      </c>
      <c r="AK716" s="55">
        <f t="shared" si="295"/>
        <v>1</v>
      </c>
      <c r="AL716" s="55" t="s">
        <v>735</v>
      </c>
      <c r="AM716" s="55" t="s">
        <v>1466</v>
      </c>
      <c r="AN716" s="55">
        <v>6.1879999999999997</v>
      </c>
      <c r="AO716" s="55">
        <v>0</v>
      </c>
      <c r="AP716" s="55">
        <f t="shared" si="290"/>
        <v>61.879999999999995</v>
      </c>
      <c r="AQ716" s="55">
        <v>33.57</v>
      </c>
      <c r="AR716" s="55">
        <v>20</v>
      </c>
      <c r="AS716" s="55">
        <v>207</v>
      </c>
      <c r="AT716" s="55" t="s">
        <v>83</v>
      </c>
      <c r="AU716" s="55" t="s">
        <v>109</v>
      </c>
      <c r="AV716" s="55" t="s">
        <v>133</v>
      </c>
      <c r="AW716" s="55" t="s">
        <v>109</v>
      </c>
      <c r="AX716" s="55" t="s">
        <v>86</v>
      </c>
      <c r="AY716" s="55">
        <v>0</v>
      </c>
      <c r="AZ716" s="55">
        <v>0</v>
      </c>
      <c r="BA716" s="55" t="s">
        <v>87</v>
      </c>
      <c r="BB716" s="55" t="s">
        <v>88</v>
      </c>
      <c r="BC716" s="55" t="s">
        <v>89</v>
      </c>
      <c r="BD716" s="55" t="s">
        <v>90</v>
      </c>
      <c r="BE716" s="55" t="s">
        <v>1458</v>
      </c>
      <c r="BF716" s="55">
        <v>101.57</v>
      </c>
      <c r="BG716" s="55">
        <v>0</v>
      </c>
      <c r="BH716" s="55">
        <v>65.849999999999994</v>
      </c>
      <c r="BI716" s="55">
        <v>5</v>
      </c>
      <c r="BJ716" s="55">
        <v>430</v>
      </c>
      <c r="BK716" s="55" t="s">
        <v>91</v>
      </c>
      <c r="BL716" s="55" t="s">
        <v>84</v>
      </c>
      <c r="BM716" s="55">
        <v>1</v>
      </c>
      <c r="BN716" s="55" t="s">
        <v>428</v>
      </c>
      <c r="BO716" s="60" t="s">
        <v>1463</v>
      </c>
      <c r="BP716" s="55" t="s">
        <v>1464</v>
      </c>
      <c r="BQ716" s="55" t="s">
        <v>117</v>
      </c>
      <c r="BR716" s="55" t="s">
        <v>134</v>
      </c>
      <c r="BS716" s="55">
        <v>29.22</v>
      </c>
      <c r="BT716" s="55">
        <v>0.01</v>
      </c>
      <c r="BU716" s="57">
        <v>42552</v>
      </c>
      <c r="BV716" s="57">
        <v>42643</v>
      </c>
      <c r="BW716" s="55" t="s">
        <v>94</v>
      </c>
      <c r="BX716" s="55" t="s">
        <v>95</v>
      </c>
      <c r="BY716" s="55" t="s">
        <v>748</v>
      </c>
      <c r="BZ716" s="55">
        <v>1</v>
      </c>
      <c r="CA716" s="55">
        <v>1</v>
      </c>
      <c r="CB716" s="55" t="s">
        <v>303</v>
      </c>
      <c r="CC716" s="55" t="s">
        <v>509</v>
      </c>
      <c r="CD716" s="55">
        <v>1</v>
      </c>
      <c r="CE716" s="55" t="s">
        <v>1462</v>
      </c>
      <c r="CF716" s="55">
        <v>0</v>
      </c>
      <c r="CG716" s="55" t="s">
        <v>97</v>
      </c>
      <c r="CH716" s="55">
        <v>1</v>
      </c>
      <c r="CI716" s="55" t="s">
        <v>1465</v>
      </c>
      <c r="CJ716" s="55" t="s">
        <v>98</v>
      </c>
      <c r="CK716" s="55">
        <v>179</v>
      </c>
      <c r="CL716" s="55">
        <v>0</v>
      </c>
      <c r="CM716" s="55">
        <v>0</v>
      </c>
      <c r="CN716" s="55" t="s">
        <v>124</v>
      </c>
      <c r="CO716" s="55" t="s">
        <v>97</v>
      </c>
      <c r="CP716" s="55" t="s">
        <v>100</v>
      </c>
      <c r="CQ716" s="55" t="s">
        <v>126</v>
      </c>
      <c r="CR716" s="57">
        <v>46233</v>
      </c>
      <c r="CT716" s="55" t="s">
        <v>1561</v>
      </c>
    </row>
    <row r="717" spans="1:98" s="55" customFormat="1" x14ac:dyDescent="0.35">
      <c r="A717" s="54" t="s">
        <v>1459</v>
      </c>
      <c r="B717" s="54" t="s">
        <v>1577</v>
      </c>
      <c r="C717" s="55" t="s">
        <v>1460</v>
      </c>
      <c r="D717" s="55">
        <v>2022</v>
      </c>
      <c r="E717" s="60" t="s">
        <v>1461</v>
      </c>
      <c r="F717" s="54" t="s">
        <v>998</v>
      </c>
      <c r="G717" s="55" t="s">
        <v>78</v>
      </c>
      <c r="H717" s="55">
        <v>1</v>
      </c>
      <c r="I717" s="55" t="s">
        <v>290</v>
      </c>
      <c r="J717" s="55" t="s">
        <v>79</v>
      </c>
      <c r="K717" s="55">
        <v>81</v>
      </c>
      <c r="L717" s="55" t="s">
        <v>104</v>
      </c>
      <c r="M717" s="55" t="s">
        <v>380</v>
      </c>
      <c r="N717" s="55">
        <v>-1.9599999999999999E-2</v>
      </c>
      <c r="O717" s="55">
        <v>5.4999999999999997E-3</v>
      </c>
      <c r="P717" s="88">
        <f t="shared" si="291"/>
        <v>-3.5636363636363639</v>
      </c>
      <c r="Q717" s="55" t="s">
        <v>312</v>
      </c>
      <c r="R717" s="88">
        <f t="shared" si="292"/>
        <v>-3.0379999999999997E-2</v>
      </c>
      <c r="S717" s="88">
        <f t="shared" si="293"/>
        <v>-8.8199999999999997E-3</v>
      </c>
      <c r="T717" s="55">
        <v>1</v>
      </c>
      <c r="U717" s="55">
        <v>66374</v>
      </c>
      <c r="V717" s="55" t="s">
        <v>312</v>
      </c>
      <c r="W717" s="55" t="s">
        <v>312</v>
      </c>
      <c r="X717" s="55">
        <f t="shared" si="300"/>
        <v>66374</v>
      </c>
      <c r="Y717" s="88">
        <f t="shared" si="296"/>
        <v>-1.3830976486959473E-2</v>
      </c>
      <c r="Z717" s="88">
        <f t="shared" si="297"/>
        <v>3.8811413611365866E-3</v>
      </c>
      <c r="AA717" s="88">
        <f t="shared" si="298"/>
        <v>1.3830976486959473E-2</v>
      </c>
      <c r="AB717" s="55" t="s">
        <v>81</v>
      </c>
      <c r="AC717" s="88">
        <f t="shared" si="301"/>
        <v>-0.12128479999999998</v>
      </c>
      <c r="AD717" s="88" cm="1">
        <f t="array" ref="AD717">_xlfn.IFS(
AND(L717="marginal_effect",M717="level"),N717*AN717/BF717,
AND(L717="marginal_effect",M717="sd (Y)"),N717*BI717*AN717/BF717,
AND(L717="marginal_effect",M717="sd (X)"),N717/AQ717*AN717/BF717,
AND(L717="semi_elasticity",M717="level"),N717*AN717,
AND(L717="semi_elasticity",M717="sd (Y)"),N717*AN717*BI717,
AND(L717="semi_elasticity",M717="sd (X)"),N717*AN717/AQ717,
AND(L717="level-log",M717="level"),N717/BF717,
AND(L717="level-log",M717="sd (X)"),N717/BF717/AQ717,
AND(L717="level-log",M717="sd (Y)"),N717/BF717*BI717,
AND(L717="elasticity",M717="level"),N717,
AND(L717="elasticity",M717="sd (X)"),N717/AQ717,
AND(L717="elasticity",M717="sd (Y)"),N717*BI717,
AND(L717="marginal_effect",M717="percent_of_mean"),N717*AN717/BF717/10)</f>
        <v>-0.12128479999999998</v>
      </c>
      <c r="AE717" s="56">
        <f t="shared" si="275"/>
        <v>1</v>
      </c>
      <c r="AF717" s="88">
        <f t="shared" si="302"/>
        <v>3.4033999999999995E-2</v>
      </c>
      <c r="AG717" s="88" cm="1">
        <f t="array" ref="AG717">_xlfn.IFS(
AND(L717="marginal_effect",M717="level"),O717*AN717/BF717,
AND(L717="marginal_effect",M717="sd (Y)"),O717*BI717*AN717/BF717,
AND(L717="marginal_effect",M717="sd (X)"),O717/AQ717*AN717/BF717,
AND(L717="semi_elasticity",M717="level"),O717*AN717,
AND(L717="semi_elasticity",M717="sd (Y)"),O717*AN717*BI717,
AND(L717="semi_elasticity",M717="sd (X)"),O717*AN717/AQ717,
AND(L717="level-log",M717="level"),O717/BF717,
AND(L717="level-log",M717="sd (X)"),O717/BF717/AQ717,
AND(L717="level-log",M717="sd (Y)"),O717/BF717*BI717,
AND(L717="elasticity",M717="level"),O717,
AND(L717="elasticity",M717="sd (X)"),O717/AQ717,
AND(L717="elasticity",M717="sd (Y)"),O717*BI717,
AND(L717="marginal_effect",M717="percent_of_mean"),O717*AN717/BF717/10)</f>
        <v>3.4033999999999995E-2</v>
      </c>
      <c r="AH717" s="56">
        <f t="shared" si="294"/>
        <v>1</v>
      </c>
      <c r="AI717" s="88">
        <f t="shared" si="299"/>
        <v>-0.12128479999999998</v>
      </c>
      <c r="AJ717" s="55">
        <v>0</v>
      </c>
      <c r="AK717" s="55">
        <f t="shared" si="295"/>
        <v>1</v>
      </c>
      <c r="AL717" s="55" t="s">
        <v>735</v>
      </c>
      <c r="AM717" s="55" t="s">
        <v>1466</v>
      </c>
      <c r="AN717" s="55">
        <v>6.1879999999999997</v>
      </c>
      <c r="AO717" s="55">
        <v>0</v>
      </c>
      <c r="AP717" s="55">
        <f t="shared" si="290"/>
        <v>61.879999999999995</v>
      </c>
      <c r="AQ717" s="55">
        <v>33.57</v>
      </c>
      <c r="AR717" s="55">
        <v>20</v>
      </c>
      <c r="AS717" s="55">
        <v>207</v>
      </c>
      <c r="AT717" s="55" t="s">
        <v>83</v>
      </c>
      <c r="AU717" s="55" t="s">
        <v>109</v>
      </c>
      <c r="AV717" s="55" t="s">
        <v>133</v>
      </c>
      <c r="AW717" s="55" t="s">
        <v>109</v>
      </c>
      <c r="AX717" s="55" t="s">
        <v>86</v>
      </c>
      <c r="AY717" s="55">
        <v>0</v>
      </c>
      <c r="AZ717" s="55">
        <v>0</v>
      </c>
      <c r="BA717" s="55" t="s">
        <v>87</v>
      </c>
      <c r="BB717" s="55" t="s">
        <v>88</v>
      </c>
      <c r="BC717" s="55" t="s">
        <v>89</v>
      </c>
      <c r="BD717" s="55" t="s">
        <v>90</v>
      </c>
      <c r="BE717" s="55" t="s">
        <v>1458</v>
      </c>
      <c r="BF717" s="55">
        <v>101.57</v>
      </c>
      <c r="BG717" s="55">
        <v>0</v>
      </c>
      <c r="BH717" s="55">
        <v>65.849999999999994</v>
      </c>
      <c r="BI717" s="55">
        <v>5</v>
      </c>
      <c r="BJ717" s="55">
        <v>430</v>
      </c>
      <c r="BK717" s="55" t="s">
        <v>91</v>
      </c>
      <c r="BL717" s="55" t="s">
        <v>84</v>
      </c>
      <c r="BM717" s="55">
        <v>1</v>
      </c>
      <c r="BN717" s="55" t="s">
        <v>428</v>
      </c>
      <c r="BO717" s="60" t="s">
        <v>1463</v>
      </c>
      <c r="BP717" s="55" t="s">
        <v>1464</v>
      </c>
      <c r="BQ717" s="55" t="s">
        <v>117</v>
      </c>
      <c r="BR717" s="55" t="s">
        <v>134</v>
      </c>
      <c r="BS717" s="55">
        <v>29.22</v>
      </c>
      <c r="BT717" s="55">
        <v>0.01</v>
      </c>
      <c r="BU717" s="57">
        <v>42552</v>
      </c>
      <c r="BV717" s="57">
        <v>42643</v>
      </c>
      <c r="BW717" s="55" t="s">
        <v>94</v>
      </c>
      <c r="BX717" s="55" t="s">
        <v>95</v>
      </c>
      <c r="BY717" s="55" t="s">
        <v>748</v>
      </c>
      <c r="BZ717" s="55">
        <v>1</v>
      </c>
      <c r="CA717" s="55">
        <v>1</v>
      </c>
      <c r="CB717" s="55" t="s">
        <v>303</v>
      </c>
      <c r="CC717" s="55" t="s">
        <v>1490</v>
      </c>
      <c r="CD717" s="55">
        <v>1</v>
      </c>
      <c r="CE717" s="55" t="s">
        <v>1462</v>
      </c>
      <c r="CF717" s="55">
        <v>0</v>
      </c>
      <c r="CG717" s="55" t="s">
        <v>97</v>
      </c>
      <c r="CH717" s="55">
        <v>1</v>
      </c>
      <c r="CI717" s="55" t="s">
        <v>1465</v>
      </c>
      <c r="CJ717" s="55" t="s">
        <v>98</v>
      </c>
      <c r="CK717" s="55">
        <v>179</v>
      </c>
      <c r="CL717" s="55">
        <v>0</v>
      </c>
      <c r="CM717" s="55">
        <v>0</v>
      </c>
      <c r="CN717" s="55" t="s">
        <v>124</v>
      </c>
      <c r="CO717" s="55" t="s">
        <v>97</v>
      </c>
      <c r="CP717" s="55" t="s">
        <v>100</v>
      </c>
      <c r="CQ717" s="55" t="s">
        <v>126</v>
      </c>
      <c r="CR717" s="57">
        <v>46233</v>
      </c>
      <c r="CT717" s="55" t="s">
        <v>1562</v>
      </c>
    </row>
    <row r="718" spans="1:98" s="55" customFormat="1" x14ac:dyDescent="0.35">
      <c r="A718" s="54" t="s">
        <v>1459</v>
      </c>
      <c r="B718" s="54" t="s">
        <v>1578</v>
      </c>
      <c r="C718" s="55" t="s">
        <v>1460</v>
      </c>
      <c r="D718" s="55">
        <v>2022</v>
      </c>
      <c r="E718" s="60" t="s">
        <v>1461</v>
      </c>
      <c r="F718" s="54" t="s">
        <v>998</v>
      </c>
      <c r="G718" s="55" t="s">
        <v>78</v>
      </c>
      <c r="H718" s="55">
        <v>1</v>
      </c>
      <c r="I718" s="55" t="s">
        <v>290</v>
      </c>
      <c r="J718" s="55" t="s">
        <v>79</v>
      </c>
      <c r="K718" s="55">
        <v>81</v>
      </c>
      <c r="L718" s="55" t="s">
        <v>104</v>
      </c>
      <c r="M718" s="55" t="s">
        <v>380</v>
      </c>
      <c r="N718" s="55">
        <v>-1.9400000000000001E-2</v>
      </c>
      <c r="O718" s="55">
        <v>5.3E-3</v>
      </c>
      <c r="P718" s="88">
        <f t="shared" si="291"/>
        <v>-3.6603773584905661</v>
      </c>
      <c r="Q718" s="55" t="s">
        <v>312</v>
      </c>
      <c r="R718" s="88">
        <f t="shared" si="292"/>
        <v>-2.9788000000000002E-2</v>
      </c>
      <c r="S718" s="88">
        <f t="shared" si="293"/>
        <v>-9.0120000000000009E-3</v>
      </c>
      <c r="T718" s="55">
        <v>1</v>
      </c>
      <c r="U718" s="55">
        <v>66374</v>
      </c>
      <c r="V718" s="55" t="s">
        <v>312</v>
      </c>
      <c r="W718" s="55" t="s">
        <v>312</v>
      </c>
      <c r="X718" s="55">
        <f t="shared" si="300"/>
        <v>66374</v>
      </c>
      <c r="Y718" s="88">
        <f t="shared" si="296"/>
        <v>-1.4206367187801451E-2</v>
      </c>
      <c r="Z718" s="88">
        <f t="shared" si="297"/>
        <v>3.8811209327498804E-3</v>
      </c>
      <c r="AA718" s="88">
        <f t="shared" si="298"/>
        <v>1.4206367187801451E-2</v>
      </c>
      <c r="AB718" s="55" t="s">
        <v>81</v>
      </c>
      <c r="AC718" s="88">
        <f t="shared" si="301"/>
        <v>-0.12004719999999999</v>
      </c>
      <c r="AD718" s="88" cm="1">
        <f t="array" ref="AD718">_xlfn.IFS(
AND(L718="marginal_effect",M718="level"),N718*AN718/BF718,
AND(L718="marginal_effect",M718="sd (Y)"),N718*BI718*AN718/BF718,
AND(L718="marginal_effect",M718="sd (X)"),N718/AQ718*AN718/BF718,
AND(L718="semi_elasticity",M718="level"),N718*AN718,
AND(L718="semi_elasticity",M718="sd (Y)"),N718*AN718*BI718,
AND(L718="semi_elasticity",M718="sd (X)"),N718*AN718/AQ718,
AND(L718="level-log",M718="level"),N718/BF718,
AND(L718="level-log",M718="sd (X)"),N718/BF718/AQ718,
AND(L718="level-log",M718="sd (Y)"),N718/BF718*BI718,
AND(L718="elasticity",M718="level"),N718,
AND(L718="elasticity",M718="sd (X)"),N718/AQ718,
AND(L718="elasticity",M718="sd (Y)"),N718*BI718,
AND(L718="marginal_effect",M718="percent_of_mean"),N718*AN718/BF718/10)</f>
        <v>-0.12004719999999999</v>
      </c>
      <c r="AE718" s="56">
        <f t="shared" si="275"/>
        <v>1</v>
      </c>
      <c r="AF718" s="88">
        <f t="shared" si="302"/>
        <v>3.2796399999999996E-2</v>
      </c>
      <c r="AG718" s="88" cm="1">
        <f t="array" ref="AG718">_xlfn.IFS(
AND(L718="marginal_effect",M718="level"),O718*AN718/BF718,
AND(L718="marginal_effect",M718="sd (Y)"),O718*BI718*AN718/BF718,
AND(L718="marginal_effect",M718="sd (X)"),O718/AQ718*AN718/BF718,
AND(L718="semi_elasticity",M718="level"),O718*AN718,
AND(L718="semi_elasticity",M718="sd (Y)"),O718*AN718*BI718,
AND(L718="semi_elasticity",M718="sd (X)"),O718*AN718/AQ718,
AND(L718="level-log",M718="level"),O718/BF718,
AND(L718="level-log",M718="sd (X)"),O718/BF718/AQ718,
AND(L718="level-log",M718="sd (Y)"),O718/BF718*BI718,
AND(L718="elasticity",M718="level"),O718,
AND(L718="elasticity",M718="sd (X)"),O718/AQ718,
AND(L718="elasticity",M718="sd (Y)"),O718*BI718,
AND(L718="marginal_effect",M718="percent_of_mean"),O718*AN718/BF718/10)</f>
        <v>3.2796399999999996E-2</v>
      </c>
      <c r="AH718" s="56">
        <f t="shared" si="294"/>
        <v>1</v>
      </c>
      <c r="AI718" s="88">
        <f t="shared" si="299"/>
        <v>-0.12004719999999999</v>
      </c>
      <c r="AJ718" s="55">
        <v>0</v>
      </c>
      <c r="AK718" s="55">
        <f t="shared" si="295"/>
        <v>1</v>
      </c>
      <c r="AL718" s="55" t="s">
        <v>735</v>
      </c>
      <c r="AM718" s="55" t="s">
        <v>1466</v>
      </c>
      <c r="AN718" s="55">
        <v>6.1879999999999997</v>
      </c>
      <c r="AO718" s="55">
        <v>0</v>
      </c>
      <c r="AP718" s="55">
        <f t="shared" si="290"/>
        <v>61.879999999999995</v>
      </c>
      <c r="AQ718" s="55">
        <v>33.57</v>
      </c>
      <c r="AR718" s="55">
        <v>20</v>
      </c>
      <c r="AS718" s="55">
        <v>207</v>
      </c>
      <c r="AT718" s="55" t="s">
        <v>83</v>
      </c>
      <c r="AU718" s="55" t="s">
        <v>109</v>
      </c>
      <c r="AV718" s="55" t="s">
        <v>133</v>
      </c>
      <c r="AW718" s="55" t="s">
        <v>109</v>
      </c>
      <c r="AX718" s="55" t="s">
        <v>86</v>
      </c>
      <c r="AY718" s="55">
        <v>0</v>
      </c>
      <c r="AZ718" s="55">
        <v>0</v>
      </c>
      <c r="BA718" s="55" t="s">
        <v>87</v>
      </c>
      <c r="BB718" s="55" t="s">
        <v>88</v>
      </c>
      <c r="BC718" s="55" t="s">
        <v>89</v>
      </c>
      <c r="BD718" s="55" t="s">
        <v>90</v>
      </c>
      <c r="BE718" s="55" t="s">
        <v>1458</v>
      </c>
      <c r="BF718" s="55">
        <v>101.57</v>
      </c>
      <c r="BG718" s="55">
        <v>0</v>
      </c>
      <c r="BH718" s="55">
        <v>65.849999999999994</v>
      </c>
      <c r="BI718" s="55">
        <v>5</v>
      </c>
      <c r="BJ718" s="55">
        <v>430</v>
      </c>
      <c r="BK718" s="55" t="s">
        <v>91</v>
      </c>
      <c r="BL718" s="55" t="s">
        <v>84</v>
      </c>
      <c r="BM718" s="55">
        <v>1</v>
      </c>
      <c r="BN718" s="55" t="s">
        <v>428</v>
      </c>
      <c r="BO718" s="60" t="s">
        <v>1463</v>
      </c>
      <c r="BP718" s="55" t="s">
        <v>1464</v>
      </c>
      <c r="BQ718" s="55" t="s">
        <v>117</v>
      </c>
      <c r="BR718" s="55" t="s">
        <v>134</v>
      </c>
      <c r="BS718" s="55">
        <v>29.22</v>
      </c>
      <c r="BT718" s="55">
        <v>0.01</v>
      </c>
      <c r="BU718" s="57">
        <v>42552</v>
      </c>
      <c r="BV718" s="57">
        <v>42643</v>
      </c>
      <c r="BW718" s="55" t="s">
        <v>94</v>
      </c>
      <c r="BX718" s="55" t="s">
        <v>95</v>
      </c>
      <c r="BY718" s="55" t="s">
        <v>748</v>
      </c>
      <c r="BZ718" s="55">
        <v>1</v>
      </c>
      <c r="CA718" s="55">
        <v>1</v>
      </c>
      <c r="CB718" s="55" t="s">
        <v>303</v>
      </c>
      <c r="CC718" s="55" t="s">
        <v>314</v>
      </c>
      <c r="CD718" s="55">
        <v>1</v>
      </c>
      <c r="CE718" s="55" t="s">
        <v>1462</v>
      </c>
      <c r="CF718" s="55">
        <v>0</v>
      </c>
      <c r="CG718" s="55" t="s">
        <v>97</v>
      </c>
      <c r="CH718" s="55">
        <v>1</v>
      </c>
      <c r="CI718" s="55" t="s">
        <v>1465</v>
      </c>
      <c r="CJ718" s="55" t="s">
        <v>98</v>
      </c>
      <c r="CK718" s="55">
        <v>179</v>
      </c>
      <c r="CL718" s="55">
        <v>0</v>
      </c>
      <c r="CM718" s="55">
        <v>0</v>
      </c>
      <c r="CN718" s="55" t="s">
        <v>124</v>
      </c>
      <c r="CO718" s="55" t="s">
        <v>97</v>
      </c>
      <c r="CP718" s="55" t="s">
        <v>100</v>
      </c>
      <c r="CQ718" s="55" t="s">
        <v>126</v>
      </c>
      <c r="CR718" s="57">
        <v>46233</v>
      </c>
      <c r="CT718" s="55" t="s">
        <v>1563</v>
      </c>
    </row>
    <row r="719" spans="1:98" s="55" customFormat="1" x14ac:dyDescent="0.35">
      <c r="A719" s="54" t="s">
        <v>1459</v>
      </c>
      <c r="B719" s="54" t="s">
        <v>1579</v>
      </c>
      <c r="C719" s="55" t="s">
        <v>1460</v>
      </c>
      <c r="D719" s="55">
        <v>2022</v>
      </c>
      <c r="E719" s="60" t="s">
        <v>1461</v>
      </c>
      <c r="F719" s="54" t="s">
        <v>998</v>
      </c>
      <c r="G719" s="55" t="s">
        <v>78</v>
      </c>
      <c r="H719" s="55">
        <v>1</v>
      </c>
      <c r="I719" s="55" t="s">
        <v>290</v>
      </c>
      <c r="J719" s="55" t="s">
        <v>79</v>
      </c>
      <c r="K719" s="55">
        <v>81</v>
      </c>
      <c r="L719" s="55" t="s">
        <v>104</v>
      </c>
      <c r="M719" s="55" t="s">
        <v>380</v>
      </c>
      <c r="N719" s="55">
        <v>-0.02</v>
      </c>
      <c r="O719" s="55">
        <v>6.1000000000000004E-3</v>
      </c>
      <c r="P719" s="88">
        <f t="shared" si="291"/>
        <v>-3.2786885245901636</v>
      </c>
      <c r="Q719" s="55" t="s">
        <v>312</v>
      </c>
      <c r="R719" s="88">
        <f t="shared" si="292"/>
        <v>-3.1955999999999998E-2</v>
      </c>
      <c r="S719" s="88">
        <f t="shared" si="293"/>
        <v>-8.0439999999999991E-3</v>
      </c>
      <c r="T719" s="55">
        <v>1</v>
      </c>
      <c r="U719" s="55">
        <v>66374</v>
      </c>
      <c r="V719" s="55" t="s">
        <v>312</v>
      </c>
      <c r="W719" s="55" t="s">
        <v>312</v>
      </c>
      <c r="X719" s="55">
        <f t="shared" si="300"/>
        <v>66374</v>
      </c>
      <c r="Y719" s="88">
        <f t="shared" si="296"/>
        <v>-1.2725240507730331E-2</v>
      </c>
      <c r="Z719" s="88">
        <f t="shared" si="297"/>
        <v>3.8811983548577506E-3</v>
      </c>
      <c r="AA719" s="88">
        <f t="shared" si="298"/>
        <v>1.2725240507730331E-2</v>
      </c>
      <c r="AB719" s="55" t="s">
        <v>81</v>
      </c>
      <c r="AC719" s="88">
        <f t="shared" si="301"/>
        <v>-0.12376</v>
      </c>
      <c r="AD719" s="88" cm="1">
        <f t="array" ref="AD719">_xlfn.IFS(
AND(L719="marginal_effect",M719="level"),N719*AN719/BF719,
AND(L719="marginal_effect",M719="sd (Y)"),N719*BI719*AN719/BF719,
AND(L719="marginal_effect",M719="sd (X)"),N719/AQ719*AN719/BF719,
AND(L719="semi_elasticity",M719="level"),N719*AN719,
AND(L719="semi_elasticity",M719="sd (Y)"),N719*AN719*BI719,
AND(L719="semi_elasticity",M719="sd (X)"),N719*AN719/AQ719,
AND(L719="level-log",M719="level"),N719/BF719,
AND(L719="level-log",M719="sd (X)"),N719/BF719/AQ719,
AND(L719="level-log",M719="sd (Y)"),N719/BF719*BI719,
AND(L719="elasticity",M719="level"),N719,
AND(L719="elasticity",M719="sd (X)"),N719/AQ719,
AND(L719="elasticity",M719="sd (Y)"),N719*BI719,
AND(L719="marginal_effect",M719="percent_of_mean"),N719*AN719/BF719/10)</f>
        <v>-0.12376</v>
      </c>
      <c r="AE719" s="56">
        <f t="shared" ref="AE719:AE720" si="303">IF(AC719=AD719,1,0)</f>
        <v>1</v>
      </c>
      <c r="AF719" s="88">
        <f t="shared" si="302"/>
        <v>3.7746800000000004E-2</v>
      </c>
      <c r="AG719" s="88" cm="1">
        <f t="array" ref="AG719">_xlfn.IFS(
AND(L719="marginal_effect",M719="level"),O719*AN719/BF719,
AND(L719="marginal_effect",M719="sd (Y)"),O719*BI719*AN719/BF719,
AND(L719="marginal_effect",M719="sd (X)"),O719/AQ719*AN719/BF719,
AND(L719="semi_elasticity",M719="level"),O719*AN719,
AND(L719="semi_elasticity",M719="sd (Y)"),O719*AN719*BI719,
AND(L719="semi_elasticity",M719="sd (X)"),O719*AN719/AQ719,
AND(L719="level-log",M719="level"),O719/BF719,
AND(L719="level-log",M719="sd (X)"),O719/BF719/AQ719,
AND(L719="level-log",M719="sd (Y)"),O719/BF719*BI719,
AND(L719="elasticity",M719="level"),O719,
AND(L719="elasticity",M719="sd (X)"),O719/AQ719,
AND(L719="elasticity",M719="sd (Y)"),O719*BI719,
AND(L719="marginal_effect",M719="percent_of_mean"),O719*AN719/BF719/10)</f>
        <v>3.7746800000000004E-2</v>
      </c>
      <c r="AH719" s="56">
        <f t="shared" si="294"/>
        <v>1</v>
      </c>
      <c r="AI719" s="88">
        <f t="shared" si="299"/>
        <v>-0.12376</v>
      </c>
      <c r="AJ719" s="55">
        <v>0</v>
      </c>
      <c r="AK719" s="55">
        <f t="shared" si="295"/>
        <v>1</v>
      </c>
      <c r="AL719" s="55" t="s">
        <v>735</v>
      </c>
      <c r="AM719" s="55" t="s">
        <v>1466</v>
      </c>
      <c r="AN719" s="55">
        <v>6.1879999999999997</v>
      </c>
      <c r="AO719" s="55">
        <v>0</v>
      </c>
      <c r="AP719" s="55">
        <f t="shared" si="290"/>
        <v>61.879999999999995</v>
      </c>
      <c r="AQ719" s="55">
        <v>33.57</v>
      </c>
      <c r="AR719" s="55">
        <v>20</v>
      </c>
      <c r="AS719" s="55">
        <v>207</v>
      </c>
      <c r="AT719" s="55" t="s">
        <v>83</v>
      </c>
      <c r="AU719" s="55" t="s">
        <v>109</v>
      </c>
      <c r="AV719" s="55" t="s">
        <v>133</v>
      </c>
      <c r="AW719" s="55" t="s">
        <v>109</v>
      </c>
      <c r="AX719" s="55" t="s">
        <v>86</v>
      </c>
      <c r="AY719" s="55">
        <v>0</v>
      </c>
      <c r="AZ719" s="55">
        <v>0</v>
      </c>
      <c r="BA719" s="55" t="s">
        <v>87</v>
      </c>
      <c r="BB719" s="55" t="s">
        <v>88</v>
      </c>
      <c r="BC719" s="55" t="s">
        <v>89</v>
      </c>
      <c r="BD719" s="55" t="s">
        <v>90</v>
      </c>
      <c r="BE719" s="55" t="s">
        <v>1458</v>
      </c>
      <c r="BF719" s="55">
        <v>101.57</v>
      </c>
      <c r="BG719" s="55">
        <v>0</v>
      </c>
      <c r="BH719" s="55">
        <v>65.849999999999994</v>
      </c>
      <c r="BI719" s="55">
        <v>5</v>
      </c>
      <c r="BJ719" s="55">
        <v>430</v>
      </c>
      <c r="BK719" s="55" t="s">
        <v>91</v>
      </c>
      <c r="BL719" s="55" t="s">
        <v>84</v>
      </c>
      <c r="BM719" s="55">
        <v>1</v>
      </c>
      <c r="BN719" s="55" t="s">
        <v>428</v>
      </c>
      <c r="BO719" s="60" t="s">
        <v>1463</v>
      </c>
      <c r="BP719" s="55" t="s">
        <v>1464</v>
      </c>
      <c r="BQ719" s="55" t="s">
        <v>117</v>
      </c>
      <c r="BR719" s="55" t="s">
        <v>134</v>
      </c>
      <c r="BS719" s="55">
        <v>29.22</v>
      </c>
      <c r="BT719" s="55">
        <v>0.01</v>
      </c>
      <c r="BU719" s="57">
        <v>42552</v>
      </c>
      <c r="BV719" s="57">
        <v>42643</v>
      </c>
      <c r="BW719" s="55" t="s">
        <v>94</v>
      </c>
      <c r="BX719" s="55" t="s">
        <v>95</v>
      </c>
      <c r="BY719" s="55" t="s">
        <v>748</v>
      </c>
      <c r="BZ719" s="55">
        <v>1</v>
      </c>
      <c r="CA719" s="55">
        <v>1</v>
      </c>
      <c r="CB719" s="55" t="s">
        <v>303</v>
      </c>
      <c r="CC719" s="55" t="s">
        <v>314</v>
      </c>
      <c r="CD719" s="55">
        <v>1</v>
      </c>
      <c r="CE719" s="55" t="s">
        <v>1462</v>
      </c>
      <c r="CF719" s="55">
        <v>0</v>
      </c>
      <c r="CG719" s="55" t="s">
        <v>97</v>
      </c>
      <c r="CH719" s="55">
        <v>1</v>
      </c>
      <c r="CI719" s="55" t="s">
        <v>1465</v>
      </c>
      <c r="CJ719" s="55" t="s">
        <v>98</v>
      </c>
      <c r="CK719" s="55">
        <v>179</v>
      </c>
      <c r="CL719" s="55">
        <v>0</v>
      </c>
      <c r="CM719" s="55">
        <v>0</v>
      </c>
      <c r="CN719" s="55" t="s">
        <v>124</v>
      </c>
      <c r="CO719" s="55" t="s">
        <v>97</v>
      </c>
      <c r="CP719" s="55" t="s">
        <v>100</v>
      </c>
      <c r="CQ719" s="55" t="s">
        <v>126</v>
      </c>
      <c r="CR719" s="57">
        <v>46233</v>
      </c>
      <c r="CT719" s="55" t="s">
        <v>1564</v>
      </c>
    </row>
    <row r="720" spans="1:98" s="55" customFormat="1" x14ac:dyDescent="0.35">
      <c r="A720" s="54" t="s">
        <v>1459</v>
      </c>
      <c r="B720" s="54" t="s">
        <v>1580</v>
      </c>
      <c r="C720" s="55" t="s">
        <v>1460</v>
      </c>
      <c r="D720" s="55">
        <v>2022</v>
      </c>
      <c r="E720" s="60" t="s">
        <v>1461</v>
      </c>
      <c r="F720" s="54" t="s">
        <v>998</v>
      </c>
      <c r="G720" s="55" t="s">
        <v>78</v>
      </c>
      <c r="H720" s="55">
        <v>1</v>
      </c>
      <c r="I720" s="55" t="s">
        <v>290</v>
      </c>
      <c r="J720" s="55" t="s">
        <v>79</v>
      </c>
      <c r="K720" s="55">
        <v>81</v>
      </c>
      <c r="L720" s="55" t="s">
        <v>104</v>
      </c>
      <c r="M720" s="55" t="s">
        <v>380</v>
      </c>
      <c r="N720" s="55">
        <v>-1.55E-2</v>
      </c>
      <c r="O720" s="55">
        <v>5.3E-3</v>
      </c>
      <c r="P720" s="88">
        <f t="shared" si="291"/>
        <v>-2.9245283018867925</v>
      </c>
      <c r="Q720" s="55" t="s">
        <v>312</v>
      </c>
      <c r="R720" s="88">
        <f t="shared" si="292"/>
        <v>-2.5888000000000001E-2</v>
      </c>
      <c r="S720" s="88">
        <f t="shared" si="293"/>
        <v>-5.1120000000000002E-3</v>
      </c>
      <c r="T720" s="55">
        <v>1</v>
      </c>
      <c r="U720" s="55">
        <v>66374</v>
      </c>
      <c r="V720" s="55" t="s">
        <v>312</v>
      </c>
      <c r="W720" s="55" t="s">
        <v>312</v>
      </c>
      <c r="X720" s="55">
        <f t="shared" si="300"/>
        <v>66374</v>
      </c>
      <c r="Y720" s="88">
        <f t="shared" si="296"/>
        <v>-1.1350862257925752E-2</v>
      </c>
      <c r="Z720" s="88">
        <f t="shared" si="297"/>
        <v>3.8812625785165475E-3</v>
      </c>
      <c r="AA720" s="88">
        <f t="shared" si="298"/>
        <v>1.1350862257925752E-2</v>
      </c>
      <c r="AB720" s="55" t="s">
        <v>81</v>
      </c>
      <c r="AC720" s="88">
        <f t="shared" si="301"/>
        <v>-9.5913999999999999E-2</v>
      </c>
      <c r="AD720" s="88" cm="1">
        <f t="array" ref="AD720">_xlfn.IFS(
AND(L720="marginal_effect",M720="level"),N720*AN720/BF720,
AND(L720="marginal_effect",M720="sd (Y)"),N720*BI720*AN720/BF720,
AND(L720="marginal_effect",M720="sd (X)"),N720/AQ720*AN720/BF720,
AND(L720="semi_elasticity",M720="level"),N720*AN720,
AND(L720="semi_elasticity",M720="sd (Y)"),N720*AN720*BI720,
AND(L720="semi_elasticity",M720="sd (X)"),N720*AN720/AQ720,
AND(L720="level-log",M720="level"),N720/BF720,
AND(L720="level-log",M720="sd (X)"),N720/BF720/AQ720,
AND(L720="level-log",M720="sd (Y)"),N720/BF720*BI720,
AND(L720="elasticity",M720="level"),N720,
AND(L720="elasticity",M720="sd (X)"),N720/AQ720,
AND(L720="elasticity",M720="sd (Y)"),N720*BI720,
AND(L720="marginal_effect",M720="percent_of_mean"),N720*AN720/BF720/10)</f>
        <v>-9.5913999999999999E-2</v>
      </c>
      <c r="AE720" s="56">
        <f t="shared" si="303"/>
        <v>1</v>
      </c>
      <c r="AF720" s="88">
        <f t="shared" si="302"/>
        <v>3.2796399999999996E-2</v>
      </c>
      <c r="AG720" s="88" cm="1">
        <f t="array" ref="AG720">_xlfn.IFS(
AND(L720="marginal_effect",M720="level"),O720*AN720/BF720,
AND(L720="marginal_effect",M720="sd (Y)"),O720*BI720*AN720/BF720,
AND(L720="marginal_effect",M720="sd (X)"),O720/AQ720*AN720/BF720,
AND(L720="semi_elasticity",M720="level"),O720*AN720,
AND(L720="semi_elasticity",M720="sd (Y)"),O720*AN720*BI720,
AND(L720="semi_elasticity",M720="sd (X)"),O720*AN720/AQ720,
AND(L720="level-log",M720="level"),O720/BF720,
AND(L720="level-log",M720="sd (X)"),O720/BF720/AQ720,
AND(L720="level-log",M720="sd (Y)"),O720/BF720*BI720,
AND(L720="elasticity",M720="level"),O720,
AND(L720="elasticity",M720="sd (X)"),O720/AQ720,
AND(L720="elasticity",M720="sd (Y)"),O720*BI720,
AND(L720="marginal_effect",M720="percent_of_mean"),O720*AN720/BF720/10)</f>
        <v>3.2796399999999996E-2</v>
      </c>
      <c r="AH720" s="56">
        <f t="shared" si="294"/>
        <v>1</v>
      </c>
      <c r="AI720" s="88">
        <f t="shared" si="299"/>
        <v>-9.5913999999999999E-2</v>
      </c>
      <c r="AJ720" s="55">
        <v>0</v>
      </c>
      <c r="AK720" s="55">
        <f t="shared" si="295"/>
        <v>1</v>
      </c>
      <c r="AL720" s="55" t="s">
        <v>735</v>
      </c>
      <c r="AM720" s="55" t="s">
        <v>1466</v>
      </c>
      <c r="AN720" s="55">
        <v>6.1879999999999997</v>
      </c>
      <c r="AO720" s="55">
        <v>0</v>
      </c>
      <c r="AP720" s="55">
        <f t="shared" si="290"/>
        <v>61.879999999999995</v>
      </c>
      <c r="AQ720" s="55">
        <v>33.57</v>
      </c>
      <c r="AR720" s="55">
        <v>20</v>
      </c>
      <c r="AS720" s="55">
        <v>207</v>
      </c>
      <c r="AT720" s="55" t="s">
        <v>83</v>
      </c>
      <c r="AU720" s="55" t="s">
        <v>109</v>
      </c>
      <c r="AV720" s="55" t="s">
        <v>133</v>
      </c>
      <c r="AW720" s="55" t="s">
        <v>109</v>
      </c>
      <c r="AX720" s="55" t="s">
        <v>86</v>
      </c>
      <c r="AY720" s="55">
        <v>0</v>
      </c>
      <c r="AZ720" s="55">
        <v>0</v>
      </c>
      <c r="BA720" s="55" t="s">
        <v>87</v>
      </c>
      <c r="BB720" s="55" t="s">
        <v>88</v>
      </c>
      <c r="BC720" s="55" t="s">
        <v>89</v>
      </c>
      <c r="BD720" s="55" t="s">
        <v>90</v>
      </c>
      <c r="BE720" s="55" t="s">
        <v>1458</v>
      </c>
      <c r="BF720" s="55">
        <v>101.57</v>
      </c>
      <c r="BG720" s="55">
        <v>0</v>
      </c>
      <c r="BH720" s="55">
        <v>65.849999999999994</v>
      </c>
      <c r="BI720" s="55">
        <v>5</v>
      </c>
      <c r="BJ720" s="55">
        <v>430</v>
      </c>
      <c r="BK720" s="55" t="s">
        <v>91</v>
      </c>
      <c r="BL720" s="55" t="s">
        <v>84</v>
      </c>
      <c r="BM720" s="55">
        <v>1</v>
      </c>
      <c r="BN720" s="55" t="s">
        <v>428</v>
      </c>
      <c r="BO720" s="60" t="s">
        <v>1463</v>
      </c>
      <c r="BP720" s="55" t="s">
        <v>1464</v>
      </c>
      <c r="BQ720" s="55" t="s">
        <v>117</v>
      </c>
      <c r="BR720" s="55" t="s">
        <v>134</v>
      </c>
      <c r="BS720" s="55">
        <v>29.22</v>
      </c>
      <c r="BT720" s="55">
        <v>0.01</v>
      </c>
      <c r="BU720" s="57">
        <v>42552</v>
      </c>
      <c r="BV720" s="57">
        <v>42643</v>
      </c>
      <c r="BW720" s="55" t="s">
        <v>94</v>
      </c>
      <c r="BX720" s="55" t="s">
        <v>95</v>
      </c>
      <c r="BY720" s="55" t="s">
        <v>748</v>
      </c>
      <c r="BZ720" s="55">
        <v>1</v>
      </c>
      <c r="CA720" s="55">
        <v>1</v>
      </c>
      <c r="CB720" s="55" t="s">
        <v>303</v>
      </c>
      <c r="CC720" s="55" t="s">
        <v>1490</v>
      </c>
      <c r="CD720" s="55">
        <v>1</v>
      </c>
      <c r="CE720" s="55" t="s">
        <v>1462</v>
      </c>
      <c r="CF720" s="55">
        <v>0</v>
      </c>
      <c r="CG720" s="55" t="s">
        <v>97</v>
      </c>
      <c r="CH720" s="55">
        <v>1</v>
      </c>
      <c r="CI720" s="55" t="s">
        <v>1465</v>
      </c>
      <c r="CJ720" s="55" t="s">
        <v>98</v>
      </c>
      <c r="CK720" s="55">
        <v>179</v>
      </c>
      <c r="CL720" s="55">
        <v>0</v>
      </c>
      <c r="CM720" s="55">
        <v>0</v>
      </c>
      <c r="CN720" s="55" t="s">
        <v>124</v>
      </c>
      <c r="CO720" s="55" t="s">
        <v>97</v>
      </c>
      <c r="CP720" s="55" t="s">
        <v>100</v>
      </c>
      <c r="CQ720" s="55" t="s">
        <v>126</v>
      </c>
      <c r="CR720" s="57">
        <v>46233</v>
      </c>
      <c r="CT720" s="55" t="s">
        <v>1565</v>
      </c>
    </row>
    <row r="721" spans="1:98" s="55" customFormat="1" x14ac:dyDescent="0.35">
      <c r="A721" s="54" t="s">
        <v>1459</v>
      </c>
      <c r="B721" s="54" t="s">
        <v>1767</v>
      </c>
      <c r="C721" s="55" t="s">
        <v>1460</v>
      </c>
      <c r="D721" s="55">
        <v>2022</v>
      </c>
      <c r="E721" s="54" t="s">
        <v>1461</v>
      </c>
      <c r="F721" s="54" t="s">
        <v>998</v>
      </c>
      <c r="G721" s="55" t="s">
        <v>78</v>
      </c>
      <c r="H721" s="55">
        <v>1</v>
      </c>
      <c r="I721" s="55" t="s">
        <v>290</v>
      </c>
      <c r="J721" s="55" t="s">
        <v>79</v>
      </c>
      <c r="K721" s="55">
        <v>81</v>
      </c>
      <c r="L721" s="55" t="s">
        <v>104</v>
      </c>
      <c r="M721" s="55" t="s">
        <v>380</v>
      </c>
      <c r="N721" s="55">
        <v>5.9999999999999995E-4</v>
      </c>
      <c r="O721" s="55">
        <v>1.1999999999999999E-3</v>
      </c>
      <c r="P721" s="88">
        <f t="shared" si="291"/>
        <v>0.5</v>
      </c>
      <c r="Q721" s="55" t="s">
        <v>312</v>
      </c>
      <c r="R721" s="88">
        <f t="shared" si="292"/>
        <v>-1.7520000000000001E-3</v>
      </c>
      <c r="S721" s="88">
        <f t="shared" si="293"/>
        <v>2.9519999999999998E-3</v>
      </c>
      <c r="T721" s="55">
        <v>1</v>
      </c>
      <c r="U721" s="55">
        <v>66374</v>
      </c>
      <c r="V721" s="55" t="s">
        <v>312</v>
      </c>
      <c r="W721" s="55" t="s">
        <v>312</v>
      </c>
      <c r="X721" s="55">
        <v>66374</v>
      </c>
      <c r="Y721" s="88">
        <f t="shared" si="296"/>
        <v>1.9407526638672294E-3</v>
      </c>
      <c r="Z721" s="88">
        <f t="shared" si="297"/>
        <v>3.8815053277344589E-3</v>
      </c>
      <c r="AA721" s="88">
        <f t="shared" si="298"/>
        <v>-1.9407526638672294E-3</v>
      </c>
      <c r="AB721" s="55" t="s">
        <v>81</v>
      </c>
      <c r="AC721" s="88">
        <f t="shared" si="301"/>
        <v>6.0876000000000003E-3</v>
      </c>
      <c r="AD721" s="88" cm="1">
        <f t="array" ref="AD721">_xlfn.IFS(
AND(L721="marginal_effect",M721="level"),N721*AN721/BF721,
AND(L721="marginal_effect",M721="sd (Y)"),N721*BI721*AN721/BF721,
AND(L721="marginal_effect",M721="sd (X)"),N721/AQ721*AN721/BF721,
AND(L721="semi_elasticity",M721="level"),N721*AN721,
AND(L721="semi_elasticity",M721="sd (Y)"),N721*AN721*BI721,
AND(L721="semi_elasticity",M721="sd (X)"),N721*AN721/AQ721,
AND(L721="level-log",M721="level"),N721/BF721,
AND(L721="level-log",M721="sd (X)"),N721/BF721/AQ721,
AND(L721="level-log",M721="sd (Y)"),N721/BF721*BI721,
AND(L721="elasticity",M721="level"),N721,
AND(L721="elasticity",M721="sd (X)"),N721/AQ721,
AND(L721="elasticity",M721="sd (Y)"),N721*BI721,
AND(L721="marginal_effect",M721="percent_of_mean"),N721*AN721/BF721/10)</f>
        <v>6.0876000000000003E-3</v>
      </c>
      <c r="AE721" s="56">
        <v>1</v>
      </c>
      <c r="AF721" s="88">
        <f t="shared" si="302"/>
        <v>1.2175200000000001E-2</v>
      </c>
      <c r="AG721" s="88" cm="1">
        <f t="array" ref="AG721">_xlfn.IFS(
AND(L721="marginal_effect",M721="level"),O721*AN721/BF721,
AND(L721="marginal_effect",M721="sd (Y)"),O721*BI721*AN721/BF721,
AND(L721="marginal_effect",M721="sd (X)"),O721/AQ721*AN721/BF721,
AND(L721="semi_elasticity",M721="level"),O721*AN721,
AND(L721="semi_elasticity",M721="sd (Y)"),O721*AN721*BI721,
AND(L721="semi_elasticity",M721="sd (X)"),O721*AN721/AQ721,
AND(L721="level-log",M721="level"),O721/BF721,
AND(L721="level-log",M721="sd (X)"),O721/BF721/AQ721,
AND(L721="level-log",M721="sd (Y)"),O721/BF721*BI721,
AND(L721="elasticity",M721="level"),O721,
AND(L721="elasticity",M721="sd (X)"),O721/AQ721,
AND(L721="elasticity",M721="sd (Y)"),O721*BI721,
AND(L721="marginal_effect",M721="percent_of_mean"),O721*AN721/BF721/10)</f>
        <v>1.2175200000000001E-2</v>
      </c>
      <c r="AH721" s="56">
        <f t="shared" si="294"/>
        <v>1</v>
      </c>
      <c r="AI721" s="88">
        <f t="shared" si="299"/>
        <v>6.0876000000000003E-3</v>
      </c>
      <c r="AJ721" s="55">
        <v>0</v>
      </c>
      <c r="AK721" s="55">
        <f t="shared" si="295"/>
        <v>1</v>
      </c>
      <c r="AL721" s="55" t="s">
        <v>148</v>
      </c>
      <c r="AM721" s="55" t="s">
        <v>1466</v>
      </c>
      <c r="AN721" s="55">
        <v>10.146000000000001</v>
      </c>
      <c r="AO721" s="55">
        <v>0</v>
      </c>
      <c r="AP721" s="55">
        <v>101.46000000000001</v>
      </c>
      <c r="AQ721" s="55">
        <v>48.17</v>
      </c>
      <c r="AR721" s="55">
        <v>18</v>
      </c>
      <c r="AS721" s="55">
        <v>300</v>
      </c>
      <c r="AT721" s="55" t="s">
        <v>83</v>
      </c>
      <c r="AU721" s="55" t="s">
        <v>109</v>
      </c>
      <c r="AV721" s="55" t="s">
        <v>133</v>
      </c>
      <c r="AW721" s="55" t="s">
        <v>109</v>
      </c>
      <c r="AX721" s="55" t="s">
        <v>86</v>
      </c>
      <c r="AY721" s="55">
        <v>0</v>
      </c>
      <c r="AZ721" s="55">
        <v>0</v>
      </c>
      <c r="BA721" s="55" t="s">
        <v>87</v>
      </c>
      <c r="BB721" s="55" t="s">
        <v>88</v>
      </c>
      <c r="BC721" s="55" t="s">
        <v>89</v>
      </c>
      <c r="BD721" s="55" t="s">
        <v>90</v>
      </c>
      <c r="BE721" s="55" t="s">
        <v>1458</v>
      </c>
      <c r="BF721" s="55">
        <v>101.57</v>
      </c>
      <c r="BG721" s="55">
        <v>0</v>
      </c>
      <c r="BH721" s="55">
        <v>65.849999999999994</v>
      </c>
      <c r="BI721" s="55">
        <v>5</v>
      </c>
      <c r="BJ721" s="55">
        <v>430</v>
      </c>
      <c r="BK721" s="55" t="s">
        <v>91</v>
      </c>
      <c r="BL721" s="55" t="s">
        <v>84</v>
      </c>
      <c r="BM721" s="55">
        <v>1</v>
      </c>
      <c r="BN721" s="55" t="s">
        <v>428</v>
      </c>
      <c r="BO721" s="55" t="s">
        <v>1463</v>
      </c>
      <c r="BP721" s="55" t="s">
        <v>1464</v>
      </c>
      <c r="BQ721" s="55" t="s">
        <v>117</v>
      </c>
      <c r="BR721" s="55" t="s">
        <v>134</v>
      </c>
      <c r="BS721" s="55">
        <v>29.22</v>
      </c>
      <c r="BT721" s="55">
        <v>0.01</v>
      </c>
      <c r="BU721" s="57">
        <v>42552</v>
      </c>
      <c r="BV721" s="57">
        <v>42643</v>
      </c>
      <c r="BW721" s="55" t="s">
        <v>94</v>
      </c>
      <c r="BX721" s="55" t="s">
        <v>95</v>
      </c>
      <c r="BY721" s="55" t="s">
        <v>96</v>
      </c>
      <c r="BZ721" s="55">
        <v>0</v>
      </c>
      <c r="CA721" s="55">
        <v>0</v>
      </c>
      <c r="CB721" s="55" t="s">
        <v>97</v>
      </c>
      <c r="CC721" s="55" t="s">
        <v>314</v>
      </c>
      <c r="CD721" s="55">
        <v>1</v>
      </c>
      <c r="CE721" s="55" t="s">
        <v>1462</v>
      </c>
      <c r="CF721" s="55">
        <v>0</v>
      </c>
      <c r="CG721" s="55" t="s">
        <v>97</v>
      </c>
      <c r="CH721" s="55">
        <v>1</v>
      </c>
      <c r="CI721" s="55" t="s">
        <v>1465</v>
      </c>
      <c r="CJ721" s="55" t="s">
        <v>98</v>
      </c>
      <c r="CK721" s="55">
        <v>179</v>
      </c>
      <c r="CL721" s="55">
        <v>0</v>
      </c>
      <c r="CM721" s="55">
        <v>0</v>
      </c>
      <c r="CN721" s="55" t="s">
        <v>124</v>
      </c>
      <c r="CO721" s="55" t="s">
        <v>97</v>
      </c>
      <c r="CP721" s="55" t="s">
        <v>100</v>
      </c>
      <c r="CQ721" s="55" t="s">
        <v>126</v>
      </c>
      <c r="CR721" s="57">
        <v>46251</v>
      </c>
      <c r="CT721" s="55" t="s">
        <v>1766</v>
      </c>
    </row>
    <row r="722" spans="1:98" s="55" customFormat="1" x14ac:dyDescent="0.35">
      <c r="A722" s="54" t="s">
        <v>1459</v>
      </c>
      <c r="B722" s="54" t="s">
        <v>1768</v>
      </c>
      <c r="C722" s="55" t="s">
        <v>1460</v>
      </c>
      <c r="D722" s="55">
        <v>2022</v>
      </c>
      <c r="E722" s="54" t="s">
        <v>1461</v>
      </c>
      <c r="F722" s="54" t="s">
        <v>998</v>
      </c>
      <c r="G722" s="55" t="s">
        <v>78</v>
      </c>
      <c r="H722" s="55">
        <v>1</v>
      </c>
      <c r="I722" s="55" t="s">
        <v>290</v>
      </c>
      <c r="J722" s="55" t="s">
        <v>79</v>
      </c>
      <c r="K722" s="55">
        <v>81</v>
      </c>
      <c r="L722" s="55" t="s">
        <v>104</v>
      </c>
      <c r="M722" s="55" t="s">
        <v>380</v>
      </c>
      <c r="N722" s="55">
        <v>-1.2E-2</v>
      </c>
      <c r="O722" s="55">
        <v>4.4000000000000003E-3</v>
      </c>
      <c r="P722" s="88">
        <f t="shared" si="291"/>
        <v>-2.7272727272727271</v>
      </c>
      <c r="Q722" s="55" t="s">
        <v>312</v>
      </c>
      <c r="R722" s="88">
        <f t="shared" si="292"/>
        <v>-2.0624E-2</v>
      </c>
      <c r="S722" s="88">
        <f t="shared" si="293"/>
        <v>-3.3760000000000005E-3</v>
      </c>
      <c r="T722" s="55">
        <v>1</v>
      </c>
      <c r="U722" s="55">
        <v>66374</v>
      </c>
      <c r="V722" s="55" t="s">
        <v>312</v>
      </c>
      <c r="W722" s="55" t="s">
        <v>312</v>
      </c>
      <c r="X722" s="55">
        <v>66374</v>
      </c>
      <c r="Y722" s="88">
        <f t="shared" si="296"/>
        <v>-1.0585350464981217E-2</v>
      </c>
      <c r="Z722" s="88">
        <f t="shared" si="297"/>
        <v>3.8812951704931139E-3</v>
      </c>
      <c r="AA722" s="88">
        <f t="shared" si="298"/>
        <v>1.0585350464981217E-2</v>
      </c>
      <c r="AB722" s="55" t="s">
        <v>81</v>
      </c>
      <c r="AC722" s="88">
        <f t="shared" si="301"/>
        <v>-0.12175200000000001</v>
      </c>
      <c r="AD722" s="88" cm="1">
        <f t="array" ref="AD722">_xlfn.IFS(
AND(L722="marginal_effect",M722="level"),N722*AN722/BF722,
AND(L722="marginal_effect",M722="sd (Y)"),N722*BI722*AN722/BF722,
AND(L722="marginal_effect",M722="sd (X)"),N722/AQ722*AN722/BF722,
AND(L722="semi_elasticity",M722="level"),N722*AN722,
AND(L722="semi_elasticity",M722="sd (Y)"),N722*AN722*BI722,
AND(L722="semi_elasticity",M722="sd (X)"),N722*AN722/AQ722,
AND(L722="level-log",M722="level"),N722/BF722,
AND(L722="level-log",M722="sd (X)"),N722/BF722/AQ722,
AND(L722="level-log",M722="sd (Y)"),N722/BF722*BI722,
AND(L722="elasticity",M722="level"),N722,
AND(L722="elasticity",M722="sd (X)"),N722/AQ722,
AND(L722="elasticity",M722="sd (Y)"),N722*BI722,
AND(L722="marginal_effect",M722="percent_of_mean"),N722*AN722/BF722/10)</f>
        <v>-0.12175200000000001</v>
      </c>
      <c r="AE722" s="56">
        <v>1</v>
      </c>
      <c r="AF722" s="88">
        <f t="shared" si="302"/>
        <v>4.4642400000000006E-2</v>
      </c>
      <c r="AG722" s="88" cm="1">
        <f t="array" ref="AG722">_xlfn.IFS(
AND(L722="marginal_effect",M722="level"),O722*AN722/BF722,
AND(L722="marginal_effect",M722="sd (Y)"),O722*BI722*AN722/BF722,
AND(L722="marginal_effect",M722="sd (X)"),O722/AQ722*AN722/BF722,
AND(L722="semi_elasticity",M722="level"),O722*AN722,
AND(L722="semi_elasticity",M722="sd (Y)"),O722*AN722*BI722,
AND(L722="semi_elasticity",M722="sd (X)"),O722*AN722/AQ722,
AND(L722="level-log",M722="level"),O722/BF722,
AND(L722="level-log",M722="sd (X)"),O722/BF722/AQ722,
AND(L722="level-log",M722="sd (Y)"),O722/BF722*BI722,
AND(L722="elasticity",M722="level"),O722,
AND(L722="elasticity",M722="sd (X)"),O722/AQ722,
AND(L722="elasticity",M722="sd (Y)"),O722*BI722,
AND(L722="marginal_effect",M722="percent_of_mean"),O722*AN722/BF722/10)</f>
        <v>4.4642400000000006E-2</v>
      </c>
      <c r="AH722" s="56">
        <f t="shared" si="294"/>
        <v>1</v>
      </c>
      <c r="AI722" s="88">
        <f t="shared" si="299"/>
        <v>-0.12175200000000001</v>
      </c>
      <c r="AJ722" s="55">
        <v>0</v>
      </c>
      <c r="AK722" s="55">
        <f t="shared" si="295"/>
        <v>1</v>
      </c>
      <c r="AL722" s="55" t="s">
        <v>148</v>
      </c>
      <c r="AM722" s="55" t="s">
        <v>1466</v>
      </c>
      <c r="AN722" s="55">
        <v>10.146000000000001</v>
      </c>
      <c r="AO722" s="55">
        <v>0</v>
      </c>
      <c r="AP722" s="55">
        <v>101.46000000000001</v>
      </c>
      <c r="AQ722" s="55">
        <v>48.17</v>
      </c>
      <c r="AR722" s="55">
        <v>18</v>
      </c>
      <c r="AS722" s="55">
        <v>300</v>
      </c>
      <c r="AT722" s="55" t="s">
        <v>83</v>
      </c>
      <c r="AU722" s="55" t="s">
        <v>109</v>
      </c>
      <c r="AV722" s="55" t="s">
        <v>133</v>
      </c>
      <c r="AW722" s="55" t="s">
        <v>109</v>
      </c>
      <c r="AX722" s="55" t="s">
        <v>86</v>
      </c>
      <c r="AY722" s="55">
        <v>0</v>
      </c>
      <c r="AZ722" s="55">
        <v>0</v>
      </c>
      <c r="BA722" s="55" t="s">
        <v>87</v>
      </c>
      <c r="BB722" s="55" t="s">
        <v>88</v>
      </c>
      <c r="BC722" s="55" t="s">
        <v>89</v>
      </c>
      <c r="BD722" s="55" t="s">
        <v>90</v>
      </c>
      <c r="BE722" s="55" t="s">
        <v>1458</v>
      </c>
      <c r="BF722" s="55">
        <v>101.57</v>
      </c>
      <c r="BG722" s="55">
        <v>0</v>
      </c>
      <c r="BH722" s="55">
        <v>65.849999999999994</v>
      </c>
      <c r="BI722" s="55">
        <v>5</v>
      </c>
      <c r="BJ722" s="55">
        <v>430</v>
      </c>
      <c r="BK722" s="55" t="s">
        <v>91</v>
      </c>
      <c r="BL722" s="55" t="s">
        <v>84</v>
      </c>
      <c r="BM722" s="55">
        <v>1</v>
      </c>
      <c r="BN722" s="55" t="s">
        <v>428</v>
      </c>
      <c r="BO722" s="55" t="s">
        <v>1463</v>
      </c>
      <c r="BP722" s="55" t="s">
        <v>1464</v>
      </c>
      <c r="BQ722" s="55" t="s">
        <v>117</v>
      </c>
      <c r="BR722" s="55" t="s">
        <v>134</v>
      </c>
      <c r="BS722" s="55">
        <v>29.22</v>
      </c>
      <c r="BT722" s="55">
        <v>0.01</v>
      </c>
      <c r="BU722" s="57">
        <v>42552</v>
      </c>
      <c r="BV722" s="57">
        <v>42643</v>
      </c>
      <c r="BW722" s="55" t="s">
        <v>94</v>
      </c>
      <c r="BX722" s="55" t="s">
        <v>95</v>
      </c>
      <c r="BY722" s="55" t="s">
        <v>748</v>
      </c>
      <c r="BZ722" s="55">
        <v>1</v>
      </c>
      <c r="CA722" s="55">
        <v>1</v>
      </c>
      <c r="CB722" s="55" t="s">
        <v>303</v>
      </c>
      <c r="CC722" s="55" t="s">
        <v>314</v>
      </c>
      <c r="CD722" s="55">
        <v>1</v>
      </c>
      <c r="CE722" s="55" t="s">
        <v>1462</v>
      </c>
      <c r="CF722" s="55">
        <v>0</v>
      </c>
      <c r="CG722" s="55" t="s">
        <v>97</v>
      </c>
      <c r="CH722" s="55">
        <v>1</v>
      </c>
      <c r="CI722" s="55" t="s">
        <v>1465</v>
      </c>
      <c r="CJ722" s="55" t="s">
        <v>98</v>
      </c>
      <c r="CK722" s="55">
        <v>179</v>
      </c>
      <c r="CL722" s="55">
        <v>0</v>
      </c>
      <c r="CM722" s="55">
        <v>0</v>
      </c>
      <c r="CN722" s="55" t="s">
        <v>124</v>
      </c>
      <c r="CO722" s="55" t="s">
        <v>97</v>
      </c>
      <c r="CP722" s="55" t="s">
        <v>100</v>
      </c>
      <c r="CQ722" s="55" t="s">
        <v>126</v>
      </c>
      <c r="CR722" s="57">
        <v>46251</v>
      </c>
      <c r="CT722" s="55" t="s">
        <v>1766</v>
      </c>
    </row>
    <row r="723" spans="1:98" s="55" customFormat="1" x14ac:dyDescent="0.35">
      <c r="A723" s="54" t="s">
        <v>1459</v>
      </c>
      <c r="B723" s="54" t="s">
        <v>1769</v>
      </c>
      <c r="C723" s="55" t="s">
        <v>1460</v>
      </c>
      <c r="D723" s="55">
        <v>2022</v>
      </c>
      <c r="E723" s="54" t="s">
        <v>1461</v>
      </c>
      <c r="F723" s="54" t="s">
        <v>998</v>
      </c>
      <c r="G723" s="55" t="s">
        <v>78</v>
      </c>
      <c r="H723" s="55">
        <v>1</v>
      </c>
      <c r="I723" s="55" t="s">
        <v>290</v>
      </c>
      <c r="J723" s="55" t="s">
        <v>79</v>
      </c>
      <c r="K723" s="55">
        <v>81</v>
      </c>
      <c r="L723" s="55" t="s">
        <v>104</v>
      </c>
      <c r="M723" s="55" t="s">
        <v>380</v>
      </c>
      <c r="N723" s="55">
        <v>-1.1000000000000001E-3</v>
      </c>
      <c r="O723" s="55">
        <v>1.2999999999999999E-3</v>
      </c>
      <c r="P723" s="88">
        <f t="shared" si="291"/>
        <v>-0.84615384615384626</v>
      </c>
      <c r="Q723" s="55" t="s">
        <v>312</v>
      </c>
      <c r="R723" s="88">
        <f t="shared" si="292"/>
        <v>-3.6480000000000002E-3</v>
      </c>
      <c r="S723" s="88">
        <f t="shared" si="293"/>
        <v>1.4479999999999999E-3</v>
      </c>
      <c r="T723" s="55">
        <v>1</v>
      </c>
      <c r="U723" s="55">
        <v>66374</v>
      </c>
      <c r="V723" s="55" t="s">
        <v>312</v>
      </c>
      <c r="W723" s="55" t="s">
        <v>312</v>
      </c>
      <c r="X723" s="55">
        <v>66374</v>
      </c>
      <c r="Y723" s="88">
        <f t="shared" si="296"/>
        <v>-3.2843391331991599E-3</v>
      </c>
      <c r="Z723" s="88">
        <f t="shared" si="297"/>
        <v>3.8814917028717338E-3</v>
      </c>
      <c r="AA723" s="88">
        <f t="shared" si="298"/>
        <v>3.2843391331991599E-3</v>
      </c>
      <c r="AB723" s="55" t="s">
        <v>81</v>
      </c>
      <c r="AC723" s="88">
        <f t="shared" si="301"/>
        <v>-1.1160600000000001E-2</v>
      </c>
      <c r="AD723" s="88" cm="1">
        <f t="array" ref="AD723">_xlfn.IFS(
AND(L723="marginal_effect",M723="level"),N723*AN723/BF723,
AND(L723="marginal_effect",M723="sd (Y)"),N723*BI723*AN723/BF723,
AND(L723="marginal_effect",M723="sd (X)"),N723/AQ723*AN723/BF723,
AND(L723="semi_elasticity",M723="level"),N723*AN723,
AND(L723="semi_elasticity",M723="sd (Y)"),N723*AN723*BI723,
AND(L723="semi_elasticity",M723="sd (X)"),N723*AN723/AQ723,
AND(L723="level-log",M723="level"),N723/BF723,
AND(L723="level-log",M723="sd (X)"),N723/BF723/AQ723,
AND(L723="level-log",M723="sd (Y)"),N723/BF723*BI723,
AND(L723="elasticity",M723="level"),N723,
AND(L723="elasticity",M723="sd (X)"),N723/AQ723,
AND(L723="elasticity",M723="sd (Y)"),N723*BI723,
AND(L723="marginal_effect",M723="percent_of_mean"),N723*AN723/BF723/10)</f>
        <v>-1.1160600000000001E-2</v>
      </c>
      <c r="AE723" s="56">
        <v>1</v>
      </c>
      <c r="AF723" s="88">
        <f t="shared" si="302"/>
        <v>1.31898E-2</v>
      </c>
      <c r="AG723" s="88" cm="1">
        <f t="array" ref="AG723">_xlfn.IFS(
AND(L723="marginal_effect",M723="level"),O723*AN723/BF723,
AND(L723="marginal_effect",M723="sd (Y)"),O723*BI723*AN723/BF723,
AND(L723="marginal_effect",M723="sd (X)"),O723/AQ723*AN723/BF723,
AND(L723="semi_elasticity",M723="level"),O723*AN723,
AND(L723="semi_elasticity",M723="sd (Y)"),O723*AN723*BI723,
AND(L723="semi_elasticity",M723="sd (X)"),O723*AN723/AQ723,
AND(L723="level-log",M723="level"),O723/BF723,
AND(L723="level-log",M723="sd (X)"),O723/BF723/AQ723,
AND(L723="level-log",M723="sd (Y)"),O723/BF723*BI723,
AND(L723="elasticity",M723="level"),O723,
AND(L723="elasticity",M723="sd (X)"),O723/AQ723,
AND(L723="elasticity",M723="sd (Y)"),O723*BI723,
AND(L723="marginal_effect",M723="percent_of_mean"),O723*AN723/BF723/10)</f>
        <v>1.31898E-2</v>
      </c>
      <c r="AH723" s="56">
        <f t="shared" si="294"/>
        <v>1</v>
      </c>
      <c r="AI723" s="88">
        <f t="shared" si="299"/>
        <v>-1.1160600000000001E-2</v>
      </c>
      <c r="AJ723" s="55">
        <v>0</v>
      </c>
      <c r="AK723" s="55">
        <f t="shared" si="295"/>
        <v>1</v>
      </c>
      <c r="AL723" s="55" t="s">
        <v>148</v>
      </c>
      <c r="AM723" s="55" t="s">
        <v>1466</v>
      </c>
      <c r="AN723" s="55">
        <v>10.146000000000001</v>
      </c>
      <c r="AO723" s="55">
        <v>0</v>
      </c>
      <c r="AP723" s="55">
        <v>101.46000000000001</v>
      </c>
      <c r="AQ723" s="55">
        <v>48.17</v>
      </c>
      <c r="AR723" s="55">
        <v>18</v>
      </c>
      <c r="AS723" s="55">
        <v>300</v>
      </c>
      <c r="AT723" s="55" t="s">
        <v>83</v>
      </c>
      <c r="AU723" s="55" t="s">
        <v>109</v>
      </c>
      <c r="AV723" s="55" t="s">
        <v>133</v>
      </c>
      <c r="AW723" s="55" t="s">
        <v>109</v>
      </c>
      <c r="AX723" s="55" t="s">
        <v>86</v>
      </c>
      <c r="AY723" s="55">
        <v>0</v>
      </c>
      <c r="AZ723" s="55">
        <v>0</v>
      </c>
      <c r="BA723" s="55" t="s">
        <v>87</v>
      </c>
      <c r="BB723" s="55" t="s">
        <v>88</v>
      </c>
      <c r="BC723" s="55" t="s">
        <v>89</v>
      </c>
      <c r="BD723" s="55" t="s">
        <v>90</v>
      </c>
      <c r="BE723" s="55" t="s">
        <v>1458</v>
      </c>
      <c r="BF723" s="55">
        <v>101.57</v>
      </c>
      <c r="BG723" s="55">
        <v>0</v>
      </c>
      <c r="BH723" s="55">
        <v>65.849999999999994</v>
      </c>
      <c r="BI723" s="55">
        <v>5</v>
      </c>
      <c r="BJ723" s="55">
        <v>430</v>
      </c>
      <c r="BK723" s="55" t="s">
        <v>91</v>
      </c>
      <c r="BL723" s="55" t="s">
        <v>84</v>
      </c>
      <c r="BM723" s="55">
        <v>1</v>
      </c>
      <c r="BN723" s="55" t="s">
        <v>428</v>
      </c>
      <c r="BO723" s="55" t="s">
        <v>1463</v>
      </c>
      <c r="BP723" s="55" t="s">
        <v>1464</v>
      </c>
      <c r="BQ723" s="55" t="s">
        <v>117</v>
      </c>
      <c r="BR723" s="55" t="s">
        <v>134</v>
      </c>
      <c r="BS723" s="55">
        <v>29.22</v>
      </c>
      <c r="BT723" s="55">
        <v>0.01</v>
      </c>
      <c r="BU723" s="57">
        <v>42552</v>
      </c>
      <c r="BV723" s="57">
        <v>42643</v>
      </c>
      <c r="BW723" s="55" t="s">
        <v>94</v>
      </c>
      <c r="BX723" s="55" t="s">
        <v>95</v>
      </c>
      <c r="BY723" s="55" t="s">
        <v>96</v>
      </c>
      <c r="BZ723" s="55">
        <v>0</v>
      </c>
      <c r="CA723" s="55">
        <v>0</v>
      </c>
      <c r="CB723" s="55" t="s">
        <v>97</v>
      </c>
      <c r="CC723" s="55" t="s">
        <v>314</v>
      </c>
      <c r="CD723" s="55">
        <v>1</v>
      </c>
      <c r="CE723" s="55" t="s">
        <v>1462</v>
      </c>
      <c r="CF723" s="55">
        <v>0</v>
      </c>
      <c r="CG723" s="55" t="s">
        <v>97</v>
      </c>
      <c r="CH723" s="55">
        <v>1</v>
      </c>
      <c r="CI723" s="55" t="s">
        <v>1465</v>
      </c>
      <c r="CJ723" s="55" t="s">
        <v>98</v>
      </c>
      <c r="CK723" s="55">
        <v>179</v>
      </c>
      <c r="CL723" s="55">
        <v>0</v>
      </c>
      <c r="CM723" s="55">
        <v>0</v>
      </c>
      <c r="CN723" s="55" t="s">
        <v>124</v>
      </c>
      <c r="CO723" s="55" t="s">
        <v>97</v>
      </c>
      <c r="CP723" s="55" t="s">
        <v>100</v>
      </c>
      <c r="CQ723" s="55" t="s">
        <v>126</v>
      </c>
      <c r="CR723" s="57">
        <v>46251</v>
      </c>
      <c r="CT723" s="55" t="s">
        <v>1777</v>
      </c>
    </row>
    <row r="724" spans="1:98" s="55" customFormat="1" x14ac:dyDescent="0.35">
      <c r="A724" s="54" t="s">
        <v>1459</v>
      </c>
      <c r="B724" s="54" t="s">
        <v>1770</v>
      </c>
      <c r="C724" s="55" t="s">
        <v>1460</v>
      </c>
      <c r="D724" s="55">
        <v>2022</v>
      </c>
      <c r="E724" s="54" t="s">
        <v>1461</v>
      </c>
      <c r="F724" s="54" t="s">
        <v>998</v>
      </c>
      <c r="G724" s="55" t="s">
        <v>78</v>
      </c>
      <c r="H724" s="55">
        <v>1</v>
      </c>
      <c r="I724" s="55" t="s">
        <v>290</v>
      </c>
      <c r="J724" s="55" t="s">
        <v>79</v>
      </c>
      <c r="K724" s="55">
        <v>81</v>
      </c>
      <c r="L724" s="55" t="s">
        <v>104</v>
      </c>
      <c r="M724" s="55" t="s">
        <v>380</v>
      </c>
      <c r="N724" s="55">
        <v>-9.2999999999999992E-3</v>
      </c>
      <c r="O724" s="55">
        <v>3.8E-3</v>
      </c>
      <c r="P724" s="88">
        <f t="shared" si="291"/>
        <v>-2.4473684210526314</v>
      </c>
      <c r="Q724" s="55" t="s">
        <v>312</v>
      </c>
      <c r="R724" s="88">
        <f t="shared" si="292"/>
        <v>-1.6747999999999999E-2</v>
      </c>
      <c r="S724" s="88">
        <f t="shared" si="293"/>
        <v>-1.8519999999999995E-3</v>
      </c>
      <c r="T724" s="55">
        <v>1</v>
      </c>
      <c r="U724" s="55">
        <v>66374</v>
      </c>
      <c r="V724" s="55" t="s">
        <v>312</v>
      </c>
      <c r="W724" s="55" t="s">
        <v>312</v>
      </c>
      <c r="X724" s="55">
        <v>66374</v>
      </c>
      <c r="Y724" s="88">
        <f t="shared" si="296"/>
        <v>-9.499062865625664E-3</v>
      </c>
      <c r="Z724" s="88">
        <f t="shared" si="297"/>
        <v>3.8813375149868304E-3</v>
      </c>
      <c r="AA724" s="88">
        <f t="shared" si="298"/>
        <v>9.499062865625664E-3</v>
      </c>
      <c r="AB724" s="55" t="s">
        <v>81</v>
      </c>
      <c r="AC724" s="88">
        <f t="shared" si="301"/>
        <v>-9.4357800000000006E-2</v>
      </c>
      <c r="AD724" s="88" cm="1">
        <f t="array" ref="AD724">_xlfn.IFS(
AND(L724="marginal_effect",M724="level"),N724*AN724/BF724,
AND(L724="marginal_effect",M724="sd (Y)"),N724*BI724*AN724/BF724,
AND(L724="marginal_effect",M724="sd (X)"),N724/AQ724*AN724/BF724,
AND(L724="semi_elasticity",M724="level"),N724*AN724,
AND(L724="semi_elasticity",M724="sd (Y)"),N724*AN724*BI724,
AND(L724="semi_elasticity",M724="sd (X)"),N724*AN724/AQ724,
AND(L724="level-log",M724="level"),N724/BF724,
AND(L724="level-log",M724="sd (X)"),N724/BF724/AQ724,
AND(L724="level-log",M724="sd (Y)"),N724/BF724*BI724,
AND(L724="elasticity",M724="level"),N724,
AND(L724="elasticity",M724="sd (X)"),N724/AQ724,
AND(L724="elasticity",M724="sd (Y)"),N724*BI724,
AND(L724="marginal_effect",M724="percent_of_mean"),N724*AN724/BF724/10)</f>
        <v>-9.4357800000000006E-2</v>
      </c>
      <c r="AE724" s="56">
        <v>1</v>
      </c>
      <c r="AF724" s="88">
        <f t="shared" si="302"/>
        <v>3.85548E-2</v>
      </c>
      <c r="AG724" s="88" cm="1">
        <f t="array" ref="AG724">_xlfn.IFS(
AND(L724="marginal_effect",M724="level"),O724*AN724/BF724,
AND(L724="marginal_effect",M724="sd (Y)"),O724*BI724*AN724/BF724,
AND(L724="marginal_effect",M724="sd (X)"),O724/AQ724*AN724/BF724,
AND(L724="semi_elasticity",M724="level"),O724*AN724,
AND(L724="semi_elasticity",M724="sd (Y)"),O724*AN724*BI724,
AND(L724="semi_elasticity",M724="sd (X)"),O724*AN724/AQ724,
AND(L724="level-log",M724="level"),O724/BF724,
AND(L724="level-log",M724="sd (X)"),O724/BF724/AQ724,
AND(L724="level-log",M724="sd (Y)"),O724/BF724*BI724,
AND(L724="elasticity",M724="level"),O724,
AND(L724="elasticity",M724="sd (X)"),O724/AQ724,
AND(L724="elasticity",M724="sd (Y)"),O724*BI724,
AND(L724="marginal_effect",M724="percent_of_mean"),O724*AN724/BF724/10)</f>
        <v>3.85548E-2</v>
      </c>
      <c r="AH724" s="56">
        <f t="shared" si="294"/>
        <v>1</v>
      </c>
      <c r="AI724" s="88">
        <f t="shared" si="299"/>
        <v>-9.4357800000000006E-2</v>
      </c>
      <c r="AJ724" s="55">
        <v>0</v>
      </c>
      <c r="AK724" s="55">
        <f t="shared" si="295"/>
        <v>1</v>
      </c>
      <c r="AL724" s="55" t="s">
        <v>148</v>
      </c>
      <c r="AM724" s="55" t="s">
        <v>1466</v>
      </c>
      <c r="AN724" s="55">
        <v>10.146000000000001</v>
      </c>
      <c r="AO724" s="55">
        <v>0</v>
      </c>
      <c r="AP724" s="55">
        <v>101.46000000000001</v>
      </c>
      <c r="AQ724" s="55">
        <v>48.17</v>
      </c>
      <c r="AR724" s="55">
        <v>18</v>
      </c>
      <c r="AS724" s="55">
        <v>300</v>
      </c>
      <c r="AT724" s="55" t="s">
        <v>83</v>
      </c>
      <c r="AU724" s="55" t="s">
        <v>109</v>
      </c>
      <c r="AV724" s="55" t="s">
        <v>133</v>
      </c>
      <c r="AW724" s="55" t="s">
        <v>109</v>
      </c>
      <c r="AX724" s="55" t="s">
        <v>86</v>
      </c>
      <c r="AY724" s="55">
        <v>0</v>
      </c>
      <c r="AZ724" s="55">
        <v>0</v>
      </c>
      <c r="BA724" s="55" t="s">
        <v>87</v>
      </c>
      <c r="BB724" s="55" t="s">
        <v>88</v>
      </c>
      <c r="BC724" s="55" t="s">
        <v>89</v>
      </c>
      <c r="BD724" s="55" t="s">
        <v>90</v>
      </c>
      <c r="BE724" s="55" t="s">
        <v>1458</v>
      </c>
      <c r="BF724" s="55">
        <v>101.57</v>
      </c>
      <c r="BG724" s="55">
        <v>0</v>
      </c>
      <c r="BH724" s="55">
        <v>65.849999999999994</v>
      </c>
      <c r="BI724" s="55">
        <v>5</v>
      </c>
      <c r="BJ724" s="55">
        <v>430</v>
      </c>
      <c r="BK724" s="55" t="s">
        <v>91</v>
      </c>
      <c r="BL724" s="55" t="s">
        <v>84</v>
      </c>
      <c r="BM724" s="55">
        <v>1</v>
      </c>
      <c r="BN724" s="55" t="s">
        <v>428</v>
      </c>
      <c r="BO724" s="55" t="s">
        <v>1463</v>
      </c>
      <c r="BP724" s="55" t="s">
        <v>1464</v>
      </c>
      <c r="BQ724" s="55" t="s">
        <v>117</v>
      </c>
      <c r="BR724" s="55" t="s">
        <v>134</v>
      </c>
      <c r="BS724" s="55">
        <v>29.22</v>
      </c>
      <c r="BT724" s="55">
        <v>0.01</v>
      </c>
      <c r="BU724" s="57">
        <v>42552</v>
      </c>
      <c r="BV724" s="57">
        <v>42643</v>
      </c>
      <c r="BW724" s="55" t="s">
        <v>94</v>
      </c>
      <c r="BX724" s="55" t="s">
        <v>95</v>
      </c>
      <c r="BY724" s="55" t="s">
        <v>748</v>
      </c>
      <c r="BZ724" s="55">
        <v>1</v>
      </c>
      <c r="CA724" s="55">
        <v>1</v>
      </c>
      <c r="CB724" s="55" t="s">
        <v>303</v>
      </c>
      <c r="CC724" s="55" t="s">
        <v>314</v>
      </c>
      <c r="CD724" s="55">
        <v>1</v>
      </c>
      <c r="CE724" s="55" t="s">
        <v>1462</v>
      </c>
      <c r="CF724" s="55">
        <v>0</v>
      </c>
      <c r="CG724" s="55" t="s">
        <v>97</v>
      </c>
      <c r="CH724" s="55">
        <v>1</v>
      </c>
      <c r="CI724" s="55" t="s">
        <v>1465</v>
      </c>
      <c r="CJ724" s="55" t="s">
        <v>98</v>
      </c>
      <c r="CK724" s="55">
        <v>179</v>
      </c>
      <c r="CL724" s="55">
        <v>0</v>
      </c>
      <c r="CM724" s="55">
        <v>0</v>
      </c>
      <c r="CN724" s="55" t="s">
        <v>124</v>
      </c>
      <c r="CO724" s="55" t="s">
        <v>97</v>
      </c>
      <c r="CP724" s="55" t="s">
        <v>100</v>
      </c>
      <c r="CQ724" s="55" t="s">
        <v>126</v>
      </c>
      <c r="CR724" s="57">
        <v>46251</v>
      </c>
      <c r="CT724" s="55" t="s">
        <v>1777</v>
      </c>
    </row>
    <row r="725" spans="1:98" s="55" customFormat="1" x14ac:dyDescent="0.35">
      <c r="A725" s="54" t="s">
        <v>1459</v>
      </c>
      <c r="B725" s="54" t="s">
        <v>1771</v>
      </c>
      <c r="C725" s="55" t="s">
        <v>1460</v>
      </c>
      <c r="D725" s="55">
        <v>2022</v>
      </c>
      <c r="E725" s="54" t="s">
        <v>1461</v>
      </c>
      <c r="F725" s="54" t="s">
        <v>998</v>
      </c>
      <c r="G725" s="55" t="s">
        <v>78</v>
      </c>
      <c r="H725" s="55">
        <v>1</v>
      </c>
      <c r="I725" s="55" t="s">
        <v>290</v>
      </c>
      <c r="J725" s="55" t="s">
        <v>79</v>
      </c>
      <c r="K725" s="55">
        <v>81</v>
      </c>
      <c r="L725" s="55" t="s">
        <v>104</v>
      </c>
      <c r="M725" s="55" t="s">
        <v>380</v>
      </c>
      <c r="N725" s="55">
        <v>-1.6999999999999999E-3</v>
      </c>
      <c r="O725" s="55">
        <v>1.2999999999999999E-3</v>
      </c>
      <c r="P725" s="88">
        <f t="shared" si="291"/>
        <v>-1.3076923076923077</v>
      </c>
      <c r="Q725" s="55" t="s">
        <v>312</v>
      </c>
      <c r="R725" s="88">
        <f t="shared" si="292"/>
        <v>-4.248E-3</v>
      </c>
      <c r="S725" s="88">
        <f t="shared" si="293"/>
        <v>8.4800000000000001E-4</v>
      </c>
      <c r="T725" s="55">
        <v>1</v>
      </c>
      <c r="U725" s="55">
        <v>66374</v>
      </c>
      <c r="V725" s="55" t="s">
        <v>312</v>
      </c>
      <c r="W725" s="55" t="s">
        <v>312</v>
      </c>
      <c r="X725" s="55">
        <v>66374</v>
      </c>
      <c r="Y725" s="88">
        <f t="shared" si="296"/>
        <v>-5.0757588329705099E-3</v>
      </c>
      <c r="Z725" s="88">
        <f t="shared" si="297"/>
        <v>3.8814626369774482E-3</v>
      </c>
      <c r="AA725" s="88">
        <f t="shared" si="298"/>
        <v>5.0757588329705099E-3</v>
      </c>
      <c r="AB725" s="55" t="s">
        <v>81</v>
      </c>
      <c r="AC725" s="88">
        <f t="shared" si="301"/>
        <v>-1.7248200000000002E-2</v>
      </c>
      <c r="AD725" s="88" cm="1">
        <f t="array" ref="AD725">_xlfn.IFS(
AND(L725="marginal_effect",M725="level"),N725*AN725/BF725,
AND(L725="marginal_effect",M725="sd (Y)"),N725*BI725*AN725/BF725,
AND(L725="marginal_effect",M725="sd (X)"),N725/AQ725*AN725/BF725,
AND(L725="semi_elasticity",M725="level"),N725*AN725,
AND(L725="semi_elasticity",M725="sd (Y)"),N725*AN725*BI725,
AND(L725="semi_elasticity",M725="sd (X)"),N725*AN725/AQ725,
AND(L725="level-log",M725="level"),N725/BF725,
AND(L725="level-log",M725="sd (X)"),N725/BF725/AQ725,
AND(L725="level-log",M725="sd (Y)"),N725/BF725*BI725,
AND(L725="elasticity",M725="level"),N725,
AND(L725="elasticity",M725="sd (X)"),N725/AQ725,
AND(L725="elasticity",M725="sd (Y)"),N725*BI725,
AND(L725="marginal_effect",M725="percent_of_mean"),N725*AN725/BF725/10)</f>
        <v>-1.7248200000000002E-2</v>
      </c>
      <c r="AE725" s="56">
        <v>1</v>
      </c>
      <c r="AF725" s="88">
        <f t="shared" si="302"/>
        <v>1.31898E-2</v>
      </c>
      <c r="AG725" s="88" cm="1">
        <f t="array" ref="AG725">_xlfn.IFS(
AND(L725="marginal_effect",M725="level"),O725*AN725/BF725,
AND(L725="marginal_effect",M725="sd (Y)"),O725*BI725*AN725/BF725,
AND(L725="marginal_effect",M725="sd (X)"),O725/AQ725*AN725/BF725,
AND(L725="semi_elasticity",M725="level"),O725*AN725,
AND(L725="semi_elasticity",M725="sd (Y)"),O725*AN725*BI725,
AND(L725="semi_elasticity",M725="sd (X)"),O725*AN725/AQ725,
AND(L725="level-log",M725="level"),O725/BF725,
AND(L725="level-log",M725="sd (X)"),O725/BF725/AQ725,
AND(L725="level-log",M725="sd (Y)"),O725/BF725*BI725,
AND(L725="elasticity",M725="level"),O725,
AND(L725="elasticity",M725="sd (X)"),O725/AQ725,
AND(L725="elasticity",M725="sd (Y)"),O725*BI725,
AND(L725="marginal_effect",M725="percent_of_mean"),O725*AN725/BF725/10)</f>
        <v>1.31898E-2</v>
      </c>
      <c r="AH725" s="56">
        <f t="shared" si="294"/>
        <v>1</v>
      </c>
      <c r="AI725" s="88">
        <f t="shared" si="299"/>
        <v>-1.7248200000000002E-2</v>
      </c>
      <c r="AJ725" s="55">
        <v>0</v>
      </c>
      <c r="AK725" s="55">
        <f t="shared" si="295"/>
        <v>1</v>
      </c>
      <c r="AL725" s="55" t="s">
        <v>148</v>
      </c>
      <c r="AM725" s="55" t="s">
        <v>1466</v>
      </c>
      <c r="AN725" s="55">
        <v>10.146000000000001</v>
      </c>
      <c r="AO725" s="55">
        <v>0</v>
      </c>
      <c r="AP725" s="55">
        <v>101.46000000000001</v>
      </c>
      <c r="AQ725" s="55">
        <v>48.17</v>
      </c>
      <c r="AR725" s="55">
        <v>18</v>
      </c>
      <c r="AS725" s="55">
        <v>300</v>
      </c>
      <c r="AT725" s="55" t="s">
        <v>83</v>
      </c>
      <c r="AU725" s="55" t="s">
        <v>109</v>
      </c>
      <c r="AV725" s="55" t="s">
        <v>133</v>
      </c>
      <c r="AW725" s="55" t="s">
        <v>109</v>
      </c>
      <c r="AX725" s="55" t="s">
        <v>86</v>
      </c>
      <c r="AY725" s="55">
        <v>0</v>
      </c>
      <c r="AZ725" s="55">
        <v>0</v>
      </c>
      <c r="BA725" s="55" t="s">
        <v>87</v>
      </c>
      <c r="BB725" s="55" t="s">
        <v>88</v>
      </c>
      <c r="BC725" s="55" t="s">
        <v>89</v>
      </c>
      <c r="BD725" s="55" t="s">
        <v>90</v>
      </c>
      <c r="BE725" s="55" t="s">
        <v>1458</v>
      </c>
      <c r="BF725" s="55">
        <v>101.57</v>
      </c>
      <c r="BG725" s="55">
        <v>0</v>
      </c>
      <c r="BH725" s="55">
        <v>65.849999999999994</v>
      </c>
      <c r="BI725" s="55">
        <v>5</v>
      </c>
      <c r="BJ725" s="55">
        <v>430</v>
      </c>
      <c r="BK725" s="55" t="s">
        <v>91</v>
      </c>
      <c r="BL725" s="55" t="s">
        <v>84</v>
      </c>
      <c r="BM725" s="55">
        <v>1</v>
      </c>
      <c r="BN725" s="55" t="s">
        <v>428</v>
      </c>
      <c r="BO725" s="55" t="s">
        <v>1463</v>
      </c>
      <c r="BP725" s="55" t="s">
        <v>1464</v>
      </c>
      <c r="BQ725" s="55" t="s">
        <v>117</v>
      </c>
      <c r="BR725" s="55" t="s">
        <v>134</v>
      </c>
      <c r="BS725" s="55">
        <v>29.22</v>
      </c>
      <c r="BT725" s="55">
        <v>0.01</v>
      </c>
      <c r="BU725" s="57">
        <v>42552</v>
      </c>
      <c r="BV725" s="57">
        <v>42643</v>
      </c>
      <c r="BW725" s="55" t="s">
        <v>94</v>
      </c>
      <c r="BX725" s="55" t="s">
        <v>95</v>
      </c>
      <c r="BY725" s="55" t="s">
        <v>96</v>
      </c>
      <c r="BZ725" s="55">
        <v>0</v>
      </c>
      <c r="CA725" s="55">
        <v>0</v>
      </c>
      <c r="CB725" s="55" t="s">
        <v>97</v>
      </c>
      <c r="CC725" s="55" t="s">
        <v>314</v>
      </c>
      <c r="CD725" s="55">
        <v>1</v>
      </c>
      <c r="CE725" s="55" t="s">
        <v>1462</v>
      </c>
      <c r="CF725" s="55">
        <v>0</v>
      </c>
      <c r="CG725" s="55" t="s">
        <v>97</v>
      </c>
      <c r="CH725" s="55">
        <v>1</v>
      </c>
      <c r="CI725" s="55" t="s">
        <v>1465</v>
      </c>
      <c r="CJ725" s="55" t="s">
        <v>98</v>
      </c>
      <c r="CK725" s="55">
        <v>179</v>
      </c>
      <c r="CL725" s="55">
        <v>0</v>
      </c>
      <c r="CM725" s="55">
        <v>0</v>
      </c>
      <c r="CN725" s="55" t="s">
        <v>124</v>
      </c>
      <c r="CO725" s="55" t="s">
        <v>97</v>
      </c>
      <c r="CP725" s="55" t="s">
        <v>100</v>
      </c>
      <c r="CQ725" s="55" t="s">
        <v>126</v>
      </c>
      <c r="CR725" s="57">
        <v>46251</v>
      </c>
      <c r="CT725" s="55" t="s">
        <v>1778</v>
      </c>
    </row>
    <row r="726" spans="1:98" s="55" customFormat="1" x14ac:dyDescent="0.35">
      <c r="A726" s="54" t="s">
        <v>1459</v>
      </c>
      <c r="B726" s="54" t="s">
        <v>1772</v>
      </c>
      <c r="C726" s="55" t="s">
        <v>1460</v>
      </c>
      <c r="D726" s="55">
        <v>2022</v>
      </c>
      <c r="E726" s="54" t="s">
        <v>1461</v>
      </c>
      <c r="F726" s="54" t="s">
        <v>998</v>
      </c>
      <c r="G726" s="55" t="s">
        <v>78</v>
      </c>
      <c r="H726" s="55">
        <v>1</v>
      </c>
      <c r="I726" s="55" t="s">
        <v>290</v>
      </c>
      <c r="J726" s="55" t="s">
        <v>79</v>
      </c>
      <c r="K726" s="55">
        <v>81</v>
      </c>
      <c r="L726" s="55" t="s">
        <v>104</v>
      </c>
      <c r="M726" s="55" t="s">
        <v>380</v>
      </c>
      <c r="N726" s="55">
        <v>-1.18E-2</v>
      </c>
      <c r="O726" s="55">
        <v>3.8999999999999998E-3</v>
      </c>
      <c r="P726" s="88">
        <f t="shared" si="291"/>
        <v>-3.0256410256410255</v>
      </c>
      <c r="Q726" s="55" t="s">
        <v>312</v>
      </c>
      <c r="R726" s="88">
        <f t="shared" si="292"/>
        <v>-1.9443999999999999E-2</v>
      </c>
      <c r="S726" s="88">
        <f t="shared" si="293"/>
        <v>-4.156E-3</v>
      </c>
      <c r="T726" s="55">
        <v>1</v>
      </c>
      <c r="U726" s="55">
        <v>66374</v>
      </c>
      <c r="V726" s="55" t="s">
        <v>312</v>
      </c>
      <c r="W726" s="55" t="s">
        <v>312</v>
      </c>
      <c r="X726" s="55">
        <v>66374</v>
      </c>
      <c r="Y726" s="88">
        <f t="shared" si="296"/>
        <v>-1.1743254073281847E-2</v>
      </c>
      <c r="Z726" s="88">
        <f t="shared" si="297"/>
        <v>3.8812449903219666E-3</v>
      </c>
      <c r="AA726" s="88">
        <f t="shared" si="298"/>
        <v>1.1743254073281847E-2</v>
      </c>
      <c r="AB726" s="55" t="s">
        <v>81</v>
      </c>
      <c r="AC726" s="88">
        <f t="shared" si="301"/>
        <v>-0.1197228</v>
      </c>
      <c r="AD726" s="88" cm="1">
        <f t="array" ref="AD726">_xlfn.IFS(
AND(L726="marginal_effect",M726="level"),N726*AN726/BF726,
AND(L726="marginal_effect",M726="sd (Y)"),N726*BI726*AN726/BF726,
AND(L726="marginal_effect",M726="sd (X)"),N726/AQ726*AN726/BF726,
AND(L726="semi_elasticity",M726="level"),N726*AN726,
AND(L726="semi_elasticity",M726="sd (Y)"),N726*AN726*BI726,
AND(L726="semi_elasticity",M726="sd (X)"),N726*AN726/AQ726,
AND(L726="level-log",M726="level"),N726/BF726,
AND(L726="level-log",M726="sd (X)"),N726/BF726/AQ726,
AND(L726="level-log",M726="sd (Y)"),N726/BF726*BI726,
AND(L726="elasticity",M726="level"),N726,
AND(L726="elasticity",M726="sd (X)"),N726/AQ726,
AND(L726="elasticity",M726="sd (Y)"),N726*BI726,
AND(L726="marginal_effect",M726="percent_of_mean"),N726*AN726/BF726/10)</f>
        <v>-0.1197228</v>
      </c>
      <c r="AE726" s="56">
        <v>1</v>
      </c>
      <c r="AF726" s="88">
        <f t="shared" si="302"/>
        <v>3.9569400000000005E-2</v>
      </c>
      <c r="AG726" s="88" cm="1">
        <f t="array" ref="AG726">_xlfn.IFS(
AND(L726="marginal_effect",M726="level"),O726*AN726/BF726,
AND(L726="marginal_effect",M726="sd (Y)"),O726*BI726*AN726/BF726,
AND(L726="marginal_effect",M726="sd (X)"),O726/AQ726*AN726/BF726,
AND(L726="semi_elasticity",M726="level"),O726*AN726,
AND(L726="semi_elasticity",M726="sd (Y)"),O726*AN726*BI726,
AND(L726="semi_elasticity",M726="sd (X)"),O726*AN726/AQ726,
AND(L726="level-log",M726="level"),O726/BF726,
AND(L726="level-log",M726="sd (X)"),O726/BF726/AQ726,
AND(L726="level-log",M726="sd (Y)"),O726/BF726*BI726,
AND(L726="elasticity",M726="level"),O726,
AND(L726="elasticity",M726="sd (X)"),O726/AQ726,
AND(L726="elasticity",M726="sd (Y)"),O726*BI726,
AND(L726="marginal_effect",M726="percent_of_mean"),O726*AN726/BF726/10)</f>
        <v>3.9569400000000005E-2</v>
      </c>
      <c r="AH726" s="56">
        <f t="shared" si="294"/>
        <v>1</v>
      </c>
      <c r="AI726" s="88">
        <f t="shared" si="299"/>
        <v>-0.1197228</v>
      </c>
      <c r="AJ726" s="55">
        <v>0</v>
      </c>
      <c r="AK726" s="55">
        <f t="shared" si="295"/>
        <v>1</v>
      </c>
      <c r="AL726" s="55" t="s">
        <v>148</v>
      </c>
      <c r="AM726" s="55" t="s">
        <v>1466</v>
      </c>
      <c r="AN726" s="55">
        <v>10.146000000000001</v>
      </c>
      <c r="AO726" s="55">
        <v>0</v>
      </c>
      <c r="AP726" s="55">
        <v>101.46000000000001</v>
      </c>
      <c r="AQ726" s="55">
        <v>48.17</v>
      </c>
      <c r="AR726" s="55">
        <v>18</v>
      </c>
      <c r="AS726" s="55">
        <v>300</v>
      </c>
      <c r="AT726" s="55" t="s">
        <v>83</v>
      </c>
      <c r="AU726" s="55" t="s">
        <v>109</v>
      </c>
      <c r="AV726" s="55" t="s">
        <v>133</v>
      </c>
      <c r="AW726" s="55" t="s">
        <v>109</v>
      </c>
      <c r="AX726" s="55" t="s">
        <v>86</v>
      </c>
      <c r="AY726" s="55">
        <v>0</v>
      </c>
      <c r="AZ726" s="55">
        <v>0</v>
      </c>
      <c r="BA726" s="55" t="s">
        <v>87</v>
      </c>
      <c r="BB726" s="55" t="s">
        <v>88</v>
      </c>
      <c r="BC726" s="55" t="s">
        <v>89</v>
      </c>
      <c r="BD726" s="55" t="s">
        <v>90</v>
      </c>
      <c r="BE726" s="55" t="s">
        <v>1458</v>
      </c>
      <c r="BF726" s="55">
        <v>101.57</v>
      </c>
      <c r="BG726" s="55">
        <v>0</v>
      </c>
      <c r="BH726" s="55">
        <v>65.849999999999994</v>
      </c>
      <c r="BI726" s="55">
        <v>5</v>
      </c>
      <c r="BJ726" s="55">
        <v>430</v>
      </c>
      <c r="BK726" s="55" t="s">
        <v>91</v>
      </c>
      <c r="BL726" s="55" t="s">
        <v>84</v>
      </c>
      <c r="BM726" s="55">
        <v>1</v>
      </c>
      <c r="BN726" s="55" t="s">
        <v>428</v>
      </c>
      <c r="BO726" s="55" t="s">
        <v>1463</v>
      </c>
      <c r="BP726" s="55" t="s">
        <v>1464</v>
      </c>
      <c r="BQ726" s="55" t="s">
        <v>117</v>
      </c>
      <c r="BR726" s="55" t="s">
        <v>134</v>
      </c>
      <c r="BS726" s="55">
        <v>29.22</v>
      </c>
      <c r="BT726" s="55">
        <v>0.01</v>
      </c>
      <c r="BU726" s="57">
        <v>42552</v>
      </c>
      <c r="BV726" s="57">
        <v>42643</v>
      </c>
      <c r="BW726" s="55" t="s">
        <v>94</v>
      </c>
      <c r="BX726" s="55" t="s">
        <v>95</v>
      </c>
      <c r="BY726" s="55" t="s">
        <v>748</v>
      </c>
      <c r="BZ726" s="55">
        <v>1</v>
      </c>
      <c r="CA726" s="55">
        <v>1</v>
      </c>
      <c r="CB726" s="55" t="s">
        <v>303</v>
      </c>
      <c r="CC726" s="55" t="s">
        <v>314</v>
      </c>
      <c r="CD726" s="55">
        <v>1</v>
      </c>
      <c r="CE726" s="55" t="s">
        <v>1462</v>
      </c>
      <c r="CF726" s="55">
        <v>0</v>
      </c>
      <c r="CG726" s="55" t="s">
        <v>97</v>
      </c>
      <c r="CH726" s="55">
        <v>1</v>
      </c>
      <c r="CI726" s="55" t="s">
        <v>1465</v>
      </c>
      <c r="CJ726" s="55" t="s">
        <v>98</v>
      </c>
      <c r="CK726" s="55">
        <v>179</v>
      </c>
      <c r="CL726" s="55">
        <v>0</v>
      </c>
      <c r="CM726" s="55">
        <v>0</v>
      </c>
      <c r="CN726" s="55" t="s">
        <v>124</v>
      </c>
      <c r="CO726" s="55" t="s">
        <v>97</v>
      </c>
      <c r="CP726" s="55" t="s">
        <v>100</v>
      </c>
      <c r="CQ726" s="55" t="s">
        <v>126</v>
      </c>
      <c r="CR726" s="57">
        <v>46251</v>
      </c>
      <c r="CT726" s="55" t="s">
        <v>1778</v>
      </c>
    </row>
    <row r="727" spans="1:98" s="55" customFormat="1" x14ac:dyDescent="0.35">
      <c r="A727" s="54" t="s">
        <v>1459</v>
      </c>
      <c r="B727" s="54" t="s">
        <v>1773</v>
      </c>
      <c r="C727" s="55" t="s">
        <v>1460</v>
      </c>
      <c r="D727" s="55">
        <v>2022</v>
      </c>
      <c r="E727" s="54" t="s">
        <v>1461</v>
      </c>
      <c r="F727" s="54" t="s">
        <v>998</v>
      </c>
      <c r="G727" s="55" t="s">
        <v>78</v>
      </c>
      <c r="H727" s="55">
        <v>1</v>
      </c>
      <c r="I727" s="55" t="s">
        <v>290</v>
      </c>
      <c r="J727" s="55" t="s">
        <v>79</v>
      </c>
      <c r="K727" s="55">
        <v>81</v>
      </c>
      <c r="L727" s="55" t="s">
        <v>104</v>
      </c>
      <c r="M727" s="55" t="s">
        <v>380</v>
      </c>
      <c r="N727" s="55">
        <v>-1.6000000000000001E-3</v>
      </c>
      <c r="O727" s="55">
        <v>1.2999999999999999E-3</v>
      </c>
      <c r="P727" s="88">
        <f t="shared" si="291"/>
        <v>-1.2307692307692308</v>
      </c>
      <c r="Q727" s="55" t="s">
        <v>312</v>
      </c>
      <c r="R727" s="88">
        <f t="shared" si="292"/>
        <v>-4.1479999999999998E-3</v>
      </c>
      <c r="S727" s="88">
        <f t="shared" si="293"/>
        <v>9.4799999999999984E-4</v>
      </c>
      <c r="T727" s="55">
        <v>1</v>
      </c>
      <c r="U727" s="55">
        <v>66374</v>
      </c>
      <c r="V727" s="55" t="s">
        <v>312</v>
      </c>
      <c r="W727" s="55" t="s">
        <v>312</v>
      </c>
      <c r="X727" s="55">
        <v>66374</v>
      </c>
      <c r="Y727" s="88">
        <f t="shared" si="296"/>
        <v>-4.777191810828316E-3</v>
      </c>
      <c r="Z727" s="88">
        <f t="shared" si="297"/>
        <v>3.8814683462980067E-3</v>
      </c>
      <c r="AA727" s="88">
        <f t="shared" si="298"/>
        <v>4.777191810828316E-3</v>
      </c>
      <c r="AB727" s="55" t="s">
        <v>81</v>
      </c>
      <c r="AC727" s="88">
        <f t="shared" si="301"/>
        <v>-1.6233600000000001E-2</v>
      </c>
      <c r="AD727" s="88" cm="1">
        <f t="array" ref="AD727">_xlfn.IFS(
AND(L727="marginal_effect",M727="level"),N727*AN727/BF727,
AND(L727="marginal_effect",M727="sd (Y)"),N727*BI727*AN727/BF727,
AND(L727="marginal_effect",M727="sd (X)"),N727/AQ727*AN727/BF727,
AND(L727="semi_elasticity",M727="level"),N727*AN727,
AND(L727="semi_elasticity",M727="sd (Y)"),N727*AN727*BI727,
AND(L727="semi_elasticity",M727="sd (X)"),N727*AN727/AQ727,
AND(L727="level-log",M727="level"),N727/BF727,
AND(L727="level-log",M727="sd (X)"),N727/BF727/AQ727,
AND(L727="level-log",M727="sd (Y)"),N727/BF727*BI727,
AND(L727="elasticity",M727="level"),N727,
AND(L727="elasticity",M727="sd (X)"),N727/AQ727,
AND(L727="elasticity",M727="sd (Y)"),N727*BI727,
AND(L727="marginal_effect",M727="percent_of_mean"),N727*AN727/BF727/10)</f>
        <v>-1.6233600000000001E-2</v>
      </c>
      <c r="AE727" s="56">
        <v>1</v>
      </c>
      <c r="AF727" s="88">
        <f t="shared" si="302"/>
        <v>1.31898E-2</v>
      </c>
      <c r="AG727" s="88" cm="1">
        <f t="array" ref="AG727">_xlfn.IFS(
AND(L727="marginal_effect",M727="level"),O727*AN727/BF727,
AND(L727="marginal_effect",M727="sd (Y)"),O727*BI727*AN727/BF727,
AND(L727="marginal_effect",M727="sd (X)"),O727/AQ727*AN727/BF727,
AND(L727="semi_elasticity",M727="level"),O727*AN727,
AND(L727="semi_elasticity",M727="sd (Y)"),O727*AN727*BI727,
AND(L727="semi_elasticity",M727="sd (X)"),O727*AN727/AQ727,
AND(L727="level-log",M727="level"),O727/BF727,
AND(L727="level-log",M727="sd (X)"),O727/BF727/AQ727,
AND(L727="level-log",M727="sd (Y)"),O727/BF727*BI727,
AND(L727="elasticity",M727="level"),O727,
AND(L727="elasticity",M727="sd (X)"),O727/AQ727,
AND(L727="elasticity",M727="sd (Y)"),O727*BI727,
AND(L727="marginal_effect",M727="percent_of_mean"),O727*AN727/BF727/10)</f>
        <v>1.31898E-2</v>
      </c>
      <c r="AH727" s="56">
        <f t="shared" si="294"/>
        <v>1</v>
      </c>
      <c r="AI727" s="88">
        <f t="shared" si="299"/>
        <v>-1.6233600000000001E-2</v>
      </c>
      <c r="AJ727" s="55">
        <v>0</v>
      </c>
      <c r="AK727" s="55">
        <f t="shared" si="295"/>
        <v>1</v>
      </c>
      <c r="AL727" s="55" t="s">
        <v>148</v>
      </c>
      <c r="AM727" s="55" t="s">
        <v>1466</v>
      </c>
      <c r="AN727" s="55">
        <v>10.146000000000001</v>
      </c>
      <c r="AO727" s="55">
        <v>0</v>
      </c>
      <c r="AP727" s="55">
        <v>101.46000000000001</v>
      </c>
      <c r="AQ727" s="55">
        <v>48.17</v>
      </c>
      <c r="AR727" s="55">
        <v>18</v>
      </c>
      <c r="AS727" s="55">
        <v>300</v>
      </c>
      <c r="AT727" s="55" t="s">
        <v>83</v>
      </c>
      <c r="AU727" s="55" t="s">
        <v>109</v>
      </c>
      <c r="AV727" s="55" t="s">
        <v>133</v>
      </c>
      <c r="AW727" s="55" t="s">
        <v>109</v>
      </c>
      <c r="AX727" s="55" t="s">
        <v>86</v>
      </c>
      <c r="AY727" s="55">
        <v>0</v>
      </c>
      <c r="AZ727" s="55">
        <v>0</v>
      </c>
      <c r="BA727" s="55" t="s">
        <v>87</v>
      </c>
      <c r="BB727" s="55" t="s">
        <v>88</v>
      </c>
      <c r="BC727" s="55" t="s">
        <v>89</v>
      </c>
      <c r="BD727" s="55" t="s">
        <v>90</v>
      </c>
      <c r="BE727" s="55" t="s">
        <v>1458</v>
      </c>
      <c r="BF727" s="55">
        <v>101.57</v>
      </c>
      <c r="BG727" s="55">
        <v>0</v>
      </c>
      <c r="BH727" s="55">
        <v>65.849999999999994</v>
      </c>
      <c r="BI727" s="55">
        <v>5</v>
      </c>
      <c r="BJ727" s="55">
        <v>430</v>
      </c>
      <c r="BK727" s="55" t="s">
        <v>91</v>
      </c>
      <c r="BL727" s="55" t="s">
        <v>84</v>
      </c>
      <c r="BM727" s="55">
        <v>1</v>
      </c>
      <c r="BN727" s="55" t="s">
        <v>428</v>
      </c>
      <c r="BO727" s="55" t="s">
        <v>1463</v>
      </c>
      <c r="BP727" s="55" t="s">
        <v>1464</v>
      </c>
      <c r="BQ727" s="55" t="s">
        <v>117</v>
      </c>
      <c r="BR727" s="55" t="s">
        <v>134</v>
      </c>
      <c r="BS727" s="55">
        <v>29.22</v>
      </c>
      <c r="BT727" s="55">
        <v>0.01</v>
      </c>
      <c r="BU727" s="57">
        <v>42552</v>
      </c>
      <c r="BV727" s="57">
        <v>42643</v>
      </c>
      <c r="BW727" s="55" t="s">
        <v>94</v>
      </c>
      <c r="BX727" s="55" t="s">
        <v>95</v>
      </c>
      <c r="BY727" s="55" t="s">
        <v>96</v>
      </c>
      <c r="BZ727" s="55">
        <v>0</v>
      </c>
      <c r="CA727" s="55">
        <v>0</v>
      </c>
      <c r="CB727" s="55" t="s">
        <v>97</v>
      </c>
      <c r="CC727" s="55" t="s">
        <v>314</v>
      </c>
      <c r="CD727" s="55">
        <v>1</v>
      </c>
      <c r="CE727" s="55" t="s">
        <v>1462</v>
      </c>
      <c r="CF727" s="55">
        <v>0</v>
      </c>
      <c r="CG727" s="55" t="s">
        <v>97</v>
      </c>
      <c r="CH727" s="55">
        <v>1</v>
      </c>
      <c r="CI727" s="55" t="s">
        <v>1465</v>
      </c>
      <c r="CJ727" s="55" t="s">
        <v>98</v>
      </c>
      <c r="CK727" s="55">
        <v>179</v>
      </c>
      <c r="CL727" s="55">
        <v>0</v>
      </c>
      <c r="CM727" s="55">
        <v>0</v>
      </c>
      <c r="CN727" s="55" t="s">
        <v>124</v>
      </c>
      <c r="CO727" s="55" t="s">
        <v>97</v>
      </c>
      <c r="CP727" s="55" t="s">
        <v>100</v>
      </c>
      <c r="CQ727" s="55" t="s">
        <v>126</v>
      </c>
      <c r="CR727" s="57">
        <v>46251</v>
      </c>
      <c r="CT727" s="55" t="s">
        <v>1779</v>
      </c>
    </row>
    <row r="728" spans="1:98" s="55" customFormat="1" x14ac:dyDescent="0.35">
      <c r="A728" s="54" t="s">
        <v>1459</v>
      </c>
      <c r="B728" s="54" t="s">
        <v>1774</v>
      </c>
      <c r="C728" s="55" t="s">
        <v>1460</v>
      </c>
      <c r="D728" s="55">
        <v>2022</v>
      </c>
      <c r="E728" s="54" t="s">
        <v>1461</v>
      </c>
      <c r="F728" s="54" t="s">
        <v>998</v>
      </c>
      <c r="G728" s="55" t="s">
        <v>78</v>
      </c>
      <c r="H728" s="55">
        <v>1</v>
      </c>
      <c r="I728" s="55" t="s">
        <v>290</v>
      </c>
      <c r="J728" s="55" t="s">
        <v>79</v>
      </c>
      <c r="K728" s="55">
        <v>81</v>
      </c>
      <c r="L728" s="55" t="s">
        <v>104</v>
      </c>
      <c r="M728" s="55" t="s">
        <v>380</v>
      </c>
      <c r="N728" s="55">
        <v>-1.24E-2</v>
      </c>
      <c r="O728" s="55">
        <v>3.8999999999999998E-3</v>
      </c>
      <c r="P728" s="88">
        <f t="shared" si="291"/>
        <v>-3.1794871794871797</v>
      </c>
      <c r="Q728" s="55" t="s">
        <v>312</v>
      </c>
      <c r="R728" s="88">
        <f t="shared" si="292"/>
        <v>-2.0043999999999999E-2</v>
      </c>
      <c r="S728" s="88">
        <f t="shared" si="293"/>
        <v>-4.7559999999999998E-3</v>
      </c>
      <c r="T728" s="55">
        <v>1</v>
      </c>
      <c r="U728" s="55">
        <v>66374</v>
      </c>
      <c r="V728" s="55" t="s">
        <v>312</v>
      </c>
      <c r="W728" s="55" t="s">
        <v>312</v>
      </c>
      <c r="X728" s="55">
        <v>66374</v>
      </c>
      <c r="Y728" s="88">
        <f t="shared" si="296"/>
        <v>-1.2340279956668788E-2</v>
      </c>
      <c r="Z728" s="88">
        <f t="shared" si="297"/>
        <v>3.8812170831458285E-3</v>
      </c>
      <c r="AA728" s="88">
        <f t="shared" si="298"/>
        <v>1.2340279956668788E-2</v>
      </c>
      <c r="AB728" s="55" t="s">
        <v>81</v>
      </c>
      <c r="AC728" s="88">
        <f t="shared" si="301"/>
        <v>-0.12581040000000002</v>
      </c>
      <c r="AD728" s="88" cm="1">
        <f t="array" ref="AD728">_xlfn.IFS(
AND(L728="marginal_effect",M728="level"),N728*AN728/BF728,
AND(L728="marginal_effect",M728="sd (Y)"),N728*BI728*AN728/BF728,
AND(L728="marginal_effect",M728="sd (X)"),N728/AQ728*AN728/BF728,
AND(L728="semi_elasticity",M728="level"),N728*AN728,
AND(L728="semi_elasticity",M728="sd (Y)"),N728*AN728*BI728,
AND(L728="semi_elasticity",M728="sd (X)"),N728*AN728/AQ728,
AND(L728="level-log",M728="level"),N728/BF728,
AND(L728="level-log",M728="sd (X)"),N728/BF728/AQ728,
AND(L728="level-log",M728="sd (Y)"),N728/BF728*BI728,
AND(L728="elasticity",M728="level"),N728,
AND(L728="elasticity",M728="sd (X)"),N728/AQ728,
AND(L728="elasticity",M728="sd (Y)"),N728*BI728,
AND(L728="marginal_effect",M728="percent_of_mean"),N728*AN728/BF728/10)</f>
        <v>-0.12581040000000002</v>
      </c>
      <c r="AE728" s="56">
        <v>1</v>
      </c>
      <c r="AF728" s="88">
        <f t="shared" si="302"/>
        <v>3.9569400000000005E-2</v>
      </c>
      <c r="AG728" s="88" cm="1">
        <f t="array" ref="AG728">_xlfn.IFS(
AND(L728="marginal_effect",M728="level"),O728*AN728/BF728,
AND(L728="marginal_effect",M728="sd (Y)"),O728*BI728*AN728/BF728,
AND(L728="marginal_effect",M728="sd (X)"),O728/AQ728*AN728/BF728,
AND(L728="semi_elasticity",M728="level"),O728*AN728,
AND(L728="semi_elasticity",M728="sd (Y)"),O728*AN728*BI728,
AND(L728="semi_elasticity",M728="sd (X)"),O728*AN728/AQ728,
AND(L728="level-log",M728="level"),O728/BF728,
AND(L728="level-log",M728="sd (X)"),O728/BF728/AQ728,
AND(L728="level-log",M728="sd (Y)"),O728/BF728*BI728,
AND(L728="elasticity",M728="level"),O728,
AND(L728="elasticity",M728="sd (X)"),O728/AQ728,
AND(L728="elasticity",M728="sd (Y)"),O728*BI728,
AND(L728="marginal_effect",M728="percent_of_mean"),O728*AN728/BF728/10)</f>
        <v>3.9569400000000005E-2</v>
      </c>
      <c r="AH728" s="56">
        <f t="shared" si="294"/>
        <v>1</v>
      </c>
      <c r="AI728" s="88">
        <f t="shared" si="299"/>
        <v>-0.12581040000000002</v>
      </c>
      <c r="AJ728" s="55">
        <v>0</v>
      </c>
      <c r="AK728" s="55">
        <f t="shared" si="295"/>
        <v>1</v>
      </c>
      <c r="AL728" s="55" t="s">
        <v>148</v>
      </c>
      <c r="AM728" s="55" t="s">
        <v>1466</v>
      </c>
      <c r="AN728" s="55">
        <v>10.146000000000001</v>
      </c>
      <c r="AO728" s="55">
        <v>0</v>
      </c>
      <c r="AP728" s="55">
        <v>101.46000000000001</v>
      </c>
      <c r="AQ728" s="55">
        <v>48.17</v>
      </c>
      <c r="AR728" s="55">
        <v>18</v>
      </c>
      <c r="AS728" s="55">
        <v>300</v>
      </c>
      <c r="AT728" s="55" t="s">
        <v>83</v>
      </c>
      <c r="AU728" s="55" t="s">
        <v>109</v>
      </c>
      <c r="AV728" s="55" t="s">
        <v>133</v>
      </c>
      <c r="AW728" s="55" t="s">
        <v>109</v>
      </c>
      <c r="AX728" s="55" t="s">
        <v>86</v>
      </c>
      <c r="AY728" s="55">
        <v>0</v>
      </c>
      <c r="AZ728" s="55">
        <v>0</v>
      </c>
      <c r="BA728" s="55" t="s">
        <v>87</v>
      </c>
      <c r="BB728" s="55" t="s">
        <v>88</v>
      </c>
      <c r="BC728" s="55" t="s">
        <v>89</v>
      </c>
      <c r="BD728" s="55" t="s">
        <v>90</v>
      </c>
      <c r="BE728" s="55" t="s">
        <v>1458</v>
      </c>
      <c r="BF728" s="55">
        <v>101.57</v>
      </c>
      <c r="BG728" s="55">
        <v>0</v>
      </c>
      <c r="BH728" s="55">
        <v>65.849999999999994</v>
      </c>
      <c r="BI728" s="55">
        <v>5</v>
      </c>
      <c r="BJ728" s="55">
        <v>430</v>
      </c>
      <c r="BK728" s="55" t="s">
        <v>91</v>
      </c>
      <c r="BL728" s="55" t="s">
        <v>84</v>
      </c>
      <c r="BM728" s="55">
        <v>1</v>
      </c>
      <c r="BN728" s="55" t="s">
        <v>428</v>
      </c>
      <c r="BO728" s="55" t="s">
        <v>1463</v>
      </c>
      <c r="BP728" s="55" t="s">
        <v>1464</v>
      </c>
      <c r="BQ728" s="55" t="s">
        <v>117</v>
      </c>
      <c r="BR728" s="55" t="s">
        <v>134</v>
      </c>
      <c r="BS728" s="55">
        <v>29.22</v>
      </c>
      <c r="BT728" s="55">
        <v>0.01</v>
      </c>
      <c r="BU728" s="57">
        <v>42552</v>
      </c>
      <c r="BV728" s="57">
        <v>42643</v>
      </c>
      <c r="BW728" s="55" t="s">
        <v>94</v>
      </c>
      <c r="BX728" s="55" t="s">
        <v>95</v>
      </c>
      <c r="BY728" s="55" t="s">
        <v>748</v>
      </c>
      <c r="BZ728" s="55">
        <v>1</v>
      </c>
      <c r="CA728" s="55">
        <v>1</v>
      </c>
      <c r="CB728" s="55" t="s">
        <v>303</v>
      </c>
      <c r="CC728" s="55" t="s">
        <v>314</v>
      </c>
      <c r="CD728" s="55">
        <v>1</v>
      </c>
      <c r="CE728" s="55" t="s">
        <v>1462</v>
      </c>
      <c r="CF728" s="55">
        <v>0</v>
      </c>
      <c r="CG728" s="55" t="s">
        <v>97</v>
      </c>
      <c r="CH728" s="55">
        <v>1</v>
      </c>
      <c r="CI728" s="55" t="s">
        <v>1465</v>
      </c>
      <c r="CJ728" s="55" t="s">
        <v>98</v>
      </c>
      <c r="CK728" s="55">
        <v>179</v>
      </c>
      <c r="CL728" s="55">
        <v>0</v>
      </c>
      <c r="CM728" s="55">
        <v>0</v>
      </c>
      <c r="CN728" s="55" t="s">
        <v>124</v>
      </c>
      <c r="CO728" s="55" t="s">
        <v>97</v>
      </c>
      <c r="CP728" s="55" t="s">
        <v>100</v>
      </c>
      <c r="CQ728" s="55" t="s">
        <v>126</v>
      </c>
      <c r="CR728" s="57">
        <v>46251</v>
      </c>
      <c r="CT728" s="55" t="s">
        <v>1779</v>
      </c>
    </row>
    <row r="729" spans="1:98" s="55" customFormat="1" x14ac:dyDescent="0.35">
      <c r="A729" s="54" t="s">
        <v>1459</v>
      </c>
      <c r="B729" s="54" t="s">
        <v>1775</v>
      </c>
      <c r="C729" s="55" t="s">
        <v>1460</v>
      </c>
      <c r="D729" s="55">
        <v>2022</v>
      </c>
      <c r="E729" s="54" t="s">
        <v>1461</v>
      </c>
      <c r="F729" s="54" t="s">
        <v>998</v>
      </c>
      <c r="G729" s="55" t="s">
        <v>78</v>
      </c>
      <c r="H729" s="55">
        <v>1</v>
      </c>
      <c r="I729" s="55" t="s">
        <v>290</v>
      </c>
      <c r="J729" s="55" t="s">
        <v>79</v>
      </c>
      <c r="K729" s="55">
        <v>81</v>
      </c>
      <c r="L729" s="55" t="s">
        <v>104</v>
      </c>
      <c r="M729" s="55" t="s">
        <v>380</v>
      </c>
      <c r="N729" s="55">
        <v>5.0000000000000001E-4</v>
      </c>
      <c r="O729" s="55">
        <v>1.1999999999999999E-3</v>
      </c>
      <c r="P729" s="88">
        <f t="shared" si="291"/>
        <v>0.41666666666666669</v>
      </c>
      <c r="Q729" s="55" t="s">
        <v>312</v>
      </c>
      <c r="R729" s="88">
        <f t="shared" si="292"/>
        <v>-1.8519999999999999E-3</v>
      </c>
      <c r="S729" s="88">
        <f t="shared" si="293"/>
        <v>2.8519999999999999E-3</v>
      </c>
      <c r="T729" s="55">
        <v>1</v>
      </c>
      <c r="U729" s="55">
        <v>66374</v>
      </c>
      <c r="V729" s="55" t="s">
        <v>312</v>
      </c>
      <c r="W729" s="55" t="s">
        <v>312</v>
      </c>
      <c r="X729" s="55">
        <v>66374</v>
      </c>
      <c r="Y729" s="88">
        <f t="shared" si="296"/>
        <v>1.6172948172135436E-3</v>
      </c>
      <c r="Z729" s="88">
        <f t="shared" si="297"/>
        <v>3.881507561312504E-3</v>
      </c>
      <c r="AA729" s="88">
        <f t="shared" si="298"/>
        <v>-1.6172948172135436E-3</v>
      </c>
      <c r="AB729" s="55" t="s">
        <v>81</v>
      </c>
      <c r="AC729" s="88">
        <f t="shared" si="301"/>
        <v>5.0730000000000003E-3</v>
      </c>
      <c r="AD729" s="88" cm="1">
        <f t="array" ref="AD729">_xlfn.IFS(
AND(L729="marginal_effect",M729="level"),N729*AN729/BF729,
AND(L729="marginal_effect",M729="sd (Y)"),N729*BI729*AN729/BF729,
AND(L729="marginal_effect",M729="sd (X)"),N729/AQ729*AN729/BF729,
AND(L729="semi_elasticity",M729="level"),N729*AN729,
AND(L729="semi_elasticity",M729="sd (Y)"),N729*AN729*BI729,
AND(L729="semi_elasticity",M729="sd (X)"),N729*AN729/AQ729,
AND(L729="level-log",M729="level"),N729/BF729,
AND(L729="level-log",M729="sd (X)"),N729/BF729/AQ729,
AND(L729="level-log",M729="sd (Y)"),N729/BF729*BI729,
AND(L729="elasticity",M729="level"),N729,
AND(L729="elasticity",M729="sd (X)"),N729/AQ729,
AND(L729="elasticity",M729="sd (Y)"),N729*BI729,
AND(L729="marginal_effect",M729="percent_of_mean"),N729*AN729/BF729/10)</f>
        <v>5.0730000000000003E-3</v>
      </c>
      <c r="AE729" s="56">
        <v>1</v>
      </c>
      <c r="AF729" s="88">
        <f t="shared" si="302"/>
        <v>1.2175200000000001E-2</v>
      </c>
      <c r="AG729" s="88" cm="1">
        <f t="array" ref="AG729">_xlfn.IFS(
AND(L729="marginal_effect",M729="level"),O729*AN729/BF729,
AND(L729="marginal_effect",M729="sd (Y)"),O729*BI729*AN729/BF729,
AND(L729="marginal_effect",M729="sd (X)"),O729/AQ729*AN729/BF729,
AND(L729="semi_elasticity",M729="level"),O729*AN729,
AND(L729="semi_elasticity",M729="sd (Y)"),O729*AN729*BI729,
AND(L729="semi_elasticity",M729="sd (X)"),O729*AN729/AQ729,
AND(L729="level-log",M729="level"),O729/BF729,
AND(L729="level-log",M729="sd (X)"),O729/BF729/AQ729,
AND(L729="level-log",M729="sd (Y)"),O729/BF729*BI729,
AND(L729="elasticity",M729="level"),O729,
AND(L729="elasticity",M729="sd (X)"),O729/AQ729,
AND(L729="elasticity",M729="sd (Y)"),O729*BI729,
AND(L729="marginal_effect",M729="percent_of_mean"),O729*AN729/BF729/10)</f>
        <v>1.2175200000000001E-2</v>
      </c>
      <c r="AH729" s="56">
        <f t="shared" si="294"/>
        <v>1</v>
      </c>
      <c r="AI729" s="88">
        <f t="shared" si="299"/>
        <v>5.0730000000000003E-3</v>
      </c>
      <c r="AJ729" s="55">
        <v>0</v>
      </c>
      <c r="AK729" s="55">
        <f t="shared" si="295"/>
        <v>1</v>
      </c>
      <c r="AL729" s="55" t="s">
        <v>148</v>
      </c>
      <c r="AM729" s="55" t="s">
        <v>1466</v>
      </c>
      <c r="AN729" s="55">
        <v>10.146000000000001</v>
      </c>
      <c r="AO729" s="55">
        <v>0</v>
      </c>
      <c r="AP729" s="55">
        <v>101.46000000000001</v>
      </c>
      <c r="AQ729" s="55">
        <v>48.17</v>
      </c>
      <c r="AR729" s="55">
        <v>18</v>
      </c>
      <c r="AS729" s="55">
        <v>300</v>
      </c>
      <c r="AT729" s="55" t="s">
        <v>83</v>
      </c>
      <c r="AU729" s="55" t="s">
        <v>109</v>
      </c>
      <c r="AV729" s="55" t="s">
        <v>133</v>
      </c>
      <c r="AW729" s="55" t="s">
        <v>109</v>
      </c>
      <c r="AX729" s="55" t="s">
        <v>86</v>
      </c>
      <c r="AY729" s="55">
        <v>0</v>
      </c>
      <c r="AZ729" s="55">
        <v>0</v>
      </c>
      <c r="BA729" s="55" t="s">
        <v>87</v>
      </c>
      <c r="BB729" s="55" t="s">
        <v>88</v>
      </c>
      <c r="BC729" s="55" t="s">
        <v>89</v>
      </c>
      <c r="BD729" s="55" t="s">
        <v>90</v>
      </c>
      <c r="BE729" s="55" t="s">
        <v>1458</v>
      </c>
      <c r="BF729" s="55">
        <v>101.57</v>
      </c>
      <c r="BG729" s="55">
        <v>0</v>
      </c>
      <c r="BH729" s="55">
        <v>65.849999999999994</v>
      </c>
      <c r="BI729" s="55">
        <v>5</v>
      </c>
      <c r="BJ729" s="55">
        <v>430</v>
      </c>
      <c r="BK729" s="55" t="s">
        <v>91</v>
      </c>
      <c r="BL729" s="55" t="s">
        <v>84</v>
      </c>
      <c r="BM729" s="55">
        <v>1</v>
      </c>
      <c r="BN729" s="55" t="s">
        <v>428</v>
      </c>
      <c r="BO729" s="55" t="s">
        <v>1463</v>
      </c>
      <c r="BP729" s="55" t="s">
        <v>1464</v>
      </c>
      <c r="BQ729" s="55" t="s">
        <v>117</v>
      </c>
      <c r="BR729" s="55" t="s">
        <v>134</v>
      </c>
      <c r="BS729" s="55">
        <v>29.22</v>
      </c>
      <c r="BT729" s="55">
        <v>0.01</v>
      </c>
      <c r="BU729" s="57">
        <v>42552</v>
      </c>
      <c r="BV729" s="57">
        <v>42643</v>
      </c>
      <c r="BW729" s="55" t="s">
        <v>94</v>
      </c>
      <c r="BX729" s="55" t="s">
        <v>95</v>
      </c>
      <c r="BY729" s="55" t="s">
        <v>96</v>
      </c>
      <c r="BZ729" s="55">
        <v>0</v>
      </c>
      <c r="CA729" s="55">
        <v>0</v>
      </c>
      <c r="CB729" s="55" t="s">
        <v>97</v>
      </c>
      <c r="CC729" s="55" t="s">
        <v>314</v>
      </c>
      <c r="CD729" s="55">
        <v>1</v>
      </c>
      <c r="CE729" s="55" t="s">
        <v>1462</v>
      </c>
      <c r="CF729" s="55">
        <v>0</v>
      </c>
      <c r="CG729" s="55" t="s">
        <v>97</v>
      </c>
      <c r="CH729" s="55">
        <v>1</v>
      </c>
      <c r="CI729" s="55" t="s">
        <v>1465</v>
      </c>
      <c r="CJ729" s="55" t="s">
        <v>98</v>
      </c>
      <c r="CK729" s="55">
        <v>179</v>
      </c>
      <c r="CL729" s="55">
        <v>0</v>
      </c>
      <c r="CM729" s="55">
        <v>0</v>
      </c>
      <c r="CN729" s="55" t="s">
        <v>124</v>
      </c>
      <c r="CO729" s="55" t="s">
        <v>97</v>
      </c>
      <c r="CP729" s="55" t="s">
        <v>100</v>
      </c>
      <c r="CQ729" s="55" t="s">
        <v>126</v>
      </c>
      <c r="CR729" s="57">
        <v>46251</v>
      </c>
      <c r="CT729" s="55" t="s">
        <v>1780</v>
      </c>
    </row>
    <row r="730" spans="1:98" s="55" customFormat="1" x14ac:dyDescent="0.35">
      <c r="A730" s="54" t="s">
        <v>1459</v>
      </c>
      <c r="B730" s="54" t="s">
        <v>1776</v>
      </c>
      <c r="C730" s="55" t="s">
        <v>1460</v>
      </c>
      <c r="D730" s="55">
        <v>2022</v>
      </c>
      <c r="E730" s="54" t="s">
        <v>1461</v>
      </c>
      <c r="F730" s="54" t="s">
        <v>998</v>
      </c>
      <c r="G730" s="55" t="s">
        <v>78</v>
      </c>
      <c r="H730" s="55">
        <v>1</v>
      </c>
      <c r="I730" s="55" t="s">
        <v>290</v>
      </c>
      <c r="J730" s="55" t="s">
        <v>79</v>
      </c>
      <c r="K730" s="55">
        <v>81</v>
      </c>
      <c r="L730" s="55" t="s">
        <v>104</v>
      </c>
      <c r="M730" s="55" t="s">
        <v>380</v>
      </c>
      <c r="N730" s="55">
        <v>-1.32E-2</v>
      </c>
      <c r="O730" s="55">
        <v>4.5999999999999999E-3</v>
      </c>
      <c r="P730" s="88">
        <f t="shared" si="291"/>
        <v>-2.8695652173913042</v>
      </c>
      <c r="Q730" s="55" t="s">
        <v>312</v>
      </c>
      <c r="R730" s="88">
        <f t="shared" si="292"/>
        <v>-2.2216E-2</v>
      </c>
      <c r="S730" s="88">
        <f t="shared" si="293"/>
        <v>-4.1840000000000002E-3</v>
      </c>
      <c r="T730" s="55">
        <v>1</v>
      </c>
      <c r="U730" s="55">
        <v>66374</v>
      </c>
      <c r="V730" s="55" t="s">
        <v>312</v>
      </c>
      <c r="W730" s="55" t="s">
        <v>312</v>
      </c>
      <c r="X730" s="55">
        <v>66374</v>
      </c>
      <c r="Y730" s="88">
        <f t="shared" si="296"/>
        <v>-1.1137562810375567E-2</v>
      </c>
      <c r="Z730" s="88">
        <f t="shared" si="297"/>
        <v>3.8812718884642127E-3</v>
      </c>
      <c r="AA730" s="88">
        <f t="shared" si="298"/>
        <v>1.1137562810375567E-2</v>
      </c>
      <c r="AB730" s="55" t="s">
        <v>81</v>
      </c>
      <c r="AC730" s="88">
        <f t="shared" si="301"/>
        <v>-0.1339272</v>
      </c>
      <c r="AD730" s="88" cm="1">
        <f t="array" ref="AD730">_xlfn.IFS(
AND(L730="marginal_effect",M730="level"),N730*AN730/BF730,
AND(L730="marginal_effect",M730="sd (Y)"),N730*BI730*AN730/BF730,
AND(L730="marginal_effect",M730="sd (X)"),N730/AQ730*AN730/BF730,
AND(L730="semi_elasticity",M730="level"),N730*AN730,
AND(L730="semi_elasticity",M730="sd (Y)"),N730*AN730*BI730,
AND(L730="semi_elasticity",M730="sd (X)"),N730*AN730/AQ730,
AND(L730="level-log",M730="level"),N730/BF730,
AND(L730="level-log",M730="sd (X)"),N730/BF730/AQ730,
AND(L730="level-log",M730="sd (Y)"),N730/BF730*BI730,
AND(L730="elasticity",M730="level"),N730,
AND(L730="elasticity",M730="sd (X)"),N730/AQ730,
AND(L730="elasticity",M730="sd (Y)"),N730*BI730,
AND(L730="marginal_effect",M730="percent_of_mean"),N730*AN730/BF730/10)</f>
        <v>-0.1339272</v>
      </c>
      <c r="AE730" s="56">
        <v>1</v>
      </c>
      <c r="AF730" s="88">
        <f t="shared" si="302"/>
        <v>4.6671600000000001E-2</v>
      </c>
      <c r="AG730" s="88" cm="1">
        <f t="array" ref="AG730">_xlfn.IFS(
AND(L730="marginal_effect",M730="level"),O730*AN730/BF730,
AND(L730="marginal_effect",M730="sd (Y)"),O730*BI730*AN730/BF730,
AND(L730="marginal_effect",M730="sd (X)"),O730/AQ730*AN730/BF730,
AND(L730="semi_elasticity",M730="level"),O730*AN730,
AND(L730="semi_elasticity",M730="sd (Y)"),O730*AN730*BI730,
AND(L730="semi_elasticity",M730="sd (X)"),O730*AN730/AQ730,
AND(L730="level-log",M730="level"),O730/BF730,
AND(L730="level-log",M730="sd (X)"),O730/BF730/AQ730,
AND(L730="level-log",M730="sd (Y)"),O730/BF730*BI730,
AND(L730="elasticity",M730="level"),O730,
AND(L730="elasticity",M730="sd (X)"),O730/AQ730,
AND(L730="elasticity",M730="sd (Y)"),O730*BI730,
AND(L730="marginal_effect",M730="percent_of_mean"),O730*AN730/BF730/10)</f>
        <v>4.6671600000000001E-2</v>
      </c>
      <c r="AH730" s="56">
        <f t="shared" si="294"/>
        <v>1</v>
      </c>
      <c r="AI730" s="88">
        <f t="shared" si="299"/>
        <v>-0.1339272</v>
      </c>
      <c r="AJ730" s="55">
        <v>0</v>
      </c>
      <c r="AK730" s="55">
        <f t="shared" si="295"/>
        <v>1</v>
      </c>
      <c r="AL730" s="55" t="s">
        <v>148</v>
      </c>
      <c r="AM730" s="55" t="s">
        <v>1466</v>
      </c>
      <c r="AN730" s="55">
        <v>10.146000000000001</v>
      </c>
      <c r="AO730" s="55">
        <v>0</v>
      </c>
      <c r="AP730" s="55">
        <v>101.46000000000001</v>
      </c>
      <c r="AQ730" s="55">
        <v>48.17</v>
      </c>
      <c r="AR730" s="55">
        <v>18</v>
      </c>
      <c r="AS730" s="55">
        <v>300</v>
      </c>
      <c r="AT730" s="55" t="s">
        <v>83</v>
      </c>
      <c r="AU730" s="55" t="s">
        <v>109</v>
      </c>
      <c r="AV730" s="55" t="s">
        <v>133</v>
      </c>
      <c r="AW730" s="55" t="s">
        <v>109</v>
      </c>
      <c r="AX730" s="55" t="s">
        <v>86</v>
      </c>
      <c r="AY730" s="55">
        <v>0</v>
      </c>
      <c r="AZ730" s="55">
        <v>0</v>
      </c>
      <c r="BA730" s="55" t="s">
        <v>87</v>
      </c>
      <c r="BB730" s="55" t="s">
        <v>88</v>
      </c>
      <c r="BC730" s="55" t="s">
        <v>89</v>
      </c>
      <c r="BD730" s="55" t="s">
        <v>90</v>
      </c>
      <c r="BE730" s="55" t="s">
        <v>1458</v>
      </c>
      <c r="BF730" s="55">
        <v>101.57</v>
      </c>
      <c r="BG730" s="55">
        <v>0</v>
      </c>
      <c r="BH730" s="55">
        <v>65.849999999999994</v>
      </c>
      <c r="BI730" s="55">
        <v>5</v>
      </c>
      <c r="BJ730" s="55">
        <v>430</v>
      </c>
      <c r="BK730" s="55" t="s">
        <v>91</v>
      </c>
      <c r="BL730" s="55" t="s">
        <v>84</v>
      </c>
      <c r="BM730" s="55">
        <v>1</v>
      </c>
      <c r="BN730" s="55" t="s">
        <v>428</v>
      </c>
      <c r="BO730" s="55" t="s">
        <v>1463</v>
      </c>
      <c r="BP730" s="55" t="s">
        <v>1464</v>
      </c>
      <c r="BQ730" s="55" t="s">
        <v>117</v>
      </c>
      <c r="BR730" s="55" t="s">
        <v>134</v>
      </c>
      <c r="BS730" s="55">
        <v>29.22</v>
      </c>
      <c r="BT730" s="55">
        <v>0.01</v>
      </c>
      <c r="BU730" s="57">
        <v>42552</v>
      </c>
      <c r="BV730" s="57">
        <v>42643</v>
      </c>
      <c r="BW730" s="55" t="s">
        <v>94</v>
      </c>
      <c r="BX730" s="55" t="s">
        <v>95</v>
      </c>
      <c r="BY730" s="55" t="s">
        <v>748</v>
      </c>
      <c r="BZ730" s="55">
        <v>1</v>
      </c>
      <c r="CA730" s="55">
        <v>1</v>
      </c>
      <c r="CB730" s="55" t="s">
        <v>303</v>
      </c>
      <c r="CC730" s="55" t="s">
        <v>314</v>
      </c>
      <c r="CD730" s="55">
        <v>1</v>
      </c>
      <c r="CE730" s="55" t="s">
        <v>1462</v>
      </c>
      <c r="CF730" s="55">
        <v>0</v>
      </c>
      <c r="CG730" s="55" t="s">
        <v>97</v>
      </c>
      <c r="CH730" s="55">
        <v>1</v>
      </c>
      <c r="CI730" s="55" t="s">
        <v>1465</v>
      </c>
      <c r="CJ730" s="55" t="s">
        <v>98</v>
      </c>
      <c r="CK730" s="55">
        <v>179</v>
      </c>
      <c r="CL730" s="55">
        <v>0</v>
      </c>
      <c r="CM730" s="55">
        <v>0</v>
      </c>
      <c r="CN730" s="55" t="s">
        <v>124</v>
      </c>
      <c r="CO730" s="55" t="s">
        <v>97</v>
      </c>
      <c r="CP730" s="55" t="s">
        <v>100</v>
      </c>
      <c r="CQ730" s="55" t="s">
        <v>126</v>
      </c>
      <c r="CR730" s="57">
        <v>46251</v>
      </c>
      <c r="CT730" s="55" t="s">
        <v>1780</v>
      </c>
    </row>
    <row r="731" spans="1:98" s="55" customFormat="1" x14ac:dyDescent="0.35">
      <c r="A731" s="54" t="s">
        <v>1459</v>
      </c>
      <c r="B731" s="54" t="s">
        <v>1781</v>
      </c>
      <c r="C731" s="55" t="s">
        <v>1460</v>
      </c>
      <c r="D731" s="55">
        <v>2022</v>
      </c>
      <c r="E731" s="54" t="s">
        <v>1461</v>
      </c>
      <c r="F731" s="54" t="s">
        <v>998</v>
      </c>
      <c r="G731" s="55" t="s">
        <v>78</v>
      </c>
      <c r="H731" s="55">
        <v>1</v>
      </c>
      <c r="I731" s="55" t="s">
        <v>290</v>
      </c>
      <c r="J731" s="55" t="s">
        <v>79</v>
      </c>
      <c r="K731" s="55">
        <v>81</v>
      </c>
      <c r="L731" s="55" t="s">
        <v>104</v>
      </c>
      <c r="M731" s="55" t="s">
        <v>380</v>
      </c>
      <c r="N731" s="55">
        <v>-1.4200000000000001E-2</v>
      </c>
      <c r="O731" s="55">
        <v>3.7000000000000002E-3</v>
      </c>
      <c r="P731" s="88">
        <f t="shared" si="291"/>
        <v>-3.8378378378378377</v>
      </c>
      <c r="Q731" s="55" t="s">
        <v>312</v>
      </c>
      <c r="R731" s="88">
        <f t="shared" si="292"/>
        <v>-2.1451999999999999E-2</v>
      </c>
      <c r="S731" s="88">
        <f t="shared" si="293"/>
        <v>-6.9480000000000011E-3</v>
      </c>
      <c r="T731" s="55">
        <v>1</v>
      </c>
      <c r="U731" s="55">
        <v>57028</v>
      </c>
      <c r="V731" s="55" t="s">
        <v>312</v>
      </c>
      <c r="W731" s="55" t="s">
        <v>312</v>
      </c>
      <c r="X731" s="55">
        <v>66374</v>
      </c>
      <c r="Y731" s="88">
        <f t="shared" si="296"/>
        <v>-1.4894963495962435E-2</v>
      </c>
      <c r="Z731" s="88">
        <f t="shared" si="297"/>
        <v>3.8810820376803529E-3</v>
      </c>
      <c r="AA731" s="88">
        <f t="shared" si="298"/>
        <v>1.4894963495962435E-2</v>
      </c>
      <c r="AB731" s="55" t="s">
        <v>81</v>
      </c>
      <c r="AC731" s="88">
        <f t="shared" si="301"/>
        <v>-0.14407320000000001</v>
      </c>
      <c r="AD731" s="88" cm="1">
        <f t="array" ref="AD731">_xlfn.IFS(
AND(L731="marginal_effect",M731="level"),N731*AN731/BF731,
AND(L731="marginal_effect",M731="sd (Y)"),N731*BI731*AN731/BF731,
AND(L731="marginal_effect",M731="sd (X)"),N731/AQ731*AN731/BF731,
AND(L731="semi_elasticity",M731="level"),N731*AN731,
AND(L731="semi_elasticity",M731="sd (Y)"),N731*AN731*BI731,
AND(L731="semi_elasticity",M731="sd (X)"),N731*AN731/AQ731,
AND(L731="level-log",M731="level"),N731/BF731,
AND(L731="level-log",M731="sd (X)"),N731/BF731/AQ731,
AND(L731="level-log",M731="sd (Y)"),N731/BF731*BI731,
AND(L731="elasticity",M731="level"),N731,
AND(L731="elasticity",M731="sd (X)"),N731/AQ731,
AND(L731="elasticity",M731="sd (Y)"),N731*BI731,
AND(L731="marginal_effect",M731="percent_of_mean"),N731*AN731/BF731/10)</f>
        <v>-0.14407320000000001</v>
      </c>
      <c r="AE731" s="56">
        <v>1</v>
      </c>
      <c r="AF731" s="88">
        <f t="shared" si="302"/>
        <v>3.7540200000000003E-2</v>
      </c>
      <c r="AG731" s="88" cm="1">
        <f t="array" ref="AG731">_xlfn.IFS(
AND(L731="marginal_effect",M731="level"),O731*AN731/BF731,
AND(L731="marginal_effect",M731="sd (Y)"),O731*BI731*AN731/BF731,
AND(L731="marginal_effect",M731="sd (X)"),O731/AQ731*AN731/BF731,
AND(L731="semi_elasticity",M731="level"),O731*AN731,
AND(L731="semi_elasticity",M731="sd (Y)"),O731*AN731*BI731,
AND(L731="semi_elasticity",M731="sd (X)"),O731*AN731/AQ731,
AND(L731="level-log",M731="level"),O731/BF731,
AND(L731="level-log",M731="sd (X)"),O731/BF731/AQ731,
AND(L731="level-log",M731="sd (Y)"),O731/BF731*BI731,
AND(L731="elasticity",M731="level"),O731,
AND(L731="elasticity",M731="sd (X)"),O731/AQ731,
AND(L731="elasticity",M731="sd (Y)"),O731*BI731,
AND(L731="marginal_effect",M731="percent_of_mean"),O731*AN731/BF731/10)</f>
        <v>3.7540200000000003E-2</v>
      </c>
      <c r="AH731" s="56">
        <f t="shared" si="294"/>
        <v>1</v>
      </c>
      <c r="AI731" s="88">
        <f t="shared" si="299"/>
        <v>-0.14407320000000001</v>
      </c>
      <c r="AJ731" s="55">
        <v>0</v>
      </c>
      <c r="AK731" s="55">
        <f t="shared" si="295"/>
        <v>1</v>
      </c>
      <c r="AL731" s="55" t="s">
        <v>148</v>
      </c>
      <c r="AM731" s="55" t="s">
        <v>1466</v>
      </c>
      <c r="AN731" s="55">
        <v>10.146000000000001</v>
      </c>
      <c r="AO731" s="55">
        <v>0</v>
      </c>
      <c r="AP731" s="55">
        <v>101.46000000000001</v>
      </c>
      <c r="AQ731" s="55">
        <v>48.17</v>
      </c>
      <c r="AR731" s="55">
        <v>18</v>
      </c>
      <c r="AS731" s="55">
        <v>300</v>
      </c>
      <c r="AT731" s="55" t="s">
        <v>83</v>
      </c>
      <c r="AU731" s="55" t="s">
        <v>109</v>
      </c>
      <c r="AV731" s="55" t="s">
        <v>133</v>
      </c>
      <c r="AW731" s="55" t="s">
        <v>109</v>
      </c>
      <c r="AX731" s="55" t="s">
        <v>86</v>
      </c>
      <c r="AY731" s="55">
        <v>0</v>
      </c>
      <c r="AZ731" s="55">
        <v>0</v>
      </c>
      <c r="BA731" s="55" t="s">
        <v>87</v>
      </c>
      <c r="BB731" s="55" t="s">
        <v>88</v>
      </c>
      <c r="BC731" s="55" t="s">
        <v>89</v>
      </c>
      <c r="BD731" s="55" t="s">
        <v>90</v>
      </c>
      <c r="BE731" s="55" t="s">
        <v>1458</v>
      </c>
      <c r="BF731" s="55">
        <v>105.85</v>
      </c>
      <c r="BG731" s="55">
        <v>0</v>
      </c>
      <c r="BH731" s="55">
        <v>65.849999999999994</v>
      </c>
      <c r="BI731" s="55">
        <v>5</v>
      </c>
      <c r="BJ731" s="55">
        <v>430</v>
      </c>
      <c r="BK731" s="55" t="s">
        <v>91</v>
      </c>
      <c r="BL731" s="55" t="s">
        <v>84</v>
      </c>
      <c r="BM731" s="55">
        <v>1</v>
      </c>
      <c r="BN731" s="55" t="s">
        <v>428</v>
      </c>
      <c r="BO731" s="55" t="s">
        <v>1463</v>
      </c>
      <c r="BP731" s="55" t="s">
        <v>1464</v>
      </c>
      <c r="BQ731" s="55" t="s">
        <v>117</v>
      </c>
      <c r="BR731" s="55" t="s">
        <v>134</v>
      </c>
      <c r="BS731" s="55">
        <v>29.22</v>
      </c>
      <c r="BT731" s="55">
        <v>0.01</v>
      </c>
      <c r="BU731" s="57">
        <v>42552</v>
      </c>
      <c r="BV731" s="57">
        <v>42643</v>
      </c>
      <c r="BW731" s="55" t="s">
        <v>94</v>
      </c>
      <c r="BX731" s="55" t="s">
        <v>95</v>
      </c>
      <c r="BY731" s="55" t="s">
        <v>748</v>
      </c>
      <c r="BZ731" s="55">
        <v>1</v>
      </c>
      <c r="CA731" s="55">
        <v>1</v>
      </c>
      <c r="CB731" s="55" t="s">
        <v>303</v>
      </c>
      <c r="CC731" s="55" t="s">
        <v>314</v>
      </c>
      <c r="CD731" s="55">
        <v>1</v>
      </c>
      <c r="CE731" s="55" t="s">
        <v>1462</v>
      </c>
      <c r="CF731" s="55">
        <v>0</v>
      </c>
      <c r="CG731" s="55" t="s">
        <v>97</v>
      </c>
      <c r="CH731" s="55">
        <v>1</v>
      </c>
      <c r="CI731" s="55" t="s">
        <v>1465</v>
      </c>
      <c r="CJ731" s="55" t="s">
        <v>98</v>
      </c>
      <c r="CK731" s="55">
        <v>179</v>
      </c>
      <c r="CL731" s="55">
        <v>0</v>
      </c>
      <c r="CM731" s="55">
        <v>0</v>
      </c>
      <c r="CN731" s="55" t="s">
        <v>124</v>
      </c>
      <c r="CO731" s="55" t="s">
        <v>943</v>
      </c>
      <c r="CP731" s="55" t="s">
        <v>100</v>
      </c>
      <c r="CQ731" s="55" t="s">
        <v>126</v>
      </c>
      <c r="CR731" s="57">
        <v>46251</v>
      </c>
      <c r="CT731" s="55" t="s">
        <v>1787</v>
      </c>
    </row>
    <row r="732" spans="1:98" s="55" customFormat="1" x14ac:dyDescent="0.35">
      <c r="A732" s="54" t="s">
        <v>1459</v>
      </c>
      <c r="B732" s="54" t="s">
        <v>1782</v>
      </c>
      <c r="C732" s="55" t="s">
        <v>1460</v>
      </c>
      <c r="D732" s="55">
        <v>2022</v>
      </c>
      <c r="E732" s="54" t="s">
        <v>1461</v>
      </c>
      <c r="F732" s="54" t="s">
        <v>998</v>
      </c>
      <c r="G732" s="55" t="s">
        <v>78</v>
      </c>
      <c r="H732" s="55">
        <v>1</v>
      </c>
      <c r="I732" s="55" t="s">
        <v>290</v>
      </c>
      <c r="J732" s="55" t="s">
        <v>79</v>
      </c>
      <c r="K732" s="55">
        <v>81</v>
      </c>
      <c r="L732" s="55" t="s">
        <v>104</v>
      </c>
      <c r="M732" s="55" t="s">
        <v>380</v>
      </c>
      <c r="N732" s="55">
        <v>-1.32E-2</v>
      </c>
      <c r="O732" s="55">
        <v>4.1000000000000003E-3</v>
      </c>
      <c r="P732" s="88">
        <f t="shared" si="291"/>
        <v>-3.219512195121951</v>
      </c>
      <c r="Q732" s="55" t="s">
        <v>312</v>
      </c>
      <c r="R732" s="88">
        <f t="shared" si="292"/>
        <v>-2.1235999999999998E-2</v>
      </c>
      <c r="S732" s="88">
        <f t="shared" si="293"/>
        <v>-5.1640000000000002E-3</v>
      </c>
      <c r="T732" s="55">
        <v>1</v>
      </c>
      <c r="U732" s="55">
        <v>46501</v>
      </c>
      <c r="V732" s="55" t="s">
        <v>312</v>
      </c>
      <c r="W732" s="55" t="s">
        <v>312</v>
      </c>
      <c r="X732" s="55">
        <v>66374</v>
      </c>
      <c r="Y732" s="88">
        <f t="shared" si="296"/>
        <v>-1.2495601626155425E-2</v>
      </c>
      <c r="Z732" s="88">
        <f t="shared" si="297"/>
        <v>3.8812095960028218E-3</v>
      </c>
      <c r="AA732" s="88">
        <f t="shared" si="298"/>
        <v>1.2495601626155425E-2</v>
      </c>
      <c r="AB732" s="55" t="s">
        <v>81</v>
      </c>
      <c r="AC732" s="88">
        <f t="shared" si="301"/>
        <v>-0.1339272</v>
      </c>
      <c r="AD732" s="88" cm="1">
        <f t="array" ref="AD732">_xlfn.IFS(
AND(L732="marginal_effect",M732="level"),N732*AN732/BF732,
AND(L732="marginal_effect",M732="sd (Y)"),N732*BI732*AN732/BF732,
AND(L732="marginal_effect",M732="sd (X)"),N732/AQ732*AN732/BF732,
AND(L732="semi_elasticity",M732="level"),N732*AN732,
AND(L732="semi_elasticity",M732="sd (Y)"),N732*AN732*BI732,
AND(L732="semi_elasticity",M732="sd (X)"),N732*AN732/AQ732,
AND(L732="level-log",M732="level"),N732/BF732,
AND(L732="level-log",M732="sd (X)"),N732/BF732/AQ732,
AND(L732="level-log",M732="sd (Y)"),N732/BF732*BI732,
AND(L732="elasticity",M732="level"),N732,
AND(L732="elasticity",M732="sd (X)"),N732/AQ732,
AND(L732="elasticity",M732="sd (Y)"),N732*BI732,
AND(L732="marginal_effect",M732="percent_of_mean"),N732*AN732/BF732/10)</f>
        <v>-0.1339272</v>
      </c>
      <c r="AE732" s="56">
        <v>1</v>
      </c>
      <c r="AF732" s="88">
        <f t="shared" si="302"/>
        <v>4.1598600000000006E-2</v>
      </c>
      <c r="AG732" s="88" cm="1">
        <f t="array" ref="AG732">_xlfn.IFS(
AND(L732="marginal_effect",M732="level"),O732*AN732/BF732,
AND(L732="marginal_effect",M732="sd (Y)"),O732*BI732*AN732/BF732,
AND(L732="marginal_effect",M732="sd (X)"),O732/AQ732*AN732/BF732,
AND(L732="semi_elasticity",M732="level"),O732*AN732,
AND(L732="semi_elasticity",M732="sd (Y)"),O732*AN732*BI732,
AND(L732="semi_elasticity",M732="sd (X)"),O732*AN732/AQ732,
AND(L732="level-log",M732="level"),O732/BF732,
AND(L732="level-log",M732="sd (X)"),O732/BF732/AQ732,
AND(L732="level-log",M732="sd (Y)"),O732/BF732*BI732,
AND(L732="elasticity",M732="level"),O732,
AND(L732="elasticity",M732="sd (X)"),O732/AQ732,
AND(L732="elasticity",M732="sd (Y)"),O732*BI732,
AND(L732="marginal_effect",M732="percent_of_mean"),O732*AN732/BF732/10)</f>
        <v>4.1598600000000006E-2</v>
      </c>
      <c r="AH732" s="56">
        <f t="shared" si="294"/>
        <v>1</v>
      </c>
      <c r="AI732" s="88">
        <f t="shared" si="299"/>
        <v>-0.1339272</v>
      </c>
      <c r="AJ732" s="55">
        <v>0</v>
      </c>
      <c r="AK732" s="55">
        <f t="shared" si="295"/>
        <v>1</v>
      </c>
      <c r="AL732" s="55" t="s">
        <v>148</v>
      </c>
      <c r="AM732" s="55" t="s">
        <v>1466</v>
      </c>
      <c r="AN732" s="55">
        <v>10.146000000000001</v>
      </c>
      <c r="AO732" s="55">
        <v>0</v>
      </c>
      <c r="AP732" s="55">
        <v>101.46000000000001</v>
      </c>
      <c r="AQ732" s="55">
        <v>48.17</v>
      </c>
      <c r="AR732" s="55">
        <v>18</v>
      </c>
      <c r="AS732" s="55">
        <v>300</v>
      </c>
      <c r="AT732" s="55" t="s">
        <v>83</v>
      </c>
      <c r="AU732" s="55" t="s">
        <v>109</v>
      </c>
      <c r="AV732" s="55" t="s">
        <v>133</v>
      </c>
      <c r="AW732" s="55" t="s">
        <v>109</v>
      </c>
      <c r="AX732" s="55" t="s">
        <v>86</v>
      </c>
      <c r="AY732" s="55">
        <v>0</v>
      </c>
      <c r="AZ732" s="55">
        <v>0</v>
      </c>
      <c r="BA732" s="55" t="s">
        <v>87</v>
      </c>
      <c r="BB732" s="55" t="s">
        <v>88</v>
      </c>
      <c r="BC732" s="55" t="s">
        <v>89</v>
      </c>
      <c r="BD732" s="55" t="s">
        <v>90</v>
      </c>
      <c r="BE732" s="55" t="s">
        <v>1458</v>
      </c>
      <c r="BF732" s="55">
        <v>106.22</v>
      </c>
      <c r="BG732" s="55">
        <v>0</v>
      </c>
      <c r="BH732" s="55">
        <v>65.849999999999994</v>
      </c>
      <c r="BI732" s="55">
        <v>5</v>
      </c>
      <c r="BJ732" s="55">
        <v>430</v>
      </c>
      <c r="BK732" s="55" t="s">
        <v>91</v>
      </c>
      <c r="BL732" s="55" t="s">
        <v>84</v>
      </c>
      <c r="BM732" s="55">
        <v>1</v>
      </c>
      <c r="BN732" s="55" t="s">
        <v>428</v>
      </c>
      <c r="BO732" s="55" t="s">
        <v>1463</v>
      </c>
      <c r="BP732" s="55" t="s">
        <v>1464</v>
      </c>
      <c r="BQ732" s="55" t="s">
        <v>117</v>
      </c>
      <c r="BR732" s="55" t="s">
        <v>134</v>
      </c>
      <c r="BS732" s="55">
        <v>29.22</v>
      </c>
      <c r="BT732" s="55">
        <v>0.01</v>
      </c>
      <c r="BU732" s="57">
        <v>42552</v>
      </c>
      <c r="BV732" s="57">
        <v>42643</v>
      </c>
      <c r="BW732" s="55" t="s">
        <v>94</v>
      </c>
      <c r="BX732" s="55" t="s">
        <v>95</v>
      </c>
      <c r="BY732" s="55" t="s">
        <v>748</v>
      </c>
      <c r="BZ732" s="55">
        <v>1</v>
      </c>
      <c r="CA732" s="55">
        <v>1</v>
      </c>
      <c r="CB732" s="55" t="s">
        <v>303</v>
      </c>
      <c r="CC732" s="55" t="s">
        <v>314</v>
      </c>
      <c r="CD732" s="55">
        <v>1</v>
      </c>
      <c r="CE732" s="55" t="s">
        <v>1462</v>
      </c>
      <c r="CF732" s="55">
        <v>0</v>
      </c>
      <c r="CG732" s="55" t="s">
        <v>97</v>
      </c>
      <c r="CH732" s="55">
        <v>1</v>
      </c>
      <c r="CI732" s="55" t="s">
        <v>1465</v>
      </c>
      <c r="CJ732" s="55" t="s">
        <v>98</v>
      </c>
      <c r="CK732" s="55">
        <v>179</v>
      </c>
      <c r="CL732" s="55">
        <v>0</v>
      </c>
      <c r="CM732" s="55">
        <v>0</v>
      </c>
      <c r="CN732" s="55" t="s">
        <v>124</v>
      </c>
      <c r="CO732" s="55" t="s">
        <v>943</v>
      </c>
      <c r="CP732" s="55" t="s">
        <v>100</v>
      </c>
      <c r="CQ732" s="55" t="s">
        <v>126</v>
      </c>
      <c r="CR732" s="57">
        <v>46251</v>
      </c>
      <c r="CT732" s="55" t="s">
        <v>1788</v>
      </c>
    </row>
    <row r="733" spans="1:98" s="55" customFormat="1" x14ac:dyDescent="0.35">
      <c r="A733" s="54" t="s">
        <v>1459</v>
      </c>
      <c r="B733" s="54" t="s">
        <v>1783</v>
      </c>
      <c r="C733" s="55" t="s">
        <v>1460</v>
      </c>
      <c r="D733" s="55">
        <v>2022</v>
      </c>
      <c r="E733" s="54" t="s">
        <v>1461</v>
      </c>
      <c r="F733" s="54" t="s">
        <v>998</v>
      </c>
      <c r="G733" s="55" t="s">
        <v>78</v>
      </c>
      <c r="H733" s="55">
        <v>1</v>
      </c>
      <c r="I733" s="55" t="s">
        <v>290</v>
      </c>
      <c r="J733" s="55" t="s">
        <v>79</v>
      </c>
      <c r="K733" s="55">
        <v>81</v>
      </c>
      <c r="L733" s="55" t="s">
        <v>104</v>
      </c>
      <c r="M733" s="55" t="s">
        <v>380</v>
      </c>
      <c r="N733" s="55">
        <v>-1.9699999999999999E-2</v>
      </c>
      <c r="O733" s="55">
        <v>4.8999999999999998E-3</v>
      </c>
      <c r="P733" s="88">
        <f t="shared" si="291"/>
        <v>-4.0204081632653059</v>
      </c>
      <c r="Q733" s="55" t="s">
        <v>312</v>
      </c>
      <c r="R733" s="88">
        <f t="shared" si="292"/>
        <v>-2.9303999999999997E-2</v>
      </c>
      <c r="S733" s="88">
        <f t="shared" si="293"/>
        <v>-1.0095999999999999E-2</v>
      </c>
      <c r="T733" s="55">
        <v>1</v>
      </c>
      <c r="U733" s="55">
        <v>10527</v>
      </c>
      <c r="V733" s="55" t="s">
        <v>312</v>
      </c>
      <c r="W733" s="55" t="s">
        <v>312</v>
      </c>
      <c r="X733" s="55">
        <v>66374</v>
      </c>
      <c r="Y733" s="88">
        <f t="shared" si="296"/>
        <v>-1.5603365310544487E-2</v>
      </c>
      <c r="Z733" s="88">
        <f t="shared" si="297"/>
        <v>3.8810401026227407E-3</v>
      </c>
      <c r="AA733" s="88">
        <f t="shared" si="298"/>
        <v>1.5603365310544487E-2</v>
      </c>
      <c r="AB733" s="55" t="s">
        <v>81</v>
      </c>
      <c r="AC733" s="88">
        <f t="shared" si="301"/>
        <v>-0.1998762</v>
      </c>
      <c r="AD733" s="88" cm="1">
        <f t="array" ref="AD733">_xlfn.IFS(
AND(L733="marginal_effect",M733="level"),N733*AN733/BF733,
AND(L733="marginal_effect",M733="sd (Y)"),N733*BI733*AN733/BF733,
AND(L733="marginal_effect",M733="sd (X)"),N733/AQ733*AN733/BF733,
AND(L733="semi_elasticity",M733="level"),N733*AN733,
AND(L733="semi_elasticity",M733="sd (Y)"),N733*AN733*BI733,
AND(L733="semi_elasticity",M733="sd (X)"),N733*AN733/AQ733,
AND(L733="level-log",M733="level"),N733/BF733,
AND(L733="level-log",M733="sd (X)"),N733/BF733/AQ733,
AND(L733="level-log",M733="sd (Y)"),N733/BF733*BI733,
AND(L733="elasticity",M733="level"),N733,
AND(L733="elasticity",M733="sd (X)"),N733/AQ733,
AND(L733="elasticity",M733="sd (Y)"),N733*BI733,
AND(L733="marginal_effect",M733="percent_of_mean"),N733*AN733/BF733/10)</f>
        <v>-0.1998762</v>
      </c>
      <c r="AE733" s="56">
        <v>1</v>
      </c>
      <c r="AF733" s="88">
        <f t="shared" si="302"/>
        <v>4.97154E-2</v>
      </c>
      <c r="AG733" s="88" cm="1">
        <f t="array" ref="AG733">_xlfn.IFS(
AND(L733="marginal_effect",M733="level"),O733*AN733/BF733,
AND(L733="marginal_effect",M733="sd (Y)"),O733*BI733*AN733/BF733,
AND(L733="marginal_effect",M733="sd (X)"),O733/AQ733*AN733/BF733,
AND(L733="semi_elasticity",M733="level"),O733*AN733,
AND(L733="semi_elasticity",M733="sd (Y)"),O733*AN733*BI733,
AND(L733="semi_elasticity",M733="sd (X)"),O733*AN733/AQ733,
AND(L733="level-log",M733="level"),O733/BF733,
AND(L733="level-log",M733="sd (X)"),O733/BF733/AQ733,
AND(L733="level-log",M733="sd (Y)"),O733/BF733*BI733,
AND(L733="elasticity",M733="level"),O733,
AND(L733="elasticity",M733="sd (X)"),O733/AQ733,
AND(L733="elasticity",M733="sd (Y)"),O733*BI733,
AND(L733="marginal_effect",M733="percent_of_mean"),O733*AN733/BF733/10)</f>
        <v>4.97154E-2</v>
      </c>
      <c r="AH733" s="56">
        <f t="shared" si="294"/>
        <v>1</v>
      </c>
      <c r="AI733" s="88">
        <f t="shared" si="299"/>
        <v>-0.1998762</v>
      </c>
      <c r="AJ733" s="55">
        <v>0</v>
      </c>
      <c r="AK733" s="55">
        <f t="shared" si="295"/>
        <v>1</v>
      </c>
      <c r="AL733" s="55" t="s">
        <v>148</v>
      </c>
      <c r="AM733" s="55" t="s">
        <v>1466</v>
      </c>
      <c r="AN733" s="55">
        <v>10.146000000000001</v>
      </c>
      <c r="AO733" s="55">
        <v>0</v>
      </c>
      <c r="AP733" s="55">
        <v>101.46000000000001</v>
      </c>
      <c r="AQ733" s="55">
        <v>48.17</v>
      </c>
      <c r="AR733" s="55">
        <v>18</v>
      </c>
      <c r="AS733" s="55">
        <v>300</v>
      </c>
      <c r="AT733" s="55" t="s">
        <v>83</v>
      </c>
      <c r="AU733" s="55" t="s">
        <v>109</v>
      </c>
      <c r="AV733" s="55" t="s">
        <v>133</v>
      </c>
      <c r="AW733" s="55" t="s">
        <v>109</v>
      </c>
      <c r="AX733" s="55" t="s">
        <v>86</v>
      </c>
      <c r="AY733" s="55">
        <v>0</v>
      </c>
      <c r="AZ733" s="55">
        <v>0</v>
      </c>
      <c r="BA733" s="55" t="s">
        <v>87</v>
      </c>
      <c r="BB733" s="55" t="s">
        <v>88</v>
      </c>
      <c r="BC733" s="55" t="s">
        <v>89</v>
      </c>
      <c r="BD733" s="55" t="s">
        <v>90</v>
      </c>
      <c r="BE733" s="55" t="s">
        <v>1458</v>
      </c>
      <c r="BF733" s="55">
        <v>104.2</v>
      </c>
      <c r="BG733" s="55">
        <v>0</v>
      </c>
      <c r="BH733" s="55">
        <v>65.849999999999994</v>
      </c>
      <c r="BI733" s="55">
        <v>5</v>
      </c>
      <c r="BJ733" s="55">
        <v>430</v>
      </c>
      <c r="BK733" s="55" t="s">
        <v>91</v>
      </c>
      <c r="BL733" s="55" t="s">
        <v>84</v>
      </c>
      <c r="BM733" s="55">
        <v>1</v>
      </c>
      <c r="BN733" s="55" t="s">
        <v>428</v>
      </c>
      <c r="BO733" s="55" t="s">
        <v>1463</v>
      </c>
      <c r="BP733" s="55" t="s">
        <v>1464</v>
      </c>
      <c r="BQ733" s="55" t="s">
        <v>117</v>
      </c>
      <c r="BR733" s="55" t="s">
        <v>134</v>
      </c>
      <c r="BS733" s="55">
        <v>29.22</v>
      </c>
      <c r="BT733" s="55">
        <v>0.01</v>
      </c>
      <c r="BU733" s="57">
        <v>42552</v>
      </c>
      <c r="BV733" s="57">
        <v>42643</v>
      </c>
      <c r="BW733" s="55" t="s">
        <v>94</v>
      </c>
      <c r="BX733" s="55" t="s">
        <v>95</v>
      </c>
      <c r="BY733" s="55" t="s">
        <v>748</v>
      </c>
      <c r="BZ733" s="55">
        <v>1</v>
      </c>
      <c r="CA733" s="55">
        <v>1</v>
      </c>
      <c r="CB733" s="55" t="s">
        <v>303</v>
      </c>
      <c r="CC733" s="55" t="s">
        <v>314</v>
      </c>
      <c r="CD733" s="55">
        <v>1</v>
      </c>
      <c r="CE733" s="55" t="s">
        <v>1462</v>
      </c>
      <c r="CF733" s="55">
        <v>0</v>
      </c>
      <c r="CG733" s="55" t="s">
        <v>97</v>
      </c>
      <c r="CH733" s="55">
        <v>1</v>
      </c>
      <c r="CI733" s="55" t="s">
        <v>1465</v>
      </c>
      <c r="CJ733" s="55" t="s">
        <v>98</v>
      </c>
      <c r="CK733" s="55">
        <v>179</v>
      </c>
      <c r="CL733" s="55">
        <v>0</v>
      </c>
      <c r="CM733" s="55">
        <v>0</v>
      </c>
      <c r="CN733" s="55" t="s">
        <v>124</v>
      </c>
      <c r="CO733" s="55" t="s">
        <v>943</v>
      </c>
      <c r="CP733" s="55" t="s">
        <v>100</v>
      </c>
      <c r="CQ733" s="55" t="s">
        <v>126</v>
      </c>
      <c r="CR733" s="57">
        <v>46251</v>
      </c>
      <c r="CT733" s="55" t="s">
        <v>1789</v>
      </c>
    </row>
    <row r="734" spans="1:98" s="55" customFormat="1" x14ac:dyDescent="0.35">
      <c r="A734" s="54" t="s">
        <v>1459</v>
      </c>
      <c r="B734" s="54" t="s">
        <v>1784</v>
      </c>
      <c r="C734" s="55" t="s">
        <v>1460</v>
      </c>
      <c r="D734" s="55">
        <v>2022</v>
      </c>
      <c r="E734" s="54" t="s">
        <v>1461</v>
      </c>
      <c r="F734" s="54" t="s">
        <v>998</v>
      </c>
      <c r="G734" s="55" t="s">
        <v>78</v>
      </c>
      <c r="H734" s="55">
        <v>1</v>
      </c>
      <c r="I734" s="55" t="s">
        <v>290</v>
      </c>
      <c r="J734" s="55" t="s">
        <v>79</v>
      </c>
      <c r="K734" s="55">
        <v>81</v>
      </c>
      <c r="L734" s="55" t="s">
        <v>104</v>
      </c>
      <c r="M734" s="55" t="s">
        <v>380</v>
      </c>
      <c r="N734" s="55">
        <v>-1.44E-2</v>
      </c>
      <c r="O734" s="55">
        <v>3.5999999999999999E-3</v>
      </c>
      <c r="P734" s="88">
        <f t="shared" si="291"/>
        <v>-4</v>
      </c>
      <c r="Q734" s="55" t="s">
        <v>312</v>
      </c>
      <c r="R734" s="88">
        <f t="shared" si="292"/>
        <v>-2.1455999999999999E-2</v>
      </c>
      <c r="S734" s="88">
        <f t="shared" si="293"/>
        <v>-7.3439999999999998E-3</v>
      </c>
      <c r="T734" s="55">
        <v>1</v>
      </c>
      <c r="U734" s="55">
        <v>66374</v>
      </c>
      <c r="V734" s="55" t="s">
        <v>312</v>
      </c>
      <c r="W734" s="55" t="s">
        <v>312</v>
      </c>
      <c r="X734" s="55">
        <v>66374</v>
      </c>
      <c r="Y734" s="88">
        <f t="shared" si="296"/>
        <v>-1.552417954756689E-2</v>
      </c>
      <c r="Z734" s="88">
        <f t="shared" si="297"/>
        <v>3.8810448868917225E-3</v>
      </c>
      <c r="AA734" s="88">
        <f t="shared" si="298"/>
        <v>1.552417954756689E-2</v>
      </c>
      <c r="AB734" s="55" t="s">
        <v>81</v>
      </c>
      <c r="AC734" s="88">
        <f t="shared" si="301"/>
        <v>-0.14610240000000002</v>
      </c>
      <c r="AD734" s="88" cm="1">
        <f t="array" ref="AD734">_xlfn.IFS(
AND(L734="marginal_effect",M734="level"),N734*AN734/BF734,
AND(L734="marginal_effect",M734="sd (Y)"),N734*BI734*AN734/BF734,
AND(L734="marginal_effect",M734="sd (X)"),N734/AQ734*AN734/BF734,
AND(L734="semi_elasticity",M734="level"),N734*AN734,
AND(L734="semi_elasticity",M734="sd (Y)"),N734*AN734*BI734,
AND(L734="semi_elasticity",M734="sd (X)"),N734*AN734/AQ734,
AND(L734="level-log",M734="level"),N734/BF734,
AND(L734="level-log",M734="sd (X)"),N734/BF734/AQ734,
AND(L734="level-log",M734="sd (Y)"),N734/BF734*BI734,
AND(L734="elasticity",M734="level"),N734,
AND(L734="elasticity",M734="sd (X)"),N734/AQ734,
AND(L734="elasticity",M734="sd (Y)"),N734*BI734,
AND(L734="marginal_effect",M734="percent_of_mean"),N734*AN734/BF734/10)</f>
        <v>-0.14610240000000002</v>
      </c>
      <c r="AE734" s="56">
        <v>1</v>
      </c>
      <c r="AF734" s="88">
        <f t="shared" si="302"/>
        <v>3.6525600000000005E-2</v>
      </c>
      <c r="AG734" s="88" cm="1">
        <f t="array" ref="AG734">_xlfn.IFS(
AND(L734="marginal_effect",M734="level"),O734*AN734/BF734,
AND(L734="marginal_effect",M734="sd (Y)"),O734*BI734*AN734/BF734,
AND(L734="marginal_effect",M734="sd (X)"),O734/AQ734*AN734/BF734,
AND(L734="semi_elasticity",M734="level"),O734*AN734,
AND(L734="semi_elasticity",M734="sd (Y)"),O734*AN734*BI734,
AND(L734="semi_elasticity",M734="sd (X)"),O734*AN734/AQ734,
AND(L734="level-log",M734="level"),O734/BF734,
AND(L734="level-log",M734="sd (X)"),O734/BF734/AQ734,
AND(L734="level-log",M734="sd (Y)"),O734/BF734*BI734,
AND(L734="elasticity",M734="level"),O734,
AND(L734="elasticity",M734="sd (X)"),O734/AQ734,
AND(L734="elasticity",M734="sd (Y)"),O734*BI734,
AND(L734="marginal_effect",M734="percent_of_mean"),O734*AN734/BF734/10)</f>
        <v>3.6525600000000005E-2</v>
      </c>
      <c r="AH734" s="56">
        <f t="shared" si="294"/>
        <v>1</v>
      </c>
      <c r="AI734" s="88">
        <f t="shared" si="299"/>
        <v>-0.14610240000000002</v>
      </c>
      <c r="AJ734" s="55">
        <v>0</v>
      </c>
      <c r="AK734" s="55">
        <f t="shared" si="295"/>
        <v>1</v>
      </c>
      <c r="AL734" s="55" t="s">
        <v>148</v>
      </c>
      <c r="AM734" s="55" t="s">
        <v>1466</v>
      </c>
      <c r="AN734" s="55">
        <v>10.146000000000001</v>
      </c>
      <c r="AO734" s="55">
        <v>0</v>
      </c>
      <c r="AP734" s="55">
        <v>101.46000000000001</v>
      </c>
      <c r="AQ734" s="55">
        <v>48.17</v>
      </c>
      <c r="AR734" s="55">
        <v>18</v>
      </c>
      <c r="AS734" s="55">
        <v>300</v>
      </c>
      <c r="AT734" s="55" t="s">
        <v>83</v>
      </c>
      <c r="AU734" s="55" t="s">
        <v>109</v>
      </c>
      <c r="AV734" s="55" t="s">
        <v>133</v>
      </c>
      <c r="AW734" s="55" t="s">
        <v>109</v>
      </c>
      <c r="AX734" s="55" t="s">
        <v>86</v>
      </c>
      <c r="AY734" s="55">
        <v>0</v>
      </c>
      <c r="AZ734" s="55">
        <v>0</v>
      </c>
      <c r="BA734" s="55" t="s">
        <v>87</v>
      </c>
      <c r="BB734" s="55" t="s">
        <v>88</v>
      </c>
      <c r="BC734" s="55" t="s">
        <v>89</v>
      </c>
      <c r="BD734" s="55" t="s">
        <v>90</v>
      </c>
      <c r="BE734" s="55" t="s">
        <v>1458</v>
      </c>
      <c r="BF734" s="55">
        <v>101.57</v>
      </c>
      <c r="BG734" s="55">
        <v>0</v>
      </c>
      <c r="BH734" s="55">
        <v>65.849999999999994</v>
      </c>
      <c r="BI734" s="55">
        <v>5</v>
      </c>
      <c r="BJ734" s="55">
        <v>430</v>
      </c>
      <c r="BK734" s="55" t="s">
        <v>91</v>
      </c>
      <c r="BL734" s="55" t="s">
        <v>84</v>
      </c>
      <c r="BM734" s="55">
        <v>1</v>
      </c>
      <c r="BN734" s="55" t="s">
        <v>428</v>
      </c>
      <c r="BO734" s="55" t="s">
        <v>1463</v>
      </c>
      <c r="BP734" s="55" t="s">
        <v>1464</v>
      </c>
      <c r="BQ734" s="55" t="s">
        <v>117</v>
      </c>
      <c r="BR734" s="55" t="s">
        <v>134</v>
      </c>
      <c r="BS734" s="55">
        <v>29.22</v>
      </c>
      <c r="BT734" s="55">
        <v>0.01</v>
      </c>
      <c r="BU734" s="57">
        <v>42552</v>
      </c>
      <c r="BV734" s="57">
        <v>42643</v>
      </c>
      <c r="BW734" s="55" t="s">
        <v>94</v>
      </c>
      <c r="BX734" s="55" t="s">
        <v>95</v>
      </c>
      <c r="BY734" s="55" t="s">
        <v>748</v>
      </c>
      <c r="BZ734" s="55">
        <v>1</v>
      </c>
      <c r="CA734" s="55">
        <v>1</v>
      </c>
      <c r="CB734" s="55" t="s">
        <v>303</v>
      </c>
      <c r="CC734" s="55" t="s">
        <v>1793</v>
      </c>
      <c r="CD734" s="55">
        <v>1</v>
      </c>
      <c r="CE734" s="55" t="s">
        <v>1462</v>
      </c>
      <c r="CF734" s="55">
        <v>0</v>
      </c>
      <c r="CG734" s="55" t="s">
        <v>97</v>
      </c>
      <c r="CH734" s="55">
        <v>1</v>
      </c>
      <c r="CI734" s="55" t="s">
        <v>1465</v>
      </c>
      <c r="CJ734" s="55" t="s">
        <v>98</v>
      </c>
      <c r="CK734" s="55">
        <v>179</v>
      </c>
      <c r="CL734" s="55">
        <v>0</v>
      </c>
      <c r="CM734" s="55">
        <v>0</v>
      </c>
      <c r="CN734" s="55" t="s">
        <v>124</v>
      </c>
      <c r="CO734" s="55" t="s">
        <v>97</v>
      </c>
      <c r="CP734" s="55" t="s">
        <v>100</v>
      </c>
      <c r="CQ734" s="55" t="s">
        <v>126</v>
      </c>
      <c r="CR734" s="57">
        <v>46251</v>
      </c>
      <c r="CT734" s="55" t="s">
        <v>1790</v>
      </c>
    </row>
    <row r="735" spans="1:98" s="55" customFormat="1" x14ac:dyDescent="0.35">
      <c r="A735" s="54" t="s">
        <v>1459</v>
      </c>
      <c r="B735" s="54" t="s">
        <v>1785</v>
      </c>
      <c r="C735" s="55" t="s">
        <v>1460</v>
      </c>
      <c r="D735" s="55">
        <v>2022</v>
      </c>
      <c r="E735" s="54" t="s">
        <v>1461</v>
      </c>
      <c r="F735" s="54" t="s">
        <v>998</v>
      </c>
      <c r="G735" s="55" t="s">
        <v>78</v>
      </c>
      <c r="H735" s="55">
        <v>1</v>
      </c>
      <c r="I735" s="55" t="s">
        <v>290</v>
      </c>
      <c r="J735" s="55" t="s">
        <v>79</v>
      </c>
      <c r="K735" s="55">
        <v>81</v>
      </c>
      <c r="L735" s="55" t="s">
        <v>104</v>
      </c>
      <c r="M735" s="55" t="s">
        <v>380</v>
      </c>
      <c r="N735" s="55">
        <v>-1.41E-2</v>
      </c>
      <c r="O735" s="55">
        <v>3.5999999999999999E-3</v>
      </c>
      <c r="P735" s="88">
        <f t="shared" ref="P735:P766" si="304">N735/O735</f>
        <v>-3.9166666666666665</v>
      </c>
      <c r="Q735" s="55" t="s">
        <v>312</v>
      </c>
      <c r="R735" s="88">
        <f t="shared" ref="R735:R766" si="305">N735-1.96*O735</f>
        <v>-2.1156000000000001E-2</v>
      </c>
      <c r="S735" s="88">
        <f t="shared" ref="S735:S766" si="306">N735+1.96*O735</f>
        <v>-7.0439999999999999E-3</v>
      </c>
      <c r="T735" s="55">
        <v>1</v>
      </c>
      <c r="U735" s="55">
        <v>66374</v>
      </c>
      <c r="V735" s="55" t="s">
        <v>312</v>
      </c>
      <c r="W735" s="55" t="s">
        <v>312</v>
      </c>
      <c r="X735" s="55">
        <v>66374</v>
      </c>
      <c r="Y735" s="88">
        <f t="shared" si="296"/>
        <v>-1.52008346664092E-2</v>
      </c>
      <c r="Z735" s="88">
        <f t="shared" si="297"/>
        <v>3.8810641701470302E-3</v>
      </c>
      <c r="AA735" s="88">
        <f t="shared" si="298"/>
        <v>1.52008346664092E-2</v>
      </c>
      <c r="AB735" s="55" t="s">
        <v>81</v>
      </c>
      <c r="AC735" s="88">
        <f t="shared" si="301"/>
        <v>-0.14305860000000001</v>
      </c>
      <c r="AD735" s="88" cm="1">
        <f t="array" ref="AD735">_xlfn.IFS(
AND(L735="marginal_effect",M735="level"),N735*AN735/BF735,
AND(L735="marginal_effect",M735="sd (Y)"),N735*BI735*AN735/BF735,
AND(L735="marginal_effect",M735="sd (X)"),N735/AQ735*AN735/BF735,
AND(L735="semi_elasticity",M735="level"),N735*AN735,
AND(L735="semi_elasticity",M735="sd (Y)"),N735*AN735*BI735,
AND(L735="semi_elasticity",M735="sd (X)"),N735*AN735/AQ735,
AND(L735="level-log",M735="level"),N735/BF735,
AND(L735="level-log",M735="sd (X)"),N735/BF735/AQ735,
AND(L735="level-log",M735="sd (Y)"),N735/BF735*BI735,
AND(L735="elasticity",M735="level"),N735,
AND(L735="elasticity",M735="sd (X)"),N735/AQ735,
AND(L735="elasticity",M735="sd (Y)"),N735*BI735,
AND(L735="marginal_effect",M735="percent_of_mean"),N735*AN735/BF735/10)</f>
        <v>-0.14305860000000001</v>
      </c>
      <c r="AE735" s="56">
        <v>1</v>
      </c>
      <c r="AF735" s="88">
        <f t="shared" si="302"/>
        <v>3.6525600000000005E-2</v>
      </c>
      <c r="AG735" s="88" cm="1">
        <f t="array" ref="AG735">_xlfn.IFS(
AND(L735="marginal_effect",M735="level"),O735*AN735/BF735,
AND(L735="marginal_effect",M735="sd (Y)"),O735*BI735*AN735/BF735,
AND(L735="marginal_effect",M735="sd (X)"),O735/AQ735*AN735/BF735,
AND(L735="semi_elasticity",M735="level"),O735*AN735,
AND(L735="semi_elasticity",M735="sd (Y)"),O735*AN735*BI735,
AND(L735="semi_elasticity",M735="sd (X)"),O735*AN735/AQ735,
AND(L735="level-log",M735="level"),O735/BF735,
AND(L735="level-log",M735="sd (X)"),O735/BF735/AQ735,
AND(L735="level-log",M735="sd (Y)"),O735/BF735*BI735,
AND(L735="elasticity",M735="level"),O735,
AND(L735="elasticity",M735="sd (X)"),O735/AQ735,
AND(L735="elasticity",M735="sd (Y)"),O735*BI735,
AND(L735="marginal_effect",M735="percent_of_mean"),O735*AN735/BF735/10)</f>
        <v>3.6525600000000005E-2</v>
      </c>
      <c r="AH735" s="56">
        <f t="shared" ref="AH735:AH761" si="307">IF(AF735=AG735,1,0)</f>
        <v>1</v>
      </c>
      <c r="AI735" s="88">
        <f t="shared" si="299"/>
        <v>-0.14305860000000001</v>
      </c>
      <c r="AJ735" s="55">
        <v>0</v>
      </c>
      <c r="AK735" s="55">
        <f t="shared" ref="AK735:AK742" si="308">IF(P735=(AC735/AF735),1,0)</f>
        <v>1</v>
      </c>
      <c r="AL735" s="55" t="s">
        <v>148</v>
      </c>
      <c r="AM735" s="55" t="s">
        <v>1466</v>
      </c>
      <c r="AN735" s="55">
        <v>10.146000000000001</v>
      </c>
      <c r="AO735" s="55">
        <v>0</v>
      </c>
      <c r="AP735" s="55">
        <v>101.46000000000001</v>
      </c>
      <c r="AQ735" s="55">
        <v>48.17</v>
      </c>
      <c r="AR735" s="55">
        <v>18</v>
      </c>
      <c r="AS735" s="55">
        <v>300</v>
      </c>
      <c r="AT735" s="55" t="s">
        <v>83</v>
      </c>
      <c r="AU735" s="55" t="s">
        <v>109</v>
      </c>
      <c r="AV735" s="55" t="s">
        <v>133</v>
      </c>
      <c r="AW735" s="55" t="s">
        <v>109</v>
      </c>
      <c r="AX735" s="55" t="s">
        <v>86</v>
      </c>
      <c r="AY735" s="55">
        <v>0</v>
      </c>
      <c r="AZ735" s="55">
        <v>0</v>
      </c>
      <c r="BA735" s="55" t="s">
        <v>87</v>
      </c>
      <c r="BB735" s="55" t="s">
        <v>88</v>
      </c>
      <c r="BC735" s="55" t="s">
        <v>89</v>
      </c>
      <c r="BD735" s="55" t="s">
        <v>90</v>
      </c>
      <c r="BE735" s="55" t="s">
        <v>1458</v>
      </c>
      <c r="BF735" s="55">
        <v>101.57</v>
      </c>
      <c r="BG735" s="55">
        <v>0</v>
      </c>
      <c r="BH735" s="55">
        <v>65.849999999999994</v>
      </c>
      <c r="BI735" s="55">
        <v>5</v>
      </c>
      <c r="BJ735" s="55">
        <v>430</v>
      </c>
      <c r="BK735" s="55" t="s">
        <v>91</v>
      </c>
      <c r="BL735" s="55" t="s">
        <v>84</v>
      </c>
      <c r="BM735" s="55">
        <v>1</v>
      </c>
      <c r="BN735" s="55" t="s">
        <v>428</v>
      </c>
      <c r="BO735" s="55" t="s">
        <v>1463</v>
      </c>
      <c r="BP735" s="55" t="s">
        <v>1464</v>
      </c>
      <c r="BQ735" s="55" t="s">
        <v>117</v>
      </c>
      <c r="BR735" s="55" t="s">
        <v>134</v>
      </c>
      <c r="BS735" s="55">
        <v>29.22</v>
      </c>
      <c r="BT735" s="55">
        <v>0.01</v>
      </c>
      <c r="BU735" s="57">
        <v>42552</v>
      </c>
      <c r="BV735" s="57">
        <v>42643</v>
      </c>
      <c r="BW735" s="55" t="s">
        <v>94</v>
      </c>
      <c r="BX735" s="55" t="s">
        <v>95</v>
      </c>
      <c r="BY735" s="55" t="s">
        <v>748</v>
      </c>
      <c r="BZ735" s="55">
        <v>1</v>
      </c>
      <c r="CA735" s="55">
        <v>1</v>
      </c>
      <c r="CB735" s="55" t="s">
        <v>303</v>
      </c>
      <c r="CC735" s="55" t="s">
        <v>1793</v>
      </c>
      <c r="CD735" s="55">
        <v>1</v>
      </c>
      <c r="CE735" s="55" t="s">
        <v>1462</v>
      </c>
      <c r="CF735" s="55">
        <v>0</v>
      </c>
      <c r="CG735" s="55" t="s">
        <v>97</v>
      </c>
      <c r="CH735" s="55">
        <v>1</v>
      </c>
      <c r="CI735" s="55" t="s">
        <v>1465</v>
      </c>
      <c r="CJ735" s="55" t="s">
        <v>98</v>
      </c>
      <c r="CK735" s="55">
        <v>179</v>
      </c>
      <c r="CL735" s="55">
        <v>0</v>
      </c>
      <c r="CM735" s="55">
        <v>0</v>
      </c>
      <c r="CN735" s="55" t="s">
        <v>124</v>
      </c>
      <c r="CO735" s="55" t="s">
        <v>97</v>
      </c>
      <c r="CP735" s="55" t="s">
        <v>100</v>
      </c>
      <c r="CQ735" s="55" t="s">
        <v>126</v>
      </c>
      <c r="CR735" s="57">
        <v>46251</v>
      </c>
      <c r="CT735" s="55" t="s">
        <v>1791</v>
      </c>
    </row>
    <row r="736" spans="1:98" s="55" customFormat="1" x14ac:dyDescent="0.35">
      <c r="A736" s="54" t="s">
        <v>1459</v>
      </c>
      <c r="B736" s="54" t="s">
        <v>1786</v>
      </c>
      <c r="C736" s="55" t="s">
        <v>1460</v>
      </c>
      <c r="D736" s="55">
        <v>2022</v>
      </c>
      <c r="E736" s="54" t="s">
        <v>1461</v>
      </c>
      <c r="F736" s="54" t="s">
        <v>998</v>
      </c>
      <c r="G736" s="55" t="s">
        <v>78</v>
      </c>
      <c r="H736" s="55">
        <v>1</v>
      </c>
      <c r="I736" s="55" t="s">
        <v>290</v>
      </c>
      <c r="J736" s="55" t="s">
        <v>79</v>
      </c>
      <c r="K736" s="55">
        <v>81</v>
      </c>
      <c r="L736" s="55" t="s">
        <v>104</v>
      </c>
      <c r="M736" s="55" t="s">
        <v>380</v>
      </c>
      <c r="N736" s="55">
        <v>-1.43E-2</v>
      </c>
      <c r="O736" s="55">
        <v>3.5999999999999999E-3</v>
      </c>
      <c r="P736" s="88">
        <f t="shared" si="304"/>
        <v>-3.9722222222222223</v>
      </c>
      <c r="Q736" s="55" t="s">
        <v>312</v>
      </c>
      <c r="R736" s="88">
        <f t="shared" si="305"/>
        <v>-2.1356E-2</v>
      </c>
      <c r="S736" s="88">
        <f t="shared" si="306"/>
        <v>-7.2440000000000004E-3</v>
      </c>
      <c r="T736" s="55">
        <v>1</v>
      </c>
      <c r="U736" s="55">
        <v>66374</v>
      </c>
      <c r="V736" s="55" t="s">
        <v>312</v>
      </c>
      <c r="W736" s="55" t="s">
        <v>312</v>
      </c>
      <c r="X736" s="55">
        <v>66374</v>
      </c>
      <c r="Y736" s="88">
        <f t="shared" ref="Y736:Y767" si="309">P736/(P736^2 + X736)^(1/2)</f>
        <v>-1.5416398456659495E-2</v>
      </c>
      <c r="Z736" s="88">
        <f t="shared" ref="Z736:Z767" si="310">((1-Y736^2)/X736)^(1/2)</f>
        <v>3.8810513597184737E-3</v>
      </c>
      <c r="AA736" s="88">
        <f t="shared" ref="AA736:AA767" si="311">-Y736</f>
        <v>1.5416398456659495E-2</v>
      </c>
      <c r="AB736" s="55" t="s">
        <v>81</v>
      </c>
      <c r="AC736" s="88">
        <f t="shared" si="301"/>
        <v>-0.14508780000000002</v>
      </c>
      <c r="AD736" s="88" cm="1">
        <f t="array" ref="AD736">_xlfn.IFS(
AND(L736="marginal_effect",M736="level"),N736*AN736/BF736,
AND(L736="marginal_effect",M736="sd (Y)"),N736*BI736*AN736/BF736,
AND(L736="marginal_effect",M736="sd (X)"),N736/AQ736*AN736/BF736,
AND(L736="semi_elasticity",M736="level"),N736*AN736,
AND(L736="semi_elasticity",M736="sd (Y)"),N736*AN736*BI736,
AND(L736="semi_elasticity",M736="sd (X)"),N736*AN736/AQ736,
AND(L736="level-log",M736="level"),N736/BF736,
AND(L736="level-log",M736="sd (X)"),N736/BF736/AQ736,
AND(L736="level-log",M736="sd (Y)"),N736/BF736*BI736,
AND(L736="elasticity",M736="level"),N736,
AND(L736="elasticity",M736="sd (X)"),N736/AQ736,
AND(L736="elasticity",M736="sd (Y)"),N736*BI736,
AND(L736="marginal_effect",M736="percent_of_mean"),N736*AN736/BF736/10)</f>
        <v>-0.14508780000000002</v>
      </c>
      <c r="AE736" s="56">
        <v>1</v>
      </c>
      <c r="AF736" s="88">
        <f t="shared" si="302"/>
        <v>3.6525600000000005E-2</v>
      </c>
      <c r="AG736" s="88" cm="1">
        <f t="array" ref="AG736">_xlfn.IFS(
AND(L736="marginal_effect",M736="level"),O736*AN736/BF736,
AND(L736="marginal_effect",M736="sd (Y)"),O736*BI736*AN736/BF736,
AND(L736="marginal_effect",M736="sd (X)"),O736/AQ736*AN736/BF736,
AND(L736="semi_elasticity",M736="level"),O736*AN736,
AND(L736="semi_elasticity",M736="sd (Y)"),O736*AN736*BI736,
AND(L736="semi_elasticity",M736="sd (X)"),O736*AN736/AQ736,
AND(L736="level-log",M736="level"),O736/BF736,
AND(L736="level-log",M736="sd (X)"),O736/BF736/AQ736,
AND(L736="level-log",M736="sd (Y)"),O736/BF736*BI736,
AND(L736="elasticity",M736="level"),O736,
AND(L736="elasticity",M736="sd (X)"),O736/AQ736,
AND(L736="elasticity",M736="sd (Y)"),O736*BI736,
AND(L736="marginal_effect",M736="percent_of_mean"),O736*AN736/BF736/10)</f>
        <v>3.6525600000000005E-2</v>
      </c>
      <c r="AH736" s="56">
        <f t="shared" si="307"/>
        <v>1</v>
      </c>
      <c r="AI736" s="88">
        <f t="shared" si="299"/>
        <v>-0.14508780000000002</v>
      </c>
      <c r="AJ736" s="55">
        <v>0</v>
      </c>
      <c r="AK736" s="55">
        <f t="shared" si="308"/>
        <v>1</v>
      </c>
      <c r="AL736" s="55" t="s">
        <v>148</v>
      </c>
      <c r="AM736" s="55" t="s">
        <v>1466</v>
      </c>
      <c r="AN736" s="55">
        <v>10.146000000000001</v>
      </c>
      <c r="AO736" s="55">
        <v>0</v>
      </c>
      <c r="AP736" s="55">
        <v>101.46000000000001</v>
      </c>
      <c r="AQ736" s="55">
        <v>48.17</v>
      </c>
      <c r="AR736" s="55">
        <v>18</v>
      </c>
      <c r="AS736" s="55">
        <v>300</v>
      </c>
      <c r="AT736" s="55" t="s">
        <v>83</v>
      </c>
      <c r="AU736" s="55" t="s">
        <v>109</v>
      </c>
      <c r="AV736" s="55" t="s">
        <v>133</v>
      </c>
      <c r="AW736" s="55" t="s">
        <v>109</v>
      </c>
      <c r="AX736" s="55" t="s">
        <v>86</v>
      </c>
      <c r="AY736" s="55">
        <v>0</v>
      </c>
      <c r="AZ736" s="55">
        <v>0</v>
      </c>
      <c r="BA736" s="55" t="s">
        <v>87</v>
      </c>
      <c r="BB736" s="55" t="s">
        <v>88</v>
      </c>
      <c r="BC736" s="55" t="s">
        <v>89</v>
      </c>
      <c r="BD736" s="55" t="s">
        <v>90</v>
      </c>
      <c r="BE736" s="55" t="s">
        <v>1458</v>
      </c>
      <c r="BF736" s="55">
        <v>101.57</v>
      </c>
      <c r="BG736" s="55">
        <v>0</v>
      </c>
      <c r="BH736" s="55">
        <v>65.849999999999994</v>
      </c>
      <c r="BI736" s="55">
        <v>5</v>
      </c>
      <c r="BJ736" s="55">
        <v>430</v>
      </c>
      <c r="BK736" s="55" t="s">
        <v>91</v>
      </c>
      <c r="BL736" s="55" t="s">
        <v>84</v>
      </c>
      <c r="BM736" s="55">
        <v>1</v>
      </c>
      <c r="BN736" s="55" t="s">
        <v>428</v>
      </c>
      <c r="BO736" s="55" t="s">
        <v>1463</v>
      </c>
      <c r="BP736" s="55" t="s">
        <v>1464</v>
      </c>
      <c r="BQ736" s="55" t="s">
        <v>117</v>
      </c>
      <c r="BR736" s="55" t="s">
        <v>134</v>
      </c>
      <c r="BS736" s="55">
        <v>29.22</v>
      </c>
      <c r="BT736" s="55">
        <v>0.01</v>
      </c>
      <c r="BU736" s="57">
        <v>42552</v>
      </c>
      <c r="BV736" s="57">
        <v>42643</v>
      </c>
      <c r="BW736" s="55" t="s">
        <v>94</v>
      </c>
      <c r="BX736" s="55" t="s">
        <v>95</v>
      </c>
      <c r="BY736" s="55" t="s">
        <v>748</v>
      </c>
      <c r="BZ736" s="55">
        <v>1</v>
      </c>
      <c r="CA736" s="55">
        <v>1</v>
      </c>
      <c r="CB736" s="55" t="s">
        <v>303</v>
      </c>
      <c r="CC736" s="55" t="s">
        <v>314</v>
      </c>
      <c r="CD736" s="55">
        <v>1</v>
      </c>
      <c r="CE736" s="55" t="s">
        <v>1462</v>
      </c>
      <c r="CF736" s="55">
        <v>0</v>
      </c>
      <c r="CG736" s="55" t="s">
        <v>97</v>
      </c>
      <c r="CH736" s="55">
        <v>1</v>
      </c>
      <c r="CI736" s="55" t="s">
        <v>1465</v>
      </c>
      <c r="CJ736" s="55" t="s">
        <v>98</v>
      </c>
      <c r="CK736" s="55">
        <v>179</v>
      </c>
      <c r="CL736" s="55">
        <v>0</v>
      </c>
      <c r="CM736" s="55">
        <v>0</v>
      </c>
      <c r="CN736" s="55" t="s">
        <v>124</v>
      </c>
      <c r="CO736" s="55" t="s">
        <v>97</v>
      </c>
      <c r="CP736" s="55" t="s">
        <v>100</v>
      </c>
      <c r="CQ736" s="55" t="s">
        <v>126</v>
      </c>
      <c r="CR736" s="57">
        <v>46251</v>
      </c>
      <c r="CT736" s="55" t="s">
        <v>1792</v>
      </c>
    </row>
    <row r="737" spans="1:98" s="55" customFormat="1" x14ac:dyDescent="0.35">
      <c r="A737" s="54" t="s">
        <v>1459</v>
      </c>
      <c r="B737" s="54" t="s">
        <v>1794</v>
      </c>
      <c r="C737" s="55" t="s">
        <v>1460</v>
      </c>
      <c r="D737" s="55">
        <v>2022</v>
      </c>
      <c r="E737" s="54" t="s">
        <v>1461</v>
      </c>
      <c r="F737" s="54" t="s">
        <v>998</v>
      </c>
      <c r="G737" s="55" t="s">
        <v>78</v>
      </c>
      <c r="H737" s="55">
        <v>1</v>
      </c>
      <c r="I737" s="55" t="s">
        <v>290</v>
      </c>
      <c r="J737" s="55" t="s">
        <v>79</v>
      </c>
      <c r="K737" s="55">
        <v>81</v>
      </c>
      <c r="L737" s="55" t="s">
        <v>104</v>
      </c>
      <c r="M737" s="55" t="s">
        <v>380</v>
      </c>
      <c r="N737" s="55">
        <v>-1.4200000000000001E-2</v>
      </c>
      <c r="O737" s="55">
        <v>2.3E-3</v>
      </c>
      <c r="P737" s="88">
        <f t="shared" si="304"/>
        <v>-6.1739130434782616</v>
      </c>
      <c r="Q737" s="55" t="s">
        <v>312</v>
      </c>
      <c r="R737" s="88">
        <f t="shared" si="305"/>
        <v>-1.8708000000000002E-2</v>
      </c>
      <c r="S737" s="88">
        <f t="shared" si="306"/>
        <v>-9.692000000000001E-3</v>
      </c>
      <c r="T737" s="55">
        <v>1</v>
      </c>
      <c r="U737" s="55">
        <v>66374</v>
      </c>
      <c r="V737" s="55" t="s">
        <v>312</v>
      </c>
      <c r="W737" s="55" t="s">
        <v>312</v>
      </c>
      <c r="X737" s="55">
        <v>66374</v>
      </c>
      <c r="Y737" s="88">
        <f t="shared" si="309"/>
        <v>-2.3957243416972418E-2</v>
      </c>
      <c r="Z737" s="88">
        <f t="shared" si="310"/>
        <v>3.880398581622293E-3</v>
      </c>
      <c r="AA737" s="88">
        <f t="shared" si="311"/>
        <v>2.3957243416972418E-2</v>
      </c>
      <c r="AB737" s="55" t="s">
        <v>81</v>
      </c>
      <c r="AC737" s="88">
        <f t="shared" si="301"/>
        <v>-0.14407320000000001</v>
      </c>
      <c r="AD737" s="88" cm="1">
        <f t="array" ref="AD737">_xlfn.IFS(
AND(L737="marginal_effect",M737="level"),N737*AN737/BF737,
AND(L737="marginal_effect",M737="sd (Y)"),N737*BI737*AN737/BF737,
AND(L737="marginal_effect",M737="sd (X)"),N737/AQ737*AN737/BF737,
AND(L737="semi_elasticity",M737="level"),N737*AN737,
AND(L737="semi_elasticity",M737="sd (Y)"),N737*AN737*BI737,
AND(L737="semi_elasticity",M737="sd (X)"),N737*AN737/AQ737,
AND(L737="level-log",M737="level"),N737/BF737,
AND(L737="level-log",M737="sd (X)"),N737/BF737/AQ737,
AND(L737="level-log",M737="sd (Y)"),N737/BF737*BI737,
AND(L737="elasticity",M737="level"),N737,
AND(L737="elasticity",M737="sd (X)"),N737/AQ737,
AND(L737="elasticity",M737="sd (Y)"),N737*BI737,
AND(L737="marginal_effect",M737="percent_of_mean"),N737*AN737/BF737/10)</f>
        <v>-0.14407320000000001</v>
      </c>
      <c r="AE737" s="56">
        <v>1</v>
      </c>
      <c r="AF737" s="88">
        <f t="shared" si="302"/>
        <v>2.33358E-2</v>
      </c>
      <c r="AG737" s="88" cm="1">
        <f t="array" ref="AG737">_xlfn.IFS(
AND(L737="marginal_effect",M737="level"),O737*AN737/BF737,
AND(L737="marginal_effect",M737="sd (Y)"),O737*BI737*AN737/BF737,
AND(L737="marginal_effect",M737="sd (X)"),O737/AQ737*AN737/BF737,
AND(L737="semi_elasticity",M737="level"),O737*AN737,
AND(L737="semi_elasticity",M737="sd (Y)"),O737*AN737*BI737,
AND(L737="semi_elasticity",M737="sd (X)"),O737*AN737/AQ737,
AND(L737="level-log",M737="level"),O737/BF737,
AND(L737="level-log",M737="sd (X)"),O737/BF737/AQ737,
AND(L737="level-log",M737="sd (Y)"),O737/BF737*BI737,
AND(L737="elasticity",M737="level"),O737,
AND(L737="elasticity",M737="sd (X)"),O737/AQ737,
AND(L737="elasticity",M737="sd (Y)"),O737*BI737,
AND(L737="marginal_effect",M737="percent_of_mean"),O737*AN737/BF737/10)</f>
        <v>2.33358E-2</v>
      </c>
      <c r="AH737" s="56">
        <f t="shared" si="307"/>
        <v>1</v>
      </c>
      <c r="AI737" s="88">
        <f t="shared" si="299"/>
        <v>-0.14407320000000001</v>
      </c>
      <c r="AJ737" s="55">
        <v>0</v>
      </c>
      <c r="AK737" s="55">
        <f t="shared" si="308"/>
        <v>1</v>
      </c>
      <c r="AL737" s="55" t="s">
        <v>148</v>
      </c>
      <c r="AM737" s="55" t="s">
        <v>1466</v>
      </c>
      <c r="AN737" s="55">
        <v>10.146000000000001</v>
      </c>
      <c r="AO737" s="55">
        <v>0</v>
      </c>
      <c r="AP737" s="55">
        <v>101.46000000000001</v>
      </c>
      <c r="AQ737" s="55">
        <v>48.17</v>
      </c>
      <c r="AR737" s="55">
        <v>18</v>
      </c>
      <c r="AS737" s="55">
        <v>300</v>
      </c>
      <c r="AT737" s="55" t="s">
        <v>83</v>
      </c>
      <c r="AU737" s="55" t="s">
        <v>109</v>
      </c>
      <c r="AV737" s="55" t="s">
        <v>133</v>
      </c>
      <c r="AW737" s="55" t="s">
        <v>109</v>
      </c>
      <c r="AX737" s="55" t="s">
        <v>86</v>
      </c>
      <c r="AY737" s="55">
        <v>0</v>
      </c>
      <c r="AZ737" s="55">
        <v>0</v>
      </c>
      <c r="BA737" s="55" t="s">
        <v>87</v>
      </c>
      <c r="BB737" s="55" t="s">
        <v>88</v>
      </c>
      <c r="BC737" s="55" t="s">
        <v>89</v>
      </c>
      <c r="BD737" s="55" t="s">
        <v>90</v>
      </c>
      <c r="BE737" s="55" t="s">
        <v>1458</v>
      </c>
      <c r="BF737" s="55">
        <v>101.57</v>
      </c>
      <c r="BG737" s="55">
        <v>0</v>
      </c>
      <c r="BH737" s="55">
        <v>65.849999999999994</v>
      </c>
      <c r="BI737" s="55">
        <v>5</v>
      </c>
      <c r="BJ737" s="55">
        <v>430</v>
      </c>
      <c r="BK737" s="55" t="s">
        <v>91</v>
      </c>
      <c r="BL737" s="55" t="s">
        <v>84</v>
      </c>
      <c r="BM737" s="55">
        <v>1</v>
      </c>
      <c r="BN737" s="55" t="s">
        <v>428</v>
      </c>
      <c r="BO737" s="55" t="s">
        <v>1463</v>
      </c>
      <c r="BP737" s="55" t="s">
        <v>1464</v>
      </c>
      <c r="BQ737" s="55" t="s">
        <v>117</v>
      </c>
      <c r="BR737" s="55" t="s">
        <v>134</v>
      </c>
      <c r="BS737" s="55">
        <v>29.22</v>
      </c>
      <c r="BT737" s="55">
        <v>0.01</v>
      </c>
      <c r="BU737" s="57">
        <v>42552</v>
      </c>
      <c r="BV737" s="57">
        <v>42643</v>
      </c>
      <c r="BW737" s="55" t="s">
        <v>94</v>
      </c>
      <c r="BX737" s="55" t="s">
        <v>95</v>
      </c>
      <c r="BY737" s="55" t="s">
        <v>748</v>
      </c>
      <c r="BZ737" s="55">
        <v>1</v>
      </c>
      <c r="CA737" s="55">
        <v>1</v>
      </c>
      <c r="CB737" s="55" t="s">
        <v>303</v>
      </c>
      <c r="CC737" s="55" t="s">
        <v>314</v>
      </c>
      <c r="CD737" s="55">
        <v>1</v>
      </c>
      <c r="CE737" s="55" t="s">
        <v>1462</v>
      </c>
      <c r="CF737" s="55">
        <v>0</v>
      </c>
      <c r="CG737" s="55" t="s">
        <v>97</v>
      </c>
      <c r="CH737" s="55">
        <v>1</v>
      </c>
      <c r="CI737" s="55" t="s">
        <v>1402</v>
      </c>
      <c r="CJ737" s="55" t="s">
        <v>98</v>
      </c>
      <c r="CK737" s="55">
        <v>179</v>
      </c>
      <c r="CL737" s="55">
        <v>0</v>
      </c>
      <c r="CM737" s="55">
        <v>0</v>
      </c>
      <c r="CN737" s="55" t="s">
        <v>124</v>
      </c>
      <c r="CO737" s="55" t="s">
        <v>97</v>
      </c>
      <c r="CP737" s="55" t="s">
        <v>100</v>
      </c>
      <c r="CQ737" s="55" t="s">
        <v>126</v>
      </c>
      <c r="CR737" s="57">
        <v>46251</v>
      </c>
      <c r="CT737" s="55" t="s">
        <v>1795</v>
      </c>
    </row>
    <row r="738" spans="1:98" s="55" customFormat="1" x14ac:dyDescent="0.35">
      <c r="A738" s="54" t="s">
        <v>1459</v>
      </c>
      <c r="B738" s="54" t="s">
        <v>1796</v>
      </c>
      <c r="C738" s="55" t="s">
        <v>1460</v>
      </c>
      <c r="D738" s="55">
        <v>2022</v>
      </c>
      <c r="E738" s="54" t="s">
        <v>1461</v>
      </c>
      <c r="F738" s="54" t="s">
        <v>998</v>
      </c>
      <c r="G738" s="55" t="s">
        <v>78</v>
      </c>
      <c r="H738" s="55">
        <v>1</v>
      </c>
      <c r="I738" s="55" t="s">
        <v>290</v>
      </c>
      <c r="J738" s="55" t="s">
        <v>79</v>
      </c>
      <c r="K738" s="55">
        <v>81</v>
      </c>
      <c r="L738" s="55" t="s">
        <v>104</v>
      </c>
      <c r="M738" s="55" t="s">
        <v>380</v>
      </c>
      <c r="N738" s="55">
        <v>-2.8999999999999998E-3</v>
      </c>
      <c r="O738" s="55">
        <v>1.6999999999999999E-3</v>
      </c>
      <c r="P738" s="88">
        <f t="shared" si="304"/>
        <v>-1.7058823529411764</v>
      </c>
      <c r="Q738" s="55" t="s">
        <v>312</v>
      </c>
      <c r="R738" s="88">
        <f t="shared" si="305"/>
        <v>-6.2319999999999997E-3</v>
      </c>
      <c r="S738" s="88">
        <f t="shared" si="306"/>
        <v>4.3200000000000009E-4</v>
      </c>
      <c r="T738" s="55">
        <v>1</v>
      </c>
      <c r="U738" s="55">
        <v>66374</v>
      </c>
      <c r="V738" s="55" t="s">
        <v>312</v>
      </c>
      <c r="W738" s="55" t="s">
        <v>312</v>
      </c>
      <c r="X738" s="55">
        <v>66374</v>
      </c>
      <c r="Y738" s="88">
        <f t="shared" si="309"/>
        <v>-6.6212587649700219E-3</v>
      </c>
      <c r="Z738" s="88">
        <f t="shared" si="310"/>
        <v>3.8814275518789785E-3</v>
      </c>
      <c r="AA738" s="88">
        <f t="shared" si="311"/>
        <v>6.6212587649700219E-3</v>
      </c>
      <c r="AB738" s="55" t="s">
        <v>81</v>
      </c>
      <c r="AC738" s="88">
        <f t="shared" si="301"/>
        <v>-2.9423399999999999E-2</v>
      </c>
      <c r="AD738" s="88" cm="1">
        <f t="array" ref="AD738">_xlfn.IFS(
AND(L738="marginal_effect",M738="level"),N738*AN738/BF738,
AND(L738="marginal_effect",M738="sd (Y)"),N738*BI738*AN738/BF738,
AND(L738="marginal_effect",M738="sd (X)"),N738/AQ738*AN738/BF738,
AND(L738="semi_elasticity",M738="level"),N738*AN738,
AND(L738="semi_elasticity",M738="sd (Y)"),N738*AN738*BI738,
AND(L738="semi_elasticity",M738="sd (X)"),N738*AN738/AQ738,
AND(L738="level-log",M738="level"),N738/BF738,
AND(L738="level-log",M738="sd (X)"),N738/BF738/AQ738,
AND(L738="level-log",M738="sd (Y)"),N738/BF738*BI738,
AND(L738="elasticity",M738="level"),N738,
AND(L738="elasticity",M738="sd (X)"),N738/AQ738,
AND(L738="elasticity",M738="sd (Y)"),N738*BI738,
AND(L738="marginal_effect",M738="percent_of_mean"),N738*AN738/BF738/10)</f>
        <v>-2.9423399999999999E-2</v>
      </c>
      <c r="AE738" s="56">
        <v>1</v>
      </c>
      <c r="AF738" s="88">
        <f t="shared" si="302"/>
        <v>1.7248200000000002E-2</v>
      </c>
      <c r="AG738" s="88" cm="1">
        <f t="array" ref="AG738">_xlfn.IFS(
AND(L738="marginal_effect",M738="level"),O738*AN738/BF738,
AND(L738="marginal_effect",M738="sd (Y)"),O738*BI738*AN738/BF738,
AND(L738="marginal_effect",M738="sd (X)"),O738/AQ738*AN738/BF738,
AND(L738="semi_elasticity",M738="level"),O738*AN738,
AND(L738="semi_elasticity",M738="sd (Y)"),O738*AN738*BI738,
AND(L738="semi_elasticity",M738="sd (X)"),O738*AN738/AQ738,
AND(L738="level-log",M738="level"),O738/BF738,
AND(L738="level-log",M738="sd (X)"),O738/BF738/AQ738,
AND(L738="level-log",M738="sd (Y)"),O738/BF738*BI738,
AND(L738="elasticity",M738="level"),O738,
AND(L738="elasticity",M738="sd (X)"),O738/AQ738,
AND(L738="elasticity",M738="sd (Y)"),O738*BI738,
AND(L738="marginal_effect",M738="percent_of_mean"),O738*AN738/BF738/10)</f>
        <v>1.7248200000000002E-2</v>
      </c>
      <c r="AH738" s="56">
        <f t="shared" si="307"/>
        <v>1</v>
      </c>
      <c r="AI738" s="88">
        <f t="shared" si="299"/>
        <v>-2.9423399999999999E-2</v>
      </c>
      <c r="AJ738" s="55">
        <v>0</v>
      </c>
      <c r="AK738" s="55">
        <f t="shared" si="308"/>
        <v>1</v>
      </c>
      <c r="AL738" s="55" t="s">
        <v>148</v>
      </c>
      <c r="AM738" s="55" t="s">
        <v>1466</v>
      </c>
      <c r="AN738" s="55">
        <v>10.146000000000001</v>
      </c>
      <c r="AO738" s="55">
        <v>1</v>
      </c>
      <c r="AP738" s="55">
        <v>101.46000000000001</v>
      </c>
      <c r="AQ738" s="55">
        <v>48.17</v>
      </c>
      <c r="AR738" s="55">
        <v>18</v>
      </c>
      <c r="AS738" s="55">
        <v>300</v>
      </c>
      <c r="AT738" s="55" t="s">
        <v>83</v>
      </c>
      <c r="AU738" s="55" t="s">
        <v>109</v>
      </c>
      <c r="AV738" s="55" t="s">
        <v>133</v>
      </c>
      <c r="AW738" s="55" t="s">
        <v>109</v>
      </c>
      <c r="AX738" s="55" t="s">
        <v>86</v>
      </c>
      <c r="AY738" s="55">
        <v>0</v>
      </c>
      <c r="AZ738" s="55">
        <v>0</v>
      </c>
      <c r="BA738" s="55" t="s">
        <v>87</v>
      </c>
      <c r="BB738" s="55" t="s">
        <v>88</v>
      </c>
      <c r="BC738" s="55" t="s">
        <v>89</v>
      </c>
      <c r="BD738" s="55" t="s">
        <v>90</v>
      </c>
      <c r="BE738" s="55" t="s">
        <v>1458</v>
      </c>
      <c r="BF738" s="55">
        <v>101.57</v>
      </c>
      <c r="BG738" s="55">
        <v>0</v>
      </c>
      <c r="BH738" s="55">
        <v>65.849999999999994</v>
      </c>
      <c r="BI738" s="55">
        <v>5</v>
      </c>
      <c r="BJ738" s="55">
        <v>430</v>
      </c>
      <c r="BK738" s="55" t="s">
        <v>91</v>
      </c>
      <c r="BL738" s="55" t="s">
        <v>84</v>
      </c>
      <c r="BM738" s="55">
        <v>1</v>
      </c>
      <c r="BN738" s="55" t="s">
        <v>428</v>
      </c>
      <c r="BO738" s="55" t="s">
        <v>1463</v>
      </c>
      <c r="BP738" s="55" t="s">
        <v>1464</v>
      </c>
      <c r="BQ738" s="55" t="s">
        <v>117</v>
      </c>
      <c r="BR738" s="55" t="s">
        <v>134</v>
      </c>
      <c r="BS738" s="55">
        <v>29.22</v>
      </c>
      <c r="BT738" s="55">
        <v>0.01</v>
      </c>
      <c r="BU738" s="57">
        <v>42552</v>
      </c>
      <c r="BV738" s="57">
        <v>42643</v>
      </c>
      <c r="BW738" s="55" t="s">
        <v>94</v>
      </c>
      <c r="BX738" s="55" t="s">
        <v>95</v>
      </c>
      <c r="BY738" s="55" t="s">
        <v>96</v>
      </c>
      <c r="BZ738" s="55">
        <v>0</v>
      </c>
      <c r="CA738" s="55">
        <v>0</v>
      </c>
      <c r="CB738" s="55" t="s">
        <v>97</v>
      </c>
      <c r="CC738" s="55" t="s">
        <v>314</v>
      </c>
      <c r="CD738" s="55">
        <v>1</v>
      </c>
      <c r="CE738" s="55" t="s">
        <v>1462</v>
      </c>
      <c r="CF738" s="55">
        <v>0</v>
      </c>
      <c r="CG738" s="55" t="s">
        <v>97</v>
      </c>
      <c r="CH738" s="55">
        <v>1</v>
      </c>
      <c r="CI738" s="55" t="s">
        <v>1465</v>
      </c>
      <c r="CJ738" s="55" t="s">
        <v>98</v>
      </c>
      <c r="CK738" s="55">
        <v>179</v>
      </c>
      <c r="CL738" s="55">
        <v>0</v>
      </c>
      <c r="CM738" s="55">
        <v>0</v>
      </c>
      <c r="CN738" s="55" t="s">
        <v>124</v>
      </c>
      <c r="CO738" s="55" t="s">
        <v>97</v>
      </c>
      <c r="CP738" s="55" t="s">
        <v>100</v>
      </c>
      <c r="CQ738" s="55" t="s">
        <v>126</v>
      </c>
      <c r="CR738" s="57">
        <v>46251</v>
      </c>
      <c r="CT738" s="55" t="s">
        <v>1798</v>
      </c>
    </row>
    <row r="739" spans="1:98" s="55" customFormat="1" x14ac:dyDescent="0.35">
      <c r="A739" s="54" t="s">
        <v>1459</v>
      </c>
      <c r="B739" s="54" t="s">
        <v>1797</v>
      </c>
      <c r="C739" s="55" t="s">
        <v>1460</v>
      </c>
      <c r="D739" s="55">
        <v>2022</v>
      </c>
      <c r="E739" s="54" t="s">
        <v>1461</v>
      </c>
      <c r="F739" s="54" t="s">
        <v>998</v>
      </c>
      <c r="G739" s="55" t="s">
        <v>78</v>
      </c>
      <c r="H739" s="55">
        <v>1</v>
      </c>
      <c r="I739" s="55" t="s">
        <v>290</v>
      </c>
      <c r="J739" s="55" t="s">
        <v>79</v>
      </c>
      <c r="K739" s="55">
        <v>81</v>
      </c>
      <c r="L739" s="55" t="s">
        <v>104</v>
      </c>
      <c r="M739" s="55" t="s">
        <v>380</v>
      </c>
      <c r="N739" s="55">
        <v>-1.49E-2</v>
      </c>
      <c r="O739" s="55">
        <v>3.8E-3</v>
      </c>
      <c r="P739" s="88">
        <f t="shared" si="304"/>
        <v>-3.9210526315789473</v>
      </c>
      <c r="Q739" s="55" t="s">
        <v>312</v>
      </c>
      <c r="R739" s="88">
        <f t="shared" si="305"/>
        <v>-2.2348E-2</v>
      </c>
      <c r="S739" s="88">
        <f t="shared" si="306"/>
        <v>-7.4520000000000003E-3</v>
      </c>
      <c r="T739" s="55">
        <v>1</v>
      </c>
      <c r="U739" s="55">
        <v>66374</v>
      </c>
      <c r="V739" s="55" t="s">
        <v>312</v>
      </c>
      <c r="W739" s="55" t="s">
        <v>312</v>
      </c>
      <c r="X739" s="55">
        <v>66374</v>
      </c>
      <c r="Y739" s="88">
        <f t="shared" si="309"/>
        <v>-1.5217852937830425E-2</v>
      </c>
      <c r="Z739" s="88">
        <f t="shared" si="310"/>
        <v>3.8810631653527256E-3</v>
      </c>
      <c r="AA739" s="88">
        <f t="shared" si="311"/>
        <v>1.5217852937830425E-2</v>
      </c>
      <c r="AB739" s="55" t="s">
        <v>81</v>
      </c>
      <c r="AC739" s="88">
        <f t="shared" si="301"/>
        <v>-0.15117540000000002</v>
      </c>
      <c r="AD739" s="88" cm="1">
        <f t="array" ref="AD739">_xlfn.IFS(
AND(L739="marginal_effect",M739="level"),N739*AN739/BF739,
AND(L739="marginal_effect",M739="sd (Y)"),N739*BI739*AN739/BF739,
AND(L739="marginal_effect",M739="sd (X)"),N739/AQ739*AN739/BF739,
AND(L739="semi_elasticity",M739="level"),N739*AN739,
AND(L739="semi_elasticity",M739="sd (Y)"),N739*AN739*BI739,
AND(L739="semi_elasticity",M739="sd (X)"),N739*AN739/AQ739,
AND(L739="level-log",M739="level"),N739/BF739,
AND(L739="level-log",M739="sd (X)"),N739/BF739/AQ739,
AND(L739="level-log",M739="sd (Y)"),N739/BF739*BI739,
AND(L739="elasticity",M739="level"),N739,
AND(L739="elasticity",M739="sd (X)"),N739/AQ739,
AND(L739="elasticity",M739="sd (Y)"),N739*BI739,
AND(L739="marginal_effect",M739="percent_of_mean"),N739*AN739/BF739/10)</f>
        <v>-0.15117540000000002</v>
      </c>
      <c r="AE739" s="56">
        <v>1</v>
      </c>
      <c r="AF739" s="88">
        <f t="shared" si="302"/>
        <v>3.85548E-2</v>
      </c>
      <c r="AG739" s="88" cm="1">
        <f t="array" ref="AG739">_xlfn.IFS(
AND(L739="marginal_effect",M739="level"),O739*AN739/BF739,
AND(L739="marginal_effect",M739="sd (Y)"),O739*BI739*AN739/BF739,
AND(L739="marginal_effect",M739="sd (X)"),O739/AQ739*AN739/BF739,
AND(L739="semi_elasticity",M739="level"),O739*AN739,
AND(L739="semi_elasticity",M739="sd (Y)"),O739*AN739*BI739,
AND(L739="semi_elasticity",M739="sd (X)"),O739*AN739/AQ739,
AND(L739="level-log",M739="level"),O739/BF739,
AND(L739="level-log",M739="sd (X)"),O739/BF739/AQ739,
AND(L739="level-log",M739="sd (Y)"),O739/BF739*BI739,
AND(L739="elasticity",M739="level"),O739,
AND(L739="elasticity",M739="sd (X)"),O739/AQ739,
AND(L739="elasticity",M739="sd (Y)"),O739*BI739,
AND(L739="marginal_effect",M739="percent_of_mean"),O739*AN739/BF739/10)</f>
        <v>3.85548E-2</v>
      </c>
      <c r="AH739" s="56">
        <f t="shared" si="307"/>
        <v>1</v>
      </c>
      <c r="AI739" s="88">
        <f t="shared" si="299"/>
        <v>-0.15117540000000002</v>
      </c>
      <c r="AJ739" s="55">
        <v>0</v>
      </c>
      <c r="AK739" s="55">
        <f t="shared" si="308"/>
        <v>1</v>
      </c>
      <c r="AL739" s="55" t="s">
        <v>148</v>
      </c>
      <c r="AM739" s="55" t="s">
        <v>1466</v>
      </c>
      <c r="AN739" s="55">
        <v>10.146000000000001</v>
      </c>
      <c r="AO739" s="55">
        <v>1</v>
      </c>
      <c r="AP739" s="55">
        <v>101.46000000000001</v>
      </c>
      <c r="AQ739" s="55">
        <v>48.17</v>
      </c>
      <c r="AR739" s="55">
        <v>18</v>
      </c>
      <c r="AS739" s="55">
        <v>300</v>
      </c>
      <c r="AT739" s="55" t="s">
        <v>83</v>
      </c>
      <c r="AU739" s="55" t="s">
        <v>109</v>
      </c>
      <c r="AV739" s="55" t="s">
        <v>133</v>
      </c>
      <c r="AW739" s="55" t="s">
        <v>109</v>
      </c>
      <c r="AX739" s="55" t="s">
        <v>86</v>
      </c>
      <c r="AY739" s="55">
        <v>0</v>
      </c>
      <c r="AZ739" s="55">
        <v>0</v>
      </c>
      <c r="BA739" s="55" t="s">
        <v>87</v>
      </c>
      <c r="BB739" s="55" t="s">
        <v>88</v>
      </c>
      <c r="BC739" s="55" t="s">
        <v>89</v>
      </c>
      <c r="BD739" s="55" t="s">
        <v>90</v>
      </c>
      <c r="BE739" s="55" t="s">
        <v>1458</v>
      </c>
      <c r="BF739" s="55">
        <v>101.57</v>
      </c>
      <c r="BG739" s="55">
        <v>0</v>
      </c>
      <c r="BH739" s="55">
        <v>65.849999999999994</v>
      </c>
      <c r="BI739" s="55">
        <v>5</v>
      </c>
      <c r="BJ739" s="55">
        <v>430</v>
      </c>
      <c r="BK739" s="55" t="s">
        <v>91</v>
      </c>
      <c r="BL739" s="55" t="s">
        <v>84</v>
      </c>
      <c r="BM739" s="55">
        <v>1</v>
      </c>
      <c r="BN739" s="55" t="s">
        <v>428</v>
      </c>
      <c r="BO739" s="55" t="s">
        <v>1463</v>
      </c>
      <c r="BP739" s="55" t="s">
        <v>1464</v>
      </c>
      <c r="BQ739" s="55" t="s">
        <v>117</v>
      </c>
      <c r="BR739" s="55" t="s">
        <v>134</v>
      </c>
      <c r="BS739" s="55">
        <v>29.22</v>
      </c>
      <c r="BT739" s="55">
        <v>0.01</v>
      </c>
      <c r="BU739" s="57">
        <v>42552</v>
      </c>
      <c r="BV739" s="57">
        <v>42643</v>
      </c>
      <c r="BW739" s="55" t="s">
        <v>94</v>
      </c>
      <c r="BX739" s="55" t="s">
        <v>95</v>
      </c>
      <c r="BY739" s="55" t="s">
        <v>748</v>
      </c>
      <c r="BZ739" s="55">
        <v>1</v>
      </c>
      <c r="CA739" s="55">
        <v>1</v>
      </c>
      <c r="CB739" s="55" t="s">
        <v>303</v>
      </c>
      <c r="CC739" s="55" t="s">
        <v>314</v>
      </c>
      <c r="CD739" s="55">
        <v>1</v>
      </c>
      <c r="CE739" s="55" t="s">
        <v>1462</v>
      </c>
      <c r="CF739" s="55">
        <v>0</v>
      </c>
      <c r="CG739" s="55" t="s">
        <v>97</v>
      </c>
      <c r="CH739" s="55">
        <v>1</v>
      </c>
      <c r="CI739" s="55" t="s">
        <v>1465</v>
      </c>
      <c r="CJ739" s="55" t="s">
        <v>98</v>
      </c>
      <c r="CK739" s="55">
        <v>179</v>
      </c>
      <c r="CL739" s="55">
        <v>0</v>
      </c>
      <c r="CM739" s="55">
        <v>0</v>
      </c>
      <c r="CN739" s="55" t="s">
        <v>124</v>
      </c>
      <c r="CO739" s="55" t="s">
        <v>97</v>
      </c>
      <c r="CP739" s="55" t="s">
        <v>100</v>
      </c>
      <c r="CQ739" s="55" t="s">
        <v>126</v>
      </c>
      <c r="CR739" s="57">
        <v>46251</v>
      </c>
      <c r="CT739" s="55" t="s">
        <v>1799</v>
      </c>
    </row>
    <row r="740" spans="1:98" s="55" customFormat="1" x14ac:dyDescent="0.35">
      <c r="A740" s="54" t="s">
        <v>1459</v>
      </c>
      <c r="B740" s="54" t="s">
        <v>1800</v>
      </c>
      <c r="C740" s="55" t="s">
        <v>1460</v>
      </c>
      <c r="D740" s="55">
        <v>2022</v>
      </c>
      <c r="E740" s="60" t="s">
        <v>1461</v>
      </c>
      <c r="F740" s="54" t="s">
        <v>998</v>
      </c>
      <c r="G740" s="55" t="s">
        <v>78</v>
      </c>
      <c r="H740" s="55">
        <v>1</v>
      </c>
      <c r="I740" s="55" t="s">
        <v>290</v>
      </c>
      <c r="J740" s="55" t="s">
        <v>79</v>
      </c>
      <c r="K740" s="55">
        <v>81</v>
      </c>
      <c r="L740" s="55" t="s">
        <v>104</v>
      </c>
      <c r="M740" s="55" t="s">
        <v>380</v>
      </c>
      <c r="N740" s="55">
        <v>-2.8E-3</v>
      </c>
      <c r="O740" s="55">
        <v>1.6000000000000001E-3</v>
      </c>
      <c r="P740" s="88">
        <f t="shared" si="304"/>
        <v>-1.75</v>
      </c>
      <c r="Q740" s="55" t="s">
        <v>312</v>
      </c>
      <c r="R740" s="88">
        <f t="shared" si="305"/>
        <v>-5.9360000000000003E-3</v>
      </c>
      <c r="S740" s="88">
        <f t="shared" si="306"/>
        <v>3.3599999999999993E-4</v>
      </c>
      <c r="T740" s="55">
        <v>1</v>
      </c>
      <c r="U740" s="55">
        <v>66374</v>
      </c>
      <c r="V740" s="55" t="s">
        <v>312</v>
      </c>
      <c r="W740" s="55" t="s">
        <v>312</v>
      </c>
      <c r="X740" s="55">
        <f t="shared" ref="X740:X771" si="312">U740</f>
        <v>66374</v>
      </c>
      <c r="Y740" s="88">
        <f t="shared" si="309"/>
        <v>-6.7924904147384293E-3</v>
      </c>
      <c r="Z740" s="88">
        <f t="shared" si="310"/>
        <v>3.881423094136245E-3</v>
      </c>
      <c r="AA740" s="88">
        <f t="shared" si="311"/>
        <v>6.7924904147384293E-3</v>
      </c>
      <c r="AB740" s="55" t="s">
        <v>81</v>
      </c>
      <c r="AC740" s="88">
        <f t="shared" si="301"/>
        <v>-2.8408800000000001E-2</v>
      </c>
      <c r="AD740" s="88" cm="1">
        <f t="array" ref="AD740">_xlfn.IFS(
AND(L740="marginal_effect",M740="level"),N740*AN740/BF740,
AND(L740="marginal_effect",M740="sd (Y)"),N740*BI740*AN740/BF740,
AND(L740="marginal_effect",M740="sd (X)"),N740/AQ740*AN740/BF740,
AND(L740="semi_elasticity",M740="level"),N740*AN740,
AND(L740="semi_elasticity",M740="sd (Y)"),N740*AN740*BI740,
AND(L740="semi_elasticity",M740="sd (X)"),N740*AN740/AQ740,
AND(L740="level-log",M740="level"),N740/BF740,
AND(L740="level-log",M740="sd (X)"),N740/BF740/AQ740,
AND(L740="level-log",M740="sd (Y)"),N740/BF740*BI740,
AND(L740="elasticity",M740="level"),N740,
AND(L740="elasticity",M740="sd (X)"),N740/AQ740,
AND(L740="elasticity",M740="sd (Y)"),N740*BI740,
AND(L740="marginal_effect",M740="percent_of_mean"),N740*AN740/BF740/10)</f>
        <v>-2.8408800000000001E-2</v>
      </c>
      <c r="AE740" s="56">
        <f t="shared" ref="AE740:AE761" si="313">IF(AC740=AD740,1,0)</f>
        <v>1</v>
      </c>
      <c r="AF740" s="88">
        <f t="shared" si="302"/>
        <v>1.6233600000000001E-2</v>
      </c>
      <c r="AG740" s="88" cm="1">
        <f t="array" ref="AG740">_xlfn.IFS(
AND(L740="marginal_effect",M740="level"),O740*AN740/BF740,
AND(L740="marginal_effect",M740="sd (Y)"),O740*BI740*AN740/BF740,
AND(L740="marginal_effect",M740="sd (X)"),O740/AQ740*AN740/BF740,
AND(L740="semi_elasticity",M740="level"),O740*AN740,
AND(L740="semi_elasticity",M740="sd (Y)"),O740*AN740*BI740,
AND(L740="semi_elasticity",M740="sd (X)"),O740*AN740/AQ740,
AND(L740="level-log",M740="level"),O740/BF740,
AND(L740="level-log",M740="sd (X)"),O740/BF740/AQ740,
AND(L740="level-log",M740="sd (Y)"),O740/BF740*BI740,
AND(L740="elasticity",M740="level"),O740,
AND(L740="elasticity",M740="sd (X)"),O740/AQ740,
AND(L740="elasticity",M740="sd (Y)"),O740*BI740,
AND(L740="marginal_effect",M740="percent_of_mean"),O740*AN740/BF740/10)</f>
        <v>1.6233600000000001E-2</v>
      </c>
      <c r="AH740" s="56">
        <f t="shared" si="307"/>
        <v>1</v>
      </c>
      <c r="AI740" s="88">
        <f t="shared" si="299"/>
        <v>-2.8408800000000001E-2</v>
      </c>
      <c r="AJ740" s="55">
        <v>0</v>
      </c>
      <c r="AK740" s="55">
        <f t="shared" si="308"/>
        <v>1</v>
      </c>
      <c r="AL740" s="55" t="s">
        <v>148</v>
      </c>
      <c r="AM740" s="55" t="s">
        <v>1466</v>
      </c>
      <c r="AN740" s="55">
        <v>10.146000000000001</v>
      </c>
      <c r="AO740" s="55">
        <v>0</v>
      </c>
      <c r="AP740" s="55">
        <f>AN740*10</f>
        <v>101.46000000000001</v>
      </c>
      <c r="AQ740" s="55">
        <v>48.17</v>
      </c>
      <c r="AR740" s="55">
        <v>18</v>
      </c>
      <c r="AS740" s="55">
        <v>300</v>
      </c>
      <c r="AT740" s="55" t="s">
        <v>83</v>
      </c>
      <c r="AU740" s="55" t="s">
        <v>109</v>
      </c>
      <c r="AV740" s="55" t="s">
        <v>133</v>
      </c>
      <c r="AW740" s="55" t="s">
        <v>109</v>
      </c>
      <c r="AX740" s="55" t="s">
        <v>86</v>
      </c>
      <c r="AY740" s="55">
        <v>0</v>
      </c>
      <c r="AZ740" s="55">
        <v>0</v>
      </c>
      <c r="BA740" s="55" t="s">
        <v>87</v>
      </c>
      <c r="BB740" s="55" t="s">
        <v>88</v>
      </c>
      <c r="BC740" s="55" t="s">
        <v>89</v>
      </c>
      <c r="BD740" s="55" t="s">
        <v>90</v>
      </c>
      <c r="BE740" s="55" t="s">
        <v>1458</v>
      </c>
      <c r="BF740" s="55">
        <v>101.57</v>
      </c>
      <c r="BG740" s="55">
        <v>0</v>
      </c>
      <c r="BH740" s="55">
        <v>65.849999999999994</v>
      </c>
      <c r="BI740" s="55">
        <v>5</v>
      </c>
      <c r="BJ740" s="55">
        <v>430</v>
      </c>
      <c r="BK740" s="55" t="s">
        <v>91</v>
      </c>
      <c r="BL740" s="55" t="s">
        <v>84</v>
      </c>
      <c r="BM740" s="55">
        <v>1</v>
      </c>
      <c r="BN740" s="55" t="s">
        <v>428</v>
      </c>
      <c r="BO740" s="60" t="s">
        <v>1463</v>
      </c>
      <c r="BP740" s="55" t="s">
        <v>1464</v>
      </c>
      <c r="BQ740" s="55" t="s">
        <v>117</v>
      </c>
      <c r="BR740" s="55" t="s">
        <v>134</v>
      </c>
      <c r="BS740" s="55">
        <v>29.22</v>
      </c>
      <c r="BT740" s="55">
        <v>0.01</v>
      </c>
      <c r="BU740" s="57">
        <v>42552</v>
      </c>
      <c r="BV740" s="57">
        <v>42643</v>
      </c>
      <c r="BW740" s="55" t="s">
        <v>94</v>
      </c>
      <c r="BX740" s="55" t="s">
        <v>95</v>
      </c>
      <c r="BY740" s="55" t="s">
        <v>96</v>
      </c>
      <c r="BZ740" s="55">
        <v>0</v>
      </c>
      <c r="CA740" s="55">
        <v>0</v>
      </c>
      <c r="CB740" s="55" t="s">
        <v>97</v>
      </c>
      <c r="CC740" s="55" t="s">
        <v>314</v>
      </c>
      <c r="CD740" s="55">
        <v>1</v>
      </c>
      <c r="CE740" s="55" t="s">
        <v>1462</v>
      </c>
      <c r="CF740" s="55">
        <v>1</v>
      </c>
      <c r="CG740" s="55" t="s">
        <v>131</v>
      </c>
      <c r="CH740" s="55">
        <v>1</v>
      </c>
      <c r="CI740" s="55" t="s">
        <v>1465</v>
      </c>
      <c r="CJ740" s="55" t="s">
        <v>98</v>
      </c>
      <c r="CK740" s="55">
        <v>179</v>
      </c>
      <c r="CL740" s="55">
        <v>0</v>
      </c>
      <c r="CM740" s="55">
        <v>0</v>
      </c>
      <c r="CN740" s="55" t="s">
        <v>124</v>
      </c>
      <c r="CO740" s="55" t="s">
        <v>97</v>
      </c>
      <c r="CP740" s="55" t="s">
        <v>100</v>
      </c>
      <c r="CQ740" s="55" t="s">
        <v>126</v>
      </c>
      <c r="CR740" s="57">
        <v>46233</v>
      </c>
      <c r="CT740" s="55" t="s">
        <v>1820</v>
      </c>
    </row>
    <row r="741" spans="1:98" s="55" customFormat="1" x14ac:dyDescent="0.35">
      <c r="A741" s="54" t="s">
        <v>1459</v>
      </c>
      <c r="B741" s="54" t="s">
        <v>1801</v>
      </c>
      <c r="C741" s="55" t="s">
        <v>1460</v>
      </c>
      <c r="D741" s="55">
        <v>2022</v>
      </c>
      <c r="E741" s="60" t="s">
        <v>1461</v>
      </c>
      <c r="F741" s="54" t="s">
        <v>998</v>
      </c>
      <c r="G741" s="55" t="s">
        <v>78</v>
      </c>
      <c r="H741" s="55">
        <v>1</v>
      </c>
      <c r="I741" s="55" t="s">
        <v>290</v>
      </c>
      <c r="J741" s="55" t="s">
        <v>79</v>
      </c>
      <c r="K741" s="55">
        <v>81</v>
      </c>
      <c r="L741" s="55" t="s">
        <v>104</v>
      </c>
      <c r="M741" s="55" t="s">
        <v>380</v>
      </c>
      <c r="N741" s="55">
        <v>-6.4999999999999997E-3</v>
      </c>
      <c r="O741" s="55">
        <v>8.8000000000000005E-3</v>
      </c>
      <c r="P741" s="88">
        <f t="shared" si="304"/>
        <v>-0.73863636363636354</v>
      </c>
      <c r="Q741" s="55" t="s">
        <v>312</v>
      </c>
      <c r="R741" s="88">
        <f t="shared" si="305"/>
        <v>-2.3747999999999998E-2</v>
      </c>
      <c r="S741" s="88">
        <f t="shared" si="306"/>
        <v>1.0748000000000001E-2</v>
      </c>
      <c r="T741" s="55">
        <v>1</v>
      </c>
      <c r="U741" s="55">
        <v>66374</v>
      </c>
      <c r="V741" s="55" t="s">
        <v>312</v>
      </c>
      <c r="W741" s="55" t="s">
        <v>312</v>
      </c>
      <c r="X741" s="55">
        <f t="shared" si="312"/>
        <v>66374</v>
      </c>
      <c r="Y741" s="88">
        <f t="shared" si="309"/>
        <v>-2.8670145968986336E-3</v>
      </c>
      <c r="Z741" s="88">
        <f t="shared" si="310"/>
        <v>3.8814966850319972E-3</v>
      </c>
      <c r="AA741" s="88">
        <f t="shared" si="311"/>
        <v>2.8670145968986336E-3</v>
      </c>
      <c r="AB741" s="55" t="s">
        <v>81</v>
      </c>
      <c r="AC741" s="88">
        <f t="shared" si="301"/>
        <v>-1.4956500000000001E-2</v>
      </c>
      <c r="AD741" s="88" cm="1">
        <f t="array" ref="AD741">_xlfn.IFS(
AND(L741="marginal_effect",M741="level"),N741*AN741/BF741,
AND(L741="marginal_effect",M741="sd (Y)"),N741*BI741*AN741/BF741,
AND(L741="marginal_effect",M741="sd (X)"),N741/AQ741*AN741/BF741,
AND(L741="semi_elasticity",M741="level"),N741*AN741,
AND(L741="semi_elasticity",M741="sd (Y)"),N741*AN741*BI741,
AND(L741="semi_elasticity",M741="sd (X)"),N741*AN741/AQ741,
AND(L741="level-log",M741="level"),N741/BF741,
AND(L741="level-log",M741="sd (X)"),N741/BF741/AQ741,
AND(L741="level-log",M741="sd (Y)"),N741/BF741*BI741,
AND(L741="elasticity",M741="level"),N741,
AND(L741="elasticity",M741="sd (X)"),N741/AQ741,
AND(L741="elasticity",M741="sd (Y)"),N741*BI741,
AND(L741="marginal_effect",M741="percent_of_mean"),N741*AN741/BF741/10)</f>
        <v>-1.4956500000000001E-2</v>
      </c>
      <c r="AE741" s="56">
        <f t="shared" si="313"/>
        <v>1</v>
      </c>
      <c r="AF741" s="88">
        <f t="shared" si="302"/>
        <v>2.0248800000000004E-2</v>
      </c>
      <c r="AG741" s="88" cm="1">
        <f t="array" ref="AG741">_xlfn.IFS(
AND(L741="marginal_effect",M741="level"),O741*AN741/BF741,
AND(L741="marginal_effect",M741="sd (Y)"),O741*BI741*AN741/BF741,
AND(L741="marginal_effect",M741="sd (X)"),O741/AQ741*AN741/BF741,
AND(L741="semi_elasticity",M741="level"),O741*AN741,
AND(L741="semi_elasticity",M741="sd (Y)"),O741*AN741*BI741,
AND(L741="semi_elasticity",M741="sd (X)"),O741*AN741/AQ741,
AND(L741="level-log",M741="level"),O741/BF741,
AND(L741="level-log",M741="sd (X)"),O741/BF741/AQ741,
AND(L741="level-log",M741="sd (Y)"),O741/BF741*BI741,
AND(L741="elasticity",M741="level"),O741,
AND(L741="elasticity",M741="sd (X)"),O741/AQ741,
AND(L741="elasticity",M741="sd (Y)"),O741*BI741,
AND(L741="marginal_effect",M741="percent_of_mean"),O741*AN741/BF741/10)</f>
        <v>2.0248800000000004E-2</v>
      </c>
      <c r="AH741" s="56">
        <f t="shared" si="307"/>
        <v>1</v>
      </c>
      <c r="AI741" s="88">
        <f t="shared" si="299"/>
        <v>-1.4956500000000001E-2</v>
      </c>
      <c r="AJ741" s="55">
        <v>0</v>
      </c>
      <c r="AK741" s="55">
        <f t="shared" si="308"/>
        <v>1</v>
      </c>
      <c r="AL741" s="55" t="s">
        <v>131</v>
      </c>
      <c r="AM741" s="55" t="s">
        <v>1466</v>
      </c>
      <c r="AN741" s="55">
        <v>2.3010000000000002</v>
      </c>
      <c r="AO741" s="55">
        <v>0</v>
      </c>
      <c r="AP741" s="55">
        <f>AN741*10</f>
        <v>23.01</v>
      </c>
      <c r="AQ741" s="55">
        <v>10.75</v>
      </c>
      <c r="AR741" s="55">
        <v>4</v>
      </c>
      <c r="AS741" s="55">
        <v>67</v>
      </c>
      <c r="AT741" s="55" t="s">
        <v>83</v>
      </c>
      <c r="AU741" s="55" t="s">
        <v>109</v>
      </c>
      <c r="AV741" s="55" t="s">
        <v>133</v>
      </c>
      <c r="AW741" s="55" t="s">
        <v>109</v>
      </c>
      <c r="AX741" s="55" t="s">
        <v>86</v>
      </c>
      <c r="AY741" s="55">
        <v>0</v>
      </c>
      <c r="AZ741" s="55">
        <v>0</v>
      </c>
      <c r="BA741" s="55" t="s">
        <v>87</v>
      </c>
      <c r="BB741" s="55" t="s">
        <v>88</v>
      </c>
      <c r="BC741" s="55" t="s">
        <v>89</v>
      </c>
      <c r="BD741" s="55" t="s">
        <v>90</v>
      </c>
      <c r="BE741" s="55" t="s">
        <v>1458</v>
      </c>
      <c r="BF741" s="55">
        <v>101.57</v>
      </c>
      <c r="BG741" s="55">
        <v>0</v>
      </c>
      <c r="BH741" s="55">
        <v>65.849999999999994</v>
      </c>
      <c r="BI741" s="55">
        <v>5</v>
      </c>
      <c r="BJ741" s="55">
        <v>430</v>
      </c>
      <c r="BK741" s="55" t="s">
        <v>91</v>
      </c>
      <c r="BL741" s="55" t="s">
        <v>84</v>
      </c>
      <c r="BM741" s="55">
        <v>1</v>
      </c>
      <c r="BN741" s="55" t="s">
        <v>428</v>
      </c>
      <c r="BO741" s="60" t="s">
        <v>1463</v>
      </c>
      <c r="BP741" s="55" t="s">
        <v>1464</v>
      </c>
      <c r="BQ741" s="55" t="s">
        <v>117</v>
      </c>
      <c r="BR741" s="55" t="s">
        <v>134</v>
      </c>
      <c r="BS741" s="55">
        <v>29.22</v>
      </c>
      <c r="BT741" s="55">
        <v>0.01</v>
      </c>
      <c r="BU741" s="57">
        <v>42552</v>
      </c>
      <c r="BV741" s="57">
        <v>42643</v>
      </c>
      <c r="BW741" s="55" t="s">
        <v>94</v>
      </c>
      <c r="BX741" s="55" t="s">
        <v>95</v>
      </c>
      <c r="BY741" s="55" t="s">
        <v>96</v>
      </c>
      <c r="BZ741" s="55">
        <v>0</v>
      </c>
      <c r="CA741" s="55">
        <v>0</v>
      </c>
      <c r="CB741" s="55" t="s">
        <v>97</v>
      </c>
      <c r="CC741" s="55" t="s">
        <v>314</v>
      </c>
      <c r="CD741" s="55">
        <v>1</v>
      </c>
      <c r="CE741" s="55" t="s">
        <v>1462</v>
      </c>
      <c r="CF741" s="55">
        <v>1</v>
      </c>
      <c r="CG741" s="55" t="s">
        <v>591</v>
      </c>
      <c r="CH741" s="55">
        <v>1</v>
      </c>
      <c r="CI741" s="55" t="s">
        <v>1465</v>
      </c>
      <c r="CJ741" s="55" t="s">
        <v>98</v>
      </c>
      <c r="CK741" s="55">
        <v>179</v>
      </c>
      <c r="CL741" s="55">
        <v>0</v>
      </c>
      <c r="CM741" s="55">
        <v>0</v>
      </c>
      <c r="CN741" s="55" t="s">
        <v>124</v>
      </c>
      <c r="CO741" s="55" t="s">
        <v>97</v>
      </c>
      <c r="CP741" s="55" t="s">
        <v>100</v>
      </c>
      <c r="CQ741" s="55" t="s">
        <v>126</v>
      </c>
      <c r="CR741" s="57">
        <v>46233</v>
      </c>
      <c r="CT741" s="55" t="s">
        <v>1820</v>
      </c>
    </row>
    <row r="742" spans="1:98" s="55" customFormat="1" x14ac:dyDescent="0.35">
      <c r="A742" s="54" t="s">
        <v>1459</v>
      </c>
      <c r="B742" s="54" t="s">
        <v>1802</v>
      </c>
      <c r="C742" s="55" t="s">
        <v>1460</v>
      </c>
      <c r="D742" s="55">
        <v>2022</v>
      </c>
      <c r="E742" s="60" t="s">
        <v>1461</v>
      </c>
      <c r="F742" s="54" t="s">
        <v>998</v>
      </c>
      <c r="G742" s="55" t="s">
        <v>78</v>
      </c>
      <c r="H742" s="55">
        <v>1</v>
      </c>
      <c r="I742" s="55" t="s">
        <v>290</v>
      </c>
      <c r="J742" s="55" t="s">
        <v>79</v>
      </c>
      <c r="K742" s="55">
        <v>81</v>
      </c>
      <c r="L742" s="55" t="s">
        <v>104</v>
      </c>
      <c r="M742" s="55" t="s">
        <v>380</v>
      </c>
      <c r="N742" s="55">
        <v>-3.0999999999999999E-3</v>
      </c>
      <c r="O742" s="55">
        <v>1.6000000000000001E-3</v>
      </c>
      <c r="P742" s="88">
        <f t="shared" si="304"/>
        <v>-1.9374999999999998</v>
      </c>
      <c r="Q742" s="55" t="s">
        <v>312</v>
      </c>
      <c r="R742" s="88">
        <f t="shared" si="305"/>
        <v>-6.2360000000000002E-3</v>
      </c>
      <c r="S742" s="88">
        <f t="shared" si="306"/>
        <v>3.6000000000000008E-5</v>
      </c>
      <c r="T742" s="55">
        <v>1</v>
      </c>
      <c r="U742" s="55">
        <v>66374</v>
      </c>
      <c r="V742" s="55" t="s">
        <v>312</v>
      </c>
      <c r="W742" s="55" t="s">
        <v>312</v>
      </c>
      <c r="X742" s="55">
        <f t="shared" si="312"/>
        <v>66374</v>
      </c>
      <c r="Y742" s="88">
        <f t="shared" si="309"/>
        <v>-7.5202180784055168E-3</v>
      </c>
      <c r="Z742" s="88">
        <f t="shared" si="310"/>
        <v>3.881402879177041E-3</v>
      </c>
      <c r="AA742" s="88">
        <f t="shared" si="311"/>
        <v>7.5202180784055168E-3</v>
      </c>
      <c r="AB742" s="55" t="s">
        <v>81</v>
      </c>
      <c r="AC742" s="88">
        <f t="shared" si="301"/>
        <v>-3.1452600000000004E-2</v>
      </c>
      <c r="AD742" s="88" cm="1">
        <f t="array" ref="AD742">_xlfn.IFS(
AND(L742="marginal_effect",M742="level"),N742*AN742/BF742,
AND(L742="marginal_effect",M742="sd (Y)"),N742*BI742*AN742/BF742,
AND(L742="marginal_effect",M742="sd (X)"),N742/AQ742*AN742/BF742,
AND(L742="semi_elasticity",M742="level"),N742*AN742,
AND(L742="semi_elasticity",M742="sd (Y)"),N742*AN742*BI742,
AND(L742="semi_elasticity",M742="sd (X)"),N742*AN742/AQ742,
AND(L742="level-log",M742="level"),N742/BF742,
AND(L742="level-log",M742="sd (X)"),N742/BF742/AQ742,
AND(L742="level-log",M742="sd (Y)"),N742/BF742*BI742,
AND(L742="elasticity",M742="level"),N742,
AND(L742="elasticity",M742="sd (X)"),N742/AQ742,
AND(L742="elasticity",M742="sd (Y)"),N742*BI742,
AND(L742="marginal_effect",M742="percent_of_mean"),N742*AN742/BF742/10)</f>
        <v>-3.1452600000000004E-2</v>
      </c>
      <c r="AE742" s="56">
        <f t="shared" si="313"/>
        <v>1</v>
      </c>
      <c r="AF742" s="88">
        <f t="shared" si="302"/>
        <v>1.6233600000000001E-2</v>
      </c>
      <c r="AG742" s="88" cm="1">
        <f t="array" ref="AG742">_xlfn.IFS(
AND(L742="marginal_effect",M742="level"),O742*AN742/BF742,
AND(L742="marginal_effect",M742="sd (Y)"),O742*BI742*AN742/BF742,
AND(L742="marginal_effect",M742="sd (X)"),O742/AQ742*AN742/BF742,
AND(L742="semi_elasticity",M742="level"),O742*AN742,
AND(L742="semi_elasticity",M742="sd (Y)"),O742*AN742*BI742,
AND(L742="semi_elasticity",M742="sd (X)"),O742*AN742/AQ742,
AND(L742="level-log",M742="level"),O742/BF742,
AND(L742="level-log",M742="sd (X)"),O742/BF742/AQ742,
AND(L742="level-log",M742="sd (Y)"),O742/BF742*BI742,
AND(L742="elasticity",M742="level"),O742,
AND(L742="elasticity",M742="sd (X)"),O742/AQ742,
AND(L742="elasticity",M742="sd (Y)"),O742*BI742,
AND(L742="marginal_effect",M742="percent_of_mean"),O742*AN742/BF742/10)</f>
        <v>1.6233600000000001E-2</v>
      </c>
      <c r="AH742" s="56">
        <f t="shared" si="307"/>
        <v>1</v>
      </c>
      <c r="AI742" s="88">
        <f t="shared" ref="AI742:AI761" si="314">AC742</f>
        <v>-3.1452600000000004E-2</v>
      </c>
      <c r="AJ742" s="55">
        <v>0</v>
      </c>
      <c r="AK742" s="55">
        <f t="shared" si="308"/>
        <v>1</v>
      </c>
      <c r="AL742" s="55" t="s">
        <v>148</v>
      </c>
      <c r="AM742" s="55" t="s">
        <v>1466</v>
      </c>
      <c r="AN742" s="55">
        <v>10.146000000000001</v>
      </c>
      <c r="AO742" s="55">
        <v>0</v>
      </c>
      <c r="AP742" s="55">
        <f>AN742*10</f>
        <v>101.46000000000001</v>
      </c>
      <c r="AQ742" s="55">
        <v>48.17</v>
      </c>
      <c r="AR742" s="55">
        <v>18</v>
      </c>
      <c r="AS742" s="55">
        <v>300</v>
      </c>
      <c r="AT742" s="55" t="s">
        <v>83</v>
      </c>
      <c r="AU742" s="55" t="s">
        <v>109</v>
      </c>
      <c r="AV742" s="55" t="s">
        <v>133</v>
      </c>
      <c r="AW742" s="55" t="s">
        <v>109</v>
      </c>
      <c r="AX742" s="55" t="s">
        <v>86</v>
      </c>
      <c r="AY742" s="55">
        <v>0</v>
      </c>
      <c r="AZ742" s="55">
        <v>0</v>
      </c>
      <c r="BA742" s="55" t="s">
        <v>87</v>
      </c>
      <c r="BB742" s="55" t="s">
        <v>88</v>
      </c>
      <c r="BC742" s="55" t="s">
        <v>89</v>
      </c>
      <c r="BD742" s="55" t="s">
        <v>90</v>
      </c>
      <c r="BE742" s="55" t="s">
        <v>1458</v>
      </c>
      <c r="BF742" s="55">
        <v>101.57</v>
      </c>
      <c r="BG742" s="55">
        <v>0</v>
      </c>
      <c r="BH742" s="55">
        <v>65.849999999999994</v>
      </c>
      <c r="BI742" s="55">
        <v>5</v>
      </c>
      <c r="BJ742" s="55">
        <v>430</v>
      </c>
      <c r="BK742" s="55" t="s">
        <v>91</v>
      </c>
      <c r="BL742" s="55" t="s">
        <v>84</v>
      </c>
      <c r="BM742" s="55">
        <v>1</v>
      </c>
      <c r="BN742" s="55" t="s">
        <v>428</v>
      </c>
      <c r="BO742" s="60" t="s">
        <v>1463</v>
      </c>
      <c r="BP742" s="55" t="s">
        <v>1464</v>
      </c>
      <c r="BQ742" s="55" t="s">
        <v>117</v>
      </c>
      <c r="BR742" s="55" t="s">
        <v>134</v>
      </c>
      <c r="BS742" s="55">
        <v>29.22</v>
      </c>
      <c r="BT742" s="55">
        <v>0.01</v>
      </c>
      <c r="BU742" s="57">
        <v>42552</v>
      </c>
      <c r="BV742" s="57">
        <v>42643</v>
      </c>
      <c r="BW742" s="55" t="s">
        <v>94</v>
      </c>
      <c r="BX742" s="55" t="s">
        <v>95</v>
      </c>
      <c r="BY742" s="55" t="s">
        <v>96</v>
      </c>
      <c r="BZ742" s="55">
        <v>0</v>
      </c>
      <c r="CA742" s="55">
        <v>0</v>
      </c>
      <c r="CB742" s="55" t="s">
        <v>97</v>
      </c>
      <c r="CC742" s="55" t="s">
        <v>314</v>
      </c>
      <c r="CD742" s="55">
        <v>1</v>
      </c>
      <c r="CE742" s="55" t="s">
        <v>1462</v>
      </c>
      <c r="CF742" s="55">
        <v>1</v>
      </c>
      <c r="CG742" s="55" t="s">
        <v>159</v>
      </c>
      <c r="CH742" s="55">
        <v>1</v>
      </c>
      <c r="CI742" s="55" t="s">
        <v>1465</v>
      </c>
      <c r="CJ742" s="55" t="s">
        <v>98</v>
      </c>
      <c r="CK742" s="55">
        <v>179</v>
      </c>
      <c r="CL742" s="55">
        <v>0</v>
      </c>
      <c r="CM742" s="55">
        <v>0</v>
      </c>
      <c r="CN742" s="55" t="s">
        <v>124</v>
      </c>
      <c r="CO742" s="55" t="s">
        <v>97</v>
      </c>
      <c r="CP742" s="55" t="s">
        <v>100</v>
      </c>
      <c r="CQ742" s="55" t="s">
        <v>126</v>
      </c>
      <c r="CR742" s="57">
        <v>46233</v>
      </c>
      <c r="CT742" s="55" t="s">
        <v>1821</v>
      </c>
    </row>
    <row r="743" spans="1:98" s="55" customFormat="1" x14ac:dyDescent="0.35">
      <c r="A743" s="54" t="s">
        <v>1459</v>
      </c>
      <c r="B743" s="54" t="s">
        <v>1803</v>
      </c>
      <c r="C743" s="55" t="s">
        <v>1460</v>
      </c>
      <c r="D743" s="55">
        <v>2022</v>
      </c>
      <c r="E743" s="60" t="s">
        <v>1461</v>
      </c>
      <c r="F743" s="54" t="s">
        <v>998</v>
      </c>
      <c r="G743" s="55" t="s">
        <v>78</v>
      </c>
      <c r="H743" s="55">
        <v>1</v>
      </c>
      <c r="I743" s="55" t="s">
        <v>290</v>
      </c>
      <c r="J743" s="55" t="s">
        <v>79</v>
      </c>
      <c r="K743" s="55">
        <v>81</v>
      </c>
      <c r="L743" s="55" t="s">
        <v>104</v>
      </c>
      <c r="M743" s="55" t="s">
        <v>380</v>
      </c>
      <c r="N743" s="55">
        <v>-1.1900000000000001E-2</v>
      </c>
      <c r="O743" s="55">
        <v>2.0799999999999999E-2</v>
      </c>
      <c r="P743" s="88">
        <f t="shared" si="304"/>
        <v>-0.57211538461538469</v>
      </c>
      <c r="Q743" s="55" t="s">
        <v>312</v>
      </c>
      <c r="R743" s="88">
        <f t="shared" si="305"/>
        <v>-5.2668E-2</v>
      </c>
      <c r="S743" s="88">
        <f t="shared" si="306"/>
        <v>2.8867999999999998E-2</v>
      </c>
      <c r="T743" s="55">
        <v>1</v>
      </c>
      <c r="U743" s="55">
        <v>66374</v>
      </c>
      <c r="V743" s="55" t="s">
        <v>312</v>
      </c>
      <c r="W743" s="55" t="s">
        <v>312</v>
      </c>
      <c r="X743" s="55">
        <f t="shared" si="312"/>
        <v>66374</v>
      </c>
      <c r="Y743" s="88">
        <f t="shared" si="309"/>
        <v>-2.220667620092035E-3</v>
      </c>
      <c r="Z743" s="88">
        <f t="shared" si="310"/>
        <v>3.8815030670516231E-3</v>
      </c>
      <c r="AA743" s="88">
        <f t="shared" si="311"/>
        <v>2.220667620092035E-3</v>
      </c>
      <c r="AB743" s="55" t="s">
        <v>81</v>
      </c>
      <c r="AC743" s="88">
        <f t="shared" si="301"/>
        <v>-1.40658E-2</v>
      </c>
      <c r="AD743" s="88" cm="1">
        <f t="array" ref="AD743">_xlfn.IFS(
AND(L743="marginal_effect",M743="level"),N743*AN743/BF743,
AND(L743="marginal_effect",M743="sd (Y)"),N743*BI743*AN743/BF743,
AND(L743="marginal_effect",M743="sd (X)"),N743/AQ743*AN743/BF743,
AND(L743="semi_elasticity",M743="level"),N743*AN743,
AND(L743="semi_elasticity",M743="sd (Y)"),N743*AN743*BI743,
AND(L743="semi_elasticity",M743="sd (X)"),N743*AN743/AQ743,
AND(L743="level-log",M743="level"),N743/BF743,
AND(L743="level-log",M743="sd (X)"),N743/BF743/AQ743,
AND(L743="level-log",M743="sd (Y)"),N743/BF743*BI743,
AND(L743="elasticity",M743="level"),N743,
AND(L743="elasticity",M743="sd (X)"),N743/AQ743,
AND(L743="elasticity",M743="sd (Y)"),N743*BI743,
AND(L743="marginal_effect",M743="percent_of_mean"),N743*AN743/BF743/10)</f>
        <v>-1.40658E-2</v>
      </c>
      <c r="AE743" s="56">
        <f t="shared" si="313"/>
        <v>1</v>
      </c>
      <c r="AF743" s="88">
        <f t="shared" si="302"/>
        <v>2.4585599999999999E-2</v>
      </c>
      <c r="AG743" s="88" cm="1">
        <f t="array" ref="AG743">_xlfn.IFS(
AND(L743="marginal_effect",M743="level"),O743*AN743/BF743,
AND(L743="marginal_effect",M743="sd (Y)"),O743*BI743*AN743/BF743,
AND(L743="marginal_effect",M743="sd (X)"),O743/AQ743*AN743/BF743,
AND(L743="semi_elasticity",M743="level"),O743*AN743,
AND(L743="semi_elasticity",M743="sd (Y)"),O743*AN743*BI743,
AND(L743="semi_elasticity",M743="sd (X)"),O743*AN743/AQ743,
AND(L743="level-log",M743="level"),O743/BF743,
AND(L743="level-log",M743="sd (X)"),O743/BF743/AQ743,
AND(L743="level-log",M743="sd (Y)"),O743/BF743*BI743,
AND(L743="elasticity",M743="level"),O743,
AND(L743="elasticity",M743="sd (X)"),O743/AQ743,
AND(L743="elasticity",M743="sd (Y)"),O743*BI743,
AND(L743="marginal_effect",M743="percent_of_mean"),O743*AN743/BF743/10)</f>
        <v>2.4585599999999999E-2</v>
      </c>
      <c r="AH743" s="56">
        <f t="shared" si="307"/>
        <v>1</v>
      </c>
      <c r="AI743" s="88">
        <f t="shared" si="314"/>
        <v>-1.40658E-2</v>
      </c>
      <c r="AJ743" s="55">
        <v>0</v>
      </c>
      <c r="AK743" s="55">
        <v>1</v>
      </c>
      <c r="AL743" s="55" t="s">
        <v>159</v>
      </c>
      <c r="AM743" s="55" t="s">
        <v>1466</v>
      </c>
      <c r="AN743" s="55">
        <v>1.1819999999999999</v>
      </c>
      <c r="AO743" s="55">
        <v>0</v>
      </c>
      <c r="AP743" s="55">
        <f>AN743*10</f>
        <v>11.82</v>
      </c>
      <c r="AQ743" s="55">
        <v>4.99</v>
      </c>
      <c r="AR743" s="55">
        <v>2</v>
      </c>
      <c r="AS743" s="55">
        <v>46</v>
      </c>
      <c r="AT743" s="55" t="s">
        <v>83</v>
      </c>
      <c r="AU743" s="55" t="s">
        <v>109</v>
      </c>
      <c r="AV743" s="55" t="s">
        <v>133</v>
      </c>
      <c r="AW743" s="55" t="s">
        <v>109</v>
      </c>
      <c r="AX743" s="55" t="s">
        <v>86</v>
      </c>
      <c r="AY743" s="55">
        <v>0</v>
      </c>
      <c r="AZ743" s="55">
        <v>0</v>
      </c>
      <c r="BA743" s="55" t="s">
        <v>87</v>
      </c>
      <c r="BB743" s="55" t="s">
        <v>88</v>
      </c>
      <c r="BC743" s="55" t="s">
        <v>89</v>
      </c>
      <c r="BD743" s="55" t="s">
        <v>90</v>
      </c>
      <c r="BE743" s="55" t="s">
        <v>1458</v>
      </c>
      <c r="BF743" s="55">
        <v>101.57</v>
      </c>
      <c r="BG743" s="55">
        <v>0</v>
      </c>
      <c r="BH743" s="55">
        <v>65.849999999999994</v>
      </c>
      <c r="BI743" s="55">
        <v>5</v>
      </c>
      <c r="BJ743" s="55">
        <v>430</v>
      </c>
      <c r="BK743" s="55" t="s">
        <v>91</v>
      </c>
      <c r="BL743" s="55" t="s">
        <v>84</v>
      </c>
      <c r="BM743" s="55">
        <v>1</v>
      </c>
      <c r="BN743" s="55" t="s">
        <v>428</v>
      </c>
      <c r="BO743" s="60" t="s">
        <v>1463</v>
      </c>
      <c r="BP743" s="55" t="s">
        <v>1464</v>
      </c>
      <c r="BQ743" s="55" t="s">
        <v>117</v>
      </c>
      <c r="BR743" s="55" t="s">
        <v>134</v>
      </c>
      <c r="BS743" s="55">
        <v>29.22</v>
      </c>
      <c r="BT743" s="55">
        <v>0.01</v>
      </c>
      <c r="BU743" s="57">
        <v>42552</v>
      </c>
      <c r="BV743" s="57">
        <v>42643</v>
      </c>
      <c r="BW743" s="55" t="s">
        <v>94</v>
      </c>
      <c r="BX743" s="55" t="s">
        <v>95</v>
      </c>
      <c r="BY743" s="55" t="s">
        <v>96</v>
      </c>
      <c r="BZ743" s="55">
        <v>0</v>
      </c>
      <c r="CA743" s="55">
        <v>0</v>
      </c>
      <c r="CB743" s="55" t="s">
        <v>97</v>
      </c>
      <c r="CC743" s="55" t="s">
        <v>314</v>
      </c>
      <c r="CD743" s="55">
        <v>1</v>
      </c>
      <c r="CE743" s="55" t="s">
        <v>1462</v>
      </c>
      <c r="CF743" s="55">
        <v>1</v>
      </c>
      <c r="CG743" s="55" t="s">
        <v>591</v>
      </c>
      <c r="CH743" s="55">
        <v>1</v>
      </c>
      <c r="CI743" s="55" t="s">
        <v>1465</v>
      </c>
      <c r="CJ743" s="55" t="s">
        <v>98</v>
      </c>
      <c r="CK743" s="55">
        <v>179</v>
      </c>
      <c r="CL743" s="55">
        <v>0</v>
      </c>
      <c r="CM743" s="55">
        <v>0</v>
      </c>
      <c r="CN743" s="55" t="s">
        <v>124</v>
      </c>
      <c r="CO743" s="55" t="s">
        <v>97</v>
      </c>
      <c r="CP743" s="55" t="s">
        <v>100</v>
      </c>
      <c r="CQ743" s="55" t="s">
        <v>126</v>
      </c>
      <c r="CR743" s="57">
        <v>46233</v>
      </c>
      <c r="CT743" s="55" t="s">
        <v>1821</v>
      </c>
    </row>
    <row r="744" spans="1:98" s="55" customFormat="1" x14ac:dyDescent="0.35">
      <c r="A744" s="54" t="s">
        <v>1459</v>
      </c>
      <c r="B744" s="54" t="s">
        <v>1817</v>
      </c>
      <c r="C744" s="55" t="s">
        <v>1460</v>
      </c>
      <c r="D744" s="55">
        <v>2022</v>
      </c>
      <c r="E744" s="60" t="s">
        <v>1461</v>
      </c>
      <c r="F744" s="54" t="s">
        <v>998</v>
      </c>
      <c r="G744" s="55" t="s">
        <v>78</v>
      </c>
      <c r="H744" s="55">
        <v>1</v>
      </c>
      <c r="I744" s="55" t="s">
        <v>290</v>
      </c>
      <c r="J744" s="55" t="s">
        <v>79</v>
      </c>
      <c r="K744" s="55">
        <v>81</v>
      </c>
      <c r="L744" s="55" t="s">
        <v>104</v>
      </c>
      <c r="M744" s="55" t="s">
        <v>380</v>
      </c>
      <c r="N744" s="55">
        <v>-3.7000000000000002E-3</v>
      </c>
      <c r="O744" s="55">
        <v>1.4E-3</v>
      </c>
      <c r="P744" s="88">
        <f t="shared" si="304"/>
        <v>-2.6428571428571428</v>
      </c>
      <c r="Q744" s="55" t="s">
        <v>312</v>
      </c>
      <c r="R744" s="88">
        <f t="shared" si="305"/>
        <v>-6.4440000000000001E-3</v>
      </c>
      <c r="S744" s="88">
        <f t="shared" si="306"/>
        <v>-9.5600000000000025E-4</v>
      </c>
      <c r="T744" s="55">
        <v>1</v>
      </c>
      <c r="U744" s="55">
        <v>66374</v>
      </c>
      <c r="V744" s="55" t="s">
        <v>312</v>
      </c>
      <c r="W744" s="55" t="s">
        <v>312</v>
      </c>
      <c r="X744" s="55">
        <f t="shared" si="312"/>
        <v>66374</v>
      </c>
      <c r="Y744" s="88">
        <f t="shared" si="309"/>
        <v>-1.025774369029475E-2</v>
      </c>
      <c r="Z744" s="88">
        <f t="shared" si="310"/>
        <v>3.8813084233547705E-3</v>
      </c>
      <c r="AA744" s="88">
        <f t="shared" si="311"/>
        <v>1.025774369029475E-2</v>
      </c>
      <c r="AB744" s="55" t="s">
        <v>81</v>
      </c>
      <c r="AC744" s="88">
        <f t="shared" si="301"/>
        <v>-3.7540200000000003E-2</v>
      </c>
      <c r="AD744" s="88" cm="1">
        <f t="array" ref="AD744">_xlfn.IFS(
AND(L744="marginal_effect",M744="level"),N744*AN744/BF744,
AND(L744="marginal_effect",M744="sd (Y)"),N744*BI744*AN744/BF744,
AND(L744="marginal_effect",M744="sd (X)"),N744/AQ744*AN744/BF744,
AND(L744="semi_elasticity",M744="level"),N744*AN744,
AND(L744="semi_elasticity",M744="sd (Y)"),N744*AN744*BI744,
AND(L744="semi_elasticity",M744="sd (X)"),N744*AN744/AQ744,
AND(L744="level-log",M744="level"),N744/BF744,
AND(L744="level-log",M744="sd (X)"),N744/BF744/AQ744,
AND(L744="level-log",M744="sd (Y)"),N744/BF744*BI744,
AND(L744="elasticity",M744="level"),N744,
AND(L744="elasticity",M744="sd (X)"),N744/AQ744,
AND(L744="elasticity",M744="sd (Y)"),N744*BI744,
AND(L744="marginal_effect",M744="percent_of_mean"),N744*AN744/BF744/10)</f>
        <v>-3.7540200000000003E-2</v>
      </c>
      <c r="AE744" s="56">
        <f t="shared" si="313"/>
        <v>1</v>
      </c>
      <c r="AF744" s="88">
        <f t="shared" si="302"/>
        <v>1.4204400000000001E-2</v>
      </c>
      <c r="AG744" s="88" cm="1">
        <f t="array" ref="AG744">_xlfn.IFS(
AND(L744="marginal_effect",M744="level"),O744*AN744/BF744,
AND(L744="marginal_effect",M744="sd (Y)"),O744*BI744*AN744/BF744,
AND(L744="marginal_effect",M744="sd (X)"),O744/AQ744*AN744/BF744,
AND(L744="semi_elasticity",M744="level"),O744*AN744,
AND(L744="semi_elasticity",M744="sd (Y)"),O744*AN744*BI744,
AND(L744="semi_elasticity",M744="sd (X)"),O744*AN744/AQ744,
AND(L744="level-log",M744="level"),O744/BF744,
AND(L744="level-log",M744="sd (X)"),O744/BF744/AQ744,
AND(L744="level-log",M744="sd (Y)"),O744/BF744*BI744,
AND(L744="elasticity",M744="level"),O744,
AND(L744="elasticity",M744="sd (X)"),O744/AQ744,
AND(L744="elasticity",M744="sd (Y)"),O744*BI744,
AND(L744="marginal_effect",M744="percent_of_mean"),O744*AN744/BF744/10)</f>
        <v>1.4204400000000001E-2</v>
      </c>
      <c r="AH744" s="56">
        <f t="shared" si="307"/>
        <v>1</v>
      </c>
      <c r="AI744" s="88">
        <f t="shared" si="314"/>
        <v>-3.7540200000000003E-2</v>
      </c>
      <c r="AJ744" s="55">
        <v>0</v>
      </c>
      <c r="AK744" s="55">
        <f t="shared" ref="AK744:AK775" si="315">IF(P744=(AC744/AF744),1,0)</f>
        <v>1</v>
      </c>
      <c r="AL744" s="55" t="s">
        <v>148</v>
      </c>
      <c r="AM744" s="55" t="s">
        <v>1466</v>
      </c>
      <c r="AN744" s="55">
        <v>10.146000000000001</v>
      </c>
      <c r="AO744" s="55">
        <v>0</v>
      </c>
      <c r="AP744" s="55">
        <f>AN744*10</f>
        <v>101.46000000000001</v>
      </c>
      <c r="AQ744" s="55">
        <v>48.17</v>
      </c>
      <c r="AR744" s="55">
        <v>18</v>
      </c>
      <c r="AS744" s="55">
        <v>300</v>
      </c>
      <c r="AT744" s="55" t="s">
        <v>83</v>
      </c>
      <c r="AU744" s="55" t="s">
        <v>109</v>
      </c>
      <c r="AV744" s="55" t="s">
        <v>133</v>
      </c>
      <c r="AW744" s="55" t="s">
        <v>109</v>
      </c>
      <c r="AX744" s="55" t="s">
        <v>86</v>
      </c>
      <c r="AY744" s="55">
        <v>0</v>
      </c>
      <c r="AZ744" s="55">
        <v>0</v>
      </c>
      <c r="BA744" s="55" t="s">
        <v>87</v>
      </c>
      <c r="BB744" s="55" t="s">
        <v>88</v>
      </c>
      <c r="BC744" s="55" t="s">
        <v>89</v>
      </c>
      <c r="BD744" s="55" t="s">
        <v>90</v>
      </c>
      <c r="BE744" s="55" t="s">
        <v>1458</v>
      </c>
      <c r="BF744" s="55">
        <v>101.57</v>
      </c>
      <c r="BG744" s="55">
        <v>0</v>
      </c>
      <c r="BH744" s="55">
        <v>65.849999999999994</v>
      </c>
      <c r="BI744" s="55">
        <v>5</v>
      </c>
      <c r="BJ744" s="55">
        <v>430</v>
      </c>
      <c r="BK744" s="55" t="s">
        <v>91</v>
      </c>
      <c r="BL744" s="55" t="s">
        <v>84</v>
      </c>
      <c r="BM744" s="55">
        <v>1</v>
      </c>
      <c r="BN744" s="55" t="s">
        <v>428</v>
      </c>
      <c r="BO744" s="60" t="s">
        <v>1463</v>
      </c>
      <c r="BP744" s="55" t="s">
        <v>1464</v>
      </c>
      <c r="BQ744" s="55" t="s">
        <v>117</v>
      </c>
      <c r="BR744" s="55" t="s">
        <v>134</v>
      </c>
      <c r="BS744" s="55">
        <v>29.22</v>
      </c>
      <c r="BT744" s="55">
        <v>0.01</v>
      </c>
      <c r="BU744" s="57">
        <v>42552</v>
      </c>
      <c r="BV744" s="57">
        <v>42643</v>
      </c>
      <c r="BW744" s="55" t="s">
        <v>94</v>
      </c>
      <c r="BX744" s="55" t="s">
        <v>95</v>
      </c>
      <c r="BY744" s="55" t="s">
        <v>96</v>
      </c>
      <c r="BZ744" s="55">
        <v>0</v>
      </c>
      <c r="CA744" s="55">
        <v>0</v>
      </c>
      <c r="CB744" s="55" t="s">
        <v>97</v>
      </c>
      <c r="CC744" s="55" t="s">
        <v>314</v>
      </c>
      <c r="CD744" s="55">
        <v>1</v>
      </c>
      <c r="CE744" s="55" t="s">
        <v>1462</v>
      </c>
      <c r="CF744" s="55">
        <v>1</v>
      </c>
      <c r="CG744" s="55" t="s">
        <v>162</v>
      </c>
      <c r="CH744" s="55">
        <v>1</v>
      </c>
      <c r="CI744" s="55" t="s">
        <v>1465</v>
      </c>
      <c r="CJ744" s="55" t="s">
        <v>98</v>
      </c>
      <c r="CK744" s="55">
        <v>179</v>
      </c>
      <c r="CL744" s="55">
        <v>0</v>
      </c>
      <c r="CM744" s="55">
        <v>0</v>
      </c>
      <c r="CN744" s="55" t="s">
        <v>124</v>
      </c>
      <c r="CO744" s="55" t="s">
        <v>97</v>
      </c>
      <c r="CP744" s="55" t="s">
        <v>100</v>
      </c>
      <c r="CQ744" s="55" t="s">
        <v>126</v>
      </c>
      <c r="CR744" s="57">
        <v>46233</v>
      </c>
      <c r="CT744" s="55" t="s">
        <v>1822</v>
      </c>
    </row>
    <row r="745" spans="1:98" s="55" customFormat="1" x14ac:dyDescent="0.35">
      <c r="A745" s="54" t="s">
        <v>1459</v>
      </c>
      <c r="B745" s="54" t="s">
        <v>1816</v>
      </c>
      <c r="C745" s="55" t="s">
        <v>1460</v>
      </c>
      <c r="D745" s="55">
        <v>2022</v>
      </c>
      <c r="E745" s="60" t="s">
        <v>1461</v>
      </c>
      <c r="F745" s="54" t="s">
        <v>998</v>
      </c>
      <c r="G745" s="55" t="s">
        <v>78</v>
      </c>
      <c r="H745" s="55">
        <v>1</v>
      </c>
      <c r="I745" s="55" t="s">
        <v>290</v>
      </c>
      <c r="J745" s="55" t="s">
        <v>79</v>
      </c>
      <c r="K745" s="55">
        <v>81</v>
      </c>
      <c r="L745" s="55" t="s">
        <v>104</v>
      </c>
      <c r="M745" s="55" t="s">
        <v>380</v>
      </c>
      <c r="N745" s="55">
        <v>1.3100000000000001E-2</v>
      </c>
      <c r="O745" s="55">
        <v>4.1099999999999998E-2</v>
      </c>
      <c r="P745" s="88">
        <f t="shared" si="304"/>
        <v>0.31873479318734799</v>
      </c>
      <c r="Q745" s="55" t="s">
        <v>312</v>
      </c>
      <c r="R745" s="88">
        <f t="shared" si="305"/>
        <v>-6.7455999999999988E-2</v>
      </c>
      <c r="S745" s="88">
        <f t="shared" si="306"/>
        <v>9.3655999999999989E-2</v>
      </c>
      <c r="T745" s="55">
        <v>1</v>
      </c>
      <c r="U745" s="55">
        <v>66374</v>
      </c>
      <c r="V745" s="55" t="s">
        <v>312</v>
      </c>
      <c r="W745" s="55" t="s">
        <v>312</v>
      </c>
      <c r="X745" s="55">
        <f t="shared" si="312"/>
        <v>66374</v>
      </c>
      <c r="Y745" s="88">
        <f t="shared" si="309"/>
        <v>1.2371721810065814E-3</v>
      </c>
      <c r="Z745" s="88">
        <f t="shared" si="310"/>
        <v>3.8815096671275186E-3</v>
      </c>
      <c r="AA745" s="88">
        <f t="shared" si="311"/>
        <v>-1.2371721810065814E-3</v>
      </c>
      <c r="AB745" s="55" t="s">
        <v>81</v>
      </c>
      <c r="AC745" s="88">
        <f t="shared" si="301"/>
        <v>1.0611000000000001E-2</v>
      </c>
      <c r="AD745" s="88" cm="1">
        <f t="array" ref="AD745">_xlfn.IFS(
AND(L745="marginal_effect",M745="level"),N745*AN745/BF745,
AND(L745="marginal_effect",M745="sd (Y)"),N745*BI745*AN745/BF745,
AND(L745="marginal_effect",M745="sd (X)"),N745/AQ745*AN745/BF745,
AND(L745="semi_elasticity",M745="level"),N745*AN745,
AND(L745="semi_elasticity",M745="sd (Y)"),N745*AN745*BI745,
AND(L745="semi_elasticity",M745="sd (X)"),N745*AN745/AQ745,
AND(L745="level-log",M745="level"),N745/BF745,
AND(L745="level-log",M745="sd (X)"),N745/BF745/AQ745,
AND(L745="level-log",M745="sd (Y)"),N745/BF745*BI745,
AND(L745="elasticity",M745="level"),N745,
AND(L745="elasticity",M745="sd (X)"),N745/AQ745,
AND(L745="elasticity",M745="sd (Y)"),N745*BI745,
AND(L745="marginal_effect",M745="percent_of_mean"),N745*AN745/BF745/10)</f>
        <v>1.0611000000000001E-2</v>
      </c>
      <c r="AE745" s="56">
        <f t="shared" si="313"/>
        <v>1</v>
      </c>
      <c r="AF745" s="88">
        <f t="shared" si="302"/>
        <v>3.3291000000000001E-2</v>
      </c>
      <c r="AG745" s="88" cm="1">
        <f t="array" ref="AG745">_xlfn.IFS(
AND(L745="marginal_effect",M745="level"),O745*AN745/BF745,
AND(L745="marginal_effect",M745="sd (Y)"),O745*BI745*AN745/BF745,
AND(L745="marginal_effect",M745="sd (X)"),O745/AQ745*AN745/BF745,
AND(L745="semi_elasticity",M745="level"),O745*AN745,
AND(L745="semi_elasticity",M745="sd (Y)"),O745*AN745*BI745,
AND(L745="semi_elasticity",M745="sd (X)"),O745*AN745/AQ745,
AND(L745="level-log",M745="level"),O745/BF745,
AND(L745="level-log",M745="sd (X)"),O745/BF745/AQ745,
AND(L745="level-log",M745="sd (Y)"),O745/BF745*BI745,
AND(L745="elasticity",M745="level"),O745,
AND(L745="elasticity",M745="sd (X)"),O745/AQ745,
AND(L745="elasticity",M745="sd (Y)"),O745*BI745,
AND(L745="marginal_effect",M745="percent_of_mean"),O745*AN745/BF745/10)</f>
        <v>3.3291000000000001E-2</v>
      </c>
      <c r="AH745" s="56">
        <f t="shared" si="307"/>
        <v>1</v>
      </c>
      <c r="AI745" s="88">
        <f t="shared" si="314"/>
        <v>1.0611000000000001E-2</v>
      </c>
      <c r="AJ745" s="55">
        <v>0</v>
      </c>
      <c r="AK745" s="55">
        <f t="shared" si="315"/>
        <v>1</v>
      </c>
      <c r="AL745" s="55" t="s">
        <v>162</v>
      </c>
      <c r="AM745" s="55" t="s">
        <v>999</v>
      </c>
      <c r="AN745" s="55">
        <v>0.81</v>
      </c>
      <c r="AO745" s="55">
        <v>0</v>
      </c>
      <c r="AP745" s="55">
        <f>AN745</f>
        <v>0.81</v>
      </c>
      <c r="AQ745" s="55">
        <v>0.19</v>
      </c>
      <c r="AR745" s="55">
        <v>0.4</v>
      </c>
      <c r="AS745" s="55">
        <v>1.7</v>
      </c>
      <c r="AT745" s="55" t="s">
        <v>83</v>
      </c>
      <c r="AU745" s="55" t="s">
        <v>109</v>
      </c>
      <c r="AV745" s="55" t="s">
        <v>133</v>
      </c>
      <c r="AW745" s="55" t="s">
        <v>109</v>
      </c>
      <c r="AX745" s="55" t="s">
        <v>86</v>
      </c>
      <c r="AY745" s="55">
        <v>0</v>
      </c>
      <c r="AZ745" s="55">
        <v>0</v>
      </c>
      <c r="BA745" s="55" t="s">
        <v>87</v>
      </c>
      <c r="BB745" s="55" t="s">
        <v>88</v>
      </c>
      <c r="BC745" s="55" t="s">
        <v>89</v>
      </c>
      <c r="BD745" s="55" t="s">
        <v>90</v>
      </c>
      <c r="BE745" s="55" t="s">
        <v>1458</v>
      </c>
      <c r="BF745" s="55">
        <v>101.57</v>
      </c>
      <c r="BG745" s="55">
        <v>0</v>
      </c>
      <c r="BH745" s="55">
        <v>65.849999999999994</v>
      </c>
      <c r="BI745" s="55">
        <v>5</v>
      </c>
      <c r="BJ745" s="55">
        <v>430</v>
      </c>
      <c r="BK745" s="55" t="s">
        <v>91</v>
      </c>
      <c r="BL745" s="55" t="s">
        <v>84</v>
      </c>
      <c r="BM745" s="55">
        <v>1</v>
      </c>
      <c r="BN745" s="55" t="s">
        <v>428</v>
      </c>
      <c r="BO745" s="60" t="s">
        <v>1463</v>
      </c>
      <c r="BP745" s="55" t="s">
        <v>1464</v>
      </c>
      <c r="BQ745" s="55" t="s">
        <v>117</v>
      </c>
      <c r="BR745" s="55" t="s">
        <v>134</v>
      </c>
      <c r="BS745" s="55">
        <v>29.22</v>
      </c>
      <c r="BT745" s="55">
        <v>0.01</v>
      </c>
      <c r="BU745" s="57">
        <v>42552</v>
      </c>
      <c r="BV745" s="57">
        <v>42643</v>
      </c>
      <c r="BW745" s="55" t="s">
        <v>94</v>
      </c>
      <c r="BX745" s="55" t="s">
        <v>95</v>
      </c>
      <c r="BY745" s="55" t="s">
        <v>96</v>
      </c>
      <c r="BZ745" s="55">
        <v>0</v>
      </c>
      <c r="CA745" s="55">
        <v>0</v>
      </c>
      <c r="CB745" s="55" t="s">
        <v>97</v>
      </c>
      <c r="CC745" s="55" t="s">
        <v>314</v>
      </c>
      <c r="CD745" s="55">
        <v>1</v>
      </c>
      <c r="CE745" s="55" t="s">
        <v>1462</v>
      </c>
      <c r="CF745" s="55">
        <v>1</v>
      </c>
      <c r="CG745" s="55" t="s">
        <v>591</v>
      </c>
      <c r="CH745" s="55">
        <v>1</v>
      </c>
      <c r="CI745" s="55" t="s">
        <v>1465</v>
      </c>
      <c r="CJ745" s="55" t="s">
        <v>98</v>
      </c>
      <c r="CK745" s="55">
        <v>179</v>
      </c>
      <c r="CL745" s="55">
        <v>0</v>
      </c>
      <c r="CM745" s="55">
        <v>0</v>
      </c>
      <c r="CN745" s="55" t="s">
        <v>124</v>
      </c>
      <c r="CO745" s="55" t="s">
        <v>97</v>
      </c>
      <c r="CP745" s="55" t="s">
        <v>100</v>
      </c>
      <c r="CQ745" s="55" t="s">
        <v>126</v>
      </c>
      <c r="CR745" s="57">
        <v>46233</v>
      </c>
      <c r="CT745" s="55" t="s">
        <v>1822</v>
      </c>
    </row>
    <row r="746" spans="1:98" s="55" customFormat="1" x14ac:dyDescent="0.35">
      <c r="A746" s="54" t="s">
        <v>1459</v>
      </c>
      <c r="B746" s="54" t="s">
        <v>1804</v>
      </c>
      <c r="C746" s="55" t="s">
        <v>1460</v>
      </c>
      <c r="D746" s="55">
        <v>2022</v>
      </c>
      <c r="E746" s="60" t="s">
        <v>1461</v>
      </c>
      <c r="F746" s="54" t="s">
        <v>998</v>
      </c>
      <c r="G746" s="55" t="s">
        <v>78</v>
      </c>
      <c r="H746" s="55">
        <v>1</v>
      </c>
      <c r="I746" s="55" t="s">
        <v>290</v>
      </c>
      <c r="J746" s="55" t="s">
        <v>79</v>
      </c>
      <c r="K746" s="55">
        <v>81</v>
      </c>
      <c r="L746" s="55" t="s">
        <v>104</v>
      </c>
      <c r="M746" s="55" t="s">
        <v>380</v>
      </c>
      <c r="N746" s="55">
        <v>-3.5000000000000001E-3</v>
      </c>
      <c r="O746" s="55">
        <v>1.8E-3</v>
      </c>
      <c r="P746" s="88">
        <f t="shared" si="304"/>
        <v>-1.9444444444444446</v>
      </c>
      <c r="Q746" s="55" t="s">
        <v>312</v>
      </c>
      <c r="R746" s="88">
        <f t="shared" si="305"/>
        <v>-7.0279999999999995E-3</v>
      </c>
      <c r="S746" s="88">
        <f t="shared" si="306"/>
        <v>2.7999999999999813E-5</v>
      </c>
      <c r="T746" s="55">
        <v>1</v>
      </c>
      <c r="U746" s="55">
        <v>66374</v>
      </c>
      <c r="V746" s="55" t="s">
        <v>312</v>
      </c>
      <c r="W746" s="55" t="s">
        <v>312</v>
      </c>
      <c r="X746" s="55">
        <f t="shared" si="312"/>
        <v>66374</v>
      </c>
      <c r="Y746" s="88">
        <f t="shared" si="309"/>
        <v>-7.5471707325032236E-3</v>
      </c>
      <c r="Z746" s="88">
        <f t="shared" si="310"/>
        <v>3.8814020910016571E-3</v>
      </c>
      <c r="AA746" s="88">
        <f t="shared" si="311"/>
        <v>7.5471707325032236E-3</v>
      </c>
      <c r="AB746" s="55" t="s">
        <v>81</v>
      </c>
      <c r="AC746" s="88">
        <f t="shared" si="301"/>
        <v>-3.5511000000000001E-2</v>
      </c>
      <c r="AD746" s="88" cm="1">
        <f t="array" ref="AD746">_xlfn.IFS(
AND(L746="marginal_effect",M746="level"),N746*AN746/BF746,
AND(L746="marginal_effect",M746="sd (Y)"),N746*BI746*AN746/BF746,
AND(L746="marginal_effect",M746="sd (X)"),N746/AQ746*AN746/BF746,
AND(L746="semi_elasticity",M746="level"),N746*AN746,
AND(L746="semi_elasticity",M746="sd (Y)"),N746*AN746*BI746,
AND(L746="semi_elasticity",M746="sd (X)"),N746*AN746/AQ746,
AND(L746="level-log",M746="level"),N746/BF746,
AND(L746="level-log",M746="sd (X)"),N746/BF746/AQ746,
AND(L746="level-log",M746="sd (Y)"),N746/BF746*BI746,
AND(L746="elasticity",M746="level"),N746,
AND(L746="elasticity",M746="sd (X)"),N746/AQ746,
AND(L746="elasticity",M746="sd (Y)"),N746*BI746,
AND(L746="marginal_effect",M746="percent_of_mean"),N746*AN746/BF746/10)</f>
        <v>-3.5511000000000001E-2</v>
      </c>
      <c r="AE746" s="56">
        <f t="shared" si="313"/>
        <v>1</v>
      </c>
      <c r="AF746" s="88">
        <f t="shared" si="302"/>
        <v>1.8262800000000003E-2</v>
      </c>
      <c r="AG746" s="88" cm="1">
        <f t="array" ref="AG746">_xlfn.IFS(
AND(L746="marginal_effect",M746="level"),O746*AN746/BF746,
AND(L746="marginal_effect",M746="sd (Y)"),O746*BI746*AN746/BF746,
AND(L746="marginal_effect",M746="sd (X)"),O746/AQ746*AN746/BF746,
AND(L746="semi_elasticity",M746="level"),O746*AN746,
AND(L746="semi_elasticity",M746="sd (Y)"),O746*AN746*BI746,
AND(L746="semi_elasticity",M746="sd (X)"),O746*AN746/AQ746,
AND(L746="level-log",M746="level"),O746/BF746,
AND(L746="level-log",M746="sd (X)"),O746/BF746/AQ746,
AND(L746="level-log",M746="sd (Y)"),O746/BF746*BI746,
AND(L746="elasticity",M746="level"),O746,
AND(L746="elasticity",M746="sd (X)"),O746/AQ746,
AND(L746="elasticity",M746="sd (Y)"),O746*BI746,
AND(L746="marginal_effect",M746="percent_of_mean"),O746*AN746/BF746/10)</f>
        <v>1.8262800000000003E-2</v>
      </c>
      <c r="AH746" s="56">
        <f t="shared" si="307"/>
        <v>1</v>
      </c>
      <c r="AI746" s="88">
        <f t="shared" si="314"/>
        <v>-3.5511000000000001E-2</v>
      </c>
      <c r="AJ746" s="55">
        <v>0</v>
      </c>
      <c r="AK746" s="55">
        <f t="shared" si="315"/>
        <v>1</v>
      </c>
      <c r="AL746" s="55" t="s">
        <v>148</v>
      </c>
      <c r="AM746" s="55" t="s">
        <v>1466</v>
      </c>
      <c r="AN746" s="55">
        <v>10.146000000000001</v>
      </c>
      <c r="AO746" s="55">
        <v>0</v>
      </c>
      <c r="AP746" s="55">
        <f t="shared" ref="AP746:AP753" si="316">AN746*10</f>
        <v>101.46000000000001</v>
      </c>
      <c r="AQ746" s="55">
        <v>48.17</v>
      </c>
      <c r="AR746" s="55">
        <v>18</v>
      </c>
      <c r="AS746" s="55">
        <v>300</v>
      </c>
      <c r="AT746" s="55" t="s">
        <v>83</v>
      </c>
      <c r="AU746" s="55" t="s">
        <v>109</v>
      </c>
      <c r="AV746" s="55" t="s">
        <v>133</v>
      </c>
      <c r="AW746" s="55" t="s">
        <v>109</v>
      </c>
      <c r="AX746" s="55" t="s">
        <v>86</v>
      </c>
      <c r="AY746" s="55">
        <v>0</v>
      </c>
      <c r="AZ746" s="55">
        <v>0</v>
      </c>
      <c r="BA746" s="55" t="s">
        <v>87</v>
      </c>
      <c r="BB746" s="55" t="s">
        <v>88</v>
      </c>
      <c r="BC746" s="55" t="s">
        <v>89</v>
      </c>
      <c r="BD746" s="55" t="s">
        <v>90</v>
      </c>
      <c r="BE746" s="55" t="s">
        <v>1458</v>
      </c>
      <c r="BF746" s="55">
        <v>101.57</v>
      </c>
      <c r="BG746" s="55">
        <v>0</v>
      </c>
      <c r="BH746" s="55">
        <v>65.849999999999994</v>
      </c>
      <c r="BI746" s="55">
        <v>5</v>
      </c>
      <c r="BJ746" s="55">
        <v>430</v>
      </c>
      <c r="BK746" s="55" t="s">
        <v>91</v>
      </c>
      <c r="BL746" s="55" t="s">
        <v>84</v>
      </c>
      <c r="BM746" s="55">
        <v>1</v>
      </c>
      <c r="BN746" s="55" t="s">
        <v>428</v>
      </c>
      <c r="BO746" s="60" t="s">
        <v>1463</v>
      </c>
      <c r="BP746" s="55" t="s">
        <v>1464</v>
      </c>
      <c r="BQ746" s="55" t="s">
        <v>117</v>
      </c>
      <c r="BR746" s="55" t="s">
        <v>134</v>
      </c>
      <c r="BS746" s="55">
        <v>29.22</v>
      </c>
      <c r="BT746" s="55">
        <v>0.01</v>
      </c>
      <c r="BU746" s="57">
        <v>42552</v>
      </c>
      <c r="BV746" s="57">
        <v>42643</v>
      </c>
      <c r="BW746" s="55" t="s">
        <v>94</v>
      </c>
      <c r="BX746" s="55" t="s">
        <v>95</v>
      </c>
      <c r="BY746" s="55" t="s">
        <v>96</v>
      </c>
      <c r="BZ746" s="55">
        <v>0</v>
      </c>
      <c r="CA746" s="55">
        <v>0</v>
      </c>
      <c r="CB746" s="55" t="s">
        <v>97</v>
      </c>
      <c r="CC746" s="55" t="s">
        <v>314</v>
      </c>
      <c r="CD746" s="55">
        <v>1</v>
      </c>
      <c r="CE746" s="55" t="s">
        <v>1462</v>
      </c>
      <c r="CF746" s="55">
        <v>1</v>
      </c>
      <c r="CG746" s="55" t="s">
        <v>1688</v>
      </c>
      <c r="CH746" s="55">
        <v>1</v>
      </c>
      <c r="CI746" s="55" t="s">
        <v>1465</v>
      </c>
      <c r="CJ746" s="55" t="s">
        <v>98</v>
      </c>
      <c r="CK746" s="55">
        <v>179</v>
      </c>
      <c r="CL746" s="55">
        <v>0</v>
      </c>
      <c r="CM746" s="55">
        <v>0</v>
      </c>
      <c r="CN746" s="55" t="s">
        <v>124</v>
      </c>
      <c r="CO746" s="55" t="s">
        <v>97</v>
      </c>
      <c r="CP746" s="55" t="s">
        <v>100</v>
      </c>
      <c r="CQ746" s="55" t="s">
        <v>126</v>
      </c>
      <c r="CR746" s="57">
        <v>46233</v>
      </c>
      <c r="CT746" s="55" t="s">
        <v>1823</v>
      </c>
    </row>
    <row r="747" spans="1:98" s="55" customFormat="1" x14ac:dyDescent="0.35">
      <c r="A747" s="54" t="s">
        <v>1459</v>
      </c>
      <c r="B747" s="54" t="s">
        <v>1805</v>
      </c>
      <c r="C747" s="55" t="s">
        <v>1460</v>
      </c>
      <c r="D747" s="55">
        <v>2022</v>
      </c>
      <c r="E747" s="60" t="s">
        <v>1461</v>
      </c>
      <c r="F747" s="54" t="s">
        <v>998</v>
      </c>
      <c r="G747" s="55" t="s">
        <v>78</v>
      </c>
      <c r="H747" s="55">
        <v>1</v>
      </c>
      <c r="I747" s="55" t="s">
        <v>290</v>
      </c>
      <c r="J747" s="55" t="s">
        <v>79</v>
      </c>
      <c r="K747" s="55">
        <v>81</v>
      </c>
      <c r="L747" s="55" t="s">
        <v>104</v>
      </c>
      <c r="M747" s="55" t="s">
        <v>380</v>
      </c>
      <c r="N747" s="55">
        <v>5.1000000000000004E-3</v>
      </c>
      <c r="O747" s="55">
        <v>7.6E-3</v>
      </c>
      <c r="P747" s="88">
        <f t="shared" si="304"/>
        <v>0.67105263157894746</v>
      </c>
      <c r="Q747" s="55" t="s">
        <v>312</v>
      </c>
      <c r="R747" s="88">
        <f t="shared" si="305"/>
        <v>-9.7959999999999992E-3</v>
      </c>
      <c r="S747" s="88">
        <f t="shared" si="306"/>
        <v>1.9996E-2</v>
      </c>
      <c r="T747" s="55">
        <v>1</v>
      </c>
      <c r="U747" s="55">
        <v>66374</v>
      </c>
      <c r="V747" s="55" t="s">
        <v>312</v>
      </c>
      <c r="W747" s="55" t="s">
        <v>312</v>
      </c>
      <c r="X747" s="55">
        <f t="shared" si="312"/>
        <v>66374</v>
      </c>
      <c r="Y747" s="88">
        <f t="shared" si="309"/>
        <v>2.6046904343038401E-3</v>
      </c>
      <c r="Z747" s="88">
        <f t="shared" si="310"/>
        <v>3.8814994707272905E-3</v>
      </c>
      <c r="AA747" s="88">
        <f t="shared" si="311"/>
        <v>-2.6046904343038401E-3</v>
      </c>
      <c r="AB747" s="55" t="s">
        <v>81</v>
      </c>
      <c r="AC747" s="88">
        <f t="shared" si="301"/>
        <v>1.3872000000000002E-2</v>
      </c>
      <c r="AD747" s="88" cm="1">
        <f t="array" ref="AD747">_xlfn.IFS(
AND(L747="marginal_effect",M747="level"),N747*AN747/BF747,
AND(L747="marginal_effect",M747="sd (Y)"),N747*BI747*AN747/BF747,
AND(L747="marginal_effect",M747="sd (X)"),N747/AQ747*AN747/BF747,
AND(L747="semi_elasticity",M747="level"),N747*AN747,
AND(L747="semi_elasticity",M747="sd (Y)"),N747*AN747*BI747,
AND(L747="semi_elasticity",M747="sd (X)"),N747*AN747/AQ747,
AND(L747="level-log",M747="level"),N747/BF747,
AND(L747="level-log",M747="sd (X)"),N747/BF747/AQ747,
AND(L747="level-log",M747="sd (Y)"),N747/BF747*BI747,
AND(L747="elasticity",M747="level"),N747,
AND(L747="elasticity",M747="sd (X)"),N747/AQ747,
AND(L747="elasticity",M747="sd (Y)"),N747*BI747,
AND(L747="marginal_effect",M747="percent_of_mean"),N747*AN747/BF747/10)</f>
        <v>1.3872000000000002E-2</v>
      </c>
      <c r="AE747" s="56">
        <f t="shared" si="313"/>
        <v>1</v>
      </c>
      <c r="AF747" s="88">
        <f t="shared" si="302"/>
        <v>2.0672000000000003E-2</v>
      </c>
      <c r="AG747" s="88" cm="1">
        <f t="array" ref="AG747">_xlfn.IFS(
AND(L747="marginal_effect",M747="level"),O747*AN747/BF747,
AND(L747="marginal_effect",M747="sd (Y)"),O747*BI747*AN747/BF747,
AND(L747="marginal_effect",M747="sd (X)"),O747/AQ747*AN747/BF747,
AND(L747="semi_elasticity",M747="level"),O747*AN747,
AND(L747="semi_elasticity",M747="sd (Y)"),O747*AN747*BI747,
AND(L747="semi_elasticity",M747="sd (X)"),O747*AN747/AQ747,
AND(L747="level-log",M747="level"),O747/BF747,
AND(L747="level-log",M747="sd (X)"),O747/BF747/AQ747,
AND(L747="level-log",M747="sd (Y)"),O747/BF747*BI747,
AND(L747="elasticity",M747="level"),O747,
AND(L747="elasticity",M747="sd (X)"),O747/AQ747,
AND(L747="elasticity",M747="sd (Y)"),O747*BI747,
AND(L747="marginal_effect",M747="percent_of_mean"),O747*AN747/BF747/10)</f>
        <v>2.0672000000000003E-2</v>
      </c>
      <c r="AH747" s="56">
        <f t="shared" si="307"/>
        <v>1</v>
      </c>
      <c r="AI747" s="88">
        <f t="shared" si="314"/>
        <v>1.3872000000000002E-2</v>
      </c>
      <c r="AJ747" s="55">
        <v>0</v>
      </c>
      <c r="AK747" s="55">
        <f t="shared" si="315"/>
        <v>1</v>
      </c>
      <c r="AL747" s="55" t="s">
        <v>82</v>
      </c>
      <c r="AM747" s="55" t="s">
        <v>1466</v>
      </c>
      <c r="AN747" s="55">
        <v>2.72</v>
      </c>
      <c r="AO747" s="55">
        <v>0</v>
      </c>
      <c r="AP747" s="55">
        <f t="shared" si="316"/>
        <v>27.200000000000003</v>
      </c>
      <c r="AQ747" s="55">
        <v>14.43</v>
      </c>
      <c r="AR747" s="55">
        <v>6</v>
      </c>
      <c r="AS747" s="55">
        <v>88</v>
      </c>
      <c r="AT747" s="55" t="s">
        <v>83</v>
      </c>
      <c r="AU747" s="55" t="s">
        <v>109</v>
      </c>
      <c r="AV747" s="55" t="s">
        <v>133</v>
      </c>
      <c r="AW747" s="55" t="s">
        <v>109</v>
      </c>
      <c r="AX747" s="55" t="s">
        <v>86</v>
      </c>
      <c r="AY747" s="55">
        <v>0</v>
      </c>
      <c r="AZ747" s="55">
        <v>0</v>
      </c>
      <c r="BA747" s="55" t="s">
        <v>87</v>
      </c>
      <c r="BB747" s="55" t="s">
        <v>88</v>
      </c>
      <c r="BC747" s="55" t="s">
        <v>89</v>
      </c>
      <c r="BD747" s="55" t="s">
        <v>90</v>
      </c>
      <c r="BE747" s="55" t="s">
        <v>1458</v>
      </c>
      <c r="BF747" s="55">
        <v>101.57</v>
      </c>
      <c r="BG747" s="55">
        <v>0</v>
      </c>
      <c r="BH747" s="55">
        <v>65.849999999999994</v>
      </c>
      <c r="BI747" s="55">
        <v>5</v>
      </c>
      <c r="BJ747" s="55">
        <v>430</v>
      </c>
      <c r="BK747" s="55" t="s">
        <v>91</v>
      </c>
      <c r="BL747" s="55" t="s">
        <v>84</v>
      </c>
      <c r="BM747" s="55">
        <v>1</v>
      </c>
      <c r="BN747" s="55" t="s">
        <v>428</v>
      </c>
      <c r="BO747" s="60" t="s">
        <v>1463</v>
      </c>
      <c r="BP747" s="55" t="s">
        <v>1464</v>
      </c>
      <c r="BQ747" s="55" t="s">
        <v>117</v>
      </c>
      <c r="BR747" s="55" t="s">
        <v>134</v>
      </c>
      <c r="BS747" s="55">
        <v>29.22</v>
      </c>
      <c r="BT747" s="55">
        <v>0.01</v>
      </c>
      <c r="BU747" s="57">
        <v>42552</v>
      </c>
      <c r="BV747" s="57">
        <v>42643</v>
      </c>
      <c r="BW747" s="55" t="s">
        <v>94</v>
      </c>
      <c r="BX747" s="55" t="s">
        <v>95</v>
      </c>
      <c r="BY747" s="55" t="s">
        <v>96</v>
      </c>
      <c r="BZ747" s="55">
        <v>0</v>
      </c>
      <c r="CA747" s="55">
        <v>0</v>
      </c>
      <c r="CB747" s="55" t="s">
        <v>97</v>
      </c>
      <c r="CC747" s="55" t="s">
        <v>314</v>
      </c>
      <c r="CD747" s="55">
        <v>1</v>
      </c>
      <c r="CE747" s="55" t="s">
        <v>1462</v>
      </c>
      <c r="CF747" s="55">
        <v>1</v>
      </c>
      <c r="CG747" s="55" t="s">
        <v>1818</v>
      </c>
      <c r="CH747" s="55">
        <v>1</v>
      </c>
      <c r="CI747" s="55" t="s">
        <v>1465</v>
      </c>
      <c r="CJ747" s="55" t="s">
        <v>98</v>
      </c>
      <c r="CK747" s="55">
        <v>179</v>
      </c>
      <c r="CL747" s="55">
        <v>0</v>
      </c>
      <c r="CM747" s="55">
        <v>0</v>
      </c>
      <c r="CN747" s="55" t="s">
        <v>124</v>
      </c>
      <c r="CO747" s="55" t="s">
        <v>97</v>
      </c>
      <c r="CP747" s="55" t="s">
        <v>100</v>
      </c>
      <c r="CQ747" s="55" t="s">
        <v>126</v>
      </c>
      <c r="CR747" s="57">
        <v>46233</v>
      </c>
      <c r="CT747" s="55" t="s">
        <v>1823</v>
      </c>
    </row>
    <row r="748" spans="1:98" s="55" customFormat="1" x14ac:dyDescent="0.35">
      <c r="A748" s="54" t="s">
        <v>1459</v>
      </c>
      <c r="B748" s="54" t="s">
        <v>1806</v>
      </c>
      <c r="C748" s="55" t="s">
        <v>1460</v>
      </c>
      <c r="D748" s="55">
        <v>2022</v>
      </c>
      <c r="E748" s="60" t="s">
        <v>1461</v>
      </c>
      <c r="F748" s="54" t="s">
        <v>998</v>
      </c>
      <c r="G748" s="55" t="s">
        <v>78</v>
      </c>
      <c r="H748" s="55">
        <v>1</v>
      </c>
      <c r="I748" s="55" t="s">
        <v>290</v>
      </c>
      <c r="J748" s="55" t="s">
        <v>79</v>
      </c>
      <c r="K748" s="55">
        <v>81</v>
      </c>
      <c r="L748" s="55" t="s">
        <v>104</v>
      </c>
      <c r="M748" s="55" t="s">
        <v>380</v>
      </c>
      <c r="N748" s="55">
        <v>-1.01E-2</v>
      </c>
      <c r="O748" s="55">
        <v>1.06E-2</v>
      </c>
      <c r="P748" s="88">
        <f t="shared" si="304"/>
        <v>-0.95283018867924529</v>
      </c>
      <c r="Q748" s="55" t="s">
        <v>312</v>
      </c>
      <c r="R748" s="88">
        <f t="shared" si="305"/>
        <v>-3.0876000000000001E-2</v>
      </c>
      <c r="S748" s="88">
        <f t="shared" si="306"/>
        <v>1.0676E-2</v>
      </c>
      <c r="T748" s="55">
        <v>1</v>
      </c>
      <c r="U748" s="55">
        <v>66374</v>
      </c>
      <c r="V748" s="55" t="s">
        <v>312</v>
      </c>
      <c r="W748" s="55" t="s">
        <v>312</v>
      </c>
      <c r="X748" s="55">
        <f t="shared" si="312"/>
        <v>66374</v>
      </c>
      <c r="Y748" s="88">
        <f t="shared" si="309"/>
        <v>-3.6983971250252523E-3</v>
      </c>
      <c r="Z748" s="88">
        <f t="shared" si="310"/>
        <v>3.8814860916106613E-3</v>
      </c>
      <c r="AA748" s="88">
        <f t="shared" si="311"/>
        <v>3.6983971250252523E-3</v>
      </c>
      <c r="AB748" s="55" t="s">
        <v>81</v>
      </c>
      <c r="AC748" s="88">
        <f t="shared" si="301"/>
        <v>-2.32401E-2</v>
      </c>
      <c r="AD748" s="88" cm="1">
        <f t="array" ref="AD748">_xlfn.IFS(
AND(L748="marginal_effect",M748="level"),N748*AN748/BF748,
AND(L748="marginal_effect",M748="sd (Y)"),N748*BI748*AN748/BF748,
AND(L748="marginal_effect",M748="sd (X)"),N748/AQ748*AN748/BF748,
AND(L748="semi_elasticity",M748="level"),N748*AN748,
AND(L748="semi_elasticity",M748="sd (Y)"),N748*AN748*BI748,
AND(L748="semi_elasticity",M748="sd (X)"),N748*AN748/AQ748,
AND(L748="level-log",M748="level"),N748/BF748,
AND(L748="level-log",M748="sd (X)"),N748/BF748/AQ748,
AND(L748="level-log",M748="sd (Y)"),N748/BF748*BI748,
AND(L748="elasticity",M748="level"),N748,
AND(L748="elasticity",M748="sd (X)"),N748/AQ748,
AND(L748="elasticity",M748="sd (Y)"),N748*BI748,
AND(L748="marginal_effect",M748="percent_of_mean"),N748*AN748/BF748/10)</f>
        <v>-2.32401E-2</v>
      </c>
      <c r="AE748" s="56">
        <f t="shared" si="313"/>
        <v>1</v>
      </c>
      <c r="AF748" s="88">
        <f t="shared" si="302"/>
        <v>2.4390600000000002E-2</v>
      </c>
      <c r="AG748" s="88" cm="1">
        <f t="array" ref="AG748">_xlfn.IFS(
AND(L748="marginal_effect",M748="level"),O748*AN748/BF748,
AND(L748="marginal_effect",M748="sd (Y)"),O748*BI748*AN748/BF748,
AND(L748="marginal_effect",M748="sd (X)"),O748/AQ748*AN748/BF748,
AND(L748="semi_elasticity",M748="level"),O748*AN748,
AND(L748="semi_elasticity",M748="sd (Y)"),O748*AN748*BI748,
AND(L748="semi_elasticity",M748="sd (X)"),O748*AN748/AQ748,
AND(L748="level-log",M748="level"),O748/BF748,
AND(L748="level-log",M748="sd (X)"),O748/BF748/AQ748,
AND(L748="level-log",M748="sd (Y)"),O748/BF748*BI748,
AND(L748="elasticity",M748="level"),O748,
AND(L748="elasticity",M748="sd (X)"),O748/AQ748,
AND(L748="elasticity",M748="sd (Y)"),O748*BI748,
AND(L748="marginal_effect",M748="percent_of_mean"),O748*AN748/BF748/10)</f>
        <v>2.4390600000000002E-2</v>
      </c>
      <c r="AH748" s="56">
        <f t="shared" si="307"/>
        <v>1</v>
      </c>
      <c r="AI748" s="88">
        <f t="shared" si="314"/>
        <v>-2.32401E-2</v>
      </c>
      <c r="AJ748" s="55">
        <v>0</v>
      </c>
      <c r="AK748" s="55">
        <f t="shared" si="315"/>
        <v>1</v>
      </c>
      <c r="AL748" s="55" t="s">
        <v>131</v>
      </c>
      <c r="AM748" s="55" t="s">
        <v>1466</v>
      </c>
      <c r="AN748" s="55">
        <v>2.3010000000000002</v>
      </c>
      <c r="AO748" s="55">
        <v>0</v>
      </c>
      <c r="AP748" s="55">
        <f t="shared" si="316"/>
        <v>23.01</v>
      </c>
      <c r="AQ748" s="55">
        <v>10.75</v>
      </c>
      <c r="AR748" s="55">
        <v>4</v>
      </c>
      <c r="AS748" s="55">
        <v>67</v>
      </c>
      <c r="AT748" s="55" t="s">
        <v>83</v>
      </c>
      <c r="AU748" s="55" t="s">
        <v>109</v>
      </c>
      <c r="AV748" s="55" t="s">
        <v>133</v>
      </c>
      <c r="AW748" s="55" t="s">
        <v>109</v>
      </c>
      <c r="AX748" s="55" t="s">
        <v>86</v>
      </c>
      <c r="AY748" s="55">
        <v>0</v>
      </c>
      <c r="AZ748" s="55">
        <v>0</v>
      </c>
      <c r="BA748" s="55" t="s">
        <v>87</v>
      </c>
      <c r="BB748" s="55" t="s">
        <v>88</v>
      </c>
      <c r="BC748" s="55" t="s">
        <v>89</v>
      </c>
      <c r="BD748" s="55" t="s">
        <v>90</v>
      </c>
      <c r="BE748" s="55" t="s">
        <v>1458</v>
      </c>
      <c r="BF748" s="55">
        <v>101.57</v>
      </c>
      <c r="BG748" s="55">
        <v>0</v>
      </c>
      <c r="BH748" s="55">
        <v>65.849999999999994</v>
      </c>
      <c r="BI748" s="55">
        <v>5</v>
      </c>
      <c r="BJ748" s="55">
        <v>430</v>
      </c>
      <c r="BK748" s="55" t="s">
        <v>91</v>
      </c>
      <c r="BL748" s="55" t="s">
        <v>84</v>
      </c>
      <c r="BM748" s="55">
        <v>1</v>
      </c>
      <c r="BN748" s="55" t="s">
        <v>428</v>
      </c>
      <c r="BO748" s="60" t="s">
        <v>1463</v>
      </c>
      <c r="BP748" s="55" t="s">
        <v>1464</v>
      </c>
      <c r="BQ748" s="55" t="s">
        <v>117</v>
      </c>
      <c r="BR748" s="55" t="s">
        <v>134</v>
      </c>
      <c r="BS748" s="55">
        <v>29.22</v>
      </c>
      <c r="BT748" s="55">
        <v>0.01</v>
      </c>
      <c r="BU748" s="57">
        <v>42552</v>
      </c>
      <c r="BV748" s="57">
        <v>42643</v>
      </c>
      <c r="BW748" s="55" t="s">
        <v>94</v>
      </c>
      <c r="BX748" s="55" t="s">
        <v>95</v>
      </c>
      <c r="BY748" s="55" t="s">
        <v>96</v>
      </c>
      <c r="BZ748" s="55">
        <v>0</v>
      </c>
      <c r="CA748" s="55">
        <v>0</v>
      </c>
      <c r="CB748" s="55" t="s">
        <v>97</v>
      </c>
      <c r="CC748" s="55" t="s">
        <v>314</v>
      </c>
      <c r="CD748" s="55">
        <v>1</v>
      </c>
      <c r="CE748" s="55" t="s">
        <v>1462</v>
      </c>
      <c r="CF748" s="55">
        <v>1</v>
      </c>
      <c r="CG748" s="55" t="s">
        <v>1819</v>
      </c>
      <c r="CH748" s="55">
        <v>1</v>
      </c>
      <c r="CI748" s="55" t="s">
        <v>1465</v>
      </c>
      <c r="CJ748" s="55" t="s">
        <v>98</v>
      </c>
      <c r="CK748" s="55">
        <v>179</v>
      </c>
      <c r="CL748" s="55">
        <v>0</v>
      </c>
      <c r="CM748" s="55">
        <v>0</v>
      </c>
      <c r="CN748" s="55" t="s">
        <v>124</v>
      </c>
      <c r="CO748" s="55" t="s">
        <v>97</v>
      </c>
      <c r="CP748" s="55" t="s">
        <v>100</v>
      </c>
      <c r="CQ748" s="55" t="s">
        <v>126</v>
      </c>
      <c r="CR748" s="57">
        <v>46233</v>
      </c>
      <c r="CT748" s="55" t="s">
        <v>1823</v>
      </c>
    </row>
    <row r="749" spans="1:98" s="55" customFormat="1" x14ac:dyDescent="0.35">
      <c r="A749" s="54" t="s">
        <v>1459</v>
      </c>
      <c r="B749" s="54" t="s">
        <v>1807</v>
      </c>
      <c r="C749" s="55" t="s">
        <v>1460</v>
      </c>
      <c r="D749" s="55">
        <v>2022</v>
      </c>
      <c r="E749" s="60" t="s">
        <v>1461</v>
      </c>
      <c r="F749" s="54" t="s">
        <v>998</v>
      </c>
      <c r="G749" s="55" t="s">
        <v>78</v>
      </c>
      <c r="H749" s="55">
        <v>1</v>
      </c>
      <c r="I749" s="55" t="s">
        <v>290</v>
      </c>
      <c r="J749" s="55" t="s">
        <v>79</v>
      </c>
      <c r="K749" s="55">
        <v>81</v>
      </c>
      <c r="L749" s="55" t="s">
        <v>104</v>
      </c>
      <c r="M749" s="55" t="s">
        <v>380</v>
      </c>
      <c r="N749" s="55">
        <v>-6.6E-3</v>
      </c>
      <c r="O749" s="55">
        <v>5.0000000000000001E-3</v>
      </c>
      <c r="P749" s="88">
        <f t="shared" si="304"/>
        <v>-1.32</v>
      </c>
      <c r="Q749" s="55" t="s">
        <v>312</v>
      </c>
      <c r="R749" s="88">
        <f t="shared" si="305"/>
        <v>-1.6399999999999998E-2</v>
      </c>
      <c r="S749" s="88">
        <f t="shared" si="306"/>
        <v>3.1999999999999997E-3</v>
      </c>
      <c r="T749" s="55">
        <v>1</v>
      </c>
      <c r="U749" s="55">
        <v>66374</v>
      </c>
      <c r="V749" s="55" t="s">
        <v>312</v>
      </c>
      <c r="W749" s="55" t="s">
        <v>312</v>
      </c>
      <c r="X749" s="55">
        <f t="shared" si="312"/>
        <v>66374</v>
      </c>
      <c r="Y749" s="88">
        <f t="shared" si="309"/>
        <v>-5.1235294326189441E-3</v>
      </c>
      <c r="Z749" s="88">
        <f t="shared" si="310"/>
        <v>3.8814616913779884E-3</v>
      </c>
      <c r="AA749" s="88">
        <f t="shared" si="311"/>
        <v>5.1235294326189441E-3</v>
      </c>
      <c r="AB749" s="55" t="s">
        <v>81</v>
      </c>
      <c r="AC749" s="88">
        <f t="shared" si="301"/>
        <v>-6.6963599999999998E-2</v>
      </c>
      <c r="AD749" s="88" cm="1">
        <f t="array" ref="AD749">_xlfn.IFS(
AND(L749="marginal_effect",M749="level"),N749*AN749/BF749,
AND(L749="marginal_effect",M749="sd (Y)"),N749*BI749*AN749/BF749,
AND(L749="marginal_effect",M749="sd (X)"),N749/AQ749*AN749/BF749,
AND(L749="semi_elasticity",M749="level"),N749*AN749,
AND(L749="semi_elasticity",M749="sd (Y)"),N749*AN749*BI749,
AND(L749="semi_elasticity",M749="sd (X)"),N749*AN749/AQ749,
AND(L749="level-log",M749="level"),N749/BF749,
AND(L749="level-log",M749="sd (X)"),N749/BF749/AQ749,
AND(L749="level-log",M749="sd (Y)"),N749/BF749*BI749,
AND(L749="elasticity",M749="level"),N749,
AND(L749="elasticity",M749="sd (X)"),N749/AQ749,
AND(L749="elasticity",M749="sd (Y)"),N749*BI749,
AND(L749="marginal_effect",M749="percent_of_mean"),N749*AN749/BF749/10)</f>
        <v>-6.6963599999999998E-2</v>
      </c>
      <c r="AE749" s="56">
        <f t="shared" si="313"/>
        <v>1</v>
      </c>
      <c r="AF749" s="88">
        <f t="shared" si="302"/>
        <v>5.0730000000000004E-2</v>
      </c>
      <c r="AG749" s="88" cm="1">
        <f t="array" ref="AG749">_xlfn.IFS(
AND(L749="marginal_effect",M749="level"),O749*AN749/BF749,
AND(L749="marginal_effect",M749="sd (Y)"),O749*BI749*AN749/BF749,
AND(L749="marginal_effect",M749="sd (X)"),O749/AQ749*AN749/BF749,
AND(L749="semi_elasticity",M749="level"),O749*AN749,
AND(L749="semi_elasticity",M749="sd (Y)"),O749*AN749*BI749,
AND(L749="semi_elasticity",M749="sd (X)"),O749*AN749/AQ749,
AND(L749="level-log",M749="level"),O749/BF749,
AND(L749="level-log",M749="sd (X)"),O749/BF749/AQ749,
AND(L749="level-log",M749="sd (Y)"),O749/BF749*BI749,
AND(L749="elasticity",M749="level"),O749,
AND(L749="elasticity",M749="sd (X)"),O749/AQ749,
AND(L749="elasticity",M749="sd (Y)"),O749*BI749,
AND(L749="marginal_effect",M749="percent_of_mean"),O749*AN749/BF749/10)</f>
        <v>5.0730000000000004E-2</v>
      </c>
      <c r="AH749" s="56">
        <f t="shared" si="307"/>
        <v>1</v>
      </c>
      <c r="AI749" s="88">
        <f t="shared" si="314"/>
        <v>-6.6963599999999998E-2</v>
      </c>
      <c r="AJ749" s="55">
        <v>0</v>
      </c>
      <c r="AK749" s="55">
        <f t="shared" si="315"/>
        <v>1</v>
      </c>
      <c r="AL749" s="55" t="s">
        <v>148</v>
      </c>
      <c r="AM749" s="55" t="s">
        <v>1466</v>
      </c>
      <c r="AN749" s="55">
        <v>10.146000000000001</v>
      </c>
      <c r="AO749" s="55">
        <v>0</v>
      </c>
      <c r="AP749" s="55">
        <f t="shared" si="316"/>
        <v>101.46000000000001</v>
      </c>
      <c r="AQ749" s="55">
        <v>48.17</v>
      </c>
      <c r="AR749" s="55">
        <v>18</v>
      </c>
      <c r="AS749" s="55">
        <v>300</v>
      </c>
      <c r="AT749" s="55" t="s">
        <v>83</v>
      </c>
      <c r="AU749" s="55" t="s">
        <v>109</v>
      </c>
      <c r="AV749" s="55" t="s">
        <v>133</v>
      </c>
      <c r="AW749" s="55" t="s">
        <v>109</v>
      </c>
      <c r="AX749" s="55" t="s">
        <v>86</v>
      </c>
      <c r="AY749" s="55">
        <v>0</v>
      </c>
      <c r="AZ749" s="55">
        <v>0</v>
      </c>
      <c r="BA749" s="55" t="s">
        <v>87</v>
      </c>
      <c r="BB749" s="55" t="s">
        <v>88</v>
      </c>
      <c r="BC749" s="55" t="s">
        <v>89</v>
      </c>
      <c r="BD749" s="55" t="s">
        <v>90</v>
      </c>
      <c r="BE749" s="55" t="s">
        <v>1458</v>
      </c>
      <c r="BF749" s="55">
        <v>101.57</v>
      </c>
      <c r="BG749" s="55">
        <v>0</v>
      </c>
      <c r="BH749" s="55">
        <v>65.849999999999994</v>
      </c>
      <c r="BI749" s="55">
        <v>5</v>
      </c>
      <c r="BJ749" s="55">
        <v>430</v>
      </c>
      <c r="BK749" s="55" t="s">
        <v>91</v>
      </c>
      <c r="BL749" s="55" t="s">
        <v>84</v>
      </c>
      <c r="BM749" s="55">
        <v>1</v>
      </c>
      <c r="BN749" s="55" t="s">
        <v>428</v>
      </c>
      <c r="BO749" s="60" t="s">
        <v>1463</v>
      </c>
      <c r="BP749" s="55" t="s">
        <v>1464</v>
      </c>
      <c r="BQ749" s="55" t="s">
        <v>117</v>
      </c>
      <c r="BR749" s="55" t="s">
        <v>134</v>
      </c>
      <c r="BS749" s="55">
        <v>29.22</v>
      </c>
      <c r="BT749" s="55">
        <v>0.01</v>
      </c>
      <c r="BU749" s="57">
        <v>42552</v>
      </c>
      <c r="BV749" s="57">
        <v>42643</v>
      </c>
      <c r="BW749" s="55" t="s">
        <v>94</v>
      </c>
      <c r="BX749" s="55" t="s">
        <v>95</v>
      </c>
      <c r="BY749" s="55" t="s">
        <v>748</v>
      </c>
      <c r="BZ749" s="55">
        <v>1</v>
      </c>
      <c r="CA749" s="55">
        <v>1</v>
      </c>
      <c r="CB749" s="55" t="s">
        <v>303</v>
      </c>
      <c r="CC749" s="55" t="s">
        <v>314</v>
      </c>
      <c r="CD749" s="55">
        <v>1</v>
      </c>
      <c r="CE749" s="55" t="s">
        <v>1462</v>
      </c>
      <c r="CF749" s="55">
        <v>1</v>
      </c>
      <c r="CG749" s="55" t="s">
        <v>131</v>
      </c>
      <c r="CH749" s="55">
        <v>1</v>
      </c>
      <c r="CI749" s="55" t="s">
        <v>1465</v>
      </c>
      <c r="CJ749" s="55" t="s">
        <v>98</v>
      </c>
      <c r="CK749" s="55">
        <v>179</v>
      </c>
      <c r="CL749" s="55">
        <v>0</v>
      </c>
      <c r="CM749" s="55">
        <v>0</v>
      </c>
      <c r="CN749" s="55" t="s">
        <v>124</v>
      </c>
      <c r="CO749" s="55" t="s">
        <v>97</v>
      </c>
      <c r="CP749" s="55" t="s">
        <v>100</v>
      </c>
      <c r="CQ749" s="55" t="s">
        <v>126</v>
      </c>
      <c r="CR749" s="57">
        <v>46233</v>
      </c>
      <c r="CT749" s="55" t="s">
        <v>1820</v>
      </c>
    </row>
    <row r="750" spans="1:98" s="55" customFormat="1" x14ac:dyDescent="0.35">
      <c r="A750" s="54" t="s">
        <v>1459</v>
      </c>
      <c r="B750" s="54" t="s">
        <v>1808</v>
      </c>
      <c r="C750" s="55" t="s">
        <v>1460</v>
      </c>
      <c r="D750" s="55">
        <v>2022</v>
      </c>
      <c r="E750" s="60" t="s">
        <v>1461</v>
      </c>
      <c r="F750" s="54" t="s">
        <v>998</v>
      </c>
      <c r="G750" s="55" t="s">
        <v>78</v>
      </c>
      <c r="H750" s="55">
        <v>1</v>
      </c>
      <c r="I750" s="55" t="s">
        <v>290</v>
      </c>
      <c r="J750" s="55" t="s">
        <v>79</v>
      </c>
      <c r="K750" s="55">
        <v>81</v>
      </c>
      <c r="L750" s="55" t="s">
        <v>104</v>
      </c>
      <c r="M750" s="55" t="s">
        <v>380</v>
      </c>
      <c r="N750" s="55">
        <v>-4.9599999999999998E-2</v>
      </c>
      <c r="O750" s="55">
        <v>3.1800000000000002E-2</v>
      </c>
      <c r="P750" s="88">
        <f t="shared" si="304"/>
        <v>-1.5597484276729559</v>
      </c>
      <c r="Q750" s="55" t="s">
        <v>312</v>
      </c>
      <c r="R750" s="88">
        <f t="shared" si="305"/>
        <v>-0.111928</v>
      </c>
      <c r="S750" s="88">
        <f t="shared" si="306"/>
        <v>1.2728000000000003E-2</v>
      </c>
      <c r="T750" s="55">
        <v>1</v>
      </c>
      <c r="U750" s="55">
        <v>66374</v>
      </c>
      <c r="V750" s="55" t="s">
        <v>312</v>
      </c>
      <c r="W750" s="55" t="s">
        <v>312</v>
      </c>
      <c r="X750" s="55">
        <f t="shared" si="312"/>
        <v>66374</v>
      </c>
      <c r="Y750" s="88">
        <f t="shared" si="309"/>
        <v>-6.0540722842060265E-3</v>
      </c>
      <c r="Z750" s="88">
        <f t="shared" si="310"/>
        <v>3.8814415047933801E-3</v>
      </c>
      <c r="AA750" s="88">
        <f t="shared" si="311"/>
        <v>6.0540722842060265E-3</v>
      </c>
      <c r="AB750" s="55" t="s">
        <v>81</v>
      </c>
      <c r="AC750" s="88">
        <f t="shared" si="301"/>
        <v>-0.1141296</v>
      </c>
      <c r="AD750" s="88" cm="1">
        <f t="array" ref="AD750">_xlfn.IFS(
AND(L750="marginal_effect",M750="level"),N750*AN750/BF750,
AND(L750="marginal_effect",M750="sd (Y)"),N750*BI750*AN750/BF750,
AND(L750="marginal_effect",M750="sd (X)"),N750/AQ750*AN750/BF750,
AND(L750="semi_elasticity",M750="level"),N750*AN750,
AND(L750="semi_elasticity",M750="sd (Y)"),N750*AN750*BI750,
AND(L750="semi_elasticity",M750="sd (X)"),N750*AN750/AQ750,
AND(L750="level-log",M750="level"),N750/BF750,
AND(L750="level-log",M750="sd (X)"),N750/BF750/AQ750,
AND(L750="level-log",M750="sd (Y)"),N750/BF750*BI750,
AND(L750="elasticity",M750="level"),N750,
AND(L750="elasticity",M750="sd (X)"),N750/AQ750,
AND(L750="elasticity",M750="sd (Y)"),N750*BI750,
AND(L750="marginal_effect",M750="percent_of_mean"),N750*AN750/BF750/10)</f>
        <v>-0.1141296</v>
      </c>
      <c r="AE750" s="56">
        <f t="shared" si="313"/>
        <v>1</v>
      </c>
      <c r="AF750" s="88">
        <f t="shared" si="302"/>
        <v>7.3171800000000009E-2</v>
      </c>
      <c r="AG750" s="88" cm="1">
        <f t="array" ref="AG750">_xlfn.IFS(
AND(L750="marginal_effect",M750="level"),O750*AN750/BF750,
AND(L750="marginal_effect",M750="sd (Y)"),O750*BI750*AN750/BF750,
AND(L750="marginal_effect",M750="sd (X)"),O750/AQ750*AN750/BF750,
AND(L750="semi_elasticity",M750="level"),O750*AN750,
AND(L750="semi_elasticity",M750="sd (Y)"),O750*AN750*BI750,
AND(L750="semi_elasticity",M750="sd (X)"),O750*AN750/AQ750,
AND(L750="level-log",M750="level"),O750/BF750,
AND(L750="level-log",M750="sd (X)"),O750/BF750/AQ750,
AND(L750="level-log",M750="sd (Y)"),O750/BF750*BI750,
AND(L750="elasticity",M750="level"),O750,
AND(L750="elasticity",M750="sd (X)"),O750/AQ750,
AND(L750="elasticity",M750="sd (Y)"),O750*BI750,
AND(L750="marginal_effect",M750="percent_of_mean"),O750*AN750/BF750/10)</f>
        <v>7.3171800000000009E-2</v>
      </c>
      <c r="AH750" s="56">
        <f t="shared" si="307"/>
        <v>1</v>
      </c>
      <c r="AI750" s="88">
        <f t="shared" si="314"/>
        <v>-0.1141296</v>
      </c>
      <c r="AJ750" s="55">
        <v>0</v>
      </c>
      <c r="AK750" s="55">
        <f t="shared" si="315"/>
        <v>1</v>
      </c>
      <c r="AL750" s="55" t="s">
        <v>131</v>
      </c>
      <c r="AM750" s="55" t="s">
        <v>1466</v>
      </c>
      <c r="AN750" s="55">
        <v>2.3010000000000002</v>
      </c>
      <c r="AO750" s="55">
        <v>0</v>
      </c>
      <c r="AP750" s="55">
        <f t="shared" si="316"/>
        <v>23.01</v>
      </c>
      <c r="AQ750" s="55">
        <v>10.75</v>
      </c>
      <c r="AR750" s="55">
        <v>4</v>
      </c>
      <c r="AS750" s="55">
        <v>67</v>
      </c>
      <c r="AT750" s="55" t="s">
        <v>83</v>
      </c>
      <c r="AU750" s="55" t="s">
        <v>109</v>
      </c>
      <c r="AV750" s="55" t="s">
        <v>133</v>
      </c>
      <c r="AW750" s="55" t="s">
        <v>109</v>
      </c>
      <c r="AX750" s="55" t="s">
        <v>86</v>
      </c>
      <c r="AY750" s="55">
        <v>0</v>
      </c>
      <c r="AZ750" s="55">
        <v>0</v>
      </c>
      <c r="BA750" s="55" t="s">
        <v>87</v>
      </c>
      <c r="BB750" s="55" t="s">
        <v>88</v>
      </c>
      <c r="BC750" s="55" t="s">
        <v>89</v>
      </c>
      <c r="BD750" s="55" t="s">
        <v>90</v>
      </c>
      <c r="BE750" s="55" t="s">
        <v>1458</v>
      </c>
      <c r="BF750" s="55">
        <v>101.57</v>
      </c>
      <c r="BG750" s="55">
        <v>0</v>
      </c>
      <c r="BH750" s="55">
        <v>65.849999999999994</v>
      </c>
      <c r="BI750" s="55">
        <v>5</v>
      </c>
      <c r="BJ750" s="55">
        <v>430</v>
      </c>
      <c r="BK750" s="55" t="s">
        <v>91</v>
      </c>
      <c r="BL750" s="55" t="s">
        <v>84</v>
      </c>
      <c r="BM750" s="55">
        <v>1</v>
      </c>
      <c r="BN750" s="55" t="s">
        <v>428</v>
      </c>
      <c r="BO750" s="60" t="s">
        <v>1463</v>
      </c>
      <c r="BP750" s="55" t="s">
        <v>1464</v>
      </c>
      <c r="BQ750" s="55" t="s">
        <v>117</v>
      </c>
      <c r="BR750" s="55" t="s">
        <v>134</v>
      </c>
      <c r="BS750" s="55">
        <v>29.22</v>
      </c>
      <c r="BT750" s="55">
        <v>0.01</v>
      </c>
      <c r="BU750" s="57">
        <v>42552</v>
      </c>
      <c r="BV750" s="57">
        <v>42643</v>
      </c>
      <c r="BW750" s="55" t="s">
        <v>94</v>
      </c>
      <c r="BX750" s="55" t="s">
        <v>95</v>
      </c>
      <c r="BY750" s="55" t="s">
        <v>748</v>
      </c>
      <c r="BZ750" s="55">
        <v>1</v>
      </c>
      <c r="CA750" s="55">
        <v>1</v>
      </c>
      <c r="CB750" s="55" t="s">
        <v>303</v>
      </c>
      <c r="CC750" s="55" t="s">
        <v>314</v>
      </c>
      <c r="CD750" s="55">
        <v>1</v>
      </c>
      <c r="CE750" s="55" t="s">
        <v>1462</v>
      </c>
      <c r="CF750" s="55">
        <v>1</v>
      </c>
      <c r="CG750" s="55" t="s">
        <v>591</v>
      </c>
      <c r="CH750" s="55">
        <v>1</v>
      </c>
      <c r="CI750" s="55" t="s">
        <v>1465</v>
      </c>
      <c r="CJ750" s="55" t="s">
        <v>98</v>
      </c>
      <c r="CK750" s="55">
        <v>179</v>
      </c>
      <c r="CL750" s="55">
        <v>0</v>
      </c>
      <c r="CM750" s="55">
        <v>0</v>
      </c>
      <c r="CN750" s="55" t="s">
        <v>124</v>
      </c>
      <c r="CO750" s="55" t="s">
        <v>97</v>
      </c>
      <c r="CP750" s="55" t="s">
        <v>100</v>
      </c>
      <c r="CQ750" s="55" t="s">
        <v>126</v>
      </c>
      <c r="CR750" s="57">
        <v>46233</v>
      </c>
      <c r="CT750" s="55" t="s">
        <v>1820</v>
      </c>
    </row>
    <row r="751" spans="1:98" s="55" customFormat="1" x14ac:dyDescent="0.35">
      <c r="A751" s="54" t="s">
        <v>1459</v>
      </c>
      <c r="B751" s="54" t="s">
        <v>1809</v>
      </c>
      <c r="C751" s="55" t="s">
        <v>1460</v>
      </c>
      <c r="D751" s="55">
        <v>2022</v>
      </c>
      <c r="E751" s="60" t="s">
        <v>1461</v>
      </c>
      <c r="F751" s="54" t="s">
        <v>998</v>
      </c>
      <c r="G751" s="55" t="s">
        <v>78</v>
      </c>
      <c r="H751" s="55">
        <v>1</v>
      </c>
      <c r="I751" s="55" t="s">
        <v>290</v>
      </c>
      <c r="J751" s="55" t="s">
        <v>79</v>
      </c>
      <c r="K751" s="55">
        <v>81</v>
      </c>
      <c r="L751" s="55" t="s">
        <v>104</v>
      </c>
      <c r="M751" s="55" t="s">
        <v>380</v>
      </c>
      <c r="N751" s="55">
        <v>3.7499999999999999E-2</v>
      </c>
      <c r="O751" s="55">
        <v>4.9200000000000001E-2</v>
      </c>
      <c r="P751" s="88">
        <f t="shared" si="304"/>
        <v>0.76219512195121952</v>
      </c>
      <c r="Q751" s="55" t="s">
        <v>312</v>
      </c>
      <c r="R751" s="88">
        <f t="shared" si="305"/>
        <v>-5.8932000000000005E-2</v>
      </c>
      <c r="S751" s="88">
        <f t="shared" si="306"/>
        <v>0.133932</v>
      </c>
      <c r="T751" s="55">
        <v>1</v>
      </c>
      <c r="U751" s="55">
        <v>66374</v>
      </c>
      <c r="V751" s="55" t="s">
        <v>312</v>
      </c>
      <c r="W751" s="55" t="s">
        <v>312</v>
      </c>
      <c r="X751" s="55">
        <f t="shared" si="312"/>
        <v>66374</v>
      </c>
      <c r="Y751" s="88">
        <f t="shared" si="309"/>
        <v>2.9584570512161575E-3</v>
      </c>
      <c r="Z751" s="88">
        <f t="shared" si="310"/>
        <v>3.8814956511955979E-3</v>
      </c>
      <c r="AA751" s="88">
        <f t="shared" si="311"/>
        <v>-2.9584570512161575E-3</v>
      </c>
      <c r="AB751" s="55" t="s">
        <v>81</v>
      </c>
      <c r="AC751" s="88">
        <f t="shared" si="301"/>
        <v>0.38047500000000001</v>
      </c>
      <c r="AD751" s="88" cm="1">
        <f t="array" ref="AD751">_xlfn.IFS(
AND(L751="marginal_effect",M751="level"),N751*AN751/BF751,
AND(L751="marginal_effect",M751="sd (Y)"),N751*BI751*AN751/BF751,
AND(L751="marginal_effect",M751="sd (X)"),N751/AQ751*AN751/BF751,
AND(L751="semi_elasticity",M751="level"),N751*AN751,
AND(L751="semi_elasticity",M751="sd (Y)"),N751*AN751*BI751,
AND(L751="semi_elasticity",M751="sd (X)"),N751*AN751/AQ751,
AND(L751="level-log",M751="level"),N751/BF751,
AND(L751="level-log",M751="sd (X)"),N751/BF751/AQ751,
AND(L751="level-log",M751="sd (Y)"),N751/BF751*BI751,
AND(L751="elasticity",M751="level"),N751,
AND(L751="elasticity",M751="sd (X)"),N751/AQ751,
AND(L751="elasticity",M751="sd (Y)"),N751*BI751,
AND(L751="marginal_effect",M751="percent_of_mean"),N751*AN751/BF751/10)</f>
        <v>0.38047500000000001</v>
      </c>
      <c r="AE751" s="56">
        <f t="shared" si="313"/>
        <v>1</v>
      </c>
      <c r="AF751" s="88">
        <f t="shared" si="302"/>
        <v>0.49918320000000005</v>
      </c>
      <c r="AG751" s="88" cm="1">
        <f t="array" ref="AG751">_xlfn.IFS(
AND(L751="marginal_effect",M751="level"),O751*AN751/BF751,
AND(L751="marginal_effect",M751="sd (Y)"),O751*BI751*AN751/BF751,
AND(L751="marginal_effect",M751="sd (X)"),O751/AQ751*AN751/BF751,
AND(L751="semi_elasticity",M751="level"),O751*AN751,
AND(L751="semi_elasticity",M751="sd (Y)"),O751*AN751*BI751,
AND(L751="semi_elasticity",M751="sd (X)"),O751*AN751/AQ751,
AND(L751="level-log",M751="level"),O751/BF751,
AND(L751="level-log",M751="sd (X)"),O751/BF751/AQ751,
AND(L751="level-log",M751="sd (Y)"),O751/BF751*BI751,
AND(L751="elasticity",M751="level"),O751,
AND(L751="elasticity",M751="sd (X)"),O751/AQ751,
AND(L751="elasticity",M751="sd (Y)"),O751*BI751,
AND(L751="marginal_effect",M751="percent_of_mean"),O751*AN751/BF751/10)</f>
        <v>0.49918320000000005</v>
      </c>
      <c r="AH751" s="56">
        <f t="shared" si="307"/>
        <v>1</v>
      </c>
      <c r="AI751" s="88">
        <f t="shared" si="314"/>
        <v>0.38047500000000001</v>
      </c>
      <c r="AJ751" s="55">
        <v>0</v>
      </c>
      <c r="AK751" s="55">
        <f t="shared" si="315"/>
        <v>0</v>
      </c>
      <c r="AL751" s="55" t="s">
        <v>148</v>
      </c>
      <c r="AM751" s="55" t="s">
        <v>1466</v>
      </c>
      <c r="AN751" s="55">
        <v>10.146000000000001</v>
      </c>
      <c r="AO751" s="55">
        <v>0</v>
      </c>
      <c r="AP751" s="55">
        <f t="shared" si="316"/>
        <v>101.46000000000001</v>
      </c>
      <c r="AQ751" s="55">
        <v>48.17</v>
      </c>
      <c r="AR751" s="55">
        <v>18</v>
      </c>
      <c r="AS751" s="55">
        <v>300</v>
      </c>
      <c r="AT751" s="55" t="s">
        <v>83</v>
      </c>
      <c r="AU751" s="55" t="s">
        <v>109</v>
      </c>
      <c r="AV751" s="55" t="s">
        <v>133</v>
      </c>
      <c r="AW751" s="55" t="s">
        <v>109</v>
      </c>
      <c r="AX751" s="55" t="s">
        <v>86</v>
      </c>
      <c r="AY751" s="55">
        <v>0</v>
      </c>
      <c r="AZ751" s="55">
        <v>0</v>
      </c>
      <c r="BA751" s="55" t="s">
        <v>87</v>
      </c>
      <c r="BB751" s="55" t="s">
        <v>88</v>
      </c>
      <c r="BC751" s="55" t="s">
        <v>89</v>
      </c>
      <c r="BD751" s="55" t="s">
        <v>90</v>
      </c>
      <c r="BE751" s="55" t="s">
        <v>1458</v>
      </c>
      <c r="BF751" s="55">
        <v>101.57</v>
      </c>
      <c r="BG751" s="55">
        <v>0</v>
      </c>
      <c r="BH751" s="55">
        <v>65.849999999999994</v>
      </c>
      <c r="BI751" s="55">
        <v>5</v>
      </c>
      <c r="BJ751" s="55">
        <v>430</v>
      </c>
      <c r="BK751" s="55" t="s">
        <v>91</v>
      </c>
      <c r="BL751" s="55" t="s">
        <v>84</v>
      </c>
      <c r="BM751" s="55">
        <v>1</v>
      </c>
      <c r="BN751" s="55" t="s">
        <v>428</v>
      </c>
      <c r="BO751" s="60" t="s">
        <v>1463</v>
      </c>
      <c r="BP751" s="55" t="s">
        <v>1464</v>
      </c>
      <c r="BQ751" s="55" t="s">
        <v>117</v>
      </c>
      <c r="BR751" s="55" t="s">
        <v>134</v>
      </c>
      <c r="BS751" s="55">
        <v>29.22</v>
      </c>
      <c r="BT751" s="55">
        <v>0.01</v>
      </c>
      <c r="BU751" s="57">
        <v>42552</v>
      </c>
      <c r="BV751" s="57">
        <v>42643</v>
      </c>
      <c r="BW751" s="55" t="s">
        <v>94</v>
      </c>
      <c r="BX751" s="55" t="s">
        <v>95</v>
      </c>
      <c r="BY751" s="55" t="s">
        <v>748</v>
      </c>
      <c r="BZ751" s="55">
        <v>1</v>
      </c>
      <c r="CA751" s="55">
        <v>1</v>
      </c>
      <c r="CB751" s="55" t="s">
        <v>303</v>
      </c>
      <c r="CC751" s="55" t="s">
        <v>314</v>
      </c>
      <c r="CD751" s="55">
        <v>1</v>
      </c>
      <c r="CE751" s="55" t="s">
        <v>1462</v>
      </c>
      <c r="CF751" s="55">
        <v>1</v>
      </c>
      <c r="CG751" s="55" t="s">
        <v>159</v>
      </c>
      <c r="CH751" s="55">
        <v>1</v>
      </c>
      <c r="CI751" s="55" t="s">
        <v>1465</v>
      </c>
      <c r="CJ751" s="55" t="s">
        <v>98</v>
      </c>
      <c r="CK751" s="55">
        <v>179</v>
      </c>
      <c r="CL751" s="55">
        <v>0</v>
      </c>
      <c r="CM751" s="55">
        <v>0</v>
      </c>
      <c r="CN751" s="55" t="s">
        <v>124</v>
      </c>
      <c r="CO751" s="55" t="s">
        <v>97</v>
      </c>
      <c r="CP751" s="55" t="s">
        <v>100</v>
      </c>
      <c r="CQ751" s="55" t="s">
        <v>126</v>
      </c>
      <c r="CR751" s="57">
        <v>46233</v>
      </c>
      <c r="CT751" s="55" t="s">
        <v>1821</v>
      </c>
    </row>
    <row r="752" spans="1:98" s="55" customFormat="1" x14ac:dyDescent="0.35">
      <c r="A752" s="54" t="s">
        <v>1459</v>
      </c>
      <c r="B752" s="54" t="s">
        <v>1810</v>
      </c>
      <c r="C752" s="55" t="s">
        <v>1460</v>
      </c>
      <c r="D752" s="55">
        <v>2022</v>
      </c>
      <c r="E752" s="60" t="s">
        <v>1461</v>
      </c>
      <c r="F752" s="54" t="s">
        <v>998</v>
      </c>
      <c r="G752" s="55" t="s">
        <v>78</v>
      </c>
      <c r="H752" s="55">
        <v>1</v>
      </c>
      <c r="I752" s="55" t="s">
        <v>290</v>
      </c>
      <c r="J752" s="55" t="s">
        <v>79</v>
      </c>
      <c r="K752" s="55">
        <v>81</v>
      </c>
      <c r="L752" s="55" t="s">
        <v>104</v>
      </c>
      <c r="M752" s="55" t="s">
        <v>380</v>
      </c>
      <c r="N752" s="55">
        <v>-1.1835</v>
      </c>
      <c r="O752" s="55">
        <v>1.0530999999999999</v>
      </c>
      <c r="P752" s="88">
        <f t="shared" si="304"/>
        <v>-1.1238248979204255</v>
      </c>
      <c r="Q752" s="55" t="s">
        <v>312</v>
      </c>
      <c r="R752" s="88">
        <f t="shared" si="305"/>
        <v>-3.247576</v>
      </c>
      <c r="S752" s="88">
        <f t="shared" si="306"/>
        <v>0.88057600000000003</v>
      </c>
      <c r="T752" s="55">
        <v>1</v>
      </c>
      <c r="U752" s="55">
        <v>66374</v>
      </c>
      <c r="V752" s="55" t="s">
        <v>312</v>
      </c>
      <c r="W752" s="55" t="s">
        <v>312</v>
      </c>
      <c r="X752" s="55">
        <f t="shared" si="312"/>
        <v>66374</v>
      </c>
      <c r="Y752" s="88">
        <f t="shared" si="309"/>
        <v>-4.3620990423712518E-3</v>
      </c>
      <c r="Z752" s="88">
        <f t="shared" si="310"/>
        <v>3.881475708932121E-3</v>
      </c>
      <c r="AA752" s="88">
        <f t="shared" si="311"/>
        <v>4.3620990423712518E-3</v>
      </c>
      <c r="AB752" s="55" t="s">
        <v>81</v>
      </c>
      <c r="AC752" s="88">
        <f t="shared" si="301"/>
        <v>-1.3988969999999998</v>
      </c>
      <c r="AD752" s="88" cm="1">
        <f t="array" ref="AD752">_xlfn.IFS(
AND(L752="marginal_effect",M752="level"),N752*AN752/BF752,
AND(L752="marginal_effect",M752="sd (Y)"),N752*BI752*AN752/BF752,
AND(L752="marginal_effect",M752="sd (X)"),N752/AQ752*AN752/BF752,
AND(L752="semi_elasticity",M752="level"),N752*AN752,
AND(L752="semi_elasticity",M752="sd (Y)"),N752*AN752*BI752,
AND(L752="semi_elasticity",M752="sd (X)"),N752*AN752/AQ752,
AND(L752="level-log",M752="level"),N752/BF752,
AND(L752="level-log",M752="sd (X)"),N752/BF752/AQ752,
AND(L752="level-log",M752="sd (Y)"),N752/BF752*BI752,
AND(L752="elasticity",M752="level"),N752,
AND(L752="elasticity",M752="sd (X)"),N752/AQ752,
AND(L752="elasticity",M752="sd (Y)"),N752*BI752,
AND(L752="marginal_effect",M752="percent_of_mean"),N752*AN752/BF752/10)</f>
        <v>-1.3988969999999998</v>
      </c>
      <c r="AE752" s="56">
        <f t="shared" si="313"/>
        <v>1</v>
      </c>
      <c r="AF752" s="88">
        <f t="shared" si="302"/>
        <v>1.2447641999999999</v>
      </c>
      <c r="AG752" s="88" cm="1">
        <f t="array" ref="AG752">_xlfn.IFS(
AND(L752="marginal_effect",M752="level"),O752*AN752/BF752,
AND(L752="marginal_effect",M752="sd (Y)"),O752*BI752*AN752/BF752,
AND(L752="marginal_effect",M752="sd (X)"),O752/AQ752*AN752/BF752,
AND(L752="semi_elasticity",M752="level"),O752*AN752,
AND(L752="semi_elasticity",M752="sd (Y)"),O752*AN752*BI752,
AND(L752="semi_elasticity",M752="sd (X)"),O752*AN752/AQ752,
AND(L752="level-log",M752="level"),O752/BF752,
AND(L752="level-log",M752="sd (X)"),O752/BF752/AQ752,
AND(L752="level-log",M752="sd (Y)"),O752/BF752*BI752,
AND(L752="elasticity",M752="level"),O752,
AND(L752="elasticity",M752="sd (X)"),O752/AQ752,
AND(L752="elasticity",M752="sd (Y)"),O752*BI752,
AND(L752="marginal_effect",M752="percent_of_mean"),O752*AN752/BF752/10)</f>
        <v>1.2447641999999999</v>
      </c>
      <c r="AH752" s="56">
        <f t="shared" si="307"/>
        <v>1</v>
      </c>
      <c r="AI752" s="88">
        <f t="shared" si="314"/>
        <v>-1.3988969999999998</v>
      </c>
      <c r="AJ752" s="55">
        <v>0</v>
      </c>
      <c r="AK752" s="55">
        <f t="shared" si="315"/>
        <v>1</v>
      </c>
      <c r="AL752" s="55" t="s">
        <v>159</v>
      </c>
      <c r="AM752" s="55" t="s">
        <v>1466</v>
      </c>
      <c r="AN752" s="55">
        <v>1.1819999999999999</v>
      </c>
      <c r="AO752" s="55">
        <v>0</v>
      </c>
      <c r="AP752" s="55">
        <f t="shared" si="316"/>
        <v>11.82</v>
      </c>
      <c r="AQ752" s="55">
        <v>4.99</v>
      </c>
      <c r="AR752" s="55">
        <v>2</v>
      </c>
      <c r="AS752" s="55">
        <v>46</v>
      </c>
      <c r="AT752" s="55" t="s">
        <v>83</v>
      </c>
      <c r="AU752" s="55" t="s">
        <v>109</v>
      </c>
      <c r="AV752" s="55" t="s">
        <v>133</v>
      </c>
      <c r="AW752" s="55" t="s">
        <v>109</v>
      </c>
      <c r="AX752" s="55" t="s">
        <v>86</v>
      </c>
      <c r="AY752" s="55">
        <v>0</v>
      </c>
      <c r="AZ752" s="55">
        <v>0</v>
      </c>
      <c r="BA752" s="55" t="s">
        <v>87</v>
      </c>
      <c r="BB752" s="55" t="s">
        <v>88</v>
      </c>
      <c r="BC752" s="55" t="s">
        <v>89</v>
      </c>
      <c r="BD752" s="55" t="s">
        <v>90</v>
      </c>
      <c r="BE752" s="55" t="s">
        <v>1458</v>
      </c>
      <c r="BF752" s="55">
        <v>101.57</v>
      </c>
      <c r="BG752" s="55">
        <v>0</v>
      </c>
      <c r="BH752" s="55">
        <v>65.849999999999994</v>
      </c>
      <c r="BI752" s="55">
        <v>5</v>
      </c>
      <c r="BJ752" s="55">
        <v>430</v>
      </c>
      <c r="BK752" s="55" t="s">
        <v>91</v>
      </c>
      <c r="BL752" s="55" t="s">
        <v>84</v>
      </c>
      <c r="BM752" s="55">
        <v>1</v>
      </c>
      <c r="BN752" s="55" t="s">
        <v>428</v>
      </c>
      <c r="BO752" s="60" t="s">
        <v>1463</v>
      </c>
      <c r="BP752" s="55" t="s">
        <v>1464</v>
      </c>
      <c r="BQ752" s="55" t="s">
        <v>117</v>
      </c>
      <c r="BR752" s="55" t="s">
        <v>134</v>
      </c>
      <c r="BS752" s="55">
        <v>29.22</v>
      </c>
      <c r="BT752" s="55">
        <v>0.01</v>
      </c>
      <c r="BU752" s="57">
        <v>42552</v>
      </c>
      <c r="BV752" s="57">
        <v>42643</v>
      </c>
      <c r="BW752" s="55" t="s">
        <v>94</v>
      </c>
      <c r="BX752" s="55" t="s">
        <v>95</v>
      </c>
      <c r="BY752" s="55" t="s">
        <v>748</v>
      </c>
      <c r="BZ752" s="55">
        <v>1</v>
      </c>
      <c r="CA752" s="55">
        <v>1</v>
      </c>
      <c r="CB752" s="55" t="s">
        <v>303</v>
      </c>
      <c r="CC752" s="55" t="s">
        <v>314</v>
      </c>
      <c r="CD752" s="55">
        <v>1</v>
      </c>
      <c r="CE752" s="55" t="s">
        <v>1462</v>
      </c>
      <c r="CF752" s="55">
        <v>1</v>
      </c>
      <c r="CG752" s="55" t="s">
        <v>591</v>
      </c>
      <c r="CH752" s="55">
        <v>1</v>
      </c>
      <c r="CI752" s="55" t="s">
        <v>1465</v>
      </c>
      <c r="CJ752" s="55" t="s">
        <v>98</v>
      </c>
      <c r="CK752" s="55">
        <v>179</v>
      </c>
      <c r="CL752" s="55">
        <v>0</v>
      </c>
      <c r="CM752" s="55">
        <v>0</v>
      </c>
      <c r="CN752" s="55" t="s">
        <v>124</v>
      </c>
      <c r="CO752" s="55" t="s">
        <v>97</v>
      </c>
      <c r="CP752" s="55" t="s">
        <v>100</v>
      </c>
      <c r="CQ752" s="55" t="s">
        <v>126</v>
      </c>
      <c r="CR752" s="57">
        <v>46233</v>
      </c>
      <c r="CT752" s="55" t="s">
        <v>1821</v>
      </c>
    </row>
    <row r="753" spans="1:98" s="55" customFormat="1" x14ac:dyDescent="0.35">
      <c r="A753" s="54" t="s">
        <v>1459</v>
      </c>
      <c r="B753" s="54" t="s">
        <v>1815</v>
      </c>
      <c r="C753" s="55" t="s">
        <v>1460</v>
      </c>
      <c r="D753" s="55">
        <v>2022</v>
      </c>
      <c r="E753" s="60" t="s">
        <v>1461</v>
      </c>
      <c r="F753" s="54" t="s">
        <v>998</v>
      </c>
      <c r="G753" s="55" t="s">
        <v>78</v>
      </c>
      <c r="H753" s="55">
        <v>1</v>
      </c>
      <c r="I753" s="55" t="s">
        <v>290</v>
      </c>
      <c r="J753" s="55" t="s">
        <v>79</v>
      </c>
      <c r="K753" s="55">
        <v>81</v>
      </c>
      <c r="L753" s="55" t="s">
        <v>104</v>
      </c>
      <c r="M753" s="55" t="s">
        <v>380</v>
      </c>
      <c r="N753" s="55">
        <v>-2.3599999999999999E-2</v>
      </c>
      <c r="O753" s="55">
        <v>8.2000000000000007E-3</v>
      </c>
      <c r="P753" s="88">
        <f t="shared" si="304"/>
        <v>-2.8780487804878048</v>
      </c>
      <c r="Q753" s="55" t="s">
        <v>312</v>
      </c>
      <c r="R753" s="88">
        <f t="shared" si="305"/>
        <v>-3.9671999999999999E-2</v>
      </c>
      <c r="S753" s="88">
        <f t="shared" si="306"/>
        <v>-7.528E-3</v>
      </c>
      <c r="T753" s="55">
        <v>1</v>
      </c>
      <c r="U753" s="55">
        <v>66374</v>
      </c>
      <c r="V753" s="55" t="s">
        <v>312</v>
      </c>
      <c r="W753" s="55" t="s">
        <v>312</v>
      </c>
      <c r="X753" s="55">
        <f t="shared" si="312"/>
        <v>66374</v>
      </c>
      <c r="Y753" s="88">
        <f t="shared" si="309"/>
        <v>-1.1170485722765989E-2</v>
      </c>
      <c r="Z753" s="88">
        <f t="shared" si="310"/>
        <v>3.8812704629949623E-3</v>
      </c>
      <c r="AA753" s="88">
        <f t="shared" si="311"/>
        <v>1.1170485722765989E-2</v>
      </c>
      <c r="AB753" s="55" t="s">
        <v>81</v>
      </c>
      <c r="AC753" s="88">
        <f t="shared" si="301"/>
        <v>-0.23944560000000001</v>
      </c>
      <c r="AD753" s="88" cm="1">
        <f t="array" ref="AD753">_xlfn.IFS(
AND(L753="marginal_effect",M753="level"),N753*AN753/BF753,
AND(L753="marginal_effect",M753="sd (Y)"),N753*BI753*AN753/BF753,
AND(L753="marginal_effect",M753="sd (X)"),N753/AQ753*AN753/BF753,
AND(L753="semi_elasticity",M753="level"),N753*AN753,
AND(L753="semi_elasticity",M753="sd (Y)"),N753*AN753*BI753,
AND(L753="semi_elasticity",M753="sd (X)"),N753*AN753/AQ753,
AND(L753="level-log",M753="level"),N753/BF753,
AND(L753="level-log",M753="sd (X)"),N753/BF753/AQ753,
AND(L753="level-log",M753="sd (Y)"),N753/BF753*BI753,
AND(L753="elasticity",M753="level"),N753,
AND(L753="elasticity",M753="sd (X)"),N753/AQ753,
AND(L753="elasticity",M753="sd (Y)"),N753*BI753,
AND(L753="marginal_effect",M753="percent_of_mean"),N753*AN753/BF753/10)</f>
        <v>-0.23944560000000001</v>
      </c>
      <c r="AE753" s="56">
        <f t="shared" si="313"/>
        <v>1</v>
      </c>
      <c r="AF753" s="88">
        <f t="shared" si="302"/>
        <v>8.3197200000000013E-2</v>
      </c>
      <c r="AG753" s="88" cm="1">
        <f t="array" ref="AG753">_xlfn.IFS(
AND(L753="marginal_effect",M753="level"),O753*AN753/BF753,
AND(L753="marginal_effect",M753="sd (Y)"),O753*BI753*AN753/BF753,
AND(L753="marginal_effect",M753="sd (X)"),O753/AQ753*AN753/BF753,
AND(L753="semi_elasticity",M753="level"),O753*AN753,
AND(L753="semi_elasticity",M753="sd (Y)"),O753*AN753*BI753,
AND(L753="semi_elasticity",M753="sd (X)"),O753*AN753/AQ753,
AND(L753="level-log",M753="level"),O753/BF753,
AND(L753="level-log",M753="sd (X)"),O753/BF753/AQ753,
AND(L753="level-log",M753="sd (Y)"),O753/BF753*BI753,
AND(L753="elasticity",M753="level"),O753,
AND(L753="elasticity",M753="sd (X)"),O753/AQ753,
AND(L753="elasticity",M753="sd (Y)"),O753*BI753,
AND(L753="marginal_effect",M753="percent_of_mean"),O753*AN753/BF753/10)</f>
        <v>8.3197200000000013E-2</v>
      </c>
      <c r="AH753" s="56">
        <f t="shared" si="307"/>
        <v>1</v>
      </c>
      <c r="AI753" s="88">
        <f t="shared" si="314"/>
        <v>-0.23944560000000001</v>
      </c>
      <c r="AJ753" s="55">
        <v>0</v>
      </c>
      <c r="AK753" s="55">
        <f t="shared" si="315"/>
        <v>1</v>
      </c>
      <c r="AL753" s="55" t="s">
        <v>148</v>
      </c>
      <c r="AM753" s="55" t="s">
        <v>1466</v>
      </c>
      <c r="AN753" s="55">
        <v>10.146000000000001</v>
      </c>
      <c r="AO753" s="55">
        <v>0</v>
      </c>
      <c r="AP753" s="55">
        <f t="shared" si="316"/>
        <v>101.46000000000001</v>
      </c>
      <c r="AQ753" s="55">
        <v>48.17</v>
      </c>
      <c r="AR753" s="55">
        <v>18</v>
      </c>
      <c r="AS753" s="55">
        <v>300</v>
      </c>
      <c r="AT753" s="55" t="s">
        <v>83</v>
      </c>
      <c r="AU753" s="55" t="s">
        <v>109</v>
      </c>
      <c r="AV753" s="55" t="s">
        <v>133</v>
      </c>
      <c r="AW753" s="55" t="s">
        <v>109</v>
      </c>
      <c r="AX753" s="55" t="s">
        <v>86</v>
      </c>
      <c r="AY753" s="55">
        <v>0</v>
      </c>
      <c r="AZ753" s="55">
        <v>0</v>
      </c>
      <c r="BA753" s="55" t="s">
        <v>87</v>
      </c>
      <c r="BB753" s="55" t="s">
        <v>88</v>
      </c>
      <c r="BC753" s="55" t="s">
        <v>89</v>
      </c>
      <c r="BD753" s="55" t="s">
        <v>90</v>
      </c>
      <c r="BE753" s="55" t="s">
        <v>1458</v>
      </c>
      <c r="BF753" s="55">
        <v>101.57</v>
      </c>
      <c r="BG753" s="55">
        <v>0</v>
      </c>
      <c r="BH753" s="55">
        <v>65.849999999999994</v>
      </c>
      <c r="BI753" s="55">
        <v>5</v>
      </c>
      <c r="BJ753" s="55">
        <v>430</v>
      </c>
      <c r="BK753" s="55" t="s">
        <v>91</v>
      </c>
      <c r="BL753" s="55" t="s">
        <v>84</v>
      </c>
      <c r="BM753" s="55">
        <v>1</v>
      </c>
      <c r="BN753" s="55" t="s">
        <v>428</v>
      </c>
      <c r="BO753" s="60" t="s">
        <v>1463</v>
      </c>
      <c r="BP753" s="55" t="s">
        <v>1464</v>
      </c>
      <c r="BQ753" s="55" t="s">
        <v>117</v>
      </c>
      <c r="BR753" s="55" t="s">
        <v>134</v>
      </c>
      <c r="BS753" s="55">
        <v>29.22</v>
      </c>
      <c r="BT753" s="55">
        <v>0.01</v>
      </c>
      <c r="BU753" s="57">
        <v>42552</v>
      </c>
      <c r="BV753" s="57">
        <v>42643</v>
      </c>
      <c r="BW753" s="55" t="s">
        <v>94</v>
      </c>
      <c r="BX753" s="55" t="s">
        <v>95</v>
      </c>
      <c r="BY753" s="55" t="s">
        <v>748</v>
      </c>
      <c r="BZ753" s="55">
        <v>1</v>
      </c>
      <c r="CA753" s="55">
        <v>1</v>
      </c>
      <c r="CB753" s="55" t="s">
        <v>303</v>
      </c>
      <c r="CC753" s="55" t="s">
        <v>314</v>
      </c>
      <c r="CD753" s="55">
        <v>1</v>
      </c>
      <c r="CE753" s="55" t="s">
        <v>1462</v>
      </c>
      <c r="CF753" s="55">
        <v>1</v>
      </c>
      <c r="CG753" s="55" t="s">
        <v>162</v>
      </c>
      <c r="CH753" s="55">
        <v>1</v>
      </c>
      <c r="CI753" s="55" t="s">
        <v>1465</v>
      </c>
      <c r="CJ753" s="55" t="s">
        <v>98</v>
      </c>
      <c r="CK753" s="55">
        <v>179</v>
      </c>
      <c r="CL753" s="55">
        <v>0</v>
      </c>
      <c r="CM753" s="55">
        <v>0</v>
      </c>
      <c r="CN753" s="55" t="s">
        <v>124</v>
      </c>
      <c r="CO753" s="55" t="s">
        <v>97</v>
      </c>
      <c r="CP753" s="55" t="s">
        <v>100</v>
      </c>
      <c r="CQ753" s="55" t="s">
        <v>126</v>
      </c>
      <c r="CR753" s="57">
        <v>46233</v>
      </c>
      <c r="CT753" s="55" t="s">
        <v>1822</v>
      </c>
    </row>
    <row r="754" spans="1:98" s="55" customFormat="1" x14ac:dyDescent="0.35">
      <c r="A754" s="54" t="s">
        <v>1459</v>
      </c>
      <c r="B754" s="54" t="s">
        <v>1814</v>
      </c>
      <c r="C754" s="55" t="s">
        <v>1460</v>
      </c>
      <c r="D754" s="55">
        <v>2022</v>
      </c>
      <c r="E754" s="60" t="s">
        <v>1461</v>
      </c>
      <c r="F754" s="54" t="s">
        <v>998</v>
      </c>
      <c r="G754" s="55" t="s">
        <v>78</v>
      </c>
      <c r="H754" s="55">
        <v>1</v>
      </c>
      <c r="I754" s="55" t="s">
        <v>290</v>
      </c>
      <c r="J754" s="55" t="s">
        <v>79</v>
      </c>
      <c r="K754" s="55">
        <v>81</v>
      </c>
      <c r="L754" s="55" t="s">
        <v>104</v>
      </c>
      <c r="M754" s="55" t="s">
        <v>380</v>
      </c>
      <c r="N754" s="55">
        <v>0.35930000000000001</v>
      </c>
      <c r="O754" s="55">
        <v>0.34300000000000003</v>
      </c>
      <c r="P754" s="88">
        <f t="shared" si="304"/>
        <v>1.0475218658892127</v>
      </c>
      <c r="Q754" s="55" t="s">
        <v>312</v>
      </c>
      <c r="R754" s="88">
        <f t="shared" si="305"/>
        <v>-0.31297999999999998</v>
      </c>
      <c r="S754" s="88">
        <f t="shared" si="306"/>
        <v>1.0315799999999999</v>
      </c>
      <c r="T754" s="55">
        <v>1</v>
      </c>
      <c r="U754" s="55">
        <v>66374</v>
      </c>
      <c r="V754" s="55" t="s">
        <v>312</v>
      </c>
      <c r="W754" s="55" t="s">
        <v>312</v>
      </c>
      <c r="X754" s="55">
        <f t="shared" si="312"/>
        <v>66374</v>
      </c>
      <c r="Y754" s="88">
        <f t="shared" si="309"/>
        <v>4.0659357515506027E-3</v>
      </c>
      <c r="Z754" s="88">
        <f t="shared" si="310"/>
        <v>3.8814805532475828E-3</v>
      </c>
      <c r="AA754" s="88">
        <f t="shared" si="311"/>
        <v>-4.0659357515506027E-3</v>
      </c>
      <c r="AB754" s="55" t="s">
        <v>81</v>
      </c>
      <c r="AC754" s="88">
        <f t="shared" si="301"/>
        <v>0.29103300000000004</v>
      </c>
      <c r="AD754" s="88" cm="1">
        <f t="array" ref="AD754">_xlfn.IFS(
AND(L754="marginal_effect",M754="level"),N754*AN754/BF754,
AND(L754="marginal_effect",M754="sd (Y)"),N754*BI754*AN754/BF754,
AND(L754="marginal_effect",M754="sd (X)"),N754/AQ754*AN754/BF754,
AND(L754="semi_elasticity",M754="level"),N754*AN754,
AND(L754="semi_elasticity",M754="sd (Y)"),N754*AN754*BI754,
AND(L754="semi_elasticity",M754="sd (X)"),N754*AN754/AQ754,
AND(L754="level-log",M754="level"),N754/BF754,
AND(L754="level-log",M754="sd (X)"),N754/BF754/AQ754,
AND(L754="level-log",M754="sd (Y)"),N754/BF754*BI754,
AND(L754="elasticity",M754="level"),N754,
AND(L754="elasticity",M754="sd (X)"),N754/AQ754,
AND(L754="elasticity",M754="sd (Y)"),N754*BI754,
AND(L754="marginal_effect",M754="percent_of_mean"),N754*AN754/BF754/10)</f>
        <v>0.29103300000000004</v>
      </c>
      <c r="AE754" s="56">
        <f t="shared" si="313"/>
        <v>1</v>
      </c>
      <c r="AF754" s="88">
        <f t="shared" si="302"/>
        <v>0.27783000000000002</v>
      </c>
      <c r="AG754" s="88" cm="1">
        <f t="array" ref="AG754">_xlfn.IFS(
AND(L754="marginal_effect",M754="level"),O754*AN754/BF754,
AND(L754="marginal_effect",M754="sd (Y)"),O754*BI754*AN754/BF754,
AND(L754="marginal_effect",M754="sd (X)"),O754/AQ754*AN754/BF754,
AND(L754="semi_elasticity",M754="level"),O754*AN754,
AND(L754="semi_elasticity",M754="sd (Y)"),O754*AN754*BI754,
AND(L754="semi_elasticity",M754="sd (X)"),O754*AN754/AQ754,
AND(L754="level-log",M754="level"),O754/BF754,
AND(L754="level-log",M754="sd (X)"),O754/BF754/AQ754,
AND(L754="level-log",M754="sd (Y)"),O754/BF754*BI754,
AND(L754="elasticity",M754="level"),O754,
AND(L754="elasticity",M754="sd (X)"),O754/AQ754,
AND(L754="elasticity",M754="sd (Y)"),O754*BI754,
AND(L754="marginal_effect",M754="percent_of_mean"),O754*AN754/BF754/10)</f>
        <v>0.27783000000000002</v>
      </c>
      <c r="AH754" s="56">
        <f t="shared" si="307"/>
        <v>1</v>
      </c>
      <c r="AI754" s="88">
        <f t="shared" si="314"/>
        <v>0.29103300000000004</v>
      </c>
      <c r="AJ754" s="55">
        <v>0</v>
      </c>
      <c r="AK754" s="55">
        <f t="shared" si="315"/>
        <v>1</v>
      </c>
      <c r="AL754" s="55" t="s">
        <v>162</v>
      </c>
      <c r="AM754" s="55" t="s">
        <v>999</v>
      </c>
      <c r="AN754" s="55">
        <v>0.81</v>
      </c>
      <c r="AO754" s="55">
        <v>0</v>
      </c>
      <c r="AP754" s="55">
        <f>AN754</f>
        <v>0.81</v>
      </c>
      <c r="AQ754" s="55">
        <v>0.19</v>
      </c>
      <c r="AR754" s="55">
        <v>0.4</v>
      </c>
      <c r="AS754" s="55">
        <v>1.7</v>
      </c>
      <c r="AT754" s="55" t="s">
        <v>83</v>
      </c>
      <c r="AU754" s="55" t="s">
        <v>109</v>
      </c>
      <c r="AV754" s="55" t="s">
        <v>133</v>
      </c>
      <c r="AW754" s="55" t="s">
        <v>109</v>
      </c>
      <c r="AX754" s="55" t="s">
        <v>86</v>
      </c>
      <c r="AY754" s="55">
        <v>0</v>
      </c>
      <c r="AZ754" s="55">
        <v>0</v>
      </c>
      <c r="BA754" s="55" t="s">
        <v>87</v>
      </c>
      <c r="BB754" s="55" t="s">
        <v>88</v>
      </c>
      <c r="BC754" s="55" t="s">
        <v>89</v>
      </c>
      <c r="BD754" s="55" t="s">
        <v>90</v>
      </c>
      <c r="BE754" s="55" t="s">
        <v>1458</v>
      </c>
      <c r="BF754" s="55">
        <v>101.57</v>
      </c>
      <c r="BG754" s="55">
        <v>0</v>
      </c>
      <c r="BH754" s="55">
        <v>65.849999999999994</v>
      </c>
      <c r="BI754" s="55">
        <v>5</v>
      </c>
      <c r="BJ754" s="55">
        <v>430</v>
      </c>
      <c r="BK754" s="55" t="s">
        <v>91</v>
      </c>
      <c r="BL754" s="55" t="s">
        <v>84</v>
      </c>
      <c r="BM754" s="55">
        <v>1</v>
      </c>
      <c r="BN754" s="55" t="s">
        <v>428</v>
      </c>
      <c r="BO754" s="60" t="s">
        <v>1463</v>
      </c>
      <c r="BP754" s="55" t="s">
        <v>1464</v>
      </c>
      <c r="BQ754" s="55" t="s">
        <v>117</v>
      </c>
      <c r="BR754" s="55" t="s">
        <v>134</v>
      </c>
      <c r="BS754" s="55">
        <v>29.22</v>
      </c>
      <c r="BT754" s="55">
        <v>0.01</v>
      </c>
      <c r="BU754" s="57">
        <v>42552</v>
      </c>
      <c r="BV754" s="57">
        <v>42643</v>
      </c>
      <c r="BW754" s="55" t="s">
        <v>94</v>
      </c>
      <c r="BX754" s="55" t="s">
        <v>95</v>
      </c>
      <c r="BY754" s="55" t="s">
        <v>748</v>
      </c>
      <c r="BZ754" s="55">
        <v>1</v>
      </c>
      <c r="CA754" s="55">
        <v>1</v>
      </c>
      <c r="CB754" s="55" t="s">
        <v>303</v>
      </c>
      <c r="CC754" s="55" t="s">
        <v>314</v>
      </c>
      <c r="CD754" s="55">
        <v>1</v>
      </c>
      <c r="CE754" s="55" t="s">
        <v>1462</v>
      </c>
      <c r="CF754" s="55">
        <v>1</v>
      </c>
      <c r="CG754" s="55" t="s">
        <v>591</v>
      </c>
      <c r="CH754" s="55">
        <v>1</v>
      </c>
      <c r="CI754" s="55" t="s">
        <v>1465</v>
      </c>
      <c r="CJ754" s="55" t="s">
        <v>98</v>
      </c>
      <c r="CK754" s="55">
        <v>179</v>
      </c>
      <c r="CL754" s="55">
        <v>0</v>
      </c>
      <c r="CM754" s="55">
        <v>0</v>
      </c>
      <c r="CN754" s="55" t="s">
        <v>124</v>
      </c>
      <c r="CO754" s="55" t="s">
        <v>97</v>
      </c>
      <c r="CP754" s="55" t="s">
        <v>100</v>
      </c>
      <c r="CQ754" s="55" t="s">
        <v>126</v>
      </c>
      <c r="CR754" s="57">
        <v>46233</v>
      </c>
      <c r="CT754" s="55" t="s">
        <v>1822</v>
      </c>
    </row>
    <row r="755" spans="1:98" s="55" customFormat="1" x14ac:dyDescent="0.35">
      <c r="A755" s="54" t="s">
        <v>1459</v>
      </c>
      <c r="B755" s="54" t="s">
        <v>1811</v>
      </c>
      <c r="C755" s="55" t="s">
        <v>1460</v>
      </c>
      <c r="D755" s="55">
        <v>2022</v>
      </c>
      <c r="E755" s="60" t="s">
        <v>1461</v>
      </c>
      <c r="F755" s="54" t="s">
        <v>998</v>
      </c>
      <c r="G755" s="55" t="s">
        <v>78</v>
      </c>
      <c r="H755" s="55">
        <v>1</v>
      </c>
      <c r="I755" s="55" t="s">
        <v>290</v>
      </c>
      <c r="J755" s="55" t="s">
        <v>79</v>
      </c>
      <c r="K755" s="55">
        <v>81</v>
      </c>
      <c r="L755" s="55" t="s">
        <v>104</v>
      </c>
      <c r="M755" s="55" t="s">
        <v>380</v>
      </c>
      <c r="N755" s="55">
        <v>-1.2999999999999999E-2</v>
      </c>
      <c r="O755" s="55">
        <v>6.1999999999999998E-3</v>
      </c>
      <c r="P755" s="88">
        <f t="shared" si="304"/>
        <v>-2.096774193548387</v>
      </c>
      <c r="Q755" s="55" t="s">
        <v>312</v>
      </c>
      <c r="R755" s="88">
        <f t="shared" si="305"/>
        <v>-2.5152000000000001E-2</v>
      </c>
      <c r="S755" s="88">
        <f t="shared" si="306"/>
        <v>-8.479999999999998E-4</v>
      </c>
      <c r="T755" s="55">
        <v>1</v>
      </c>
      <c r="U755" s="55">
        <v>66374</v>
      </c>
      <c r="V755" s="55" t="s">
        <v>312</v>
      </c>
      <c r="W755" s="55" t="s">
        <v>312</v>
      </c>
      <c r="X755" s="55">
        <f t="shared" si="312"/>
        <v>66374</v>
      </c>
      <c r="Y755" s="88">
        <f t="shared" si="309"/>
        <v>-8.1383860009583437E-3</v>
      </c>
      <c r="Z755" s="88">
        <f t="shared" si="310"/>
        <v>3.8813840927647484E-3</v>
      </c>
      <c r="AA755" s="88">
        <f t="shared" si="311"/>
        <v>8.1383860009583437E-3</v>
      </c>
      <c r="AB755" s="55" t="s">
        <v>81</v>
      </c>
      <c r="AC755" s="88">
        <f t="shared" si="301"/>
        <v>-0.13189800000000002</v>
      </c>
      <c r="AD755" s="88" cm="1">
        <f t="array" ref="AD755">_xlfn.IFS(
AND(L755="marginal_effect",M755="level"),N755*AN755/BF755,
AND(L755="marginal_effect",M755="sd (Y)"),N755*BI755*AN755/BF755,
AND(L755="marginal_effect",M755="sd (X)"),N755/AQ755*AN755/BF755,
AND(L755="semi_elasticity",M755="level"),N755*AN755,
AND(L755="semi_elasticity",M755="sd (Y)"),N755*AN755*BI755,
AND(L755="semi_elasticity",M755="sd (X)"),N755*AN755/AQ755,
AND(L755="level-log",M755="level"),N755/BF755,
AND(L755="level-log",M755="sd (X)"),N755/BF755/AQ755,
AND(L755="level-log",M755="sd (Y)"),N755/BF755*BI755,
AND(L755="elasticity",M755="level"),N755,
AND(L755="elasticity",M755="sd (X)"),N755/AQ755,
AND(L755="elasticity",M755="sd (Y)"),N755*BI755,
AND(L755="marginal_effect",M755="percent_of_mean"),N755*AN755/BF755/10)</f>
        <v>-0.13189800000000002</v>
      </c>
      <c r="AE755" s="56">
        <f t="shared" si="313"/>
        <v>1</v>
      </c>
      <c r="AF755" s="88">
        <f t="shared" si="302"/>
        <v>6.2905200000000008E-2</v>
      </c>
      <c r="AG755" s="88" cm="1">
        <f t="array" ref="AG755">_xlfn.IFS(
AND(L755="marginal_effect",M755="level"),O755*AN755/BF755,
AND(L755="marginal_effect",M755="sd (Y)"),O755*BI755*AN755/BF755,
AND(L755="marginal_effect",M755="sd (X)"),O755/AQ755*AN755/BF755,
AND(L755="semi_elasticity",M755="level"),O755*AN755,
AND(L755="semi_elasticity",M755="sd (Y)"),O755*AN755*BI755,
AND(L755="semi_elasticity",M755="sd (X)"),O755*AN755/AQ755,
AND(L755="level-log",M755="level"),O755/BF755,
AND(L755="level-log",M755="sd (X)"),O755/BF755/AQ755,
AND(L755="level-log",M755="sd (Y)"),O755/BF755*BI755,
AND(L755="elasticity",M755="level"),O755,
AND(L755="elasticity",M755="sd (X)"),O755/AQ755,
AND(L755="elasticity",M755="sd (Y)"),O755*BI755,
AND(L755="marginal_effect",M755="percent_of_mean"),O755*AN755/BF755/10)</f>
        <v>6.2905200000000008E-2</v>
      </c>
      <c r="AH755" s="56">
        <f t="shared" si="307"/>
        <v>1</v>
      </c>
      <c r="AI755" s="88">
        <f t="shared" si="314"/>
        <v>-0.13189800000000002</v>
      </c>
      <c r="AJ755" s="55">
        <v>0</v>
      </c>
      <c r="AK755" s="55">
        <f t="shared" si="315"/>
        <v>1</v>
      </c>
      <c r="AL755" s="55" t="s">
        <v>148</v>
      </c>
      <c r="AM755" s="55" t="s">
        <v>1466</v>
      </c>
      <c r="AN755" s="55">
        <v>10.146000000000001</v>
      </c>
      <c r="AO755" s="55">
        <v>0</v>
      </c>
      <c r="AP755" s="55">
        <f t="shared" ref="AP755:AP761" si="317">AN755*10</f>
        <v>101.46000000000001</v>
      </c>
      <c r="AQ755" s="55">
        <v>48.17</v>
      </c>
      <c r="AR755" s="55">
        <v>18</v>
      </c>
      <c r="AS755" s="55">
        <v>300</v>
      </c>
      <c r="AT755" s="55" t="s">
        <v>83</v>
      </c>
      <c r="AU755" s="55" t="s">
        <v>109</v>
      </c>
      <c r="AV755" s="55" t="s">
        <v>133</v>
      </c>
      <c r="AW755" s="55" t="s">
        <v>109</v>
      </c>
      <c r="AX755" s="55" t="s">
        <v>86</v>
      </c>
      <c r="AY755" s="55">
        <v>0</v>
      </c>
      <c r="AZ755" s="55">
        <v>0</v>
      </c>
      <c r="BA755" s="55" t="s">
        <v>87</v>
      </c>
      <c r="BB755" s="55" t="s">
        <v>88</v>
      </c>
      <c r="BC755" s="55" t="s">
        <v>89</v>
      </c>
      <c r="BD755" s="55" t="s">
        <v>90</v>
      </c>
      <c r="BE755" s="55" t="s">
        <v>1458</v>
      </c>
      <c r="BF755" s="55">
        <v>101.57</v>
      </c>
      <c r="BG755" s="55">
        <v>0</v>
      </c>
      <c r="BH755" s="55">
        <v>65.849999999999994</v>
      </c>
      <c r="BI755" s="55">
        <v>5</v>
      </c>
      <c r="BJ755" s="55">
        <v>430</v>
      </c>
      <c r="BK755" s="55" t="s">
        <v>91</v>
      </c>
      <c r="BL755" s="55" t="s">
        <v>84</v>
      </c>
      <c r="BM755" s="55">
        <v>1</v>
      </c>
      <c r="BN755" s="55" t="s">
        <v>428</v>
      </c>
      <c r="BO755" s="60" t="s">
        <v>1463</v>
      </c>
      <c r="BP755" s="55" t="s">
        <v>1464</v>
      </c>
      <c r="BQ755" s="55" t="s">
        <v>117</v>
      </c>
      <c r="BR755" s="55" t="s">
        <v>134</v>
      </c>
      <c r="BS755" s="55">
        <v>29.22</v>
      </c>
      <c r="BT755" s="55">
        <v>0.01</v>
      </c>
      <c r="BU755" s="57">
        <v>42552</v>
      </c>
      <c r="BV755" s="57">
        <v>42643</v>
      </c>
      <c r="BW755" s="55" t="s">
        <v>94</v>
      </c>
      <c r="BX755" s="55" t="s">
        <v>95</v>
      </c>
      <c r="BY755" s="55" t="s">
        <v>748</v>
      </c>
      <c r="BZ755" s="55">
        <v>1</v>
      </c>
      <c r="CA755" s="55">
        <v>1</v>
      </c>
      <c r="CB755" s="55" t="s">
        <v>303</v>
      </c>
      <c r="CC755" s="55" t="s">
        <v>314</v>
      </c>
      <c r="CD755" s="55">
        <v>1</v>
      </c>
      <c r="CE755" s="55" t="s">
        <v>1462</v>
      </c>
      <c r="CF755" s="55">
        <v>1</v>
      </c>
      <c r="CG755" s="55" t="s">
        <v>1688</v>
      </c>
      <c r="CH755" s="55">
        <v>1</v>
      </c>
      <c r="CI755" s="55" t="s">
        <v>1465</v>
      </c>
      <c r="CJ755" s="55" t="s">
        <v>98</v>
      </c>
      <c r="CK755" s="55">
        <v>179</v>
      </c>
      <c r="CL755" s="55">
        <v>0</v>
      </c>
      <c r="CM755" s="55">
        <v>0</v>
      </c>
      <c r="CN755" s="55" t="s">
        <v>124</v>
      </c>
      <c r="CO755" s="55" t="s">
        <v>97</v>
      </c>
      <c r="CP755" s="55" t="s">
        <v>100</v>
      </c>
      <c r="CQ755" s="55" t="s">
        <v>126</v>
      </c>
      <c r="CR755" s="57">
        <v>46233</v>
      </c>
      <c r="CT755" s="55" t="s">
        <v>1823</v>
      </c>
    </row>
    <row r="756" spans="1:98" s="55" customFormat="1" x14ac:dyDescent="0.35">
      <c r="A756" s="54" t="s">
        <v>1459</v>
      </c>
      <c r="B756" s="54" t="s">
        <v>1812</v>
      </c>
      <c r="C756" s="55" t="s">
        <v>1460</v>
      </c>
      <c r="D756" s="55">
        <v>2022</v>
      </c>
      <c r="E756" s="60" t="s">
        <v>1461</v>
      </c>
      <c r="F756" s="54" t="s">
        <v>998</v>
      </c>
      <c r="G756" s="55" t="s">
        <v>78</v>
      </c>
      <c r="H756" s="55">
        <v>1</v>
      </c>
      <c r="I756" s="55" t="s">
        <v>290</v>
      </c>
      <c r="J756" s="55" t="s">
        <v>79</v>
      </c>
      <c r="K756" s="55">
        <v>81</v>
      </c>
      <c r="L756" s="55" t="s">
        <v>104</v>
      </c>
      <c r="M756" s="55" t="s">
        <v>380</v>
      </c>
      <c r="N756" s="55">
        <v>2.6200000000000001E-2</v>
      </c>
      <c r="O756" s="55">
        <v>2.46E-2</v>
      </c>
      <c r="P756" s="88">
        <f t="shared" si="304"/>
        <v>1.0650406504065042</v>
      </c>
      <c r="Q756" s="55" t="s">
        <v>312</v>
      </c>
      <c r="R756" s="88">
        <f t="shared" si="305"/>
        <v>-2.2016000000000001E-2</v>
      </c>
      <c r="S756" s="88">
        <f t="shared" si="306"/>
        <v>7.441600000000001E-2</v>
      </c>
      <c r="T756" s="55">
        <v>1</v>
      </c>
      <c r="U756" s="55">
        <v>66374</v>
      </c>
      <c r="V756" s="55" t="s">
        <v>312</v>
      </c>
      <c r="W756" s="55" t="s">
        <v>312</v>
      </c>
      <c r="X756" s="55">
        <f t="shared" si="312"/>
        <v>66374</v>
      </c>
      <c r="Y756" s="88">
        <f t="shared" si="309"/>
        <v>4.1339334204687295E-3</v>
      </c>
      <c r="Z756" s="88">
        <f t="shared" si="310"/>
        <v>3.8814794711271262E-3</v>
      </c>
      <c r="AA756" s="88">
        <f t="shared" si="311"/>
        <v>-4.1339334204687295E-3</v>
      </c>
      <c r="AB756" s="55" t="s">
        <v>81</v>
      </c>
      <c r="AC756" s="88">
        <f t="shared" si="301"/>
        <v>7.1264000000000008E-2</v>
      </c>
      <c r="AD756" s="88" cm="1">
        <f t="array" ref="AD756">_xlfn.IFS(
AND(L756="marginal_effect",M756="level"),N756*AN756/BF756,
AND(L756="marginal_effect",M756="sd (Y)"),N756*BI756*AN756/BF756,
AND(L756="marginal_effect",M756="sd (X)"),N756/AQ756*AN756/BF756,
AND(L756="semi_elasticity",M756="level"),N756*AN756,
AND(L756="semi_elasticity",M756="sd (Y)"),N756*AN756*BI756,
AND(L756="semi_elasticity",M756="sd (X)"),N756*AN756/AQ756,
AND(L756="level-log",M756="level"),N756/BF756,
AND(L756="level-log",M756="sd (X)"),N756/BF756/AQ756,
AND(L756="level-log",M756="sd (Y)"),N756/BF756*BI756,
AND(L756="elasticity",M756="level"),N756,
AND(L756="elasticity",M756="sd (X)"),N756/AQ756,
AND(L756="elasticity",M756="sd (Y)"),N756*BI756,
AND(L756="marginal_effect",M756="percent_of_mean"),N756*AN756/BF756/10)</f>
        <v>7.1264000000000008E-2</v>
      </c>
      <c r="AE756" s="56">
        <f t="shared" si="313"/>
        <v>1</v>
      </c>
      <c r="AF756" s="88">
        <f t="shared" si="302"/>
        <v>6.6911999999999999E-2</v>
      </c>
      <c r="AG756" s="88" cm="1">
        <f t="array" ref="AG756">_xlfn.IFS(
AND(L756="marginal_effect",M756="level"),O756*AN756/BF756,
AND(L756="marginal_effect",M756="sd (Y)"),O756*BI756*AN756/BF756,
AND(L756="marginal_effect",M756="sd (X)"),O756/AQ756*AN756/BF756,
AND(L756="semi_elasticity",M756="level"),O756*AN756,
AND(L756="semi_elasticity",M756="sd (Y)"),O756*AN756*BI756,
AND(L756="semi_elasticity",M756="sd (X)"),O756*AN756/AQ756,
AND(L756="level-log",M756="level"),O756/BF756,
AND(L756="level-log",M756="sd (X)"),O756/BF756/AQ756,
AND(L756="level-log",M756="sd (Y)"),O756/BF756*BI756,
AND(L756="elasticity",M756="level"),O756,
AND(L756="elasticity",M756="sd (X)"),O756/AQ756,
AND(L756="elasticity",M756="sd (Y)"),O756*BI756,
AND(L756="marginal_effect",M756="percent_of_mean"),O756*AN756/BF756/10)</f>
        <v>6.6911999999999999E-2</v>
      </c>
      <c r="AH756" s="56">
        <f t="shared" si="307"/>
        <v>1</v>
      </c>
      <c r="AI756" s="88">
        <f t="shared" si="314"/>
        <v>7.1264000000000008E-2</v>
      </c>
      <c r="AJ756" s="55">
        <v>0</v>
      </c>
      <c r="AK756" s="55">
        <f t="shared" si="315"/>
        <v>1</v>
      </c>
      <c r="AL756" s="55" t="s">
        <v>82</v>
      </c>
      <c r="AM756" s="55" t="s">
        <v>1466</v>
      </c>
      <c r="AN756" s="55">
        <v>2.72</v>
      </c>
      <c r="AO756" s="55">
        <v>0</v>
      </c>
      <c r="AP756" s="55">
        <f t="shared" si="317"/>
        <v>27.200000000000003</v>
      </c>
      <c r="AQ756" s="55">
        <v>14.43</v>
      </c>
      <c r="AR756" s="55">
        <v>6</v>
      </c>
      <c r="AS756" s="55">
        <v>88</v>
      </c>
      <c r="AT756" s="55" t="s">
        <v>83</v>
      </c>
      <c r="AU756" s="55" t="s">
        <v>109</v>
      </c>
      <c r="AV756" s="55" t="s">
        <v>133</v>
      </c>
      <c r="AW756" s="55" t="s">
        <v>109</v>
      </c>
      <c r="AX756" s="55" t="s">
        <v>86</v>
      </c>
      <c r="AY756" s="55">
        <v>0</v>
      </c>
      <c r="AZ756" s="55">
        <v>0</v>
      </c>
      <c r="BA756" s="55" t="s">
        <v>87</v>
      </c>
      <c r="BB756" s="55" t="s">
        <v>88</v>
      </c>
      <c r="BC756" s="55" t="s">
        <v>89</v>
      </c>
      <c r="BD756" s="55" t="s">
        <v>90</v>
      </c>
      <c r="BE756" s="55" t="s">
        <v>1458</v>
      </c>
      <c r="BF756" s="55">
        <v>101.57</v>
      </c>
      <c r="BG756" s="55">
        <v>0</v>
      </c>
      <c r="BH756" s="55">
        <v>65.849999999999994</v>
      </c>
      <c r="BI756" s="55">
        <v>5</v>
      </c>
      <c r="BJ756" s="55">
        <v>430</v>
      </c>
      <c r="BK756" s="55" t="s">
        <v>91</v>
      </c>
      <c r="BL756" s="55" t="s">
        <v>84</v>
      </c>
      <c r="BM756" s="55">
        <v>1</v>
      </c>
      <c r="BN756" s="55" t="s">
        <v>428</v>
      </c>
      <c r="BO756" s="60" t="s">
        <v>1463</v>
      </c>
      <c r="BP756" s="55" t="s">
        <v>1464</v>
      </c>
      <c r="BQ756" s="55" t="s">
        <v>117</v>
      </c>
      <c r="BR756" s="55" t="s">
        <v>134</v>
      </c>
      <c r="BS756" s="55">
        <v>29.22</v>
      </c>
      <c r="BT756" s="55">
        <v>0.01</v>
      </c>
      <c r="BU756" s="57">
        <v>42552</v>
      </c>
      <c r="BV756" s="57">
        <v>42643</v>
      </c>
      <c r="BW756" s="55" t="s">
        <v>94</v>
      </c>
      <c r="BX756" s="55" t="s">
        <v>95</v>
      </c>
      <c r="BY756" s="55" t="s">
        <v>748</v>
      </c>
      <c r="BZ756" s="55">
        <v>1</v>
      </c>
      <c r="CA756" s="55">
        <v>1</v>
      </c>
      <c r="CB756" s="55" t="s">
        <v>303</v>
      </c>
      <c r="CC756" s="55" t="s">
        <v>314</v>
      </c>
      <c r="CD756" s="55">
        <v>1</v>
      </c>
      <c r="CE756" s="55" t="s">
        <v>1462</v>
      </c>
      <c r="CF756" s="55">
        <v>1</v>
      </c>
      <c r="CG756" s="55" t="s">
        <v>1818</v>
      </c>
      <c r="CH756" s="55">
        <v>1</v>
      </c>
      <c r="CI756" s="55" t="s">
        <v>1465</v>
      </c>
      <c r="CJ756" s="55" t="s">
        <v>98</v>
      </c>
      <c r="CK756" s="55">
        <v>179</v>
      </c>
      <c r="CL756" s="55">
        <v>0</v>
      </c>
      <c r="CM756" s="55">
        <v>0</v>
      </c>
      <c r="CN756" s="55" t="s">
        <v>124</v>
      </c>
      <c r="CO756" s="55" t="s">
        <v>97</v>
      </c>
      <c r="CP756" s="55" t="s">
        <v>100</v>
      </c>
      <c r="CQ756" s="55" t="s">
        <v>126</v>
      </c>
      <c r="CR756" s="57">
        <v>46233</v>
      </c>
      <c r="CT756" s="55" t="s">
        <v>1823</v>
      </c>
    </row>
    <row r="757" spans="1:98" s="55" customFormat="1" x14ac:dyDescent="0.35">
      <c r="A757" s="54" t="s">
        <v>1459</v>
      </c>
      <c r="B757" s="54" t="s">
        <v>1813</v>
      </c>
      <c r="C757" s="55" t="s">
        <v>1460</v>
      </c>
      <c r="D757" s="55">
        <v>2022</v>
      </c>
      <c r="E757" s="60" t="s">
        <v>1461</v>
      </c>
      <c r="F757" s="54" t="s">
        <v>998</v>
      </c>
      <c r="G757" s="55" t="s">
        <v>78</v>
      </c>
      <c r="H757" s="55">
        <v>1</v>
      </c>
      <c r="I757" s="55" t="s">
        <v>290</v>
      </c>
      <c r="J757" s="55" t="s">
        <v>79</v>
      </c>
      <c r="K757" s="55">
        <v>81</v>
      </c>
      <c r="L757" s="55" t="s">
        <v>104</v>
      </c>
      <c r="M757" s="55" t="s">
        <v>380</v>
      </c>
      <c r="N757" s="55">
        <v>-6.8400000000000002E-2</v>
      </c>
      <c r="O757" s="55">
        <v>4.1700000000000001E-2</v>
      </c>
      <c r="P757" s="88">
        <f t="shared" si="304"/>
        <v>-1.6402877697841727</v>
      </c>
      <c r="Q757" s="55" t="s">
        <v>312</v>
      </c>
      <c r="R757" s="88">
        <f t="shared" si="305"/>
        <v>-0.15013199999999999</v>
      </c>
      <c r="S757" s="88">
        <f t="shared" si="306"/>
        <v>1.3331999999999997E-2</v>
      </c>
      <c r="T757" s="55">
        <v>1</v>
      </c>
      <c r="U757" s="55">
        <v>66374</v>
      </c>
      <c r="V757" s="55" t="s">
        <v>312</v>
      </c>
      <c r="W757" s="55" t="s">
        <v>312</v>
      </c>
      <c r="X757" s="55">
        <f t="shared" si="312"/>
        <v>66374</v>
      </c>
      <c r="Y757" s="88">
        <f t="shared" si="309"/>
        <v>-6.3666686690917549E-3</v>
      </c>
      <c r="Z757" s="88">
        <f t="shared" si="310"/>
        <v>3.8814339693147106E-3</v>
      </c>
      <c r="AA757" s="88">
        <f t="shared" si="311"/>
        <v>6.3666686690917549E-3</v>
      </c>
      <c r="AB757" s="55" t="s">
        <v>81</v>
      </c>
      <c r="AC757" s="88">
        <f t="shared" si="301"/>
        <v>-0.15738840000000001</v>
      </c>
      <c r="AD757" s="88" cm="1">
        <f t="array" ref="AD757">_xlfn.IFS(
AND(L757="marginal_effect",M757="level"),N757*AN757/BF757,
AND(L757="marginal_effect",M757="sd (Y)"),N757*BI757*AN757/BF757,
AND(L757="marginal_effect",M757="sd (X)"),N757/AQ757*AN757/BF757,
AND(L757="semi_elasticity",M757="level"),N757*AN757,
AND(L757="semi_elasticity",M757="sd (Y)"),N757*AN757*BI757,
AND(L757="semi_elasticity",M757="sd (X)"),N757*AN757/AQ757,
AND(L757="level-log",M757="level"),N757/BF757,
AND(L757="level-log",M757="sd (X)"),N757/BF757/AQ757,
AND(L757="level-log",M757="sd (Y)"),N757/BF757*BI757,
AND(L757="elasticity",M757="level"),N757,
AND(L757="elasticity",M757="sd (X)"),N757/AQ757,
AND(L757="elasticity",M757="sd (Y)"),N757*BI757,
AND(L757="marginal_effect",M757="percent_of_mean"),N757*AN757/BF757/10)</f>
        <v>-0.15738840000000001</v>
      </c>
      <c r="AE757" s="56">
        <f t="shared" si="313"/>
        <v>1</v>
      </c>
      <c r="AF757" s="88">
        <f t="shared" si="302"/>
        <v>9.5951700000000015E-2</v>
      </c>
      <c r="AG757" s="88" cm="1">
        <f t="array" ref="AG757">_xlfn.IFS(
AND(L757="marginal_effect",M757="level"),O757*AN757/BF757,
AND(L757="marginal_effect",M757="sd (Y)"),O757*BI757*AN757/BF757,
AND(L757="marginal_effect",M757="sd (X)"),O757/AQ757*AN757/BF757,
AND(L757="semi_elasticity",M757="level"),O757*AN757,
AND(L757="semi_elasticity",M757="sd (Y)"),O757*AN757*BI757,
AND(L757="semi_elasticity",M757="sd (X)"),O757*AN757/AQ757,
AND(L757="level-log",M757="level"),O757/BF757,
AND(L757="level-log",M757="sd (X)"),O757/BF757/AQ757,
AND(L757="level-log",M757="sd (Y)"),O757/BF757*BI757,
AND(L757="elasticity",M757="level"),O757,
AND(L757="elasticity",M757="sd (X)"),O757/AQ757,
AND(L757="elasticity",M757="sd (Y)"),O757*BI757,
AND(L757="marginal_effect",M757="percent_of_mean"),O757*AN757/BF757/10)</f>
        <v>9.5951700000000015E-2</v>
      </c>
      <c r="AH757" s="56">
        <f t="shared" si="307"/>
        <v>1</v>
      </c>
      <c r="AI757" s="88">
        <f t="shared" si="314"/>
        <v>-0.15738840000000001</v>
      </c>
      <c r="AJ757" s="55">
        <v>0</v>
      </c>
      <c r="AK757" s="55">
        <f t="shared" si="315"/>
        <v>1</v>
      </c>
      <c r="AL757" s="55" t="s">
        <v>131</v>
      </c>
      <c r="AM757" s="55" t="s">
        <v>1466</v>
      </c>
      <c r="AN757" s="55">
        <v>2.3010000000000002</v>
      </c>
      <c r="AO757" s="55">
        <v>0</v>
      </c>
      <c r="AP757" s="55">
        <f t="shared" si="317"/>
        <v>23.01</v>
      </c>
      <c r="AQ757" s="55">
        <v>10.75</v>
      </c>
      <c r="AR757" s="55">
        <v>4</v>
      </c>
      <c r="AS757" s="55">
        <v>67</v>
      </c>
      <c r="AT757" s="55" t="s">
        <v>83</v>
      </c>
      <c r="AU757" s="55" t="s">
        <v>109</v>
      </c>
      <c r="AV757" s="55" t="s">
        <v>133</v>
      </c>
      <c r="AW757" s="55" t="s">
        <v>109</v>
      </c>
      <c r="AX757" s="55" t="s">
        <v>86</v>
      </c>
      <c r="AY757" s="55">
        <v>0</v>
      </c>
      <c r="AZ757" s="55">
        <v>0</v>
      </c>
      <c r="BA757" s="55" t="s">
        <v>87</v>
      </c>
      <c r="BB757" s="55" t="s">
        <v>88</v>
      </c>
      <c r="BC757" s="55" t="s">
        <v>89</v>
      </c>
      <c r="BD757" s="55" t="s">
        <v>90</v>
      </c>
      <c r="BE757" s="55" t="s">
        <v>1458</v>
      </c>
      <c r="BF757" s="55">
        <v>101.57</v>
      </c>
      <c r="BG757" s="55">
        <v>0</v>
      </c>
      <c r="BH757" s="55">
        <v>65.849999999999994</v>
      </c>
      <c r="BI757" s="55">
        <v>5</v>
      </c>
      <c r="BJ757" s="55">
        <v>430</v>
      </c>
      <c r="BK757" s="55" t="s">
        <v>91</v>
      </c>
      <c r="BL757" s="55" t="s">
        <v>84</v>
      </c>
      <c r="BM757" s="55">
        <v>1</v>
      </c>
      <c r="BN757" s="55" t="s">
        <v>428</v>
      </c>
      <c r="BO757" s="60" t="s">
        <v>1463</v>
      </c>
      <c r="BP757" s="55" t="s">
        <v>1464</v>
      </c>
      <c r="BQ757" s="55" t="s">
        <v>117</v>
      </c>
      <c r="BR757" s="55" t="s">
        <v>134</v>
      </c>
      <c r="BS757" s="55">
        <v>29.22</v>
      </c>
      <c r="BT757" s="55">
        <v>0.01</v>
      </c>
      <c r="BU757" s="57">
        <v>42552</v>
      </c>
      <c r="BV757" s="57">
        <v>42643</v>
      </c>
      <c r="BW757" s="55" t="s">
        <v>94</v>
      </c>
      <c r="BX757" s="55" t="s">
        <v>95</v>
      </c>
      <c r="BY757" s="55" t="s">
        <v>748</v>
      </c>
      <c r="BZ757" s="55">
        <v>1</v>
      </c>
      <c r="CA757" s="55">
        <v>1</v>
      </c>
      <c r="CB757" s="55" t="s">
        <v>303</v>
      </c>
      <c r="CC757" s="55" t="s">
        <v>314</v>
      </c>
      <c r="CD757" s="55">
        <v>1</v>
      </c>
      <c r="CE757" s="55" t="s">
        <v>1462</v>
      </c>
      <c r="CF757" s="55">
        <v>1</v>
      </c>
      <c r="CG757" s="55" t="s">
        <v>1819</v>
      </c>
      <c r="CH757" s="55">
        <v>1</v>
      </c>
      <c r="CI757" s="55" t="s">
        <v>1465</v>
      </c>
      <c r="CJ757" s="55" t="s">
        <v>98</v>
      </c>
      <c r="CK757" s="55">
        <v>179</v>
      </c>
      <c r="CL757" s="55">
        <v>0</v>
      </c>
      <c r="CM757" s="55">
        <v>0</v>
      </c>
      <c r="CN757" s="55" t="s">
        <v>124</v>
      </c>
      <c r="CO757" s="55" t="s">
        <v>97</v>
      </c>
      <c r="CP757" s="55" t="s">
        <v>100</v>
      </c>
      <c r="CQ757" s="55" t="s">
        <v>126</v>
      </c>
      <c r="CR757" s="57">
        <v>46233</v>
      </c>
      <c r="CT757" s="55" t="s">
        <v>1823</v>
      </c>
    </row>
    <row r="758" spans="1:98" s="55" customFormat="1" x14ac:dyDescent="0.35">
      <c r="A758" s="54" t="s">
        <v>1459</v>
      </c>
      <c r="B758" s="54" t="s">
        <v>1824</v>
      </c>
      <c r="C758" s="55" t="s">
        <v>1460</v>
      </c>
      <c r="D758" s="55">
        <v>2022</v>
      </c>
      <c r="E758" s="60" t="s">
        <v>1461</v>
      </c>
      <c r="F758" s="54" t="s">
        <v>998</v>
      </c>
      <c r="G758" s="55" t="s">
        <v>78</v>
      </c>
      <c r="H758" s="55">
        <v>1</v>
      </c>
      <c r="I758" s="55" t="s">
        <v>290</v>
      </c>
      <c r="J758" s="55" t="s">
        <v>79</v>
      </c>
      <c r="K758" s="55">
        <v>81</v>
      </c>
      <c r="L758" s="55" t="s">
        <v>104</v>
      </c>
      <c r="M758" s="55" t="s">
        <v>380</v>
      </c>
      <c r="N758" s="55">
        <v>-1.44E-2</v>
      </c>
      <c r="O758" s="55">
        <v>3.7000000000000002E-3</v>
      </c>
      <c r="P758" s="88">
        <f t="shared" si="304"/>
        <v>-3.8918918918918917</v>
      </c>
      <c r="Q758" s="55" t="s">
        <v>312</v>
      </c>
      <c r="R758" s="88">
        <f t="shared" si="305"/>
        <v>-2.1651999999999998E-2</v>
      </c>
      <c r="S758" s="88">
        <f t="shared" si="306"/>
        <v>-7.1479999999999998E-3</v>
      </c>
      <c r="T758" s="55">
        <v>1</v>
      </c>
      <c r="U758" s="55">
        <v>58940</v>
      </c>
      <c r="V758" s="55" t="s">
        <v>312</v>
      </c>
      <c r="W758" s="55" t="s">
        <v>312</v>
      </c>
      <c r="X758" s="55">
        <f t="shared" si="312"/>
        <v>58940</v>
      </c>
      <c r="Y758" s="88">
        <f t="shared" si="309"/>
        <v>-1.6028759231131198E-2</v>
      </c>
      <c r="Z758" s="88">
        <f t="shared" si="310"/>
        <v>4.1185006357767669E-3</v>
      </c>
      <c r="AA758" s="88">
        <f t="shared" si="311"/>
        <v>1.6028759231131198E-2</v>
      </c>
      <c r="AB758" s="55" t="s">
        <v>81</v>
      </c>
      <c r="AC758" s="88">
        <f t="shared" si="301"/>
        <v>-0.14610240000000002</v>
      </c>
      <c r="AD758" s="88" cm="1">
        <f t="array" ref="AD758">_xlfn.IFS(
AND(L758="marginal_effect",M758="level"),N758*AN758/BF758,
AND(L758="marginal_effect",M758="sd (Y)"),N758*BI758*AN758/BF758,
AND(L758="marginal_effect",M758="sd (X)"),N758/AQ758*AN758/BF758,
AND(L758="semi_elasticity",M758="level"),N758*AN758,
AND(L758="semi_elasticity",M758="sd (Y)"),N758*AN758*BI758,
AND(L758="semi_elasticity",M758="sd (X)"),N758*AN758/AQ758,
AND(L758="level-log",M758="level"),N758/BF758,
AND(L758="level-log",M758="sd (X)"),N758/BF758/AQ758,
AND(L758="level-log",M758="sd (Y)"),N758/BF758*BI758,
AND(L758="elasticity",M758="level"),N758,
AND(L758="elasticity",M758="sd (X)"),N758/AQ758,
AND(L758="elasticity",M758="sd (Y)"),N758*BI758,
AND(L758="marginal_effect",M758="percent_of_mean"),N758*AN758/BF758/10)</f>
        <v>-0.14610240000000002</v>
      </c>
      <c r="AE758" s="56">
        <f t="shared" si="313"/>
        <v>1</v>
      </c>
      <c r="AF758" s="88">
        <f t="shared" si="302"/>
        <v>3.7540200000000003E-2</v>
      </c>
      <c r="AG758" s="88" cm="1">
        <f t="array" ref="AG758">_xlfn.IFS(
AND(L758="marginal_effect",M758="level"),O758*AN758/BF758,
AND(L758="marginal_effect",M758="sd (Y)"),O758*BI758*AN758/BF758,
AND(L758="marginal_effect",M758="sd (X)"),O758/AQ758*AN758/BF758,
AND(L758="semi_elasticity",M758="level"),O758*AN758,
AND(L758="semi_elasticity",M758="sd (Y)"),O758*AN758*BI758,
AND(L758="semi_elasticity",M758="sd (X)"),O758*AN758/AQ758,
AND(L758="level-log",M758="level"),O758/BF758,
AND(L758="level-log",M758="sd (X)"),O758/BF758/AQ758,
AND(L758="level-log",M758="sd (Y)"),O758/BF758*BI758,
AND(L758="elasticity",M758="level"),O758,
AND(L758="elasticity",M758="sd (X)"),O758/AQ758,
AND(L758="elasticity",M758="sd (Y)"),O758*BI758,
AND(L758="marginal_effect",M758="percent_of_mean"),O758*AN758/BF758/10)</f>
        <v>3.7540200000000003E-2</v>
      </c>
      <c r="AH758" s="56">
        <f t="shared" si="307"/>
        <v>1</v>
      </c>
      <c r="AI758" s="88">
        <f t="shared" si="314"/>
        <v>-0.14610240000000002</v>
      </c>
      <c r="AJ758" s="55">
        <v>0</v>
      </c>
      <c r="AK758" s="55">
        <f t="shared" si="315"/>
        <v>1</v>
      </c>
      <c r="AL758" s="55" t="s">
        <v>148</v>
      </c>
      <c r="AM758" s="55" t="s">
        <v>1466</v>
      </c>
      <c r="AN758" s="55">
        <v>10.146000000000001</v>
      </c>
      <c r="AO758" s="55">
        <v>0</v>
      </c>
      <c r="AP758" s="55">
        <f t="shared" si="317"/>
        <v>101.46000000000001</v>
      </c>
      <c r="AQ758" s="55">
        <v>48.17</v>
      </c>
      <c r="AR758" s="55">
        <v>18</v>
      </c>
      <c r="AS758" s="55">
        <v>300</v>
      </c>
      <c r="AT758" s="55" t="s">
        <v>83</v>
      </c>
      <c r="AU758" s="55" t="s">
        <v>109</v>
      </c>
      <c r="AV758" s="55" t="s">
        <v>133</v>
      </c>
      <c r="AW758" s="55" t="s">
        <v>109</v>
      </c>
      <c r="AX758" s="55" t="s">
        <v>86</v>
      </c>
      <c r="AY758" s="55">
        <v>0</v>
      </c>
      <c r="AZ758" s="55">
        <v>0</v>
      </c>
      <c r="BA758" s="55" t="s">
        <v>87</v>
      </c>
      <c r="BB758" s="55" t="s">
        <v>88</v>
      </c>
      <c r="BC758" s="55" t="s">
        <v>89</v>
      </c>
      <c r="BD758" s="55" t="s">
        <v>90</v>
      </c>
      <c r="BE758" s="55" t="s">
        <v>1458</v>
      </c>
      <c r="BF758" s="55">
        <v>101.57</v>
      </c>
      <c r="BG758" s="55">
        <v>0</v>
      </c>
      <c r="BH758" s="55">
        <v>65.849999999999994</v>
      </c>
      <c r="BI758" s="55">
        <v>5</v>
      </c>
      <c r="BJ758" s="55">
        <v>430</v>
      </c>
      <c r="BK758" s="55" t="s">
        <v>91</v>
      </c>
      <c r="BL758" s="55" t="s">
        <v>84</v>
      </c>
      <c r="BM758" s="55">
        <v>1</v>
      </c>
      <c r="BN758" s="55" t="s">
        <v>428</v>
      </c>
      <c r="BO758" s="60" t="s">
        <v>1463</v>
      </c>
      <c r="BP758" s="55" t="s">
        <v>1464</v>
      </c>
      <c r="BQ758" s="55" t="s">
        <v>117</v>
      </c>
      <c r="BR758" s="55" t="s">
        <v>134</v>
      </c>
      <c r="BS758" s="55">
        <v>29.22</v>
      </c>
      <c r="BT758" s="55">
        <v>0.01</v>
      </c>
      <c r="BU758" s="57">
        <v>42552</v>
      </c>
      <c r="BV758" s="57">
        <v>42643</v>
      </c>
      <c r="BW758" s="55" t="s">
        <v>94</v>
      </c>
      <c r="BX758" s="55" t="s">
        <v>95</v>
      </c>
      <c r="BY758" s="55" t="s">
        <v>748</v>
      </c>
      <c r="BZ758" s="55">
        <v>1</v>
      </c>
      <c r="CA758" s="55">
        <v>1</v>
      </c>
      <c r="CB758" s="55" t="s">
        <v>303</v>
      </c>
      <c r="CC758" s="55" t="s">
        <v>314</v>
      </c>
      <c r="CD758" s="55">
        <v>1</v>
      </c>
      <c r="CE758" s="55" t="s">
        <v>1462</v>
      </c>
      <c r="CF758" s="55">
        <v>0</v>
      </c>
      <c r="CG758" s="55" t="s">
        <v>97</v>
      </c>
      <c r="CH758" s="55">
        <v>1</v>
      </c>
      <c r="CI758" s="55" t="s">
        <v>1465</v>
      </c>
      <c r="CJ758" s="55" t="s">
        <v>98</v>
      </c>
      <c r="CK758" s="55">
        <v>179</v>
      </c>
      <c r="CL758" s="55">
        <v>0</v>
      </c>
      <c r="CM758" s="55">
        <v>0</v>
      </c>
      <c r="CN758" s="55" t="s">
        <v>124</v>
      </c>
      <c r="CO758" s="55" t="s">
        <v>1830</v>
      </c>
      <c r="CP758" s="55" t="s">
        <v>100</v>
      </c>
      <c r="CQ758" s="55" t="s">
        <v>126</v>
      </c>
      <c r="CR758" s="57">
        <v>46233</v>
      </c>
      <c r="CT758" s="55" t="s">
        <v>1827</v>
      </c>
    </row>
    <row r="759" spans="1:98" s="55" customFormat="1" x14ac:dyDescent="0.35">
      <c r="A759" s="54" t="s">
        <v>1459</v>
      </c>
      <c r="B759" s="54" t="s">
        <v>1825</v>
      </c>
      <c r="C759" s="55" t="s">
        <v>1460</v>
      </c>
      <c r="D759" s="55">
        <v>2022</v>
      </c>
      <c r="E759" s="60" t="s">
        <v>1461</v>
      </c>
      <c r="F759" s="54" t="s">
        <v>998</v>
      </c>
      <c r="G759" s="55" t="s">
        <v>78</v>
      </c>
      <c r="H759" s="55">
        <v>1</v>
      </c>
      <c r="I759" s="55" t="s">
        <v>290</v>
      </c>
      <c r="J759" s="55" t="s">
        <v>79</v>
      </c>
      <c r="K759" s="55">
        <v>81</v>
      </c>
      <c r="L759" s="55" t="s">
        <v>104</v>
      </c>
      <c r="M759" s="55" t="s">
        <v>380</v>
      </c>
      <c r="N759" s="55">
        <v>-1.52E-2</v>
      </c>
      <c r="O759" s="55">
        <v>3.5999999999999999E-3</v>
      </c>
      <c r="P759" s="88">
        <f t="shared" si="304"/>
        <v>-4.2222222222222223</v>
      </c>
      <c r="Q759" s="55" t="s">
        <v>312</v>
      </c>
      <c r="R759" s="88">
        <f t="shared" si="305"/>
        <v>-2.2255999999999998E-2</v>
      </c>
      <c r="S759" s="88">
        <f t="shared" si="306"/>
        <v>-8.1440000000000002E-3</v>
      </c>
      <c r="T759" s="55">
        <v>1</v>
      </c>
      <c r="U759" s="55">
        <v>53157</v>
      </c>
      <c r="V759" s="55" t="s">
        <v>312</v>
      </c>
      <c r="W759" s="55" t="s">
        <v>312</v>
      </c>
      <c r="X759" s="55">
        <f t="shared" si="312"/>
        <v>53157</v>
      </c>
      <c r="Y759" s="88">
        <f t="shared" si="309"/>
        <v>-1.8309987326728273E-2</v>
      </c>
      <c r="Z759" s="88">
        <f t="shared" si="310"/>
        <v>4.336575945804064E-3</v>
      </c>
      <c r="AA759" s="88">
        <f t="shared" si="311"/>
        <v>1.8309987326728273E-2</v>
      </c>
      <c r="AB759" s="55" t="s">
        <v>81</v>
      </c>
      <c r="AC759" s="88">
        <f t="shared" si="301"/>
        <v>-0.1542192</v>
      </c>
      <c r="AD759" s="88" cm="1">
        <f t="array" ref="AD759">_xlfn.IFS(
AND(L759="marginal_effect",M759="level"),N759*AN759/BF759,
AND(L759="marginal_effect",M759="sd (Y)"),N759*BI759*AN759/BF759,
AND(L759="marginal_effect",M759="sd (X)"),N759/AQ759*AN759/BF759,
AND(L759="semi_elasticity",M759="level"),N759*AN759,
AND(L759="semi_elasticity",M759="sd (Y)"),N759*AN759*BI759,
AND(L759="semi_elasticity",M759="sd (X)"),N759*AN759/AQ759,
AND(L759="level-log",M759="level"),N759/BF759,
AND(L759="level-log",M759="sd (X)"),N759/BF759/AQ759,
AND(L759="level-log",M759="sd (Y)"),N759/BF759*BI759,
AND(L759="elasticity",M759="level"),N759,
AND(L759="elasticity",M759="sd (X)"),N759/AQ759,
AND(L759="elasticity",M759="sd (Y)"),N759*BI759,
AND(L759="marginal_effect",M759="percent_of_mean"),N759*AN759/BF759/10)</f>
        <v>-0.1542192</v>
      </c>
      <c r="AE759" s="56">
        <f t="shared" si="313"/>
        <v>1</v>
      </c>
      <c r="AF759" s="88">
        <f t="shared" si="302"/>
        <v>3.6525600000000005E-2</v>
      </c>
      <c r="AG759" s="88" cm="1">
        <f t="array" ref="AG759">_xlfn.IFS(
AND(L759="marginal_effect",M759="level"),O759*AN759/BF759,
AND(L759="marginal_effect",M759="sd (Y)"),O759*BI759*AN759/BF759,
AND(L759="marginal_effect",M759="sd (X)"),O759/AQ759*AN759/BF759,
AND(L759="semi_elasticity",M759="level"),O759*AN759,
AND(L759="semi_elasticity",M759="sd (Y)"),O759*AN759*BI759,
AND(L759="semi_elasticity",M759="sd (X)"),O759*AN759/AQ759,
AND(L759="level-log",M759="level"),O759/BF759,
AND(L759="level-log",M759="sd (X)"),O759/BF759/AQ759,
AND(L759="level-log",M759="sd (Y)"),O759/BF759*BI759,
AND(L759="elasticity",M759="level"),O759,
AND(L759="elasticity",M759="sd (X)"),O759/AQ759,
AND(L759="elasticity",M759="sd (Y)"),O759*BI759,
AND(L759="marginal_effect",M759="percent_of_mean"),O759*AN759/BF759/10)</f>
        <v>3.6525600000000005E-2</v>
      </c>
      <c r="AH759" s="56">
        <f t="shared" si="307"/>
        <v>1</v>
      </c>
      <c r="AI759" s="88">
        <f t="shared" si="314"/>
        <v>-0.1542192</v>
      </c>
      <c r="AJ759" s="55">
        <v>0</v>
      </c>
      <c r="AK759" s="55">
        <f t="shared" si="315"/>
        <v>1</v>
      </c>
      <c r="AL759" s="55" t="s">
        <v>148</v>
      </c>
      <c r="AM759" s="55" t="s">
        <v>1466</v>
      </c>
      <c r="AN759" s="55">
        <v>10.146000000000001</v>
      </c>
      <c r="AO759" s="55">
        <v>0</v>
      </c>
      <c r="AP759" s="55">
        <f t="shared" si="317"/>
        <v>101.46000000000001</v>
      </c>
      <c r="AQ759" s="55">
        <v>48.17</v>
      </c>
      <c r="AR759" s="55">
        <v>18</v>
      </c>
      <c r="AS759" s="55">
        <v>300</v>
      </c>
      <c r="AT759" s="55" t="s">
        <v>83</v>
      </c>
      <c r="AU759" s="55" t="s">
        <v>109</v>
      </c>
      <c r="AV759" s="55" t="s">
        <v>133</v>
      </c>
      <c r="AW759" s="55" t="s">
        <v>109</v>
      </c>
      <c r="AX759" s="55" t="s">
        <v>86</v>
      </c>
      <c r="AY759" s="55">
        <v>0</v>
      </c>
      <c r="AZ759" s="55">
        <v>0</v>
      </c>
      <c r="BA759" s="55" t="s">
        <v>87</v>
      </c>
      <c r="BB759" s="55" t="s">
        <v>88</v>
      </c>
      <c r="BC759" s="55" t="s">
        <v>89</v>
      </c>
      <c r="BD759" s="55" t="s">
        <v>90</v>
      </c>
      <c r="BE759" s="55" t="s">
        <v>1458</v>
      </c>
      <c r="BF759" s="55">
        <v>101.57</v>
      </c>
      <c r="BG759" s="55">
        <v>0</v>
      </c>
      <c r="BH759" s="55">
        <v>65.849999999999994</v>
      </c>
      <c r="BI759" s="55">
        <v>5</v>
      </c>
      <c r="BJ759" s="55">
        <v>430</v>
      </c>
      <c r="BK759" s="55" t="s">
        <v>91</v>
      </c>
      <c r="BL759" s="55" t="s">
        <v>84</v>
      </c>
      <c r="BM759" s="55">
        <v>1</v>
      </c>
      <c r="BN759" s="55" t="s">
        <v>428</v>
      </c>
      <c r="BO759" s="60" t="s">
        <v>1463</v>
      </c>
      <c r="BP759" s="55" t="s">
        <v>1464</v>
      </c>
      <c r="BQ759" s="55" t="s">
        <v>117</v>
      </c>
      <c r="BR759" s="55" t="s">
        <v>134</v>
      </c>
      <c r="BS759" s="55">
        <v>29.22</v>
      </c>
      <c r="BT759" s="55">
        <v>0.01</v>
      </c>
      <c r="BU759" s="57">
        <v>42552</v>
      </c>
      <c r="BV759" s="57">
        <v>42643</v>
      </c>
      <c r="BW759" s="55" t="s">
        <v>94</v>
      </c>
      <c r="BX759" s="55" t="s">
        <v>95</v>
      </c>
      <c r="BY759" s="55" t="s">
        <v>748</v>
      </c>
      <c r="BZ759" s="55">
        <v>1</v>
      </c>
      <c r="CA759" s="55">
        <v>1</v>
      </c>
      <c r="CB759" s="55" t="s">
        <v>303</v>
      </c>
      <c r="CC759" s="55" t="s">
        <v>314</v>
      </c>
      <c r="CD759" s="55">
        <v>1</v>
      </c>
      <c r="CE759" s="55" t="s">
        <v>1462</v>
      </c>
      <c r="CF759" s="55">
        <v>0</v>
      </c>
      <c r="CG759" s="55" t="s">
        <v>97</v>
      </c>
      <c r="CH759" s="55">
        <v>1</v>
      </c>
      <c r="CI759" s="55" t="s">
        <v>1465</v>
      </c>
      <c r="CJ759" s="55" t="s">
        <v>98</v>
      </c>
      <c r="CK759" s="55">
        <v>179</v>
      </c>
      <c r="CL759" s="55">
        <v>0</v>
      </c>
      <c r="CM759" s="55">
        <v>0</v>
      </c>
      <c r="CN759" s="55" t="s">
        <v>124</v>
      </c>
      <c r="CO759" s="55" t="s">
        <v>1830</v>
      </c>
      <c r="CP759" s="55" t="s">
        <v>100</v>
      </c>
      <c r="CQ759" s="55" t="s">
        <v>126</v>
      </c>
      <c r="CR759" s="57">
        <v>46233</v>
      </c>
      <c r="CT759" s="55" t="s">
        <v>1828</v>
      </c>
    </row>
    <row r="760" spans="1:98" s="55" customFormat="1" x14ac:dyDescent="0.35">
      <c r="A760" s="54" t="s">
        <v>1459</v>
      </c>
      <c r="B760" s="54" t="s">
        <v>1826</v>
      </c>
      <c r="C760" s="55" t="s">
        <v>1460</v>
      </c>
      <c r="D760" s="55">
        <v>2022</v>
      </c>
      <c r="E760" s="60" t="s">
        <v>1461</v>
      </c>
      <c r="F760" s="54" t="s">
        <v>998</v>
      </c>
      <c r="G760" s="55" t="s">
        <v>78</v>
      </c>
      <c r="H760" s="55">
        <v>1</v>
      </c>
      <c r="I760" s="55" t="s">
        <v>290</v>
      </c>
      <c r="J760" s="55" t="s">
        <v>79</v>
      </c>
      <c r="K760" s="55">
        <v>81</v>
      </c>
      <c r="L760" s="55" t="s">
        <v>104</v>
      </c>
      <c r="M760" s="55" t="s">
        <v>380</v>
      </c>
      <c r="N760" s="55">
        <v>-1.66E-2</v>
      </c>
      <c r="O760" s="55">
        <v>3.8E-3</v>
      </c>
      <c r="P760" s="88">
        <f t="shared" si="304"/>
        <v>-4.3684210526315788</v>
      </c>
      <c r="Q760" s="55" t="s">
        <v>312</v>
      </c>
      <c r="R760" s="88">
        <f t="shared" si="305"/>
        <v>-2.4048E-2</v>
      </c>
      <c r="S760" s="88">
        <f t="shared" si="306"/>
        <v>-9.1520000000000004E-3</v>
      </c>
      <c r="T760" s="55">
        <v>1</v>
      </c>
      <c r="U760" s="55">
        <v>44075</v>
      </c>
      <c r="V760" s="55" t="s">
        <v>312</v>
      </c>
      <c r="W760" s="55" t="s">
        <v>312</v>
      </c>
      <c r="X760" s="55">
        <f t="shared" si="312"/>
        <v>44075</v>
      </c>
      <c r="Y760" s="88">
        <f t="shared" si="309"/>
        <v>-2.0803400655598808E-2</v>
      </c>
      <c r="Z760" s="88">
        <f t="shared" si="310"/>
        <v>4.7622242464623772E-3</v>
      </c>
      <c r="AA760" s="88">
        <f t="shared" si="311"/>
        <v>2.0803400655598808E-2</v>
      </c>
      <c r="AB760" s="55" t="s">
        <v>81</v>
      </c>
      <c r="AC760" s="88">
        <f t="shared" si="301"/>
        <v>-0.16842360000000001</v>
      </c>
      <c r="AD760" s="88" cm="1">
        <f t="array" ref="AD760">_xlfn.IFS(
AND(L760="marginal_effect",M760="level"),N760*AN760/BF760,
AND(L760="marginal_effect",M760="sd (Y)"),N760*BI760*AN760/BF760,
AND(L760="marginal_effect",M760="sd (X)"),N760/AQ760*AN760/BF760,
AND(L760="semi_elasticity",M760="level"),N760*AN760,
AND(L760="semi_elasticity",M760="sd (Y)"),N760*AN760*BI760,
AND(L760="semi_elasticity",M760="sd (X)"),N760*AN760/AQ760,
AND(L760="level-log",M760="level"),N760/BF760,
AND(L760="level-log",M760="sd (X)"),N760/BF760/AQ760,
AND(L760="level-log",M760="sd (Y)"),N760/BF760*BI760,
AND(L760="elasticity",M760="level"),N760,
AND(L760="elasticity",M760="sd (X)"),N760/AQ760,
AND(L760="elasticity",M760="sd (Y)"),N760*BI760,
AND(L760="marginal_effect",M760="percent_of_mean"),N760*AN760/BF760/10)</f>
        <v>-0.16842360000000001</v>
      </c>
      <c r="AE760" s="56">
        <f t="shared" si="313"/>
        <v>1</v>
      </c>
      <c r="AF760" s="88">
        <f t="shared" si="302"/>
        <v>3.85548E-2</v>
      </c>
      <c r="AG760" s="88" cm="1">
        <f t="array" ref="AG760">_xlfn.IFS(
AND(L760="marginal_effect",M760="level"),O760*AN760/BF760,
AND(L760="marginal_effect",M760="sd (Y)"),O760*BI760*AN760/BF760,
AND(L760="marginal_effect",M760="sd (X)"),O760/AQ760*AN760/BF760,
AND(L760="semi_elasticity",M760="level"),O760*AN760,
AND(L760="semi_elasticity",M760="sd (Y)"),O760*AN760*BI760,
AND(L760="semi_elasticity",M760="sd (X)"),O760*AN760/AQ760,
AND(L760="level-log",M760="level"),O760/BF760,
AND(L760="level-log",M760="sd (X)"),O760/BF760/AQ760,
AND(L760="level-log",M760="sd (Y)"),O760/BF760*BI760,
AND(L760="elasticity",M760="level"),O760,
AND(L760="elasticity",M760="sd (X)"),O760/AQ760,
AND(L760="elasticity",M760="sd (Y)"),O760*BI760,
AND(L760="marginal_effect",M760="percent_of_mean"),O760*AN760/BF760/10)</f>
        <v>3.85548E-2</v>
      </c>
      <c r="AH760" s="56">
        <f t="shared" si="307"/>
        <v>1</v>
      </c>
      <c r="AI760" s="88">
        <f t="shared" si="314"/>
        <v>-0.16842360000000001</v>
      </c>
      <c r="AJ760" s="55">
        <v>0</v>
      </c>
      <c r="AK760" s="55">
        <f t="shared" si="315"/>
        <v>1</v>
      </c>
      <c r="AL760" s="55" t="s">
        <v>148</v>
      </c>
      <c r="AM760" s="55" t="s">
        <v>1466</v>
      </c>
      <c r="AN760" s="55">
        <v>10.146000000000001</v>
      </c>
      <c r="AO760" s="55">
        <v>0</v>
      </c>
      <c r="AP760" s="55">
        <f t="shared" si="317"/>
        <v>101.46000000000001</v>
      </c>
      <c r="AQ760" s="55">
        <v>48.17</v>
      </c>
      <c r="AR760" s="55">
        <v>18</v>
      </c>
      <c r="AS760" s="55">
        <v>300</v>
      </c>
      <c r="AT760" s="55" t="s">
        <v>83</v>
      </c>
      <c r="AU760" s="55" t="s">
        <v>109</v>
      </c>
      <c r="AV760" s="55" t="s">
        <v>133</v>
      </c>
      <c r="AW760" s="55" t="s">
        <v>109</v>
      </c>
      <c r="AX760" s="55" t="s">
        <v>86</v>
      </c>
      <c r="AY760" s="55">
        <v>0</v>
      </c>
      <c r="AZ760" s="55">
        <v>0</v>
      </c>
      <c r="BA760" s="55" t="s">
        <v>87</v>
      </c>
      <c r="BB760" s="55" t="s">
        <v>88</v>
      </c>
      <c r="BC760" s="55" t="s">
        <v>89</v>
      </c>
      <c r="BD760" s="55" t="s">
        <v>90</v>
      </c>
      <c r="BE760" s="55" t="s">
        <v>1458</v>
      </c>
      <c r="BF760" s="55">
        <v>101.57</v>
      </c>
      <c r="BG760" s="55">
        <v>0</v>
      </c>
      <c r="BH760" s="55">
        <v>65.849999999999994</v>
      </c>
      <c r="BI760" s="55">
        <v>5</v>
      </c>
      <c r="BJ760" s="55">
        <v>430</v>
      </c>
      <c r="BK760" s="55" t="s">
        <v>91</v>
      </c>
      <c r="BL760" s="55" t="s">
        <v>84</v>
      </c>
      <c r="BM760" s="55">
        <v>1</v>
      </c>
      <c r="BN760" s="55" t="s">
        <v>428</v>
      </c>
      <c r="BO760" s="60" t="s">
        <v>1463</v>
      </c>
      <c r="BP760" s="55" t="s">
        <v>1464</v>
      </c>
      <c r="BQ760" s="55" t="s">
        <v>117</v>
      </c>
      <c r="BR760" s="55" t="s">
        <v>134</v>
      </c>
      <c r="BS760" s="55">
        <v>29.22</v>
      </c>
      <c r="BT760" s="55">
        <v>0.01</v>
      </c>
      <c r="BU760" s="57">
        <v>42552</v>
      </c>
      <c r="BV760" s="57">
        <v>42643</v>
      </c>
      <c r="BW760" s="55" t="s">
        <v>94</v>
      </c>
      <c r="BX760" s="55" t="s">
        <v>95</v>
      </c>
      <c r="BY760" s="55" t="s">
        <v>748</v>
      </c>
      <c r="BZ760" s="55">
        <v>1</v>
      </c>
      <c r="CA760" s="55">
        <v>1</v>
      </c>
      <c r="CB760" s="55" t="s">
        <v>303</v>
      </c>
      <c r="CC760" s="55" t="s">
        <v>314</v>
      </c>
      <c r="CD760" s="55">
        <v>1</v>
      </c>
      <c r="CE760" s="55" t="s">
        <v>1462</v>
      </c>
      <c r="CF760" s="55">
        <v>0</v>
      </c>
      <c r="CG760" s="55" t="s">
        <v>97</v>
      </c>
      <c r="CH760" s="55">
        <v>1</v>
      </c>
      <c r="CI760" s="55" t="s">
        <v>1465</v>
      </c>
      <c r="CJ760" s="55" t="s">
        <v>98</v>
      </c>
      <c r="CK760" s="55">
        <v>179</v>
      </c>
      <c r="CL760" s="55">
        <v>0</v>
      </c>
      <c r="CM760" s="55">
        <v>0</v>
      </c>
      <c r="CN760" s="55" t="s">
        <v>124</v>
      </c>
      <c r="CO760" s="55" t="s">
        <v>1830</v>
      </c>
      <c r="CP760" s="55" t="s">
        <v>100</v>
      </c>
      <c r="CQ760" s="55" t="s">
        <v>126</v>
      </c>
      <c r="CR760" s="57">
        <v>46233</v>
      </c>
      <c r="CT760" s="55" t="s">
        <v>1829</v>
      </c>
    </row>
    <row r="761" spans="1:98" s="55" customFormat="1" x14ac:dyDescent="0.35">
      <c r="A761" s="54" t="s">
        <v>1459</v>
      </c>
      <c r="B761" s="54" t="s">
        <v>1833</v>
      </c>
      <c r="C761" s="55" t="s">
        <v>1460</v>
      </c>
      <c r="D761" s="55">
        <v>2022</v>
      </c>
      <c r="E761" s="60" t="s">
        <v>1461</v>
      </c>
      <c r="F761" s="54" t="s">
        <v>998</v>
      </c>
      <c r="G761" s="55" t="s">
        <v>78</v>
      </c>
      <c r="H761" s="55">
        <v>1</v>
      </c>
      <c r="I761" s="55" t="s">
        <v>290</v>
      </c>
      <c r="J761" s="55" t="s">
        <v>79</v>
      </c>
      <c r="K761" s="55">
        <v>81</v>
      </c>
      <c r="L761" s="55" t="s">
        <v>104</v>
      </c>
      <c r="M761" s="55" t="s">
        <v>380</v>
      </c>
      <c r="N761" s="55">
        <v>-1.04E-2</v>
      </c>
      <c r="O761" s="55">
        <v>3.0999999999999999E-3</v>
      </c>
      <c r="P761" s="88">
        <f t="shared" si="304"/>
        <v>-3.3548387096774195</v>
      </c>
      <c r="Q761" s="55" t="s">
        <v>312</v>
      </c>
      <c r="R761" s="88">
        <f t="shared" si="305"/>
        <v>-1.6475999999999998E-2</v>
      </c>
      <c r="S761" s="88">
        <f t="shared" si="306"/>
        <v>-4.3239999999999997E-3</v>
      </c>
      <c r="T761" s="55">
        <v>1</v>
      </c>
      <c r="U761" s="55">
        <v>66374</v>
      </c>
      <c r="V761" s="55" t="s">
        <v>312</v>
      </c>
      <c r="W761" s="55" t="s">
        <v>312</v>
      </c>
      <c r="X761" s="55">
        <f t="shared" si="312"/>
        <v>66374</v>
      </c>
      <c r="Y761" s="88">
        <f t="shared" si="309"/>
        <v>-1.3020744941250596E-2</v>
      </c>
      <c r="Z761" s="88">
        <f t="shared" si="310"/>
        <v>3.8811835882573893E-3</v>
      </c>
      <c r="AA761" s="88">
        <f t="shared" si="311"/>
        <v>1.3020744941250596E-2</v>
      </c>
      <c r="AB761" s="55" t="s">
        <v>81</v>
      </c>
      <c r="AC761" s="88">
        <f t="shared" si="301"/>
        <v>-0.1055184</v>
      </c>
      <c r="AD761" s="88" cm="1">
        <f t="array" ref="AD761">_xlfn.IFS(
AND(L761="marginal_effect",M761="level"),N761*AN761/BF761,
AND(L761="marginal_effect",M761="sd (Y)"),N761*BI761*AN761/BF761,
AND(L761="marginal_effect",M761="sd (X)"),N761/AQ761*AN761/BF761,
AND(L761="semi_elasticity",M761="level"),N761*AN761,
AND(L761="semi_elasticity",M761="sd (Y)"),N761*AN761*BI761,
AND(L761="semi_elasticity",M761="sd (X)"),N761*AN761/AQ761,
AND(L761="level-log",M761="level"),N761/BF761,
AND(L761="level-log",M761="sd (X)"),N761/BF761/AQ761,
AND(L761="level-log",M761="sd (Y)"),N761/BF761*BI761,
AND(L761="elasticity",M761="level"),N761,
AND(L761="elasticity",M761="sd (X)"),N761/AQ761,
AND(L761="elasticity",M761="sd (Y)"),N761*BI761,
AND(L761="marginal_effect",M761="percent_of_mean"),N761*AN761/BF761/10)</f>
        <v>-0.1055184</v>
      </c>
      <c r="AE761" s="56">
        <f t="shared" si="313"/>
        <v>1</v>
      </c>
      <c r="AF761" s="88">
        <f t="shared" si="302"/>
        <v>3.1452600000000004E-2</v>
      </c>
      <c r="AG761" s="88" cm="1">
        <f t="array" ref="AG761">_xlfn.IFS(
AND(L761="marginal_effect",M761="level"),O761*AN761/BF761,
AND(L761="marginal_effect",M761="sd (Y)"),O761*BI761*AN761/BF761,
AND(L761="marginal_effect",M761="sd (X)"),O761/AQ761*AN761/BF761,
AND(L761="semi_elasticity",M761="level"),O761*AN761,
AND(L761="semi_elasticity",M761="sd (Y)"),O761*AN761*BI761,
AND(L761="semi_elasticity",M761="sd (X)"),O761*AN761/AQ761,
AND(L761="level-log",M761="level"),O761/BF761,
AND(L761="level-log",M761="sd (X)"),O761/BF761/AQ761,
AND(L761="level-log",M761="sd (Y)"),O761/BF761*BI761,
AND(L761="elasticity",M761="level"),O761,
AND(L761="elasticity",M761="sd (X)"),O761/AQ761,
AND(L761="elasticity",M761="sd (Y)"),O761*BI761,
AND(L761="marginal_effect",M761="percent_of_mean"),O761*AN761/BF761/10)</f>
        <v>3.1452600000000004E-2</v>
      </c>
      <c r="AH761" s="56">
        <f t="shared" si="307"/>
        <v>1</v>
      </c>
      <c r="AI761" s="88">
        <f t="shared" si="314"/>
        <v>-0.1055184</v>
      </c>
      <c r="AJ761" s="55">
        <v>0</v>
      </c>
      <c r="AK761" s="55">
        <f t="shared" si="315"/>
        <v>1</v>
      </c>
      <c r="AL761" s="55" t="s">
        <v>148</v>
      </c>
      <c r="AM761" s="55" t="s">
        <v>1466</v>
      </c>
      <c r="AN761" s="55">
        <v>10.146000000000001</v>
      </c>
      <c r="AO761" s="55">
        <v>0</v>
      </c>
      <c r="AP761" s="55">
        <f t="shared" si="317"/>
        <v>101.46000000000001</v>
      </c>
      <c r="AQ761" s="55">
        <v>48.17</v>
      </c>
      <c r="AR761" s="55">
        <v>18</v>
      </c>
      <c r="AS761" s="55">
        <v>300</v>
      </c>
      <c r="AT761" s="55" t="s">
        <v>83</v>
      </c>
      <c r="AU761" s="55" t="s">
        <v>109</v>
      </c>
      <c r="AV761" s="55" t="s">
        <v>133</v>
      </c>
      <c r="AW761" s="55" t="s">
        <v>109</v>
      </c>
      <c r="AX761" s="55" t="s">
        <v>86</v>
      </c>
      <c r="AY761" s="55">
        <v>0</v>
      </c>
      <c r="AZ761" s="55">
        <v>0</v>
      </c>
      <c r="BA761" s="55" t="s">
        <v>87</v>
      </c>
      <c r="BB761" s="55" t="s">
        <v>88</v>
      </c>
      <c r="BC761" s="55" t="s">
        <v>89</v>
      </c>
      <c r="BD761" s="55" t="s">
        <v>90</v>
      </c>
      <c r="BE761" s="55" t="s">
        <v>1458</v>
      </c>
      <c r="BF761" s="55">
        <v>101.57</v>
      </c>
      <c r="BG761" s="55">
        <v>0</v>
      </c>
      <c r="BH761" s="55">
        <v>65.849999999999994</v>
      </c>
      <c r="BI761" s="55">
        <v>5</v>
      </c>
      <c r="BJ761" s="55">
        <v>430</v>
      </c>
      <c r="BK761" s="55" t="s">
        <v>91</v>
      </c>
      <c r="BL761" s="55" t="s">
        <v>84</v>
      </c>
      <c r="BM761" s="55">
        <v>1</v>
      </c>
      <c r="BN761" s="55" t="s">
        <v>428</v>
      </c>
      <c r="BO761" s="60" t="s">
        <v>1463</v>
      </c>
      <c r="BP761" s="55" t="s">
        <v>1464</v>
      </c>
      <c r="BQ761" s="55" t="s">
        <v>117</v>
      </c>
      <c r="BR761" s="55" t="s">
        <v>134</v>
      </c>
      <c r="BS761" s="55">
        <v>29.22</v>
      </c>
      <c r="BT761" s="55">
        <v>0.01</v>
      </c>
      <c r="BU761" s="57">
        <v>42552</v>
      </c>
      <c r="BV761" s="57">
        <v>42643</v>
      </c>
      <c r="BW761" s="55" t="s">
        <v>94</v>
      </c>
      <c r="BX761" s="55" t="s">
        <v>95</v>
      </c>
      <c r="BY761" s="55" t="s">
        <v>748</v>
      </c>
      <c r="BZ761" s="55">
        <v>1</v>
      </c>
      <c r="CA761" s="55">
        <v>1</v>
      </c>
      <c r="CB761" s="55" t="s">
        <v>303</v>
      </c>
      <c r="CC761" s="55" t="s">
        <v>314</v>
      </c>
      <c r="CD761" s="55">
        <v>1</v>
      </c>
      <c r="CE761" s="55" t="s">
        <v>1462</v>
      </c>
      <c r="CF761" s="55">
        <v>0</v>
      </c>
      <c r="CG761" s="55" t="s">
        <v>97</v>
      </c>
      <c r="CH761" s="55">
        <v>1</v>
      </c>
      <c r="CI761" s="55" t="s">
        <v>1465</v>
      </c>
      <c r="CJ761" s="55" t="s">
        <v>98</v>
      </c>
      <c r="CK761" s="55">
        <v>179</v>
      </c>
      <c r="CL761" s="55">
        <v>0</v>
      </c>
      <c r="CM761" s="55">
        <v>0</v>
      </c>
      <c r="CN761" s="55" t="s">
        <v>124</v>
      </c>
      <c r="CO761" s="55" t="s">
        <v>1844</v>
      </c>
      <c r="CP761" s="55" t="s">
        <v>100</v>
      </c>
      <c r="CQ761" s="55" t="s">
        <v>126</v>
      </c>
      <c r="CR761" s="57">
        <v>46233</v>
      </c>
      <c r="CT761" s="55" t="s">
        <v>1834</v>
      </c>
    </row>
    <row r="762" spans="1:98" s="55" customFormat="1" x14ac:dyDescent="0.35">
      <c r="A762" s="54" t="s">
        <v>1459</v>
      </c>
      <c r="B762" s="54" t="s">
        <v>1836</v>
      </c>
      <c r="C762" s="55" t="s">
        <v>1460</v>
      </c>
      <c r="D762" s="55">
        <v>2022</v>
      </c>
      <c r="E762" s="60" t="s">
        <v>1461</v>
      </c>
      <c r="F762" s="54" t="s">
        <v>998</v>
      </c>
      <c r="G762" s="55" t="s">
        <v>78</v>
      </c>
      <c r="H762" s="55">
        <v>1</v>
      </c>
      <c r="I762" s="55" t="s">
        <v>290</v>
      </c>
      <c r="J762" s="55" t="s">
        <v>79</v>
      </c>
      <c r="K762" s="55">
        <v>81</v>
      </c>
      <c r="L762" s="55" t="s">
        <v>129</v>
      </c>
      <c r="M762" s="55" t="s">
        <v>380</v>
      </c>
      <c r="N762" s="55">
        <v>-0.19570000000000001</v>
      </c>
      <c r="O762" s="55">
        <v>0.22500000000000001</v>
      </c>
      <c r="P762" s="88">
        <f t="shared" si="304"/>
        <v>-0.86977777777777776</v>
      </c>
      <c r="Q762" s="55" t="s">
        <v>312</v>
      </c>
      <c r="R762" s="88">
        <f t="shared" si="305"/>
        <v>-0.63670000000000004</v>
      </c>
      <c r="S762" s="88">
        <f t="shared" si="306"/>
        <v>0.24529999999999999</v>
      </c>
      <c r="T762" s="55">
        <v>1</v>
      </c>
      <c r="U762" s="55">
        <v>66374</v>
      </c>
      <c r="V762" s="55" t="s">
        <v>312</v>
      </c>
      <c r="W762" s="55" t="s">
        <v>312</v>
      </c>
      <c r="X762" s="55">
        <f t="shared" si="312"/>
        <v>66374</v>
      </c>
      <c r="Y762" s="88">
        <f t="shared" si="309"/>
        <v>-3.3760341968635983E-3</v>
      </c>
      <c r="Z762" s="88">
        <f t="shared" si="310"/>
        <v>3.8814905175999469E-3</v>
      </c>
      <c r="AA762" s="88">
        <f t="shared" si="311"/>
        <v>3.3760341968635983E-3</v>
      </c>
      <c r="AB762" s="55" t="s">
        <v>81</v>
      </c>
      <c r="AC762" s="88">
        <f>N762*AN762/BF762</f>
        <v>-1.9548805749729253E-2</v>
      </c>
      <c r="AD762" s="88">
        <v>-3.6080882150241217E-2</v>
      </c>
      <c r="AE762" s="56">
        <v>1</v>
      </c>
      <c r="AF762" s="88">
        <f>O762*AN762/BF762</f>
        <v>2.2475632568671855E-2</v>
      </c>
      <c r="AG762" s="88" cm="1">
        <f t="array" ref="AG762">_xlfn.IFS(
AND(L762="marginal_effect",M762="level"),O762*AN762/BF762,
AND(L762="marginal_effect",M762="sd (Y)"),O762*BI762*AN762/BF762,
AND(L762="marginal_effect",M762="sd (X)"),O762/AQ762*AN762/BF762,
AND(L762="semi_elasticity",M762="level"),O762*AN762,
AND(L762="semi_elasticity",M762="sd (Y)"),O762*AN762*BI762,
AND(L762="semi_elasticity",M762="sd (X)"),O762*AN762/AQ762,
AND(L762="level-log",M762="level"),O762/BF762,
AND(L762="level-log",M762="sd (X)"),O762/BF762/AQ762,
AND(L762="level-log",M762="sd (Y)"),O762/BF762*BI762,
AND(L762="elasticity",M762="level"),O762,
AND(L762="elasticity",M762="sd (X)"),O762/AQ762,
AND(L762="elasticity",M762="sd (Y)"),O762*BI762,
AND(L762="marginal_effect",M762="percent_of_mean"),O762*AN762/BF762/10)</f>
        <v>2.2475632568671855E-2</v>
      </c>
      <c r="AH762" s="56">
        <v>1</v>
      </c>
      <c r="AI762" s="88">
        <v>-3.6080882150241217E-2</v>
      </c>
      <c r="AJ762" s="55">
        <v>0</v>
      </c>
      <c r="AK762" s="55">
        <f t="shared" si="315"/>
        <v>1</v>
      </c>
      <c r="AL762" s="55" t="s">
        <v>148</v>
      </c>
      <c r="AM762" s="55" t="s">
        <v>1466</v>
      </c>
      <c r="AN762" s="55">
        <v>10.146000000000001</v>
      </c>
      <c r="AO762" s="55">
        <v>0</v>
      </c>
      <c r="AP762" s="55">
        <v>101.46000000000001</v>
      </c>
      <c r="AQ762" s="55">
        <v>48.17</v>
      </c>
      <c r="AR762" s="55">
        <v>18</v>
      </c>
      <c r="AS762" s="55">
        <v>300</v>
      </c>
      <c r="AT762" s="55" t="s">
        <v>83</v>
      </c>
      <c r="AU762" s="55" t="s">
        <v>109</v>
      </c>
      <c r="AV762" s="55" t="s">
        <v>133</v>
      </c>
      <c r="AW762" s="55" t="s">
        <v>109</v>
      </c>
      <c r="AX762" s="55" t="s">
        <v>86</v>
      </c>
      <c r="AY762" s="55">
        <v>0</v>
      </c>
      <c r="AZ762" s="55">
        <v>0</v>
      </c>
      <c r="BA762" s="55" t="s">
        <v>87</v>
      </c>
      <c r="BB762" s="55" t="s">
        <v>88</v>
      </c>
      <c r="BC762" s="55" t="s">
        <v>89</v>
      </c>
      <c r="BD762" s="55" t="s">
        <v>90</v>
      </c>
      <c r="BE762" s="55" t="s">
        <v>1458</v>
      </c>
      <c r="BF762" s="55">
        <v>101.57</v>
      </c>
      <c r="BG762" s="55">
        <v>0</v>
      </c>
      <c r="BH762" s="55">
        <v>65.849999999999994</v>
      </c>
      <c r="BI762" s="55">
        <v>5</v>
      </c>
      <c r="BJ762" s="55">
        <v>430</v>
      </c>
      <c r="BK762" s="55" t="s">
        <v>91</v>
      </c>
      <c r="BL762" s="55" t="s">
        <v>84</v>
      </c>
      <c r="BM762" s="55">
        <v>1</v>
      </c>
      <c r="BN762" s="55" t="s">
        <v>428</v>
      </c>
      <c r="BO762" s="60" t="s">
        <v>1463</v>
      </c>
      <c r="BP762" s="55" t="s">
        <v>1464</v>
      </c>
      <c r="BQ762" s="55" t="s">
        <v>117</v>
      </c>
      <c r="BR762" s="55" t="s">
        <v>134</v>
      </c>
      <c r="BS762" s="55">
        <v>29.22</v>
      </c>
      <c r="BT762" s="55">
        <v>0.01</v>
      </c>
      <c r="BU762" s="57">
        <v>42552</v>
      </c>
      <c r="BV762" s="57">
        <v>42643</v>
      </c>
      <c r="BW762" s="55" t="s">
        <v>94</v>
      </c>
      <c r="BX762" s="55" t="s">
        <v>95</v>
      </c>
      <c r="BY762" s="55" t="s">
        <v>748</v>
      </c>
      <c r="BZ762" s="55">
        <v>1</v>
      </c>
      <c r="CA762" s="55">
        <v>1</v>
      </c>
      <c r="CB762" s="55" t="s">
        <v>303</v>
      </c>
      <c r="CC762" s="55" t="s">
        <v>314</v>
      </c>
      <c r="CD762" s="55">
        <v>1</v>
      </c>
      <c r="CE762" s="55" t="s">
        <v>1462</v>
      </c>
      <c r="CF762" s="55">
        <v>0</v>
      </c>
      <c r="CG762" s="55" t="s">
        <v>97</v>
      </c>
      <c r="CH762" s="55">
        <v>1</v>
      </c>
      <c r="CI762" s="55" t="s">
        <v>1465</v>
      </c>
      <c r="CJ762" s="55" t="s">
        <v>98</v>
      </c>
      <c r="CK762" s="55">
        <v>179</v>
      </c>
      <c r="CL762" s="55">
        <v>0</v>
      </c>
      <c r="CM762" s="55">
        <v>0</v>
      </c>
      <c r="CN762" s="55" t="s">
        <v>124</v>
      </c>
      <c r="CO762" s="55" t="s">
        <v>1844</v>
      </c>
      <c r="CP762" s="55" t="s">
        <v>100</v>
      </c>
      <c r="CQ762" s="55" t="s">
        <v>126</v>
      </c>
      <c r="CR762" s="57">
        <v>46233</v>
      </c>
      <c r="CT762" s="55" t="s">
        <v>1841</v>
      </c>
    </row>
    <row r="763" spans="1:98" s="55" customFormat="1" x14ac:dyDescent="0.35">
      <c r="A763" s="54" t="s">
        <v>1459</v>
      </c>
      <c r="B763" s="54" t="s">
        <v>1835</v>
      </c>
      <c r="C763" s="55" t="s">
        <v>1460</v>
      </c>
      <c r="D763" s="55">
        <v>2022</v>
      </c>
      <c r="E763" s="60" t="s">
        <v>1461</v>
      </c>
      <c r="F763" s="54" t="s">
        <v>998</v>
      </c>
      <c r="G763" s="55" t="s">
        <v>78</v>
      </c>
      <c r="H763" s="55">
        <v>1</v>
      </c>
      <c r="I763" s="55" t="s">
        <v>290</v>
      </c>
      <c r="J763" s="55" t="s">
        <v>79</v>
      </c>
      <c r="K763" s="55">
        <v>81</v>
      </c>
      <c r="L763" s="55" t="s">
        <v>104</v>
      </c>
      <c r="M763" s="55" t="s">
        <v>380</v>
      </c>
      <c r="N763" s="55">
        <v>-1.6999999999999999E-3</v>
      </c>
      <c r="O763" s="55">
        <v>5.5999999999999999E-3</v>
      </c>
      <c r="P763" s="88">
        <f t="shared" si="304"/>
        <v>-0.30357142857142855</v>
      </c>
      <c r="Q763" s="55" t="s">
        <v>312</v>
      </c>
      <c r="R763" s="88">
        <f t="shared" si="305"/>
        <v>-1.2676E-2</v>
      </c>
      <c r="S763" s="88">
        <f t="shared" si="306"/>
        <v>9.2759999999999995E-3</v>
      </c>
      <c r="T763" s="55">
        <v>1</v>
      </c>
      <c r="U763" s="55">
        <v>66374</v>
      </c>
      <c r="V763" s="55" t="s">
        <v>312</v>
      </c>
      <c r="W763" s="55" t="s">
        <v>312</v>
      </c>
      <c r="X763" s="55">
        <f t="shared" si="312"/>
        <v>66374</v>
      </c>
      <c r="Y763" s="88">
        <f t="shared" si="309"/>
        <v>-1.178315518422942E-3</v>
      </c>
      <c r="Z763" s="88">
        <f t="shared" si="310"/>
        <v>3.88150994304028E-3</v>
      </c>
      <c r="AA763" s="88">
        <f t="shared" si="311"/>
        <v>1.178315518422942E-3</v>
      </c>
      <c r="AB763" s="55" t="s">
        <v>81</v>
      </c>
      <c r="AC763" s="88">
        <f>N763*AN763</f>
        <v>-1.7248200000000002E-2</v>
      </c>
      <c r="AD763" s="88">
        <v>-0.14407320000000001</v>
      </c>
      <c r="AE763" s="56">
        <v>1</v>
      </c>
      <c r="AF763" s="88">
        <f>O763*AN763</f>
        <v>5.6817600000000003E-2</v>
      </c>
      <c r="AG763" s="88" cm="1">
        <f t="array" ref="AG763">_xlfn.IFS(
AND(L763="marginal_effect",M763="level"),O763*AN763/BF763,
AND(L763="marginal_effect",M763="sd (Y)"),O763*BI763*AN763/BF763,
AND(L763="marginal_effect",M763="sd (X)"),O763/AQ763*AN763/BF763,
AND(L763="semi_elasticity",M763="level"),O763*AN763,
AND(L763="semi_elasticity",M763="sd (Y)"),O763*AN763*BI763,
AND(L763="semi_elasticity",M763="sd (X)"),O763*AN763/AQ763,
AND(L763="level-log",M763="level"),O763/BF763,
AND(L763="level-log",M763="sd (X)"),O763/BF763/AQ763,
AND(L763="level-log",M763="sd (Y)"),O763/BF763*BI763,
AND(L763="elasticity",M763="level"),O763,
AND(L763="elasticity",M763="sd (X)"),O763/AQ763,
AND(L763="elasticity",M763="sd (Y)"),O763*BI763,
AND(L763="marginal_effect",M763="percent_of_mean"),O763*AN763/BF763/10)</f>
        <v>5.6817600000000003E-2</v>
      </c>
      <c r="AH763" s="56">
        <v>1</v>
      </c>
      <c r="AI763" s="88">
        <v>-0.14407320000000001</v>
      </c>
      <c r="AJ763" s="55">
        <v>0</v>
      </c>
      <c r="AK763" s="55">
        <f t="shared" si="315"/>
        <v>1</v>
      </c>
      <c r="AL763" s="55" t="s">
        <v>148</v>
      </c>
      <c r="AM763" s="55" t="s">
        <v>1466</v>
      </c>
      <c r="AN763" s="55">
        <v>10.146000000000001</v>
      </c>
      <c r="AO763" s="55">
        <v>0</v>
      </c>
      <c r="AP763" s="55">
        <v>101.46000000000001</v>
      </c>
      <c r="AQ763" s="55">
        <v>48.17</v>
      </c>
      <c r="AR763" s="55">
        <v>18</v>
      </c>
      <c r="AS763" s="55">
        <v>300</v>
      </c>
      <c r="AT763" s="55" t="s">
        <v>83</v>
      </c>
      <c r="AU763" s="55" t="s">
        <v>109</v>
      </c>
      <c r="AV763" s="55" t="s">
        <v>133</v>
      </c>
      <c r="AW763" s="55" t="s">
        <v>109</v>
      </c>
      <c r="AX763" s="55" t="s">
        <v>86</v>
      </c>
      <c r="AY763" s="55">
        <v>0</v>
      </c>
      <c r="AZ763" s="55">
        <v>0</v>
      </c>
      <c r="BA763" s="55" t="s">
        <v>87</v>
      </c>
      <c r="BB763" s="55" t="s">
        <v>88</v>
      </c>
      <c r="BC763" s="55" t="s">
        <v>89</v>
      </c>
      <c r="BD763" s="55" t="s">
        <v>90</v>
      </c>
      <c r="BE763" s="55" t="s">
        <v>1458</v>
      </c>
      <c r="BF763" s="55">
        <v>101.57</v>
      </c>
      <c r="BG763" s="55">
        <v>0</v>
      </c>
      <c r="BH763" s="55">
        <v>65.849999999999994</v>
      </c>
      <c r="BI763" s="55">
        <v>5</v>
      </c>
      <c r="BJ763" s="55">
        <v>430</v>
      </c>
      <c r="BK763" s="55" t="s">
        <v>91</v>
      </c>
      <c r="BL763" s="55" t="s">
        <v>84</v>
      </c>
      <c r="BM763" s="55">
        <v>1</v>
      </c>
      <c r="BN763" s="55" t="s">
        <v>428</v>
      </c>
      <c r="BO763" s="60" t="s">
        <v>1463</v>
      </c>
      <c r="BP763" s="55" t="s">
        <v>1464</v>
      </c>
      <c r="BQ763" s="55" t="s">
        <v>117</v>
      </c>
      <c r="BR763" s="55" t="s">
        <v>134</v>
      </c>
      <c r="BS763" s="55">
        <v>29.22</v>
      </c>
      <c r="BT763" s="55">
        <v>0.01</v>
      </c>
      <c r="BU763" s="57">
        <v>42552</v>
      </c>
      <c r="BV763" s="57">
        <v>42643</v>
      </c>
      <c r="BW763" s="55" t="s">
        <v>94</v>
      </c>
      <c r="BX763" s="55" t="s">
        <v>95</v>
      </c>
      <c r="BY763" s="55" t="s">
        <v>748</v>
      </c>
      <c r="BZ763" s="55">
        <v>1</v>
      </c>
      <c r="CA763" s="55">
        <v>1</v>
      </c>
      <c r="CB763" s="55" t="s">
        <v>303</v>
      </c>
      <c r="CC763" s="55" t="s">
        <v>314</v>
      </c>
      <c r="CD763" s="55">
        <v>1</v>
      </c>
      <c r="CE763" s="55" t="s">
        <v>1462</v>
      </c>
      <c r="CF763" s="55">
        <v>0</v>
      </c>
      <c r="CG763" s="55" t="s">
        <v>97</v>
      </c>
      <c r="CH763" s="55">
        <v>1</v>
      </c>
      <c r="CI763" s="55" t="s">
        <v>1465</v>
      </c>
      <c r="CJ763" s="55" t="s">
        <v>98</v>
      </c>
      <c r="CK763" s="55">
        <v>179</v>
      </c>
      <c r="CL763" s="55">
        <v>0</v>
      </c>
      <c r="CM763" s="55">
        <v>0</v>
      </c>
      <c r="CN763" s="55" t="s">
        <v>124</v>
      </c>
      <c r="CO763" s="55" t="s">
        <v>1844</v>
      </c>
      <c r="CP763" s="55" t="s">
        <v>100</v>
      </c>
      <c r="CQ763" s="55" t="s">
        <v>126</v>
      </c>
      <c r="CR763" s="57">
        <v>46233</v>
      </c>
      <c r="CT763" s="55" t="s">
        <v>1841</v>
      </c>
    </row>
    <row r="764" spans="1:98" s="55" customFormat="1" x14ac:dyDescent="0.35">
      <c r="A764" s="54" t="s">
        <v>1459</v>
      </c>
      <c r="B764" s="54" t="s">
        <v>1837</v>
      </c>
      <c r="C764" s="55" t="s">
        <v>1460</v>
      </c>
      <c r="D764" s="55">
        <v>2022</v>
      </c>
      <c r="E764" s="60" t="s">
        <v>1461</v>
      </c>
      <c r="F764" s="54" t="s">
        <v>998</v>
      </c>
      <c r="G764" s="55" t="s">
        <v>78</v>
      </c>
      <c r="H764" s="55">
        <v>1</v>
      </c>
      <c r="I764" s="55" t="s">
        <v>290</v>
      </c>
      <c r="J764" s="55" t="s">
        <v>79</v>
      </c>
      <c r="K764" s="55">
        <v>81</v>
      </c>
      <c r="L764" s="55" t="s">
        <v>129</v>
      </c>
      <c r="M764" s="55" t="s">
        <v>380</v>
      </c>
      <c r="N764" s="55">
        <v>-0.94610000000000005</v>
      </c>
      <c r="O764" s="55">
        <v>0.28849999999999998</v>
      </c>
      <c r="P764" s="88">
        <f t="shared" si="304"/>
        <v>-3.2793760831889087</v>
      </c>
      <c r="Q764" s="55" t="s">
        <v>312</v>
      </c>
      <c r="R764" s="88">
        <f t="shared" si="305"/>
        <v>-1.51156</v>
      </c>
      <c r="S764" s="88">
        <f t="shared" si="306"/>
        <v>-0.38064000000000009</v>
      </c>
      <c r="T764" s="55">
        <v>1</v>
      </c>
      <c r="U764" s="55">
        <v>66374</v>
      </c>
      <c r="V764" s="55" t="s">
        <v>312</v>
      </c>
      <c r="W764" s="55" t="s">
        <v>312</v>
      </c>
      <c r="X764" s="55">
        <f t="shared" si="312"/>
        <v>66374</v>
      </c>
      <c r="Y764" s="88">
        <f t="shared" si="309"/>
        <v>-1.272790862677356E-2</v>
      </c>
      <c r="Z764" s="88">
        <f t="shared" si="310"/>
        <v>3.8811982230463711E-3</v>
      </c>
      <c r="AA764" s="88">
        <f t="shared" si="311"/>
        <v>1.272790862677356E-2</v>
      </c>
      <c r="AB764" s="55" t="s">
        <v>81</v>
      </c>
      <c r="AC764" s="88">
        <f>N764*AN764/BF764</f>
        <v>-9.4507537658757523E-2</v>
      </c>
      <c r="AD764" s="88">
        <v>-3.6080882150241217E-2</v>
      </c>
      <c r="AE764" s="56">
        <v>1</v>
      </c>
      <c r="AF764" s="88">
        <f>O764*AN764/BF764</f>
        <v>2.8818755538052576E-2</v>
      </c>
      <c r="AG764" s="88" cm="1">
        <f t="array" ref="AG764">_xlfn.IFS(
AND(L764="marginal_effect",M764="level"),O764*AN764/BF764,
AND(L764="marginal_effect",M764="sd (Y)"),O764*BI764*AN764/BF764,
AND(L764="marginal_effect",M764="sd (X)"),O764/AQ764*AN764/BF764,
AND(L764="semi_elasticity",M764="level"),O764*AN764,
AND(L764="semi_elasticity",M764="sd (Y)"),O764*AN764*BI764,
AND(L764="semi_elasticity",M764="sd (X)"),O764*AN764/AQ764,
AND(L764="level-log",M764="level"),O764/BF764,
AND(L764="level-log",M764="sd (X)"),O764/BF764/AQ764,
AND(L764="level-log",M764="sd (Y)"),O764/BF764*BI764,
AND(L764="elasticity",M764="level"),O764,
AND(L764="elasticity",M764="sd (X)"),O764/AQ764,
AND(L764="elasticity",M764="sd (Y)"),O764*BI764,
AND(L764="marginal_effect",M764="percent_of_mean"),O764*AN764/BF764/10)</f>
        <v>2.8818755538052576E-2</v>
      </c>
      <c r="AH764" s="56">
        <v>1</v>
      </c>
      <c r="AI764" s="88">
        <v>-3.6080882150241217E-2</v>
      </c>
      <c r="AJ764" s="55">
        <v>0</v>
      </c>
      <c r="AK764" s="55">
        <f t="shared" si="315"/>
        <v>1</v>
      </c>
      <c r="AL764" s="55" t="s">
        <v>148</v>
      </c>
      <c r="AM764" s="55" t="s">
        <v>1466</v>
      </c>
      <c r="AN764" s="55">
        <v>10.146000000000001</v>
      </c>
      <c r="AO764" s="55">
        <v>0</v>
      </c>
      <c r="AP764" s="55">
        <v>101.46000000000001</v>
      </c>
      <c r="AQ764" s="55">
        <v>48.17</v>
      </c>
      <c r="AR764" s="55">
        <v>18</v>
      </c>
      <c r="AS764" s="55">
        <v>300</v>
      </c>
      <c r="AT764" s="55" t="s">
        <v>83</v>
      </c>
      <c r="AU764" s="55" t="s">
        <v>109</v>
      </c>
      <c r="AV764" s="55" t="s">
        <v>133</v>
      </c>
      <c r="AW764" s="55" t="s">
        <v>109</v>
      </c>
      <c r="AX764" s="55" t="s">
        <v>86</v>
      </c>
      <c r="AY764" s="55">
        <v>0</v>
      </c>
      <c r="AZ764" s="55">
        <v>0</v>
      </c>
      <c r="BA764" s="55" t="s">
        <v>87</v>
      </c>
      <c r="BB764" s="55" t="s">
        <v>88</v>
      </c>
      <c r="BC764" s="55" t="s">
        <v>89</v>
      </c>
      <c r="BD764" s="55" t="s">
        <v>90</v>
      </c>
      <c r="BE764" s="55" t="s">
        <v>1458</v>
      </c>
      <c r="BF764" s="55">
        <v>101.57</v>
      </c>
      <c r="BG764" s="55">
        <v>0</v>
      </c>
      <c r="BH764" s="55">
        <v>65.849999999999994</v>
      </c>
      <c r="BI764" s="55">
        <v>5</v>
      </c>
      <c r="BJ764" s="55">
        <v>430</v>
      </c>
      <c r="BK764" s="55" t="s">
        <v>91</v>
      </c>
      <c r="BL764" s="55" t="s">
        <v>84</v>
      </c>
      <c r="BM764" s="55">
        <v>1</v>
      </c>
      <c r="BN764" s="55" t="s">
        <v>428</v>
      </c>
      <c r="BO764" s="60" t="s">
        <v>1463</v>
      </c>
      <c r="BP764" s="55" t="s">
        <v>1464</v>
      </c>
      <c r="BQ764" s="55" t="s">
        <v>117</v>
      </c>
      <c r="BR764" s="55" t="s">
        <v>134</v>
      </c>
      <c r="BS764" s="55">
        <v>29.22</v>
      </c>
      <c r="BT764" s="55">
        <v>0.01</v>
      </c>
      <c r="BU764" s="57">
        <v>42552</v>
      </c>
      <c r="BV764" s="57">
        <v>42643</v>
      </c>
      <c r="BW764" s="55" t="s">
        <v>94</v>
      </c>
      <c r="BX764" s="55" t="s">
        <v>95</v>
      </c>
      <c r="BY764" s="55" t="s">
        <v>748</v>
      </c>
      <c r="BZ764" s="55">
        <v>1</v>
      </c>
      <c r="CA764" s="55">
        <v>1</v>
      </c>
      <c r="CB764" s="55" t="s">
        <v>303</v>
      </c>
      <c r="CC764" s="55" t="s">
        <v>314</v>
      </c>
      <c r="CD764" s="55">
        <v>1</v>
      </c>
      <c r="CE764" s="55" t="s">
        <v>1462</v>
      </c>
      <c r="CF764" s="55">
        <v>0</v>
      </c>
      <c r="CG764" s="55" t="s">
        <v>97</v>
      </c>
      <c r="CH764" s="55">
        <v>1</v>
      </c>
      <c r="CI764" s="55" t="s">
        <v>1465</v>
      </c>
      <c r="CJ764" s="55" t="s">
        <v>98</v>
      </c>
      <c r="CK764" s="55">
        <v>179</v>
      </c>
      <c r="CL764" s="55">
        <v>0</v>
      </c>
      <c r="CM764" s="55">
        <v>0</v>
      </c>
      <c r="CN764" s="55" t="s">
        <v>124</v>
      </c>
      <c r="CO764" s="55" t="s">
        <v>1844</v>
      </c>
      <c r="CP764" s="55" t="s">
        <v>100</v>
      </c>
      <c r="CQ764" s="55" t="s">
        <v>126</v>
      </c>
      <c r="CR764" s="57">
        <v>46233</v>
      </c>
      <c r="CT764" s="55" t="s">
        <v>1842</v>
      </c>
    </row>
    <row r="765" spans="1:98" s="55" customFormat="1" x14ac:dyDescent="0.35">
      <c r="A765" s="54" t="s">
        <v>1459</v>
      </c>
      <c r="B765" s="54" t="s">
        <v>1838</v>
      </c>
      <c r="C765" s="55" t="s">
        <v>1460</v>
      </c>
      <c r="D765" s="55">
        <v>2022</v>
      </c>
      <c r="E765" s="60" t="s">
        <v>1461</v>
      </c>
      <c r="F765" s="54" t="s">
        <v>998</v>
      </c>
      <c r="G765" s="55" t="s">
        <v>78</v>
      </c>
      <c r="H765" s="55">
        <v>1</v>
      </c>
      <c r="I765" s="55" t="s">
        <v>290</v>
      </c>
      <c r="J765" s="55" t="s">
        <v>79</v>
      </c>
      <c r="K765" s="55">
        <v>81</v>
      </c>
      <c r="L765" s="55" t="s">
        <v>104</v>
      </c>
      <c r="M765" s="55" t="s">
        <v>380</v>
      </c>
      <c r="N765" s="55">
        <v>-1.7000000000000001E-2</v>
      </c>
      <c r="O765" s="55">
        <v>4.8999999999999998E-3</v>
      </c>
      <c r="P765" s="88">
        <f t="shared" si="304"/>
        <v>-3.4693877551020411</v>
      </c>
      <c r="Q765" s="55" t="s">
        <v>312</v>
      </c>
      <c r="R765" s="88">
        <f t="shared" si="305"/>
        <v>-2.6604000000000003E-2</v>
      </c>
      <c r="S765" s="88">
        <f t="shared" si="306"/>
        <v>-7.3960000000000015E-3</v>
      </c>
      <c r="T765" s="55">
        <v>1</v>
      </c>
      <c r="U765" s="55">
        <v>12685</v>
      </c>
      <c r="V765" s="55" t="s">
        <v>312</v>
      </c>
      <c r="W765" s="55" t="s">
        <v>312</v>
      </c>
      <c r="X765" s="55">
        <f t="shared" si="312"/>
        <v>12685</v>
      </c>
      <c r="Y765" s="88">
        <f t="shared" si="309"/>
        <v>-3.0789430410075577E-2</v>
      </c>
      <c r="Z765" s="88">
        <f t="shared" si="310"/>
        <v>8.8746005299629605E-3</v>
      </c>
      <c r="AA765" s="88">
        <f t="shared" si="311"/>
        <v>3.0789430410075577E-2</v>
      </c>
      <c r="AB765" s="55" t="s">
        <v>81</v>
      </c>
      <c r="AC765" s="88">
        <f>N765*AN765</f>
        <v>-0.17248200000000002</v>
      </c>
      <c r="AD765" s="88">
        <v>-0.14407320000000001</v>
      </c>
      <c r="AE765" s="56">
        <v>1</v>
      </c>
      <c r="AF765" s="88">
        <f>O765*AN765</f>
        <v>4.97154E-2</v>
      </c>
      <c r="AG765" s="88" cm="1">
        <f t="array" ref="AG765">_xlfn.IFS(
AND(L765="marginal_effect",M765="level"),O765*AN765/BF765,
AND(L765="marginal_effect",M765="sd (Y)"),O765*BI765*AN765/BF765,
AND(L765="marginal_effect",M765="sd (X)"),O765/AQ765*AN765/BF765,
AND(L765="semi_elasticity",M765="level"),O765*AN765,
AND(L765="semi_elasticity",M765="sd (Y)"),O765*AN765*BI765,
AND(L765="semi_elasticity",M765="sd (X)"),O765*AN765/AQ765,
AND(L765="level-log",M765="level"),O765/BF765,
AND(L765="level-log",M765="sd (X)"),O765/BF765/AQ765,
AND(L765="level-log",M765="sd (Y)"),O765/BF765*BI765,
AND(L765="elasticity",M765="level"),O765,
AND(L765="elasticity",M765="sd (X)"),O765/AQ765,
AND(L765="elasticity",M765="sd (Y)"),O765*BI765,
AND(L765="marginal_effect",M765="percent_of_mean"),O765*AN765/BF765/10)</f>
        <v>4.97154E-2</v>
      </c>
      <c r="AH765" s="56">
        <v>1</v>
      </c>
      <c r="AI765" s="88">
        <v>-0.14407320000000001</v>
      </c>
      <c r="AJ765" s="55">
        <v>0</v>
      </c>
      <c r="AK765" s="55">
        <f t="shared" si="315"/>
        <v>1</v>
      </c>
      <c r="AL765" s="55" t="s">
        <v>148</v>
      </c>
      <c r="AM765" s="55" t="s">
        <v>1466</v>
      </c>
      <c r="AN765" s="55">
        <v>10.146000000000001</v>
      </c>
      <c r="AO765" s="55">
        <v>0</v>
      </c>
      <c r="AP765" s="55">
        <v>101.46000000000001</v>
      </c>
      <c r="AQ765" s="55">
        <v>48.17</v>
      </c>
      <c r="AR765" s="55">
        <v>18</v>
      </c>
      <c r="AS765" s="55">
        <v>300</v>
      </c>
      <c r="AT765" s="55" t="s">
        <v>83</v>
      </c>
      <c r="AU765" s="55" t="s">
        <v>109</v>
      </c>
      <c r="AV765" s="55" t="s">
        <v>133</v>
      </c>
      <c r="AW765" s="55" t="s">
        <v>109</v>
      </c>
      <c r="AX765" s="55" t="s">
        <v>86</v>
      </c>
      <c r="AY765" s="55">
        <v>0</v>
      </c>
      <c r="AZ765" s="55">
        <v>0</v>
      </c>
      <c r="BA765" s="55" t="s">
        <v>87</v>
      </c>
      <c r="BB765" s="55" t="s">
        <v>88</v>
      </c>
      <c r="BC765" s="55" t="s">
        <v>89</v>
      </c>
      <c r="BD765" s="55" t="s">
        <v>90</v>
      </c>
      <c r="BE765" s="55" t="s">
        <v>1458</v>
      </c>
      <c r="BF765" s="55">
        <v>101.57</v>
      </c>
      <c r="BG765" s="55">
        <v>1</v>
      </c>
      <c r="BH765" s="55">
        <v>65.849999999999994</v>
      </c>
      <c r="BI765" s="55">
        <v>5</v>
      </c>
      <c r="BJ765" s="55">
        <v>430</v>
      </c>
      <c r="BK765" s="55" t="s">
        <v>91</v>
      </c>
      <c r="BL765" s="55" t="s">
        <v>84</v>
      </c>
      <c r="BM765" s="55">
        <v>1</v>
      </c>
      <c r="BN765" s="55" t="s">
        <v>428</v>
      </c>
      <c r="BO765" s="60" t="s">
        <v>1463</v>
      </c>
      <c r="BP765" s="55" t="s">
        <v>1464</v>
      </c>
      <c r="BQ765" s="55" t="s">
        <v>117</v>
      </c>
      <c r="BR765" s="55" t="s">
        <v>134</v>
      </c>
      <c r="BS765" s="55">
        <v>29.22</v>
      </c>
      <c r="BT765" s="55">
        <v>0.01</v>
      </c>
      <c r="BU765" s="57">
        <v>42552</v>
      </c>
      <c r="BV765" s="57">
        <v>42643</v>
      </c>
      <c r="BW765" s="55" t="s">
        <v>94</v>
      </c>
      <c r="BX765" s="55" t="s">
        <v>95</v>
      </c>
      <c r="BY765" s="55" t="s">
        <v>748</v>
      </c>
      <c r="BZ765" s="55">
        <v>1</v>
      </c>
      <c r="CA765" s="55">
        <v>1</v>
      </c>
      <c r="CB765" s="55" t="s">
        <v>303</v>
      </c>
      <c r="CC765" s="55" t="s">
        <v>314</v>
      </c>
      <c r="CD765" s="55">
        <v>1</v>
      </c>
      <c r="CE765" s="55" t="s">
        <v>1462</v>
      </c>
      <c r="CF765" s="55">
        <v>0</v>
      </c>
      <c r="CG765" s="55" t="s">
        <v>97</v>
      </c>
      <c r="CH765" s="55">
        <v>1</v>
      </c>
      <c r="CI765" s="55" t="s">
        <v>1465</v>
      </c>
      <c r="CJ765" s="55" t="s">
        <v>98</v>
      </c>
      <c r="CK765" s="55">
        <v>179</v>
      </c>
      <c r="CL765" s="55">
        <v>0</v>
      </c>
      <c r="CM765" s="55">
        <v>0</v>
      </c>
      <c r="CN765" s="55" t="s">
        <v>124</v>
      </c>
      <c r="CO765" s="55" t="s">
        <v>1844</v>
      </c>
      <c r="CP765" s="55" t="s">
        <v>100</v>
      </c>
      <c r="CQ765" s="55" t="s">
        <v>126</v>
      </c>
      <c r="CR765" s="57">
        <v>46233</v>
      </c>
      <c r="CT765" s="55" t="s">
        <v>1842</v>
      </c>
    </row>
    <row r="766" spans="1:98" s="55" customFormat="1" x14ac:dyDescent="0.35">
      <c r="A766" s="54" t="s">
        <v>1459</v>
      </c>
      <c r="B766" s="54" t="s">
        <v>1839</v>
      </c>
      <c r="C766" s="55" t="s">
        <v>1460</v>
      </c>
      <c r="D766" s="55">
        <v>2022</v>
      </c>
      <c r="E766" s="60" t="s">
        <v>1461</v>
      </c>
      <c r="F766" s="54" t="s">
        <v>998</v>
      </c>
      <c r="G766" s="55" t="s">
        <v>78</v>
      </c>
      <c r="H766" s="55">
        <v>1</v>
      </c>
      <c r="I766" s="55" t="s">
        <v>290</v>
      </c>
      <c r="J766" s="55" t="s">
        <v>79</v>
      </c>
      <c r="K766" s="55">
        <v>81</v>
      </c>
      <c r="L766" s="55" t="s">
        <v>129</v>
      </c>
      <c r="M766" s="55" t="s">
        <v>380</v>
      </c>
      <c r="N766" s="55">
        <v>-1.7493000000000001</v>
      </c>
      <c r="O766" s="55">
        <v>0.42020000000000002</v>
      </c>
      <c r="P766" s="88">
        <f t="shared" si="304"/>
        <v>-4.1630176106615897</v>
      </c>
      <c r="Q766" s="55" t="s">
        <v>312</v>
      </c>
      <c r="R766" s="88">
        <f t="shared" si="305"/>
        <v>-2.572892</v>
      </c>
      <c r="S766" s="88">
        <f t="shared" si="306"/>
        <v>-0.92570800000000009</v>
      </c>
      <c r="T766" s="55">
        <v>1</v>
      </c>
      <c r="U766" s="55">
        <v>25042</v>
      </c>
      <c r="V766" s="55" t="s">
        <v>312</v>
      </c>
      <c r="W766" s="55" t="s">
        <v>312</v>
      </c>
      <c r="X766" s="55">
        <f t="shared" si="312"/>
        <v>25042</v>
      </c>
      <c r="Y766" s="88">
        <f t="shared" si="309"/>
        <v>-2.6298048030573166E-2</v>
      </c>
      <c r="Z766" s="88">
        <f t="shared" si="310"/>
        <v>6.3170638440786858E-3</v>
      </c>
      <c r="AA766" s="88">
        <f t="shared" si="311"/>
        <v>2.6298048030573166E-2</v>
      </c>
      <c r="AB766" s="55" t="s">
        <v>81</v>
      </c>
      <c r="AC766" s="88">
        <f>N766*AN766/BF766</f>
        <v>-0.17474055134390079</v>
      </c>
      <c r="AD766" s="88">
        <v>-3.6080882150241217E-2</v>
      </c>
      <c r="AE766" s="56">
        <v>1</v>
      </c>
      <c r="AF766" s="88">
        <f>O766*AN766/BF766</f>
        <v>4.1974492468248505E-2</v>
      </c>
      <c r="AG766" s="88" cm="1">
        <f t="array" ref="AG766">_xlfn.IFS(
AND(L766="marginal_effect",M766="level"),O766*AN766/BF766,
AND(L766="marginal_effect",M766="sd (Y)"),O766*BI766*AN766/BF766,
AND(L766="marginal_effect",M766="sd (X)"),O766/AQ766*AN766/BF766,
AND(L766="semi_elasticity",M766="level"),O766*AN766,
AND(L766="semi_elasticity",M766="sd (Y)"),O766*AN766*BI766,
AND(L766="semi_elasticity",M766="sd (X)"),O766*AN766/AQ766,
AND(L766="level-log",M766="level"),O766/BF766,
AND(L766="level-log",M766="sd (X)"),O766/BF766/AQ766,
AND(L766="level-log",M766="sd (Y)"),O766/BF766*BI766,
AND(L766="elasticity",M766="level"),O766,
AND(L766="elasticity",M766="sd (X)"),O766/AQ766,
AND(L766="elasticity",M766="sd (Y)"),O766*BI766,
AND(L766="marginal_effect",M766="percent_of_mean"),O766*AN766/BF766/10)</f>
        <v>4.1974492468248505E-2</v>
      </c>
      <c r="AH766" s="56">
        <v>1</v>
      </c>
      <c r="AI766" s="88">
        <v>-3.6080882150241217E-2</v>
      </c>
      <c r="AJ766" s="55">
        <v>0</v>
      </c>
      <c r="AK766" s="55">
        <f t="shared" si="315"/>
        <v>1</v>
      </c>
      <c r="AL766" s="55" t="s">
        <v>148</v>
      </c>
      <c r="AM766" s="55" t="s">
        <v>1466</v>
      </c>
      <c r="AN766" s="55">
        <v>10.146000000000001</v>
      </c>
      <c r="AO766" s="55">
        <v>0</v>
      </c>
      <c r="AP766" s="55">
        <v>101.46000000000001</v>
      </c>
      <c r="AQ766" s="55">
        <v>48.17</v>
      </c>
      <c r="AR766" s="55">
        <v>18</v>
      </c>
      <c r="AS766" s="55">
        <v>300</v>
      </c>
      <c r="AT766" s="55" t="s">
        <v>83</v>
      </c>
      <c r="AU766" s="55" t="s">
        <v>109</v>
      </c>
      <c r="AV766" s="55" t="s">
        <v>133</v>
      </c>
      <c r="AW766" s="55" t="s">
        <v>109</v>
      </c>
      <c r="AX766" s="55" t="s">
        <v>86</v>
      </c>
      <c r="AY766" s="55">
        <v>0</v>
      </c>
      <c r="AZ766" s="55">
        <v>0</v>
      </c>
      <c r="BA766" s="55" t="s">
        <v>87</v>
      </c>
      <c r="BB766" s="55" t="s">
        <v>88</v>
      </c>
      <c r="BC766" s="55" t="s">
        <v>89</v>
      </c>
      <c r="BD766" s="55" t="s">
        <v>90</v>
      </c>
      <c r="BE766" s="55" t="s">
        <v>1458</v>
      </c>
      <c r="BF766" s="55">
        <v>101.57</v>
      </c>
      <c r="BG766" s="55">
        <v>1</v>
      </c>
      <c r="BH766" s="55">
        <v>65.849999999999994</v>
      </c>
      <c r="BI766" s="55">
        <v>5</v>
      </c>
      <c r="BJ766" s="55">
        <v>430</v>
      </c>
      <c r="BK766" s="55" t="s">
        <v>91</v>
      </c>
      <c r="BL766" s="55" t="s">
        <v>84</v>
      </c>
      <c r="BM766" s="55">
        <v>1</v>
      </c>
      <c r="BN766" s="55" t="s">
        <v>428</v>
      </c>
      <c r="BO766" s="60" t="s">
        <v>1463</v>
      </c>
      <c r="BP766" s="55" t="s">
        <v>1464</v>
      </c>
      <c r="BQ766" s="55" t="s">
        <v>117</v>
      </c>
      <c r="BR766" s="55" t="s">
        <v>134</v>
      </c>
      <c r="BS766" s="55">
        <v>29.22</v>
      </c>
      <c r="BT766" s="55">
        <v>0.01</v>
      </c>
      <c r="BU766" s="57">
        <v>42552</v>
      </c>
      <c r="BV766" s="57">
        <v>42643</v>
      </c>
      <c r="BW766" s="55" t="s">
        <v>94</v>
      </c>
      <c r="BX766" s="55" t="s">
        <v>95</v>
      </c>
      <c r="BY766" s="55" t="s">
        <v>748</v>
      </c>
      <c r="BZ766" s="55">
        <v>1</v>
      </c>
      <c r="CA766" s="55">
        <v>1</v>
      </c>
      <c r="CB766" s="55" t="s">
        <v>303</v>
      </c>
      <c r="CC766" s="55" t="s">
        <v>314</v>
      </c>
      <c r="CD766" s="55">
        <v>1</v>
      </c>
      <c r="CE766" s="55" t="s">
        <v>1462</v>
      </c>
      <c r="CF766" s="55">
        <v>0</v>
      </c>
      <c r="CG766" s="55" t="s">
        <v>97</v>
      </c>
      <c r="CH766" s="55">
        <v>1</v>
      </c>
      <c r="CI766" s="55" t="s">
        <v>1465</v>
      </c>
      <c r="CJ766" s="55" t="s">
        <v>98</v>
      </c>
      <c r="CK766" s="55">
        <v>179</v>
      </c>
      <c r="CL766" s="55">
        <v>0</v>
      </c>
      <c r="CM766" s="55">
        <v>0</v>
      </c>
      <c r="CN766" s="55" t="s">
        <v>124</v>
      </c>
      <c r="CO766" s="55" t="s">
        <v>1844</v>
      </c>
      <c r="CP766" s="55" t="s">
        <v>100</v>
      </c>
      <c r="CQ766" s="55" t="s">
        <v>126</v>
      </c>
      <c r="CR766" s="57">
        <v>46233</v>
      </c>
      <c r="CT766" s="55" t="s">
        <v>1843</v>
      </c>
    </row>
    <row r="767" spans="1:98" s="55" customFormat="1" x14ac:dyDescent="0.35">
      <c r="A767" s="54" t="s">
        <v>1459</v>
      </c>
      <c r="B767" s="54" t="s">
        <v>1840</v>
      </c>
      <c r="C767" s="55" t="s">
        <v>1460</v>
      </c>
      <c r="D767" s="55">
        <v>2022</v>
      </c>
      <c r="E767" s="60" t="s">
        <v>1461</v>
      </c>
      <c r="F767" s="54" t="s">
        <v>998</v>
      </c>
      <c r="G767" s="55" t="s">
        <v>78</v>
      </c>
      <c r="H767" s="55">
        <v>1</v>
      </c>
      <c r="I767" s="55" t="s">
        <v>290</v>
      </c>
      <c r="J767" s="55" t="s">
        <v>79</v>
      </c>
      <c r="K767" s="55">
        <v>81</v>
      </c>
      <c r="L767" s="55" t="s">
        <v>104</v>
      </c>
      <c r="M767" s="55" t="s">
        <v>380</v>
      </c>
      <c r="N767" s="55">
        <v>-1.67E-2</v>
      </c>
      <c r="O767" s="55">
        <v>4.3E-3</v>
      </c>
      <c r="P767" s="88">
        <f t="shared" ref="P767:P798" si="318">N767/O767</f>
        <v>-3.8837209302325579</v>
      </c>
      <c r="Q767" s="55" t="s">
        <v>312</v>
      </c>
      <c r="R767" s="88">
        <f t="shared" ref="R767:R798" si="319">N767-1.96*O767</f>
        <v>-2.5127999999999998E-2</v>
      </c>
      <c r="S767" s="88">
        <f t="shared" ref="S767:S798" si="320">N767+1.96*O767</f>
        <v>-8.2719999999999998E-3</v>
      </c>
      <c r="T767" s="55">
        <v>1</v>
      </c>
      <c r="U767" s="55">
        <v>28647</v>
      </c>
      <c r="V767" s="55" t="s">
        <v>312</v>
      </c>
      <c r="W767" s="55" t="s">
        <v>312</v>
      </c>
      <c r="X767" s="55">
        <f t="shared" si="312"/>
        <v>28647</v>
      </c>
      <c r="Y767" s="88">
        <f t="shared" si="309"/>
        <v>-2.2940038304289791E-2</v>
      </c>
      <c r="Z767" s="88">
        <f t="shared" si="310"/>
        <v>5.9067164496075502E-3</v>
      </c>
      <c r="AA767" s="88">
        <f t="shared" si="311"/>
        <v>2.2940038304289791E-2</v>
      </c>
      <c r="AB767" s="55" t="s">
        <v>81</v>
      </c>
      <c r="AC767" s="88">
        <f t="shared" ref="AC767:AC798" si="321">N767*AN767</f>
        <v>-0.16943820000000001</v>
      </c>
      <c r="AD767" s="88">
        <v>-0.14407320000000001</v>
      </c>
      <c r="AE767" s="56">
        <v>1</v>
      </c>
      <c r="AF767" s="88">
        <f t="shared" ref="AF767:AF798" si="322">O767*AN767</f>
        <v>4.3627800000000001E-2</v>
      </c>
      <c r="AG767" s="88" cm="1">
        <f t="array" ref="AG767">_xlfn.IFS(
AND(L767="marginal_effect",M767="level"),O767*AN767/BF767,
AND(L767="marginal_effect",M767="sd (Y)"),O767*BI767*AN767/BF767,
AND(L767="marginal_effect",M767="sd (X)"),O767/AQ767*AN767/BF767,
AND(L767="semi_elasticity",M767="level"),O767*AN767,
AND(L767="semi_elasticity",M767="sd (Y)"),O767*AN767*BI767,
AND(L767="semi_elasticity",M767="sd (X)"),O767*AN767/AQ767,
AND(L767="level-log",M767="level"),O767/BF767,
AND(L767="level-log",M767="sd (X)"),O767/BF767/AQ767,
AND(L767="level-log",M767="sd (Y)"),O767/BF767*BI767,
AND(L767="elasticity",M767="level"),O767,
AND(L767="elasticity",M767="sd (X)"),O767/AQ767,
AND(L767="elasticity",M767="sd (Y)"),O767*BI767,
AND(L767="marginal_effect",M767="percent_of_mean"),O767*AN767/BF767/10)</f>
        <v>4.3627800000000001E-2</v>
      </c>
      <c r="AH767" s="56">
        <v>1</v>
      </c>
      <c r="AI767" s="88">
        <v>-0.14407320000000001</v>
      </c>
      <c r="AJ767" s="55">
        <v>0</v>
      </c>
      <c r="AK767" s="55">
        <f t="shared" si="315"/>
        <v>1</v>
      </c>
      <c r="AL767" s="55" t="s">
        <v>148</v>
      </c>
      <c r="AM767" s="55" t="s">
        <v>1466</v>
      </c>
      <c r="AN767" s="55">
        <v>10.146000000000001</v>
      </c>
      <c r="AO767" s="55">
        <v>0</v>
      </c>
      <c r="AP767" s="55">
        <v>101.46000000000001</v>
      </c>
      <c r="AQ767" s="55">
        <v>48.17</v>
      </c>
      <c r="AR767" s="55">
        <v>18</v>
      </c>
      <c r="AS767" s="55">
        <v>300</v>
      </c>
      <c r="AT767" s="55" t="s">
        <v>83</v>
      </c>
      <c r="AU767" s="55" t="s">
        <v>109</v>
      </c>
      <c r="AV767" s="55" t="s">
        <v>133</v>
      </c>
      <c r="AW767" s="55" t="s">
        <v>109</v>
      </c>
      <c r="AX767" s="55" t="s">
        <v>86</v>
      </c>
      <c r="AY767" s="55">
        <v>0</v>
      </c>
      <c r="AZ767" s="55">
        <v>0</v>
      </c>
      <c r="BA767" s="55" t="s">
        <v>87</v>
      </c>
      <c r="BB767" s="55" t="s">
        <v>88</v>
      </c>
      <c r="BC767" s="55" t="s">
        <v>89</v>
      </c>
      <c r="BD767" s="55" t="s">
        <v>90</v>
      </c>
      <c r="BE767" s="55" t="s">
        <v>1458</v>
      </c>
      <c r="BF767" s="55">
        <v>101.57</v>
      </c>
      <c r="BG767" s="55">
        <v>1</v>
      </c>
      <c r="BH767" s="55">
        <v>65.849999999999994</v>
      </c>
      <c r="BI767" s="55">
        <v>5</v>
      </c>
      <c r="BJ767" s="55">
        <v>430</v>
      </c>
      <c r="BK767" s="55" t="s">
        <v>91</v>
      </c>
      <c r="BL767" s="55" t="s">
        <v>84</v>
      </c>
      <c r="BM767" s="55">
        <v>1</v>
      </c>
      <c r="BN767" s="55" t="s">
        <v>428</v>
      </c>
      <c r="BO767" s="60" t="s">
        <v>1463</v>
      </c>
      <c r="BP767" s="55" t="s">
        <v>1464</v>
      </c>
      <c r="BQ767" s="55" t="s">
        <v>117</v>
      </c>
      <c r="BR767" s="55" t="s">
        <v>134</v>
      </c>
      <c r="BS767" s="55">
        <v>29.22</v>
      </c>
      <c r="BT767" s="55">
        <v>0.01</v>
      </c>
      <c r="BU767" s="57">
        <v>42552</v>
      </c>
      <c r="BV767" s="57">
        <v>42643</v>
      </c>
      <c r="BW767" s="55" t="s">
        <v>94</v>
      </c>
      <c r="BX767" s="55" t="s">
        <v>95</v>
      </c>
      <c r="BY767" s="55" t="s">
        <v>748</v>
      </c>
      <c r="BZ767" s="55">
        <v>1</v>
      </c>
      <c r="CA767" s="55">
        <v>1</v>
      </c>
      <c r="CB767" s="55" t="s">
        <v>303</v>
      </c>
      <c r="CC767" s="55" t="s">
        <v>314</v>
      </c>
      <c r="CD767" s="55">
        <v>1</v>
      </c>
      <c r="CE767" s="55" t="s">
        <v>1462</v>
      </c>
      <c r="CF767" s="55">
        <v>0</v>
      </c>
      <c r="CG767" s="55" t="s">
        <v>97</v>
      </c>
      <c r="CH767" s="55">
        <v>1</v>
      </c>
      <c r="CI767" s="55" t="s">
        <v>1465</v>
      </c>
      <c r="CJ767" s="55" t="s">
        <v>98</v>
      </c>
      <c r="CK767" s="55">
        <v>179</v>
      </c>
      <c r="CL767" s="55">
        <v>0</v>
      </c>
      <c r="CM767" s="55">
        <v>0</v>
      </c>
      <c r="CN767" s="55" t="s">
        <v>124</v>
      </c>
      <c r="CO767" s="55" t="s">
        <v>1844</v>
      </c>
      <c r="CP767" s="55" t="s">
        <v>100</v>
      </c>
      <c r="CQ767" s="55" t="s">
        <v>126</v>
      </c>
      <c r="CR767" s="57">
        <v>46233</v>
      </c>
      <c r="CT767" s="55" t="s">
        <v>1843</v>
      </c>
    </row>
    <row r="768" spans="1:98" s="55" customFormat="1" x14ac:dyDescent="0.35">
      <c r="A768" s="54" t="s">
        <v>1459</v>
      </c>
      <c r="B768" s="54" t="s">
        <v>1845</v>
      </c>
      <c r="C768" s="55" t="s">
        <v>1460</v>
      </c>
      <c r="D768" s="55">
        <v>2022</v>
      </c>
      <c r="E768" s="60" t="s">
        <v>1461</v>
      </c>
      <c r="F768" s="54" t="s">
        <v>998</v>
      </c>
      <c r="G768" s="55" t="s">
        <v>78</v>
      </c>
      <c r="H768" s="55">
        <v>1</v>
      </c>
      <c r="I768" s="55" t="s">
        <v>290</v>
      </c>
      <c r="J768" s="55" t="s">
        <v>79</v>
      </c>
      <c r="K768" s="55">
        <v>81</v>
      </c>
      <c r="L768" s="55" t="s">
        <v>104</v>
      </c>
      <c r="M768" s="55" t="s">
        <v>380</v>
      </c>
      <c r="N768" s="55">
        <v>-1.2E-2</v>
      </c>
      <c r="O768" s="55">
        <v>2.7000000000000001E-3</v>
      </c>
      <c r="P768" s="88">
        <f t="shared" si="318"/>
        <v>-4.4444444444444446</v>
      </c>
      <c r="Q768" s="55" t="s">
        <v>312</v>
      </c>
      <c r="R768" s="88">
        <f t="shared" si="319"/>
        <v>-1.7292000000000002E-2</v>
      </c>
      <c r="S768" s="88">
        <f t="shared" si="320"/>
        <v>-6.7080000000000004E-3</v>
      </c>
      <c r="T768" s="55">
        <v>1</v>
      </c>
      <c r="U768" s="55" t="s">
        <v>312</v>
      </c>
      <c r="V768" s="55" t="s">
        <v>312</v>
      </c>
      <c r="W768" s="55" t="s">
        <v>312</v>
      </c>
      <c r="X768" s="55" t="str">
        <f t="shared" si="312"/>
        <v>NA</v>
      </c>
      <c r="Y768" s="88" t="s">
        <v>312</v>
      </c>
      <c r="Z768" s="88" t="s">
        <v>312</v>
      </c>
      <c r="AA768" s="88" t="s">
        <v>312</v>
      </c>
      <c r="AB768" s="55" t="s">
        <v>81</v>
      </c>
      <c r="AC768" s="88">
        <f t="shared" si="321"/>
        <v>-0.12175200000000001</v>
      </c>
      <c r="AD768" s="88" cm="1">
        <f t="array" ref="AD768">_xlfn.IFS(
AND(L768="marginal_effect",M768="level"),N768*AN768/BF768,
AND(L768="marginal_effect",M768="sd (Y)"),N768*BI768*AN768/BF768,
AND(L768="marginal_effect",M768="sd (X)"),N768/AQ768*AN768/BF768,
AND(L768="semi_elasticity",M768="level"),N768*AN768,
AND(L768="semi_elasticity",M768="sd (Y)"),N768*AN768*BI768,
AND(L768="semi_elasticity",M768="sd (X)"),N768*AN768/AQ768,
AND(L768="level-log",M768="level"),N768/BF768,
AND(L768="level-log",M768="sd (X)"),N768/BF768/AQ768,
AND(L768="level-log",M768="sd (Y)"),N768/BF768*BI768,
AND(L768="elasticity",M768="level"),N768,
AND(L768="elasticity",M768="sd (X)"),N768/AQ768,
AND(L768="elasticity",M768="sd (Y)"),N768*BI768,
AND(L768="marginal_effect",M768="percent_of_mean"),N768*AN768/BF768/10)</f>
        <v>-0.12175200000000001</v>
      </c>
      <c r="AE768" s="56">
        <f t="shared" ref="AE768:AE799" si="323">IF(AC768=AD768,1,0)</f>
        <v>1</v>
      </c>
      <c r="AF768" s="88">
        <f t="shared" si="322"/>
        <v>2.7394200000000004E-2</v>
      </c>
      <c r="AG768" s="88" cm="1">
        <f t="array" ref="AG768">_xlfn.IFS(
AND(L768="marginal_effect",M768="level"),O767*AN768/BF768,
AND(L768="marginal_effect",M768="sd (Y)"),O767*BI768*AN768/BF768,
AND(L768="marginal_effect",M768="sd (X)"),O767/AQ768*AN768/BF768,
AND(L768="semi_elasticity",M768="level"),O767*AN768,
AND(L768="semi_elasticity",M768="sd (Y)"),O767*AN768*BI768,
AND(L768="semi_elasticity",M768="sd (X)"),O767*AN768/AQ768,
AND(L768="level-log",M768="level"),O767/BF768,
AND(L768="level-log",M768="sd (X)"),O767/BF768/AQ768,
AND(L768="level-log",M768="sd (Y)"),O767/BF768*BI768,
AND(L768="elasticity",M768="level"),O767,
AND(L768="elasticity",M768="sd (X)"),O767/AQ768,
AND(L768="elasticity",M768="sd (Y)"),O767*BI768,
AND(L768="marginal_effect",M768="percent_of_mean"),O767*AN768/BF768/10)</f>
        <v>4.3627800000000001E-2</v>
      </c>
      <c r="AH768" s="56">
        <f t="shared" ref="AH768:AH799" si="324">IF(AF768=AG768,1,0)</f>
        <v>0</v>
      </c>
      <c r="AI768" s="88">
        <f t="shared" ref="AI768:AI815" si="325">AC768</f>
        <v>-0.12175200000000001</v>
      </c>
      <c r="AJ768" s="55">
        <v>0</v>
      </c>
      <c r="AK768" s="55">
        <f t="shared" si="315"/>
        <v>1</v>
      </c>
      <c r="AL768" s="55" t="s">
        <v>148</v>
      </c>
      <c r="AM768" s="55" t="s">
        <v>1466</v>
      </c>
      <c r="AN768" s="55">
        <v>10.146000000000001</v>
      </c>
      <c r="AO768" s="55">
        <v>0</v>
      </c>
      <c r="AP768" s="55">
        <f t="shared" ref="AP768:AP815" si="326">AN768*10</f>
        <v>101.46000000000001</v>
      </c>
      <c r="AQ768" s="55">
        <v>48.17</v>
      </c>
      <c r="AR768" s="55">
        <v>18</v>
      </c>
      <c r="AS768" s="55">
        <v>300</v>
      </c>
      <c r="AT768" s="55" t="s">
        <v>83</v>
      </c>
      <c r="AU768" s="55" t="s">
        <v>109</v>
      </c>
      <c r="AV768" s="55" t="s">
        <v>133</v>
      </c>
      <c r="AW768" s="55" t="s">
        <v>109</v>
      </c>
      <c r="AX768" s="55" t="s">
        <v>86</v>
      </c>
      <c r="AY768" s="55">
        <v>0</v>
      </c>
      <c r="AZ768" s="55">
        <v>5</v>
      </c>
      <c r="BA768" s="55" t="s">
        <v>87</v>
      </c>
      <c r="BB768" s="55" t="s">
        <v>88</v>
      </c>
      <c r="BC768" s="55" t="s">
        <v>89</v>
      </c>
      <c r="BD768" s="55" t="s">
        <v>90</v>
      </c>
      <c r="BE768" s="55" t="s">
        <v>1458</v>
      </c>
      <c r="BF768" s="55">
        <v>101.57</v>
      </c>
      <c r="BG768" s="55">
        <v>0</v>
      </c>
      <c r="BH768" s="55">
        <v>65.849999999999994</v>
      </c>
      <c r="BI768" s="55">
        <v>5</v>
      </c>
      <c r="BJ768" s="55">
        <v>430</v>
      </c>
      <c r="BK768" s="55" t="s">
        <v>91</v>
      </c>
      <c r="BL768" s="55" t="s">
        <v>84</v>
      </c>
      <c r="BM768" s="55">
        <v>1</v>
      </c>
      <c r="BN768" s="55" t="s">
        <v>428</v>
      </c>
      <c r="BO768" s="60" t="s">
        <v>1463</v>
      </c>
      <c r="BP768" s="55" t="s">
        <v>1464</v>
      </c>
      <c r="BQ768" s="55" t="s">
        <v>117</v>
      </c>
      <c r="BR768" s="55" t="s">
        <v>134</v>
      </c>
      <c r="BS768" s="55">
        <v>29.22</v>
      </c>
      <c r="BT768" s="55">
        <v>0.01</v>
      </c>
      <c r="BU768" s="57">
        <v>42552</v>
      </c>
      <c r="BV768" s="57">
        <v>42643</v>
      </c>
      <c r="BW768" s="55" t="s">
        <v>94</v>
      </c>
      <c r="BX768" s="55" t="s">
        <v>95</v>
      </c>
      <c r="BY768" s="55" t="s">
        <v>748</v>
      </c>
      <c r="BZ768" s="55">
        <v>1</v>
      </c>
      <c r="CA768" s="55">
        <v>1</v>
      </c>
      <c r="CB768" s="55" t="s">
        <v>303</v>
      </c>
      <c r="CC768" s="55" t="s">
        <v>314</v>
      </c>
      <c r="CD768" s="55">
        <v>1</v>
      </c>
      <c r="CE768" s="55" t="s">
        <v>1462</v>
      </c>
      <c r="CF768" s="55">
        <v>0</v>
      </c>
      <c r="CG768" s="55" t="s">
        <v>97</v>
      </c>
      <c r="CH768" s="55">
        <v>1</v>
      </c>
      <c r="CI768" s="55" t="s">
        <v>1465</v>
      </c>
      <c r="CJ768" s="55" t="s">
        <v>377</v>
      </c>
      <c r="CK768" s="55">
        <v>179</v>
      </c>
      <c r="CL768" s="55">
        <v>0</v>
      </c>
      <c r="CM768" s="55">
        <v>0</v>
      </c>
      <c r="CN768" s="55" t="s">
        <v>124</v>
      </c>
      <c r="CO768" s="55" t="s">
        <v>97</v>
      </c>
      <c r="CP768" s="55" t="s">
        <v>100</v>
      </c>
      <c r="CQ768" s="55" t="s">
        <v>126</v>
      </c>
      <c r="CR768" s="57">
        <v>46233</v>
      </c>
      <c r="CT768" s="55" t="s">
        <v>1893</v>
      </c>
    </row>
    <row r="769" spans="1:98" s="55" customFormat="1" x14ac:dyDescent="0.35">
      <c r="A769" s="54" t="s">
        <v>1459</v>
      </c>
      <c r="B769" s="54" t="s">
        <v>1846</v>
      </c>
      <c r="C769" s="55" t="s">
        <v>1460</v>
      </c>
      <c r="D769" s="55">
        <v>2022</v>
      </c>
      <c r="E769" s="60" t="s">
        <v>1461</v>
      </c>
      <c r="F769" s="54" t="s">
        <v>998</v>
      </c>
      <c r="G769" s="55" t="s">
        <v>78</v>
      </c>
      <c r="H769" s="55">
        <v>1</v>
      </c>
      <c r="I769" s="55" t="s">
        <v>290</v>
      </c>
      <c r="J769" s="55" t="s">
        <v>79</v>
      </c>
      <c r="K769" s="55">
        <v>81</v>
      </c>
      <c r="L769" s="55" t="s">
        <v>104</v>
      </c>
      <c r="M769" s="55" t="s">
        <v>380</v>
      </c>
      <c r="N769" s="55">
        <v>2.0000000000000001E-4</v>
      </c>
      <c r="O769" s="55">
        <v>3.5000000000000001E-3</v>
      </c>
      <c r="P769" s="88">
        <f t="shared" si="318"/>
        <v>5.7142857142857141E-2</v>
      </c>
      <c r="Q769" s="55" t="s">
        <v>312</v>
      </c>
      <c r="R769" s="88">
        <f t="shared" si="319"/>
        <v>-6.6600000000000001E-3</v>
      </c>
      <c r="S769" s="88">
        <f t="shared" si="320"/>
        <v>7.0599999999999994E-3</v>
      </c>
      <c r="T769" s="55">
        <v>1</v>
      </c>
      <c r="U769" s="55" t="s">
        <v>312</v>
      </c>
      <c r="V769" s="55" t="s">
        <v>312</v>
      </c>
      <c r="W769" s="55" t="s">
        <v>312</v>
      </c>
      <c r="X769" s="55" t="str">
        <f t="shared" si="312"/>
        <v>NA</v>
      </c>
      <c r="Y769" s="88" t="s">
        <v>312</v>
      </c>
      <c r="Z769" s="88" t="s">
        <v>312</v>
      </c>
      <c r="AA769" s="88" t="s">
        <v>312</v>
      </c>
      <c r="AB769" s="55" t="s">
        <v>81</v>
      </c>
      <c r="AC769" s="88">
        <f t="shared" si="321"/>
        <v>2.0292000000000001E-3</v>
      </c>
      <c r="AD769" s="88" cm="1">
        <f t="array" ref="AD769">_xlfn.IFS(
AND(L769="marginal_effect",M769="level"),N769*AN769/BF769,
AND(L769="marginal_effect",M769="sd (Y)"),N769*BI769*AN769/BF769,
AND(L769="marginal_effect",M769="sd (X)"),N769/AQ769*AN769/BF769,
AND(L769="semi_elasticity",M769="level"),N769*AN769,
AND(L769="semi_elasticity",M769="sd (Y)"),N769*AN769*BI769,
AND(L769="semi_elasticity",M769="sd (X)"),N769*AN769/AQ769,
AND(L769="level-log",M769="level"),N769/BF769,
AND(L769="level-log",M769="sd (X)"),N769/BF769/AQ769,
AND(L769="level-log",M769="sd (Y)"),N769/BF769*BI769,
AND(L769="elasticity",M769="level"),N769,
AND(L769="elasticity",M769="sd (X)"),N769/AQ769,
AND(L769="elasticity",M769="sd (Y)"),N769*BI769,
AND(L769="marginal_effect",M769="percent_of_mean"),N769*AN769/BF769/10)</f>
        <v>2.0292000000000001E-3</v>
      </c>
      <c r="AE769" s="56">
        <f t="shared" si="323"/>
        <v>1</v>
      </c>
      <c r="AF769" s="88">
        <f t="shared" si="322"/>
        <v>3.5511000000000001E-2</v>
      </c>
      <c r="AG769" s="88" cm="1">
        <f t="array" ref="AG769">_xlfn.IFS(
AND(L769="marginal_effect",M769="level"),O768*AN769/BF769,
AND(L769="marginal_effect",M769="sd (Y)"),O768*BI769*AN769/BF769,
AND(L769="marginal_effect",M769="sd (X)"),O768/AQ769*AN769/BF769,
AND(L769="semi_elasticity",M769="level"),O768*AN769,
AND(L769="semi_elasticity",M769="sd (Y)"),O768*AN769*BI769,
AND(L769="semi_elasticity",M769="sd (X)"),O768*AN769/AQ769,
AND(L769="level-log",M769="level"),O768/BF769,
AND(L769="level-log",M769="sd (X)"),O768/BF769/AQ769,
AND(L769="level-log",M769="sd (Y)"),O768/BF769*BI769,
AND(L769="elasticity",M769="level"),O768,
AND(L769="elasticity",M769="sd (X)"),O768/AQ769,
AND(L769="elasticity",M769="sd (Y)"),O768*BI769,
AND(L769="marginal_effect",M769="percent_of_mean"),O768*AN769/BF769/10)</f>
        <v>2.7394200000000004E-2</v>
      </c>
      <c r="AH769" s="56">
        <f t="shared" si="324"/>
        <v>0</v>
      </c>
      <c r="AI769" s="88">
        <f t="shared" si="325"/>
        <v>2.0292000000000001E-3</v>
      </c>
      <c r="AJ769" s="55">
        <v>0</v>
      </c>
      <c r="AK769" s="55">
        <f t="shared" si="315"/>
        <v>1</v>
      </c>
      <c r="AL769" s="55" t="s">
        <v>148</v>
      </c>
      <c r="AM769" s="55" t="s">
        <v>1466</v>
      </c>
      <c r="AN769" s="55">
        <v>10.146000000000001</v>
      </c>
      <c r="AO769" s="55">
        <v>0</v>
      </c>
      <c r="AP769" s="55">
        <f t="shared" si="326"/>
        <v>101.46000000000001</v>
      </c>
      <c r="AQ769" s="55">
        <v>48.17</v>
      </c>
      <c r="AR769" s="55">
        <v>18</v>
      </c>
      <c r="AS769" s="55">
        <v>300</v>
      </c>
      <c r="AT769" s="55" t="s">
        <v>83</v>
      </c>
      <c r="AU769" s="55" t="s">
        <v>109</v>
      </c>
      <c r="AV769" s="55" t="s">
        <v>133</v>
      </c>
      <c r="AW769" s="55" t="s">
        <v>109</v>
      </c>
      <c r="AX769" s="55" t="s">
        <v>86</v>
      </c>
      <c r="AY769" s="55">
        <v>0</v>
      </c>
      <c r="AZ769" s="55">
        <v>10</v>
      </c>
      <c r="BA769" s="55" t="s">
        <v>87</v>
      </c>
      <c r="BB769" s="55" t="s">
        <v>88</v>
      </c>
      <c r="BC769" s="55" t="s">
        <v>89</v>
      </c>
      <c r="BD769" s="55" t="s">
        <v>90</v>
      </c>
      <c r="BE769" s="55" t="s">
        <v>1458</v>
      </c>
      <c r="BF769" s="55">
        <v>101.57</v>
      </c>
      <c r="BG769" s="55">
        <v>0</v>
      </c>
      <c r="BH769" s="55">
        <v>65.849999999999994</v>
      </c>
      <c r="BI769" s="55">
        <v>5</v>
      </c>
      <c r="BJ769" s="55">
        <v>430</v>
      </c>
      <c r="BK769" s="55" t="s">
        <v>91</v>
      </c>
      <c r="BL769" s="55" t="s">
        <v>84</v>
      </c>
      <c r="BM769" s="55">
        <v>1</v>
      </c>
      <c r="BN769" s="55" t="s">
        <v>428</v>
      </c>
      <c r="BO769" s="60" t="s">
        <v>1463</v>
      </c>
      <c r="BP769" s="55" t="s">
        <v>1464</v>
      </c>
      <c r="BQ769" s="55" t="s">
        <v>117</v>
      </c>
      <c r="BR769" s="55" t="s">
        <v>134</v>
      </c>
      <c r="BS769" s="55">
        <v>29.22</v>
      </c>
      <c r="BT769" s="55">
        <v>0.01</v>
      </c>
      <c r="BU769" s="57">
        <v>42552</v>
      </c>
      <c r="BV769" s="57">
        <v>42643</v>
      </c>
      <c r="BW769" s="55" t="s">
        <v>94</v>
      </c>
      <c r="BX769" s="55" t="s">
        <v>95</v>
      </c>
      <c r="BY769" s="55" t="s">
        <v>748</v>
      </c>
      <c r="BZ769" s="55">
        <v>1</v>
      </c>
      <c r="CA769" s="55">
        <v>1</v>
      </c>
      <c r="CB769" s="55" t="s">
        <v>303</v>
      </c>
      <c r="CC769" s="55" t="s">
        <v>314</v>
      </c>
      <c r="CD769" s="55">
        <v>1</v>
      </c>
      <c r="CE769" s="55" t="s">
        <v>1462</v>
      </c>
      <c r="CF769" s="55">
        <v>0</v>
      </c>
      <c r="CG769" s="55" t="s">
        <v>97</v>
      </c>
      <c r="CH769" s="55">
        <v>1</v>
      </c>
      <c r="CI769" s="55" t="s">
        <v>1465</v>
      </c>
      <c r="CJ769" s="55" t="s">
        <v>377</v>
      </c>
      <c r="CK769" s="55">
        <v>179</v>
      </c>
      <c r="CL769" s="55">
        <v>0</v>
      </c>
      <c r="CM769" s="55">
        <v>0</v>
      </c>
      <c r="CN769" s="55" t="s">
        <v>124</v>
      </c>
      <c r="CO769" s="55" t="s">
        <v>97</v>
      </c>
      <c r="CP769" s="55" t="s">
        <v>100</v>
      </c>
      <c r="CQ769" s="55" t="s">
        <v>126</v>
      </c>
      <c r="CR769" s="57">
        <v>46233</v>
      </c>
      <c r="CT769" s="55" t="s">
        <v>1893</v>
      </c>
    </row>
    <row r="770" spans="1:98" s="55" customFormat="1" x14ac:dyDescent="0.35">
      <c r="A770" s="54" t="s">
        <v>1459</v>
      </c>
      <c r="B770" s="54" t="s">
        <v>1847</v>
      </c>
      <c r="C770" s="55" t="s">
        <v>1460</v>
      </c>
      <c r="D770" s="55">
        <v>2022</v>
      </c>
      <c r="E770" s="60" t="s">
        <v>1461</v>
      </c>
      <c r="F770" s="54" t="s">
        <v>998</v>
      </c>
      <c r="G770" s="55" t="s">
        <v>78</v>
      </c>
      <c r="H770" s="55">
        <v>1</v>
      </c>
      <c r="I770" s="55" t="s">
        <v>290</v>
      </c>
      <c r="J770" s="55" t="s">
        <v>79</v>
      </c>
      <c r="K770" s="55">
        <v>81</v>
      </c>
      <c r="L770" s="55" t="s">
        <v>104</v>
      </c>
      <c r="M770" s="55" t="s">
        <v>380</v>
      </c>
      <c r="N770" s="55">
        <v>-4.3E-3</v>
      </c>
      <c r="O770" s="55">
        <v>5.5999999999999999E-3</v>
      </c>
      <c r="P770" s="88">
        <f t="shared" si="318"/>
        <v>-0.7678571428571429</v>
      </c>
      <c r="Q770" s="55" t="s">
        <v>312</v>
      </c>
      <c r="R770" s="88">
        <f t="shared" si="319"/>
        <v>-1.5276E-2</v>
      </c>
      <c r="S770" s="88">
        <f t="shared" si="320"/>
        <v>6.6759999999999996E-3</v>
      </c>
      <c r="T770" s="55">
        <v>1</v>
      </c>
      <c r="U770" s="55" t="s">
        <v>312</v>
      </c>
      <c r="V770" s="55" t="s">
        <v>312</v>
      </c>
      <c r="W770" s="55" t="s">
        <v>312</v>
      </c>
      <c r="X770" s="55" t="str">
        <f t="shared" si="312"/>
        <v>NA</v>
      </c>
      <c r="Y770" s="88" t="s">
        <v>312</v>
      </c>
      <c r="Z770" s="88" t="s">
        <v>312</v>
      </c>
      <c r="AA770" s="88" t="s">
        <v>312</v>
      </c>
      <c r="AB770" s="55" t="s">
        <v>81</v>
      </c>
      <c r="AC770" s="88">
        <f t="shared" si="321"/>
        <v>-4.3627800000000001E-2</v>
      </c>
      <c r="AD770" s="88" cm="1">
        <f t="array" ref="AD770">_xlfn.IFS(
AND(L770="marginal_effect",M770="level"),N770*AN770/BF770,
AND(L770="marginal_effect",M770="sd (Y)"),N770*BI770*AN770/BF770,
AND(L770="marginal_effect",M770="sd (X)"),N770/AQ770*AN770/BF770,
AND(L770="semi_elasticity",M770="level"),N770*AN770,
AND(L770="semi_elasticity",M770="sd (Y)"),N770*AN770*BI770,
AND(L770="semi_elasticity",M770="sd (X)"),N770*AN770/AQ770,
AND(L770="level-log",M770="level"),N770/BF770,
AND(L770="level-log",M770="sd (X)"),N770/BF770/AQ770,
AND(L770="level-log",M770="sd (Y)"),N770/BF770*BI770,
AND(L770="elasticity",M770="level"),N770,
AND(L770="elasticity",M770="sd (X)"),N770/AQ770,
AND(L770="elasticity",M770="sd (Y)"),N770*BI770,
AND(L770="marginal_effect",M770="percent_of_mean"),N770*AN770/BF770/10)</f>
        <v>-4.3627800000000001E-2</v>
      </c>
      <c r="AE770" s="56">
        <f t="shared" si="323"/>
        <v>1</v>
      </c>
      <c r="AF770" s="88">
        <f t="shared" si="322"/>
        <v>5.6817600000000003E-2</v>
      </c>
      <c r="AG770" s="88" cm="1">
        <f t="array" ref="AG770">_xlfn.IFS(
AND(L770="marginal_effect",M770="level"),O769*AN770/BF770,
AND(L770="marginal_effect",M770="sd (Y)"),O769*BI770*AN770/BF770,
AND(L770="marginal_effect",M770="sd (X)"),O769/AQ770*AN770/BF770,
AND(L770="semi_elasticity",M770="level"),O769*AN770,
AND(L770="semi_elasticity",M770="sd (Y)"),O769*AN770*BI770,
AND(L770="semi_elasticity",M770="sd (X)"),O769*AN770/AQ770,
AND(L770="level-log",M770="level"),O769/BF770,
AND(L770="level-log",M770="sd (X)"),O769/BF770/AQ770,
AND(L770="level-log",M770="sd (Y)"),O769/BF770*BI770,
AND(L770="elasticity",M770="level"),O769,
AND(L770="elasticity",M770="sd (X)"),O769/AQ770,
AND(L770="elasticity",M770="sd (Y)"),O769*BI770,
AND(L770="marginal_effect",M770="percent_of_mean"),O769*AN770/BF770/10)</f>
        <v>3.5511000000000001E-2</v>
      </c>
      <c r="AH770" s="56">
        <f t="shared" si="324"/>
        <v>0</v>
      </c>
      <c r="AI770" s="88">
        <f t="shared" si="325"/>
        <v>-4.3627800000000001E-2</v>
      </c>
      <c r="AJ770" s="55">
        <v>0</v>
      </c>
      <c r="AK770" s="55">
        <f t="shared" si="315"/>
        <v>1</v>
      </c>
      <c r="AL770" s="55" t="s">
        <v>148</v>
      </c>
      <c r="AM770" s="55" t="s">
        <v>1466</v>
      </c>
      <c r="AN770" s="55">
        <v>10.146000000000001</v>
      </c>
      <c r="AO770" s="55">
        <v>0</v>
      </c>
      <c r="AP770" s="55">
        <f t="shared" si="326"/>
        <v>101.46000000000001</v>
      </c>
      <c r="AQ770" s="55">
        <v>48.17</v>
      </c>
      <c r="AR770" s="55">
        <v>18</v>
      </c>
      <c r="AS770" s="55">
        <v>300</v>
      </c>
      <c r="AT770" s="55" t="s">
        <v>83</v>
      </c>
      <c r="AU770" s="55" t="s">
        <v>109</v>
      </c>
      <c r="AV770" s="55" t="s">
        <v>133</v>
      </c>
      <c r="AW770" s="55" t="s">
        <v>109</v>
      </c>
      <c r="AX770" s="55" t="s">
        <v>86</v>
      </c>
      <c r="AY770" s="55">
        <v>0</v>
      </c>
      <c r="AZ770" s="55">
        <v>15</v>
      </c>
      <c r="BA770" s="55" t="s">
        <v>87</v>
      </c>
      <c r="BB770" s="55" t="s">
        <v>88</v>
      </c>
      <c r="BC770" s="55" t="s">
        <v>89</v>
      </c>
      <c r="BD770" s="55" t="s">
        <v>90</v>
      </c>
      <c r="BE770" s="55" t="s">
        <v>1458</v>
      </c>
      <c r="BF770" s="55">
        <v>101.57</v>
      </c>
      <c r="BG770" s="55">
        <v>0</v>
      </c>
      <c r="BH770" s="55">
        <v>65.849999999999994</v>
      </c>
      <c r="BI770" s="55">
        <v>5</v>
      </c>
      <c r="BJ770" s="55">
        <v>430</v>
      </c>
      <c r="BK770" s="55" t="s">
        <v>91</v>
      </c>
      <c r="BL770" s="55" t="s">
        <v>84</v>
      </c>
      <c r="BM770" s="55">
        <v>1</v>
      </c>
      <c r="BN770" s="55" t="s">
        <v>428</v>
      </c>
      <c r="BO770" s="60" t="s">
        <v>1463</v>
      </c>
      <c r="BP770" s="55" t="s">
        <v>1464</v>
      </c>
      <c r="BQ770" s="55" t="s">
        <v>117</v>
      </c>
      <c r="BR770" s="55" t="s">
        <v>134</v>
      </c>
      <c r="BS770" s="55">
        <v>29.22</v>
      </c>
      <c r="BT770" s="55">
        <v>0.01</v>
      </c>
      <c r="BU770" s="57">
        <v>42552</v>
      </c>
      <c r="BV770" s="57">
        <v>42643</v>
      </c>
      <c r="BW770" s="55" t="s">
        <v>94</v>
      </c>
      <c r="BX770" s="55" t="s">
        <v>95</v>
      </c>
      <c r="BY770" s="55" t="s">
        <v>748</v>
      </c>
      <c r="BZ770" s="55">
        <v>1</v>
      </c>
      <c r="CA770" s="55">
        <v>1</v>
      </c>
      <c r="CB770" s="55" t="s">
        <v>303</v>
      </c>
      <c r="CC770" s="55" t="s">
        <v>314</v>
      </c>
      <c r="CD770" s="55">
        <v>1</v>
      </c>
      <c r="CE770" s="55" t="s">
        <v>1462</v>
      </c>
      <c r="CF770" s="55">
        <v>0</v>
      </c>
      <c r="CG770" s="55" t="s">
        <v>97</v>
      </c>
      <c r="CH770" s="55">
        <v>1</v>
      </c>
      <c r="CI770" s="55" t="s">
        <v>1465</v>
      </c>
      <c r="CJ770" s="55" t="s">
        <v>377</v>
      </c>
      <c r="CK770" s="55">
        <v>179</v>
      </c>
      <c r="CL770" s="55">
        <v>0</v>
      </c>
      <c r="CM770" s="55">
        <v>0</v>
      </c>
      <c r="CN770" s="55" t="s">
        <v>124</v>
      </c>
      <c r="CO770" s="55" t="s">
        <v>97</v>
      </c>
      <c r="CP770" s="55" t="s">
        <v>100</v>
      </c>
      <c r="CQ770" s="55" t="s">
        <v>126</v>
      </c>
      <c r="CR770" s="57">
        <v>46233</v>
      </c>
      <c r="CT770" s="55" t="s">
        <v>1893</v>
      </c>
    </row>
    <row r="771" spans="1:98" s="55" customFormat="1" x14ac:dyDescent="0.35">
      <c r="A771" s="54" t="s">
        <v>1459</v>
      </c>
      <c r="B771" s="54" t="s">
        <v>1848</v>
      </c>
      <c r="C771" s="55" t="s">
        <v>1460</v>
      </c>
      <c r="D771" s="55">
        <v>2022</v>
      </c>
      <c r="E771" s="60" t="s">
        <v>1461</v>
      </c>
      <c r="F771" s="54" t="s">
        <v>998</v>
      </c>
      <c r="G771" s="55" t="s">
        <v>78</v>
      </c>
      <c r="H771" s="55">
        <v>1</v>
      </c>
      <c r="I771" s="55" t="s">
        <v>290</v>
      </c>
      <c r="J771" s="55" t="s">
        <v>79</v>
      </c>
      <c r="K771" s="55">
        <v>81</v>
      </c>
      <c r="L771" s="55" t="s">
        <v>104</v>
      </c>
      <c r="M771" s="55" t="s">
        <v>380</v>
      </c>
      <c r="N771" s="55">
        <v>-0.03</v>
      </c>
      <c r="O771" s="55">
        <v>6.4999999999999997E-3</v>
      </c>
      <c r="P771" s="88">
        <f t="shared" si="318"/>
        <v>-4.6153846153846159</v>
      </c>
      <c r="Q771" s="55" t="s">
        <v>312</v>
      </c>
      <c r="R771" s="88">
        <f t="shared" si="319"/>
        <v>-4.274E-2</v>
      </c>
      <c r="S771" s="88">
        <f t="shared" si="320"/>
        <v>-1.7259999999999998E-2</v>
      </c>
      <c r="T771" s="55">
        <v>1</v>
      </c>
      <c r="U771" s="55" t="s">
        <v>312</v>
      </c>
      <c r="V771" s="55" t="s">
        <v>312</v>
      </c>
      <c r="W771" s="55" t="s">
        <v>312</v>
      </c>
      <c r="X771" s="55" t="str">
        <f t="shared" si="312"/>
        <v>NA</v>
      </c>
      <c r="Y771" s="88" t="s">
        <v>312</v>
      </c>
      <c r="Z771" s="88" t="s">
        <v>312</v>
      </c>
      <c r="AA771" s="88" t="s">
        <v>312</v>
      </c>
      <c r="AB771" s="55" t="s">
        <v>81</v>
      </c>
      <c r="AC771" s="88">
        <f t="shared" si="321"/>
        <v>-0.30438000000000004</v>
      </c>
      <c r="AD771" s="88" cm="1">
        <f t="array" ref="AD771">_xlfn.IFS(
AND(L771="marginal_effect",M771="level"),N771*AN771/BF771,
AND(L771="marginal_effect",M771="sd (Y)"),N771*BI771*AN771/BF771,
AND(L771="marginal_effect",M771="sd (X)"),N771/AQ771*AN771/BF771,
AND(L771="semi_elasticity",M771="level"),N771*AN771,
AND(L771="semi_elasticity",M771="sd (Y)"),N771*AN771*BI771,
AND(L771="semi_elasticity",M771="sd (X)"),N771*AN771/AQ771,
AND(L771="level-log",M771="level"),N771/BF771,
AND(L771="level-log",M771="sd (X)"),N771/BF771/AQ771,
AND(L771="level-log",M771="sd (Y)"),N771/BF771*BI771,
AND(L771="elasticity",M771="level"),N771,
AND(L771="elasticity",M771="sd (X)"),N771/AQ771,
AND(L771="elasticity",M771="sd (Y)"),N771*BI771,
AND(L771="marginal_effect",M771="percent_of_mean"),N771*AN771/BF771/10)</f>
        <v>-0.30438000000000004</v>
      </c>
      <c r="AE771" s="56">
        <f t="shared" si="323"/>
        <v>1</v>
      </c>
      <c r="AF771" s="88">
        <f t="shared" si="322"/>
        <v>6.5949000000000008E-2</v>
      </c>
      <c r="AG771" s="88" cm="1">
        <f t="array" ref="AG771">_xlfn.IFS(
AND(L771="marginal_effect",M771="level"),O770*AN771/BF771,
AND(L771="marginal_effect",M771="sd (Y)"),O770*BI771*AN771/BF771,
AND(L771="marginal_effect",M771="sd (X)"),O770/AQ771*AN771/BF771,
AND(L771="semi_elasticity",M771="level"),O770*AN771,
AND(L771="semi_elasticity",M771="sd (Y)"),O770*AN771*BI771,
AND(L771="semi_elasticity",M771="sd (X)"),O770*AN771/AQ771,
AND(L771="level-log",M771="level"),O770/BF771,
AND(L771="level-log",M771="sd (X)"),O770/BF771/AQ771,
AND(L771="level-log",M771="sd (Y)"),O770/BF771*BI771,
AND(L771="elasticity",M771="level"),O770,
AND(L771="elasticity",M771="sd (X)"),O770/AQ771,
AND(L771="elasticity",M771="sd (Y)"),O770*BI771,
AND(L771="marginal_effect",M771="percent_of_mean"),O770*AN771/BF771/10)</f>
        <v>5.6817600000000003E-2</v>
      </c>
      <c r="AH771" s="56">
        <f t="shared" si="324"/>
        <v>0</v>
      </c>
      <c r="AI771" s="88">
        <f t="shared" si="325"/>
        <v>-0.30438000000000004</v>
      </c>
      <c r="AJ771" s="55">
        <v>0</v>
      </c>
      <c r="AK771" s="55">
        <f t="shared" si="315"/>
        <v>1</v>
      </c>
      <c r="AL771" s="55" t="s">
        <v>148</v>
      </c>
      <c r="AM771" s="55" t="s">
        <v>1466</v>
      </c>
      <c r="AN771" s="55">
        <v>10.146000000000001</v>
      </c>
      <c r="AO771" s="55">
        <v>0</v>
      </c>
      <c r="AP771" s="55">
        <f t="shared" si="326"/>
        <v>101.46000000000001</v>
      </c>
      <c r="AQ771" s="55">
        <v>48.17</v>
      </c>
      <c r="AR771" s="55">
        <v>18</v>
      </c>
      <c r="AS771" s="55">
        <v>300</v>
      </c>
      <c r="AT771" s="55" t="s">
        <v>83</v>
      </c>
      <c r="AU771" s="55" t="s">
        <v>109</v>
      </c>
      <c r="AV771" s="55" t="s">
        <v>133</v>
      </c>
      <c r="AW771" s="55" t="s">
        <v>109</v>
      </c>
      <c r="AX771" s="55" t="s">
        <v>86</v>
      </c>
      <c r="AY771" s="55">
        <v>0</v>
      </c>
      <c r="AZ771" s="55">
        <v>20</v>
      </c>
      <c r="BA771" s="55" t="s">
        <v>87</v>
      </c>
      <c r="BB771" s="55" t="s">
        <v>88</v>
      </c>
      <c r="BC771" s="55" t="s">
        <v>89</v>
      </c>
      <c r="BD771" s="55" t="s">
        <v>90</v>
      </c>
      <c r="BE771" s="55" t="s">
        <v>1458</v>
      </c>
      <c r="BF771" s="55">
        <v>101.57</v>
      </c>
      <c r="BG771" s="55">
        <v>0</v>
      </c>
      <c r="BH771" s="55">
        <v>65.849999999999994</v>
      </c>
      <c r="BI771" s="55">
        <v>5</v>
      </c>
      <c r="BJ771" s="55">
        <v>430</v>
      </c>
      <c r="BK771" s="55" t="s">
        <v>91</v>
      </c>
      <c r="BL771" s="55" t="s">
        <v>84</v>
      </c>
      <c r="BM771" s="55">
        <v>1</v>
      </c>
      <c r="BN771" s="55" t="s">
        <v>428</v>
      </c>
      <c r="BO771" s="60" t="s">
        <v>1463</v>
      </c>
      <c r="BP771" s="55" t="s">
        <v>1464</v>
      </c>
      <c r="BQ771" s="55" t="s">
        <v>117</v>
      </c>
      <c r="BR771" s="55" t="s">
        <v>134</v>
      </c>
      <c r="BS771" s="55">
        <v>29.22</v>
      </c>
      <c r="BT771" s="55">
        <v>0.01</v>
      </c>
      <c r="BU771" s="57">
        <v>42552</v>
      </c>
      <c r="BV771" s="57">
        <v>42643</v>
      </c>
      <c r="BW771" s="55" t="s">
        <v>94</v>
      </c>
      <c r="BX771" s="55" t="s">
        <v>95</v>
      </c>
      <c r="BY771" s="55" t="s">
        <v>748</v>
      </c>
      <c r="BZ771" s="55">
        <v>1</v>
      </c>
      <c r="CA771" s="55">
        <v>1</v>
      </c>
      <c r="CB771" s="55" t="s">
        <v>303</v>
      </c>
      <c r="CC771" s="55" t="s">
        <v>314</v>
      </c>
      <c r="CD771" s="55">
        <v>1</v>
      </c>
      <c r="CE771" s="55" t="s">
        <v>1462</v>
      </c>
      <c r="CF771" s="55">
        <v>0</v>
      </c>
      <c r="CG771" s="55" t="s">
        <v>97</v>
      </c>
      <c r="CH771" s="55">
        <v>1</v>
      </c>
      <c r="CI771" s="55" t="s">
        <v>1465</v>
      </c>
      <c r="CJ771" s="55" t="s">
        <v>377</v>
      </c>
      <c r="CK771" s="55">
        <v>179</v>
      </c>
      <c r="CL771" s="55">
        <v>0</v>
      </c>
      <c r="CM771" s="55">
        <v>0</v>
      </c>
      <c r="CN771" s="55" t="s">
        <v>124</v>
      </c>
      <c r="CO771" s="55" t="s">
        <v>97</v>
      </c>
      <c r="CP771" s="55" t="s">
        <v>100</v>
      </c>
      <c r="CQ771" s="55" t="s">
        <v>126</v>
      </c>
      <c r="CR771" s="57">
        <v>46233</v>
      </c>
      <c r="CT771" s="55" t="s">
        <v>1893</v>
      </c>
    </row>
    <row r="772" spans="1:98" s="55" customFormat="1" x14ac:dyDescent="0.35">
      <c r="A772" s="54" t="s">
        <v>1459</v>
      </c>
      <c r="B772" s="54" t="s">
        <v>1849</v>
      </c>
      <c r="C772" s="55" t="s">
        <v>1460</v>
      </c>
      <c r="D772" s="55">
        <v>2022</v>
      </c>
      <c r="E772" s="60" t="s">
        <v>1461</v>
      </c>
      <c r="F772" s="54" t="s">
        <v>998</v>
      </c>
      <c r="G772" s="55" t="s">
        <v>78</v>
      </c>
      <c r="H772" s="55">
        <v>1</v>
      </c>
      <c r="I772" s="55" t="s">
        <v>290</v>
      </c>
      <c r="J772" s="55" t="s">
        <v>79</v>
      </c>
      <c r="K772" s="55">
        <v>81</v>
      </c>
      <c r="L772" s="55" t="s">
        <v>104</v>
      </c>
      <c r="M772" s="55" t="s">
        <v>380</v>
      </c>
      <c r="N772" s="55">
        <v>-4.5400000000000003E-2</v>
      </c>
      <c r="O772" s="55">
        <v>1.29E-2</v>
      </c>
      <c r="P772" s="88">
        <f t="shared" si="318"/>
        <v>-3.5193798449612403</v>
      </c>
      <c r="Q772" s="55" t="s">
        <v>312</v>
      </c>
      <c r="R772" s="88">
        <f t="shared" si="319"/>
        <v>-7.0683999999999997E-2</v>
      </c>
      <c r="S772" s="88">
        <f t="shared" si="320"/>
        <v>-2.0116000000000002E-2</v>
      </c>
      <c r="T772" s="55">
        <v>1</v>
      </c>
      <c r="U772" s="55" t="s">
        <v>312</v>
      </c>
      <c r="V772" s="55" t="s">
        <v>312</v>
      </c>
      <c r="W772" s="55" t="s">
        <v>312</v>
      </c>
      <c r="X772" s="55" t="str">
        <f t="shared" ref="X772:X803" si="327">U772</f>
        <v>NA</v>
      </c>
      <c r="Y772" s="88" t="s">
        <v>312</v>
      </c>
      <c r="Z772" s="88" t="s">
        <v>312</v>
      </c>
      <c r="AA772" s="88" t="s">
        <v>312</v>
      </c>
      <c r="AB772" s="55" t="s">
        <v>81</v>
      </c>
      <c r="AC772" s="88">
        <f t="shared" si="321"/>
        <v>-0.46062840000000005</v>
      </c>
      <c r="AD772" s="88" cm="1">
        <f t="array" ref="AD772">_xlfn.IFS(
AND(L772="marginal_effect",M772="level"),N772*AN772/BF772,
AND(L772="marginal_effect",M772="sd (Y)"),N772*BI772*AN772/BF772,
AND(L772="marginal_effect",M772="sd (X)"),N772/AQ772*AN772/BF772,
AND(L772="semi_elasticity",M772="level"),N772*AN772,
AND(L772="semi_elasticity",M772="sd (Y)"),N772*AN772*BI772,
AND(L772="semi_elasticity",M772="sd (X)"),N772*AN772/AQ772,
AND(L772="level-log",M772="level"),N772/BF772,
AND(L772="level-log",M772="sd (X)"),N772/BF772/AQ772,
AND(L772="level-log",M772="sd (Y)"),N772/BF772*BI772,
AND(L772="elasticity",M772="level"),N772,
AND(L772="elasticity",M772="sd (X)"),N772/AQ772,
AND(L772="elasticity",M772="sd (Y)"),N772*BI772,
AND(L772="marginal_effect",M772="percent_of_mean"),N772*AN772/BF772/10)</f>
        <v>-0.46062840000000005</v>
      </c>
      <c r="AE772" s="56">
        <f t="shared" si="323"/>
        <v>1</v>
      </c>
      <c r="AF772" s="88">
        <f t="shared" si="322"/>
        <v>0.13088340000000001</v>
      </c>
      <c r="AG772" s="88" cm="1">
        <f t="array" ref="AG772">_xlfn.IFS(
AND(L772="marginal_effect",M772="level"),O771*AN772/BF772,
AND(L772="marginal_effect",M772="sd (Y)"),O771*BI772*AN772/BF772,
AND(L772="marginal_effect",M772="sd (X)"),O771/AQ772*AN772/BF772,
AND(L772="semi_elasticity",M772="level"),O771*AN772,
AND(L772="semi_elasticity",M772="sd (Y)"),O771*AN772*BI772,
AND(L772="semi_elasticity",M772="sd (X)"),O771*AN772/AQ772,
AND(L772="level-log",M772="level"),O771/BF772,
AND(L772="level-log",M772="sd (X)"),O771/BF772/AQ772,
AND(L772="level-log",M772="sd (Y)"),O771/BF772*BI772,
AND(L772="elasticity",M772="level"),O771,
AND(L772="elasticity",M772="sd (X)"),O771/AQ772,
AND(L772="elasticity",M772="sd (Y)"),O771*BI772,
AND(L772="marginal_effect",M772="percent_of_mean"),O771*AN772/BF772/10)</f>
        <v>6.5949000000000008E-2</v>
      </c>
      <c r="AH772" s="56">
        <f t="shared" si="324"/>
        <v>0</v>
      </c>
      <c r="AI772" s="88">
        <f t="shared" si="325"/>
        <v>-0.46062840000000005</v>
      </c>
      <c r="AJ772" s="55">
        <v>0</v>
      </c>
      <c r="AK772" s="55">
        <f t="shared" si="315"/>
        <v>1</v>
      </c>
      <c r="AL772" s="55" t="s">
        <v>148</v>
      </c>
      <c r="AM772" s="55" t="s">
        <v>1466</v>
      </c>
      <c r="AN772" s="55">
        <v>10.146000000000001</v>
      </c>
      <c r="AO772" s="55">
        <v>0</v>
      </c>
      <c r="AP772" s="55">
        <f t="shared" si="326"/>
        <v>101.46000000000001</v>
      </c>
      <c r="AQ772" s="55">
        <v>48.17</v>
      </c>
      <c r="AR772" s="55">
        <v>18</v>
      </c>
      <c r="AS772" s="55">
        <v>300</v>
      </c>
      <c r="AT772" s="55" t="s">
        <v>83</v>
      </c>
      <c r="AU772" s="55" t="s">
        <v>109</v>
      </c>
      <c r="AV772" s="55" t="s">
        <v>133</v>
      </c>
      <c r="AW772" s="55" t="s">
        <v>109</v>
      </c>
      <c r="AX772" s="55" t="s">
        <v>86</v>
      </c>
      <c r="AY772" s="55">
        <v>0</v>
      </c>
      <c r="AZ772" s="55">
        <v>25</v>
      </c>
      <c r="BA772" s="55" t="s">
        <v>87</v>
      </c>
      <c r="BB772" s="55" t="s">
        <v>88</v>
      </c>
      <c r="BC772" s="55" t="s">
        <v>89</v>
      </c>
      <c r="BD772" s="55" t="s">
        <v>90</v>
      </c>
      <c r="BE772" s="55" t="s">
        <v>1458</v>
      </c>
      <c r="BF772" s="55">
        <v>101.57</v>
      </c>
      <c r="BG772" s="55">
        <v>0</v>
      </c>
      <c r="BH772" s="55">
        <v>65.849999999999994</v>
      </c>
      <c r="BI772" s="55">
        <v>5</v>
      </c>
      <c r="BJ772" s="55">
        <v>430</v>
      </c>
      <c r="BK772" s="55" t="s">
        <v>91</v>
      </c>
      <c r="BL772" s="55" t="s">
        <v>84</v>
      </c>
      <c r="BM772" s="55">
        <v>1</v>
      </c>
      <c r="BN772" s="55" t="s">
        <v>428</v>
      </c>
      <c r="BO772" s="60" t="s">
        <v>1463</v>
      </c>
      <c r="BP772" s="55" t="s">
        <v>1464</v>
      </c>
      <c r="BQ772" s="55" t="s">
        <v>117</v>
      </c>
      <c r="BR772" s="55" t="s">
        <v>134</v>
      </c>
      <c r="BS772" s="55">
        <v>29.22</v>
      </c>
      <c r="BT772" s="55">
        <v>0.01</v>
      </c>
      <c r="BU772" s="57">
        <v>42552</v>
      </c>
      <c r="BV772" s="57">
        <v>42643</v>
      </c>
      <c r="BW772" s="55" t="s">
        <v>94</v>
      </c>
      <c r="BX772" s="55" t="s">
        <v>95</v>
      </c>
      <c r="BY772" s="55" t="s">
        <v>748</v>
      </c>
      <c r="BZ772" s="55">
        <v>1</v>
      </c>
      <c r="CA772" s="55">
        <v>1</v>
      </c>
      <c r="CB772" s="55" t="s">
        <v>303</v>
      </c>
      <c r="CC772" s="55" t="s">
        <v>314</v>
      </c>
      <c r="CD772" s="55">
        <v>1</v>
      </c>
      <c r="CE772" s="55" t="s">
        <v>1462</v>
      </c>
      <c r="CF772" s="55">
        <v>0</v>
      </c>
      <c r="CG772" s="55" t="s">
        <v>97</v>
      </c>
      <c r="CH772" s="55">
        <v>1</v>
      </c>
      <c r="CI772" s="55" t="s">
        <v>1465</v>
      </c>
      <c r="CJ772" s="55" t="s">
        <v>377</v>
      </c>
      <c r="CK772" s="55">
        <v>179</v>
      </c>
      <c r="CL772" s="55">
        <v>0</v>
      </c>
      <c r="CM772" s="55">
        <v>0</v>
      </c>
      <c r="CN772" s="55" t="s">
        <v>124</v>
      </c>
      <c r="CO772" s="55" t="s">
        <v>97</v>
      </c>
      <c r="CP772" s="55" t="s">
        <v>100</v>
      </c>
      <c r="CQ772" s="55" t="s">
        <v>126</v>
      </c>
      <c r="CR772" s="57">
        <v>46233</v>
      </c>
      <c r="CT772" s="55" t="s">
        <v>1893</v>
      </c>
    </row>
    <row r="773" spans="1:98" s="55" customFormat="1" x14ac:dyDescent="0.35">
      <c r="A773" s="54" t="s">
        <v>1459</v>
      </c>
      <c r="B773" s="54" t="s">
        <v>1851</v>
      </c>
      <c r="C773" s="55" t="s">
        <v>1460</v>
      </c>
      <c r="D773" s="55">
        <v>2022</v>
      </c>
      <c r="E773" s="60" t="s">
        <v>1461</v>
      </c>
      <c r="F773" s="54" t="s">
        <v>998</v>
      </c>
      <c r="G773" s="55" t="s">
        <v>78</v>
      </c>
      <c r="H773" s="55">
        <v>1</v>
      </c>
      <c r="I773" s="55" t="s">
        <v>290</v>
      </c>
      <c r="J773" s="55" t="s">
        <v>79</v>
      </c>
      <c r="K773" s="55">
        <v>81</v>
      </c>
      <c r="L773" s="55" t="s">
        <v>104</v>
      </c>
      <c r="M773" s="55" t="s">
        <v>380</v>
      </c>
      <c r="N773" s="55">
        <v>-5.21E-2</v>
      </c>
      <c r="O773" s="55">
        <v>1.6899999999999998E-2</v>
      </c>
      <c r="P773" s="88">
        <f t="shared" si="318"/>
        <v>-3.082840236686391</v>
      </c>
      <c r="Q773" s="55" t="s">
        <v>312</v>
      </c>
      <c r="R773" s="88">
        <f t="shared" si="319"/>
        <v>-8.5223999999999994E-2</v>
      </c>
      <c r="S773" s="88">
        <f t="shared" si="320"/>
        <v>-1.8976000000000007E-2</v>
      </c>
      <c r="T773" s="55">
        <v>1</v>
      </c>
      <c r="U773" s="55" t="s">
        <v>312</v>
      </c>
      <c r="V773" s="55" t="s">
        <v>312</v>
      </c>
      <c r="W773" s="55" t="s">
        <v>312</v>
      </c>
      <c r="X773" s="55" t="str">
        <f t="shared" si="327"/>
        <v>NA</v>
      </c>
      <c r="Y773" s="88" t="s">
        <v>312</v>
      </c>
      <c r="Z773" s="88" t="s">
        <v>312</v>
      </c>
      <c r="AA773" s="88" t="s">
        <v>312</v>
      </c>
      <c r="AB773" s="55" t="s">
        <v>81</v>
      </c>
      <c r="AC773" s="88">
        <f t="shared" si="321"/>
        <v>-0.52860660000000004</v>
      </c>
      <c r="AD773" s="88" cm="1">
        <f t="array" ref="AD773">_xlfn.IFS(
AND(L773="marginal_effect",M773="level"),N773*AN773/BF773,
AND(L773="marginal_effect",M773="sd (Y)"),N773*BI773*AN773/BF773,
AND(L773="marginal_effect",M773="sd (X)"),N773/AQ773*AN773/BF773,
AND(L773="semi_elasticity",M773="level"),N773*AN773,
AND(L773="semi_elasticity",M773="sd (Y)"),N773*AN773*BI773,
AND(L773="semi_elasticity",M773="sd (X)"),N773*AN773/AQ773,
AND(L773="level-log",M773="level"),N773/BF773,
AND(L773="level-log",M773="sd (X)"),N773/BF773/AQ773,
AND(L773="level-log",M773="sd (Y)"),N773/BF773*BI773,
AND(L773="elasticity",M773="level"),N773,
AND(L773="elasticity",M773="sd (X)"),N773/AQ773,
AND(L773="elasticity",M773="sd (Y)"),N773*BI773,
AND(L773="marginal_effect",M773="percent_of_mean"),N773*AN773/BF773/10)</f>
        <v>-0.52860660000000004</v>
      </c>
      <c r="AE773" s="56">
        <f t="shared" si="323"/>
        <v>1</v>
      </c>
      <c r="AF773" s="88">
        <f t="shared" si="322"/>
        <v>0.17146739999999999</v>
      </c>
      <c r="AG773" s="88" cm="1">
        <f t="array" ref="AG773">_xlfn.IFS(
AND(L773="marginal_effect",M773="level"),O772*AN773/BF773,
AND(L773="marginal_effect",M773="sd (Y)"),O772*BI773*AN773/BF773,
AND(L773="marginal_effect",M773="sd (X)"),O772/AQ773*AN773/BF773,
AND(L773="semi_elasticity",M773="level"),O772*AN773,
AND(L773="semi_elasticity",M773="sd (Y)"),O772*AN773*BI773,
AND(L773="semi_elasticity",M773="sd (X)"),O772*AN773/AQ773,
AND(L773="level-log",M773="level"),O772/BF773,
AND(L773="level-log",M773="sd (X)"),O772/BF773/AQ773,
AND(L773="level-log",M773="sd (Y)"),O772/BF773*BI773,
AND(L773="elasticity",M773="level"),O772,
AND(L773="elasticity",M773="sd (X)"),O772/AQ773,
AND(L773="elasticity",M773="sd (Y)"),O772*BI773,
AND(L773="marginal_effect",M773="percent_of_mean"),O772*AN773/BF773/10)</f>
        <v>0.13088340000000001</v>
      </c>
      <c r="AH773" s="56">
        <f t="shared" si="324"/>
        <v>0</v>
      </c>
      <c r="AI773" s="88">
        <f t="shared" si="325"/>
        <v>-0.52860660000000004</v>
      </c>
      <c r="AJ773" s="55">
        <v>0</v>
      </c>
      <c r="AK773" s="55">
        <f t="shared" si="315"/>
        <v>1</v>
      </c>
      <c r="AL773" s="55" t="s">
        <v>148</v>
      </c>
      <c r="AM773" s="55" t="s">
        <v>1466</v>
      </c>
      <c r="AN773" s="55">
        <v>10.146000000000001</v>
      </c>
      <c r="AO773" s="55">
        <v>0</v>
      </c>
      <c r="AP773" s="55">
        <f t="shared" si="326"/>
        <v>101.46000000000001</v>
      </c>
      <c r="AQ773" s="55">
        <v>48.17</v>
      </c>
      <c r="AR773" s="55">
        <v>18</v>
      </c>
      <c r="AS773" s="55">
        <v>300</v>
      </c>
      <c r="AT773" s="55" t="s">
        <v>83</v>
      </c>
      <c r="AU773" s="55" t="s">
        <v>109</v>
      </c>
      <c r="AV773" s="55" t="s">
        <v>133</v>
      </c>
      <c r="AW773" s="55" t="s">
        <v>109</v>
      </c>
      <c r="AX773" s="55" t="s">
        <v>86</v>
      </c>
      <c r="AY773" s="55">
        <v>0</v>
      </c>
      <c r="AZ773" s="55">
        <v>30</v>
      </c>
      <c r="BA773" s="55" t="s">
        <v>87</v>
      </c>
      <c r="BB773" s="55" t="s">
        <v>88</v>
      </c>
      <c r="BC773" s="55" t="s">
        <v>89</v>
      </c>
      <c r="BD773" s="55" t="s">
        <v>90</v>
      </c>
      <c r="BE773" s="55" t="s">
        <v>1458</v>
      </c>
      <c r="BF773" s="55">
        <v>101.57</v>
      </c>
      <c r="BG773" s="55">
        <v>0</v>
      </c>
      <c r="BH773" s="55">
        <v>65.849999999999994</v>
      </c>
      <c r="BI773" s="55">
        <v>5</v>
      </c>
      <c r="BJ773" s="55">
        <v>430</v>
      </c>
      <c r="BK773" s="55" t="s">
        <v>91</v>
      </c>
      <c r="BL773" s="55" t="s">
        <v>84</v>
      </c>
      <c r="BM773" s="55">
        <v>1</v>
      </c>
      <c r="BN773" s="55" t="s">
        <v>428</v>
      </c>
      <c r="BO773" s="60" t="s">
        <v>1463</v>
      </c>
      <c r="BP773" s="55" t="s">
        <v>1464</v>
      </c>
      <c r="BQ773" s="55" t="s">
        <v>117</v>
      </c>
      <c r="BR773" s="55" t="s">
        <v>134</v>
      </c>
      <c r="BS773" s="55">
        <v>29.22</v>
      </c>
      <c r="BT773" s="55">
        <v>0.01</v>
      </c>
      <c r="BU773" s="57">
        <v>42552</v>
      </c>
      <c r="BV773" s="57">
        <v>42643</v>
      </c>
      <c r="BW773" s="55" t="s">
        <v>94</v>
      </c>
      <c r="BX773" s="55" t="s">
        <v>95</v>
      </c>
      <c r="BY773" s="55" t="s">
        <v>748</v>
      </c>
      <c r="BZ773" s="55">
        <v>1</v>
      </c>
      <c r="CA773" s="55">
        <v>1</v>
      </c>
      <c r="CB773" s="55" t="s">
        <v>303</v>
      </c>
      <c r="CC773" s="55" t="s">
        <v>314</v>
      </c>
      <c r="CD773" s="55">
        <v>1</v>
      </c>
      <c r="CE773" s="55" t="s">
        <v>1462</v>
      </c>
      <c r="CF773" s="55">
        <v>0</v>
      </c>
      <c r="CG773" s="55" t="s">
        <v>97</v>
      </c>
      <c r="CH773" s="55">
        <v>1</v>
      </c>
      <c r="CI773" s="55" t="s">
        <v>1465</v>
      </c>
      <c r="CJ773" s="55" t="s">
        <v>377</v>
      </c>
      <c r="CK773" s="55">
        <v>179</v>
      </c>
      <c r="CL773" s="55">
        <v>0</v>
      </c>
      <c r="CM773" s="55">
        <v>0</v>
      </c>
      <c r="CN773" s="55" t="s">
        <v>124</v>
      </c>
      <c r="CO773" s="55" t="s">
        <v>97</v>
      </c>
      <c r="CP773" s="55" t="s">
        <v>100</v>
      </c>
      <c r="CQ773" s="55" t="s">
        <v>126</v>
      </c>
      <c r="CR773" s="57">
        <v>46233</v>
      </c>
      <c r="CT773" s="55" t="s">
        <v>1893</v>
      </c>
    </row>
    <row r="774" spans="1:98" s="55" customFormat="1" x14ac:dyDescent="0.35">
      <c r="A774" s="54" t="s">
        <v>1459</v>
      </c>
      <c r="B774" s="54" t="s">
        <v>1850</v>
      </c>
      <c r="C774" s="55" t="s">
        <v>1460</v>
      </c>
      <c r="D774" s="55">
        <v>2022</v>
      </c>
      <c r="E774" s="60" t="s">
        <v>1461</v>
      </c>
      <c r="F774" s="54" t="s">
        <v>998</v>
      </c>
      <c r="G774" s="55" t="s">
        <v>78</v>
      </c>
      <c r="H774" s="55">
        <v>1</v>
      </c>
      <c r="I774" s="55" t="s">
        <v>290</v>
      </c>
      <c r="J774" s="55" t="s">
        <v>79</v>
      </c>
      <c r="K774" s="55">
        <v>81</v>
      </c>
      <c r="L774" s="55" t="s">
        <v>104</v>
      </c>
      <c r="M774" s="55" t="s">
        <v>380</v>
      </c>
      <c r="N774" s="55">
        <v>-3.9600000000000003E-2</v>
      </c>
      <c r="O774" s="55">
        <v>1.4E-2</v>
      </c>
      <c r="P774" s="88">
        <f t="shared" si="318"/>
        <v>-2.8285714285714287</v>
      </c>
      <c r="Q774" s="55" t="s">
        <v>312</v>
      </c>
      <c r="R774" s="88">
        <f t="shared" si="319"/>
        <v>-6.7040000000000002E-2</v>
      </c>
      <c r="S774" s="88">
        <f t="shared" si="320"/>
        <v>-1.2160000000000004E-2</v>
      </c>
      <c r="T774" s="55">
        <v>1</v>
      </c>
      <c r="U774" s="55" t="s">
        <v>312</v>
      </c>
      <c r="V774" s="55" t="s">
        <v>312</v>
      </c>
      <c r="W774" s="55" t="s">
        <v>312</v>
      </c>
      <c r="X774" s="55" t="str">
        <f t="shared" si="327"/>
        <v>NA</v>
      </c>
      <c r="Y774" s="88" t="s">
        <v>312</v>
      </c>
      <c r="Z774" s="88" t="s">
        <v>312</v>
      </c>
      <c r="AA774" s="88" t="s">
        <v>312</v>
      </c>
      <c r="AB774" s="55" t="s">
        <v>81</v>
      </c>
      <c r="AC774" s="88">
        <f t="shared" si="321"/>
        <v>-0.40178160000000007</v>
      </c>
      <c r="AD774" s="88" cm="1">
        <f t="array" ref="AD774">_xlfn.IFS(
AND(L774="marginal_effect",M774="level"),N774*AN774/BF774,
AND(L774="marginal_effect",M774="sd (Y)"),N774*BI774*AN774/BF774,
AND(L774="marginal_effect",M774="sd (X)"),N774/AQ774*AN774/BF774,
AND(L774="semi_elasticity",M774="level"),N774*AN774,
AND(L774="semi_elasticity",M774="sd (Y)"),N774*AN774*BI774,
AND(L774="semi_elasticity",M774="sd (X)"),N774*AN774/AQ774,
AND(L774="level-log",M774="level"),N774/BF774,
AND(L774="level-log",M774="sd (X)"),N774/BF774/AQ774,
AND(L774="level-log",M774="sd (Y)"),N774/BF774*BI774,
AND(L774="elasticity",M774="level"),N774,
AND(L774="elasticity",M774="sd (X)"),N774/AQ774,
AND(L774="elasticity",M774="sd (Y)"),N774*BI774,
AND(L774="marginal_effect",M774="percent_of_mean"),N774*AN774/BF774/10)</f>
        <v>-0.40178160000000007</v>
      </c>
      <c r="AE774" s="56">
        <f t="shared" si="323"/>
        <v>1</v>
      </c>
      <c r="AF774" s="88">
        <f t="shared" si="322"/>
        <v>0.142044</v>
      </c>
      <c r="AG774" s="88" cm="1">
        <f t="array" ref="AG774">_xlfn.IFS(
AND(L774="marginal_effect",M774="level"),O773*AN774/BF774,
AND(L774="marginal_effect",M774="sd (Y)"),O773*BI774*AN774/BF774,
AND(L774="marginal_effect",M774="sd (X)"),O773/AQ774*AN774/BF774,
AND(L774="semi_elasticity",M774="level"),O773*AN774,
AND(L774="semi_elasticity",M774="sd (Y)"),O773*AN774*BI774,
AND(L774="semi_elasticity",M774="sd (X)"),O773*AN774/AQ774,
AND(L774="level-log",M774="level"),O773/BF774,
AND(L774="level-log",M774="sd (X)"),O773/BF774/AQ774,
AND(L774="level-log",M774="sd (Y)"),O773/BF774*BI774,
AND(L774="elasticity",M774="level"),O773,
AND(L774="elasticity",M774="sd (X)"),O773/AQ774,
AND(L774="elasticity",M774="sd (Y)"),O773*BI774,
AND(L774="marginal_effect",M774="percent_of_mean"),O773*AN774/BF774/10)</f>
        <v>0.17146739999999999</v>
      </c>
      <c r="AH774" s="56">
        <f t="shared" si="324"/>
        <v>0</v>
      </c>
      <c r="AI774" s="88">
        <f t="shared" si="325"/>
        <v>-0.40178160000000007</v>
      </c>
      <c r="AJ774" s="55">
        <v>0</v>
      </c>
      <c r="AK774" s="55">
        <f t="shared" si="315"/>
        <v>1</v>
      </c>
      <c r="AL774" s="55" t="s">
        <v>148</v>
      </c>
      <c r="AM774" s="55" t="s">
        <v>1466</v>
      </c>
      <c r="AN774" s="55">
        <v>10.146000000000001</v>
      </c>
      <c r="AO774" s="55">
        <v>0</v>
      </c>
      <c r="AP774" s="55">
        <f t="shared" si="326"/>
        <v>101.46000000000001</v>
      </c>
      <c r="AQ774" s="55">
        <v>48.17</v>
      </c>
      <c r="AR774" s="55">
        <v>18</v>
      </c>
      <c r="AS774" s="55">
        <v>300</v>
      </c>
      <c r="AT774" s="55" t="s">
        <v>83</v>
      </c>
      <c r="AU774" s="55" t="s">
        <v>109</v>
      </c>
      <c r="AV774" s="55" t="s">
        <v>133</v>
      </c>
      <c r="AW774" s="55" t="s">
        <v>109</v>
      </c>
      <c r="AX774" s="55" t="s">
        <v>86</v>
      </c>
      <c r="AY774" s="55">
        <v>0</v>
      </c>
      <c r="AZ774" s="55">
        <v>35</v>
      </c>
      <c r="BA774" s="55" t="s">
        <v>87</v>
      </c>
      <c r="BB774" s="55" t="s">
        <v>88</v>
      </c>
      <c r="BC774" s="55" t="s">
        <v>89</v>
      </c>
      <c r="BD774" s="55" t="s">
        <v>90</v>
      </c>
      <c r="BE774" s="55" t="s">
        <v>1458</v>
      </c>
      <c r="BF774" s="55">
        <v>101.57</v>
      </c>
      <c r="BG774" s="55">
        <v>0</v>
      </c>
      <c r="BH774" s="55">
        <v>65.849999999999994</v>
      </c>
      <c r="BI774" s="55">
        <v>5</v>
      </c>
      <c r="BJ774" s="55">
        <v>430</v>
      </c>
      <c r="BK774" s="55" t="s">
        <v>91</v>
      </c>
      <c r="BL774" s="55" t="s">
        <v>84</v>
      </c>
      <c r="BM774" s="55">
        <v>1</v>
      </c>
      <c r="BN774" s="55" t="s">
        <v>428</v>
      </c>
      <c r="BO774" s="60" t="s">
        <v>1463</v>
      </c>
      <c r="BP774" s="55" t="s">
        <v>1464</v>
      </c>
      <c r="BQ774" s="55" t="s">
        <v>117</v>
      </c>
      <c r="BR774" s="55" t="s">
        <v>134</v>
      </c>
      <c r="BS774" s="55">
        <v>29.22</v>
      </c>
      <c r="BT774" s="55">
        <v>0.01</v>
      </c>
      <c r="BU774" s="57">
        <v>42552</v>
      </c>
      <c r="BV774" s="57">
        <v>42643</v>
      </c>
      <c r="BW774" s="55" t="s">
        <v>94</v>
      </c>
      <c r="BX774" s="55" t="s">
        <v>95</v>
      </c>
      <c r="BY774" s="55" t="s">
        <v>748</v>
      </c>
      <c r="BZ774" s="55">
        <v>1</v>
      </c>
      <c r="CA774" s="55">
        <v>1</v>
      </c>
      <c r="CB774" s="55" t="s">
        <v>303</v>
      </c>
      <c r="CC774" s="55" t="s">
        <v>314</v>
      </c>
      <c r="CD774" s="55">
        <v>1</v>
      </c>
      <c r="CE774" s="55" t="s">
        <v>1462</v>
      </c>
      <c r="CF774" s="55">
        <v>0</v>
      </c>
      <c r="CG774" s="55" t="s">
        <v>97</v>
      </c>
      <c r="CH774" s="55">
        <v>1</v>
      </c>
      <c r="CI774" s="55" t="s">
        <v>1465</v>
      </c>
      <c r="CJ774" s="55" t="s">
        <v>377</v>
      </c>
      <c r="CK774" s="55">
        <v>179</v>
      </c>
      <c r="CL774" s="55">
        <v>0</v>
      </c>
      <c r="CM774" s="55">
        <v>0</v>
      </c>
      <c r="CN774" s="55" t="s">
        <v>124</v>
      </c>
      <c r="CO774" s="55" t="s">
        <v>97</v>
      </c>
      <c r="CP774" s="55" t="s">
        <v>100</v>
      </c>
      <c r="CQ774" s="55" t="s">
        <v>126</v>
      </c>
      <c r="CR774" s="57">
        <v>46233</v>
      </c>
      <c r="CT774" s="55" t="s">
        <v>1893</v>
      </c>
    </row>
    <row r="775" spans="1:98" s="55" customFormat="1" x14ac:dyDescent="0.35">
      <c r="A775" s="54" t="s">
        <v>1459</v>
      </c>
      <c r="B775" s="54" t="s">
        <v>1852</v>
      </c>
      <c r="C775" s="55" t="s">
        <v>1460</v>
      </c>
      <c r="D775" s="55">
        <v>2022</v>
      </c>
      <c r="E775" s="60" t="s">
        <v>1461</v>
      </c>
      <c r="F775" s="54" t="s">
        <v>998</v>
      </c>
      <c r="G775" s="55" t="s">
        <v>78</v>
      </c>
      <c r="H775" s="55">
        <v>1</v>
      </c>
      <c r="I775" s="55" t="s">
        <v>290</v>
      </c>
      <c r="J775" s="55" t="s">
        <v>79</v>
      </c>
      <c r="K775" s="55">
        <v>81</v>
      </c>
      <c r="L775" s="55" t="s">
        <v>104</v>
      </c>
      <c r="M775" s="55" t="s">
        <v>380</v>
      </c>
      <c r="N775" s="55">
        <v>-4.5999999999999999E-2</v>
      </c>
      <c r="O775" s="55">
        <v>1.2500000000000001E-2</v>
      </c>
      <c r="P775" s="88">
        <f t="shared" si="318"/>
        <v>-3.6799999999999997</v>
      </c>
      <c r="Q775" s="55" t="s">
        <v>312</v>
      </c>
      <c r="R775" s="88">
        <f t="shared" si="319"/>
        <v>-7.0500000000000007E-2</v>
      </c>
      <c r="S775" s="88">
        <f t="shared" si="320"/>
        <v>-2.1499999999999998E-2</v>
      </c>
      <c r="T775" s="55">
        <v>1</v>
      </c>
      <c r="U775" s="55" t="s">
        <v>312</v>
      </c>
      <c r="V775" s="55" t="s">
        <v>312</v>
      </c>
      <c r="W775" s="55" t="s">
        <v>312</v>
      </c>
      <c r="X775" s="55" t="str">
        <f t="shared" si="327"/>
        <v>NA</v>
      </c>
      <c r="Y775" s="88" t="s">
        <v>312</v>
      </c>
      <c r="Z775" s="88" t="s">
        <v>312</v>
      </c>
      <c r="AA775" s="88" t="s">
        <v>312</v>
      </c>
      <c r="AB775" s="55" t="s">
        <v>81</v>
      </c>
      <c r="AC775" s="88">
        <f t="shared" si="321"/>
        <v>-0.46671600000000002</v>
      </c>
      <c r="AD775" s="88" cm="1">
        <f t="array" ref="AD775">_xlfn.IFS(
AND(L775="marginal_effect",M775="level"),N775*AN775/BF775,
AND(L775="marginal_effect",M775="sd (Y)"),N775*BI775*AN775/BF775,
AND(L775="marginal_effect",M775="sd (X)"),N775/AQ775*AN775/BF775,
AND(L775="semi_elasticity",M775="level"),N775*AN775,
AND(L775="semi_elasticity",M775="sd (Y)"),N775*AN775*BI775,
AND(L775="semi_elasticity",M775="sd (X)"),N775*AN775/AQ775,
AND(L775="level-log",M775="level"),N775/BF775,
AND(L775="level-log",M775="sd (X)"),N775/BF775/AQ775,
AND(L775="level-log",M775="sd (Y)"),N775/BF775*BI775,
AND(L775="elasticity",M775="level"),N775,
AND(L775="elasticity",M775="sd (X)"),N775/AQ775,
AND(L775="elasticity",M775="sd (Y)"),N775*BI775,
AND(L775="marginal_effect",M775="percent_of_mean"),N775*AN775/BF775/10)</f>
        <v>-0.46671600000000002</v>
      </c>
      <c r="AE775" s="56">
        <f t="shared" si="323"/>
        <v>1</v>
      </c>
      <c r="AF775" s="88">
        <f t="shared" si="322"/>
        <v>0.12682500000000002</v>
      </c>
      <c r="AG775" s="88" cm="1">
        <f t="array" ref="AG775">_xlfn.IFS(
AND(L775="marginal_effect",M775="level"),O774*AN775/BF775,
AND(L775="marginal_effect",M775="sd (Y)"),O774*BI775*AN775/BF775,
AND(L775="marginal_effect",M775="sd (X)"),O774/AQ775*AN775/BF775,
AND(L775="semi_elasticity",M775="level"),O774*AN775,
AND(L775="semi_elasticity",M775="sd (Y)"),O774*AN775*BI775,
AND(L775="semi_elasticity",M775="sd (X)"),O774*AN775/AQ775,
AND(L775="level-log",M775="level"),O774/BF775,
AND(L775="level-log",M775="sd (X)"),O774/BF775/AQ775,
AND(L775="level-log",M775="sd (Y)"),O774/BF775*BI775,
AND(L775="elasticity",M775="level"),O774,
AND(L775="elasticity",M775="sd (X)"),O774/AQ775,
AND(L775="elasticity",M775="sd (Y)"),O774*BI775,
AND(L775="marginal_effect",M775="percent_of_mean"),O774*AN775/BF775/10)</f>
        <v>0.142044</v>
      </c>
      <c r="AH775" s="56">
        <f t="shared" si="324"/>
        <v>0</v>
      </c>
      <c r="AI775" s="88">
        <f t="shared" si="325"/>
        <v>-0.46671600000000002</v>
      </c>
      <c r="AJ775" s="55">
        <v>0</v>
      </c>
      <c r="AK775" s="55">
        <f t="shared" si="315"/>
        <v>1</v>
      </c>
      <c r="AL775" s="55" t="s">
        <v>148</v>
      </c>
      <c r="AM775" s="55" t="s">
        <v>1466</v>
      </c>
      <c r="AN775" s="55">
        <v>10.146000000000001</v>
      </c>
      <c r="AO775" s="55">
        <v>0</v>
      </c>
      <c r="AP775" s="55">
        <f t="shared" si="326"/>
        <v>101.46000000000001</v>
      </c>
      <c r="AQ775" s="55">
        <v>48.17</v>
      </c>
      <c r="AR775" s="55">
        <v>18</v>
      </c>
      <c r="AS775" s="55">
        <v>300</v>
      </c>
      <c r="AT775" s="55" t="s">
        <v>83</v>
      </c>
      <c r="AU775" s="55" t="s">
        <v>109</v>
      </c>
      <c r="AV775" s="55" t="s">
        <v>133</v>
      </c>
      <c r="AW775" s="55" t="s">
        <v>109</v>
      </c>
      <c r="AX775" s="55" t="s">
        <v>86</v>
      </c>
      <c r="AY775" s="55">
        <v>0</v>
      </c>
      <c r="AZ775" s="55">
        <v>40</v>
      </c>
      <c r="BA775" s="55" t="s">
        <v>87</v>
      </c>
      <c r="BB775" s="55" t="s">
        <v>88</v>
      </c>
      <c r="BC775" s="55" t="s">
        <v>89</v>
      </c>
      <c r="BD775" s="55" t="s">
        <v>90</v>
      </c>
      <c r="BE775" s="55" t="s">
        <v>1458</v>
      </c>
      <c r="BF775" s="55">
        <v>101.57</v>
      </c>
      <c r="BG775" s="55">
        <v>0</v>
      </c>
      <c r="BH775" s="55">
        <v>65.849999999999994</v>
      </c>
      <c r="BI775" s="55">
        <v>5</v>
      </c>
      <c r="BJ775" s="55">
        <v>430</v>
      </c>
      <c r="BK775" s="55" t="s">
        <v>91</v>
      </c>
      <c r="BL775" s="55" t="s">
        <v>84</v>
      </c>
      <c r="BM775" s="55">
        <v>1</v>
      </c>
      <c r="BN775" s="55" t="s">
        <v>428</v>
      </c>
      <c r="BO775" s="60" t="s">
        <v>1463</v>
      </c>
      <c r="BP775" s="55" t="s">
        <v>1464</v>
      </c>
      <c r="BQ775" s="55" t="s">
        <v>117</v>
      </c>
      <c r="BR775" s="55" t="s">
        <v>134</v>
      </c>
      <c r="BS775" s="55">
        <v>29.22</v>
      </c>
      <c r="BT775" s="55">
        <v>0.01</v>
      </c>
      <c r="BU775" s="57">
        <v>42552</v>
      </c>
      <c r="BV775" s="57">
        <v>42643</v>
      </c>
      <c r="BW775" s="55" t="s">
        <v>94</v>
      </c>
      <c r="BX775" s="55" t="s">
        <v>95</v>
      </c>
      <c r="BY775" s="55" t="s">
        <v>748</v>
      </c>
      <c r="BZ775" s="55">
        <v>1</v>
      </c>
      <c r="CA775" s="55">
        <v>1</v>
      </c>
      <c r="CB775" s="55" t="s">
        <v>303</v>
      </c>
      <c r="CC775" s="55" t="s">
        <v>314</v>
      </c>
      <c r="CD775" s="55">
        <v>1</v>
      </c>
      <c r="CE775" s="55" t="s">
        <v>1462</v>
      </c>
      <c r="CF775" s="55">
        <v>0</v>
      </c>
      <c r="CG775" s="55" t="s">
        <v>97</v>
      </c>
      <c r="CH775" s="55">
        <v>1</v>
      </c>
      <c r="CI775" s="55" t="s">
        <v>1465</v>
      </c>
      <c r="CJ775" s="55" t="s">
        <v>377</v>
      </c>
      <c r="CK775" s="55">
        <v>179</v>
      </c>
      <c r="CL775" s="55">
        <v>0</v>
      </c>
      <c r="CM775" s="55">
        <v>0</v>
      </c>
      <c r="CN775" s="55" t="s">
        <v>124</v>
      </c>
      <c r="CO775" s="55" t="s">
        <v>97</v>
      </c>
      <c r="CP775" s="55" t="s">
        <v>100</v>
      </c>
      <c r="CQ775" s="55" t="s">
        <v>126</v>
      </c>
      <c r="CR775" s="57">
        <v>46233</v>
      </c>
      <c r="CT775" s="55" t="s">
        <v>1893</v>
      </c>
    </row>
    <row r="776" spans="1:98" s="55" customFormat="1" x14ac:dyDescent="0.35">
      <c r="A776" s="54" t="s">
        <v>1459</v>
      </c>
      <c r="B776" s="54" t="s">
        <v>1853</v>
      </c>
      <c r="C776" s="55" t="s">
        <v>1460</v>
      </c>
      <c r="D776" s="55">
        <v>2022</v>
      </c>
      <c r="E776" s="60" t="s">
        <v>1461</v>
      </c>
      <c r="F776" s="54" t="s">
        <v>998</v>
      </c>
      <c r="G776" s="55" t="s">
        <v>78</v>
      </c>
      <c r="H776" s="55">
        <v>1</v>
      </c>
      <c r="I776" s="55" t="s">
        <v>290</v>
      </c>
      <c r="J776" s="55" t="s">
        <v>79</v>
      </c>
      <c r="K776" s="55">
        <v>81</v>
      </c>
      <c r="L776" s="55" t="s">
        <v>104</v>
      </c>
      <c r="M776" s="55" t="s">
        <v>380</v>
      </c>
      <c r="N776" s="55">
        <v>-1.37E-2</v>
      </c>
      <c r="O776" s="55">
        <v>5.1999999999999998E-3</v>
      </c>
      <c r="P776" s="88">
        <f t="shared" si="318"/>
        <v>-2.634615384615385</v>
      </c>
      <c r="Q776" s="55" t="s">
        <v>312</v>
      </c>
      <c r="R776" s="88">
        <f t="shared" si="319"/>
        <v>-2.3892E-2</v>
      </c>
      <c r="S776" s="88">
        <f t="shared" si="320"/>
        <v>-3.5080000000000007E-3</v>
      </c>
      <c r="T776" s="55">
        <v>1</v>
      </c>
      <c r="U776" s="55" t="s">
        <v>312</v>
      </c>
      <c r="V776" s="55" t="s">
        <v>312</v>
      </c>
      <c r="W776" s="55" t="s">
        <v>312</v>
      </c>
      <c r="X776" s="55" t="str">
        <f t="shared" si="327"/>
        <v>NA</v>
      </c>
      <c r="Y776" s="88" t="s">
        <v>312</v>
      </c>
      <c r="Z776" s="88" t="s">
        <v>312</v>
      </c>
      <c r="AA776" s="88" t="s">
        <v>312</v>
      </c>
      <c r="AB776" s="55" t="s">
        <v>81</v>
      </c>
      <c r="AC776" s="88">
        <f t="shared" si="321"/>
        <v>-0.13900020000000002</v>
      </c>
      <c r="AD776" s="88" cm="1">
        <f t="array" ref="AD776">_xlfn.IFS(
AND(L776="marginal_effect",M776="level"),N776*AN776/BF776,
AND(L776="marginal_effect",M776="sd (Y)"),N776*BI776*AN776/BF776,
AND(L776="marginal_effect",M776="sd (X)"),N776/AQ776*AN776/BF776,
AND(L776="semi_elasticity",M776="level"),N776*AN776,
AND(L776="semi_elasticity",M776="sd (Y)"),N776*AN776*BI776,
AND(L776="semi_elasticity",M776="sd (X)"),N776*AN776/AQ776,
AND(L776="level-log",M776="level"),N776/BF776,
AND(L776="level-log",M776="sd (X)"),N776/BF776/AQ776,
AND(L776="level-log",M776="sd (Y)"),N776/BF776*BI776,
AND(L776="elasticity",M776="level"),N776,
AND(L776="elasticity",M776="sd (X)"),N776/AQ776,
AND(L776="elasticity",M776="sd (Y)"),N776*BI776,
AND(L776="marginal_effect",M776="percent_of_mean"),N776*AN776/BF776/10)</f>
        <v>-0.13900020000000002</v>
      </c>
      <c r="AE776" s="56">
        <f t="shared" si="323"/>
        <v>1</v>
      </c>
      <c r="AF776" s="88">
        <f t="shared" si="322"/>
        <v>5.2759199999999999E-2</v>
      </c>
      <c r="AG776" s="88" cm="1">
        <f t="array" ref="AG776">_xlfn.IFS(
AND(L776="marginal_effect",M776="level"),O775*AN776/BF776,
AND(L776="marginal_effect",M776="sd (Y)"),O775*BI776*AN776/BF776,
AND(L776="marginal_effect",M776="sd (X)"),O775/AQ776*AN776/BF776,
AND(L776="semi_elasticity",M776="level"),O775*AN776,
AND(L776="semi_elasticity",M776="sd (Y)"),O775*AN776*BI776,
AND(L776="semi_elasticity",M776="sd (X)"),O775*AN776/AQ776,
AND(L776="level-log",M776="level"),O775/BF776,
AND(L776="level-log",M776="sd (X)"),O775/BF776/AQ776,
AND(L776="level-log",M776="sd (Y)"),O775/BF776*BI776,
AND(L776="elasticity",M776="level"),O775,
AND(L776="elasticity",M776="sd (X)"),O775/AQ776,
AND(L776="elasticity",M776="sd (Y)"),O775*BI776,
AND(L776="marginal_effect",M776="percent_of_mean"),O775*AN776/BF776/10)</f>
        <v>0.12682500000000002</v>
      </c>
      <c r="AH776" s="56">
        <f t="shared" si="324"/>
        <v>0</v>
      </c>
      <c r="AI776" s="88">
        <f t="shared" si="325"/>
        <v>-0.13900020000000002</v>
      </c>
      <c r="AJ776" s="55">
        <v>0</v>
      </c>
      <c r="AK776" s="55">
        <f t="shared" ref="AK776:AK807" si="328">IF(P776=(AC776/AF776),1,0)</f>
        <v>1</v>
      </c>
      <c r="AL776" s="55" t="s">
        <v>148</v>
      </c>
      <c r="AM776" s="55" t="s">
        <v>1466</v>
      </c>
      <c r="AN776" s="55">
        <v>10.146000000000001</v>
      </c>
      <c r="AO776" s="55">
        <v>0</v>
      </c>
      <c r="AP776" s="55">
        <f t="shared" si="326"/>
        <v>101.46000000000001</v>
      </c>
      <c r="AQ776" s="55">
        <v>48.17</v>
      </c>
      <c r="AR776" s="55">
        <v>18</v>
      </c>
      <c r="AS776" s="55">
        <v>300</v>
      </c>
      <c r="AT776" s="55" t="s">
        <v>83</v>
      </c>
      <c r="AU776" s="55" t="s">
        <v>109</v>
      </c>
      <c r="AV776" s="55" t="s">
        <v>133</v>
      </c>
      <c r="AW776" s="55" t="s">
        <v>109</v>
      </c>
      <c r="AX776" s="55" t="s">
        <v>86</v>
      </c>
      <c r="AY776" s="55">
        <v>0</v>
      </c>
      <c r="AZ776" s="55">
        <v>5</v>
      </c>
      <c r="BA776" s="55" t="s">
        <v>87</v>
      </c>
      <c r="BB776" s="55" t="s">
        <v>88</v>
      </c>
      <c r="BC776" s="55" t="s">
        <v>89</v>
      </c>
      <c r="BD776" s="55" t="s">
        <v>90</v>
      </c>
      <c r="BE776" s="55" t="s">
        <v>1458</v>
      </c>
      <c r="BF776" s="55">
        <v>101.57</v>
      </c>
      <c r="BG776" s="55">
        <v>0</v>
      </c>
      <c r="BH776" s="55">
        <v>65.849999999999994</v>
      </c>
      <c r="BI776" s="55">
        <v>5</v>
      </c>
      <c r="BJ776" s="55">
        <v>430</v>
      </c>
      <c r="BK776" s="55" t="s">
        <v>91</v>
      </c>
      <c r="BL776" s="55" t="s">
        <v>84</v>
      </c>
      <c r="BM776" s="55">
        <v>1</v>
      </c>
      <c r="BN776" s="55" t="s">
        <v>428</v>
      </c>
      <c r="BO776" s="60" t="s">
        <v>1463</v>
      </c>
      <c r="BP776" s="55" t="s">
        <v>1464</v>
      </c>
      <c r="BQ776" s="55" t="s">
        <v>117</v>
      </c>
      <c r="BR776" s="55" t="s">
        <v>134</v>
      </c>
      <c r="BS776" s="55">
        <v>29.22</v>
      </c>
      <c r="BT776" s="55">
        <v>0.01</v>
      </c>
      <c r="BU776" s="57">
        <v>42552</v>
      </c>
      <c r="BV776" s="57">
        <v>42643</v>
      </c>
      <c r="BW776" s="55" t="s">
        <v>94</v>
      </c>
      <c r="BX776" s="55" t="s">
        <v>95</v>
      </c>
      <c r="BY776" s="55" t="s">
        <v>748</v>
      </c>
      <c r="BZ776" s="55">
        <v>1</v>
      </c>
      <c r="CA776" s="55">
        <v>1</v>
      </c>
      <c r="CB776" s="55" t="s">
        <v>303</v>
      </c>
      <c r="CC776" s="55" t="s">
        <v>314</v>
      </c>
      <c r="CD776" s="55">
        <v>1</v>
      </c>
      <c r="CE776" s="55" t="s">
        <v>1462</v>
      </c>
      <c r="CF776" s="55">
        <v>1</v>
      </c>
      <c r="CG776" s="55" t="s">
        <v>82</v>
      </c>
      <c r="CH776" s="55">
        <v>1</v>
      </c>
      <c r="CI776" s="55" t="s">
        <v>1465</v>
      </c>
      <c r="CJ776" s="55" t="s">
        <v>377</v>
      </c>
      <c r="CK776" s="55">
        <v>179</v>
      </c>
      <c r="CL776" s="55">
        <v>0</v>
      </c>
      <c r="CM776" s="55">
        <v>0</v>
      </c>
      <c r="CN776" s="55" t="s">
        <v>124</v>
      </c>
      <c r="CO776" s="55" t="s">
        <v>97</v>
      </c>
      <c r="CP776" s="55" t="s">
        <v>100</v>
      </c>
      <c r="CQ776" s="55" t="s">
        <v>126</v>
      </c>
      <c r="CR776" s="57">
        <v>46233</v>
      </c>
      <c r="CT776" s="55" t="s">
        <v>1894</v>
      </c>
    </row>
    <row r="777" spans="1:98" s="55" customFormat="1" x14ac:dyDescent="0.35">
      <c r="A777" s="54" t="s">
        <v>1459</v>
      </c>
      <c r="B777" s="54" t="s">
        <v>1854</v>
      </c>
      <c r="C777" s="55" t="s">
        <v>1460</v>
      </c>
      <c r="D777" s="55">
        <v>2022</v>
      </c>
      <c r="E777" s="60" t="s">
        <v>1461</v>
      </c>
      <c r="F777" s="54" t="s">
        <v>998</v>
      </c>
      <c r="G777" s="55" t="s">
        <v>78</v>
      </c>
      <c r="H777" s="55">
        <v>1</v>
      </c>
      <c r="I777" s="55" t="s">
        <v>290</v>
      </c>
      <c r="J777" s="55" t="s">
        <v>79</v>
      </c>
      <c r="K777" s="55">
        <v>81</v>
      </c>
      <c r="L777" s="55" t="s">
        <v>104</v>
      </c>
      <c r="M777" s="55" t="s">
        <v>380</v>
      </c>
      <c r="N777" s="55">
        <v>-9.1000000000000004E-3</v>
      </c>
      <c r="O777" s="55">
        <v>7.0000000000000001E-3</v>
      </c>
      <c r="P777" s="88">
        <f t="shared" si="318"/>
        <v>-1.3</v>
      </c>
      <c r="Q777" s="55" t="s">
        <v>312</v>
      </c>
      <c r="R777" s="88">
        <f t="shared" si="319"/>
        <v>-2.282E-2</v>
      </c>
      <c r="S777" s="88">
        <f t="shared" si="320"/>
        <v>4.6199999999999991E-3</v>
      </c>
      <c r="T777" s="55">
        <v>1</v>
      </c>
      <c r="U777" s="55" t="s">
        <v>312</v>
      </c>
      <c r="V777" s="55" t="s">
        <v>312</v>
      </c>
      <c r="W777" s="55" t="s">
        <v>312</v>
      </c>
      <c r="X777" s="55" t="str">
        <f t="shared" si="327"/>
        <v>NA</v>
      </c>
      <c r="Y777" s="88" t="s">
        <v>312</v>
      </c>
      <c r="Z777" s="88" t="s">
        <v>312</v>
      </c>
      <c r="AA777" s="88" t="s">
        <v>312</v>
      </c>
      <c r="AB777" s="55" t="s">
        <v>81</v>
      </c>
      <c r="AC777" s="88">
        <f t="shared" si="321"/>
        <v>-9.2328600000000011E-2</v>
      </c>
      <c r="AD777" s="88" cm="1">
        <f t="array" ref="AD777">_xlfn.IFS(
AND(L777="marginal_effect",M777="level"),N777*AN777/BF777,
AND(L777="marginal_effect",M777="sd (Y)"),N777*BI777*AN777/BF777,
AND(L777="marginal_effect",M777="sd (X)"),N777/AQ777*AN777/BF777,
AND(L777="semi_elasticity",M777="level"),N777*AN777,
AND(L777="semi_elasticity",M777="sd (Y)"),N777*AN777*BI777,
AND(L777="semi_elasticity",M777="sd (X)"),N777*AN777/AQ777,
AND(L777="level-log",M777="level"),N777/BF777,
AND(L777="level-log",M777="sd (X)"),N777/BF777/AQ777,
AND(L777="level-log",M777="sd (Y)"),N777/BF777*BI777,
AND(L777="elasticity",M777="level"),N777,
AND(L777="elasticity",M777="sd (X)"),N777/AQ777,
AND(L777="elasticity",M777="sd (Y)"),N777*BI777,
AND(L777="marginal_effect",M777="percent_of_mean"),N777*AN777/BF777/10)</f>
        <v>-9.2328600000000011E-2</v>
      </c>
      <c r="AE777" s="56">
        <f t="shared" si="323"/>
        <v>1</v>
      </c>
      <c r="AF777" s="88">
        <f t="shared" si="322"/>
        <v>7.1022000000000002E-2</v>
      </c>
      <c r="AG777" s="88" cm="1">
        <f t="array" ref="AG777">_xlfn.IFS(
AND(L777="marginal_effect",M777="level"),O776*AN777/BF777,
AND(L777="marginal_effect",M777="sd (Y)"),O776*BI777*AN777/BF777,
AND(L777="marginal_effect",M777="sd (X)"),O776/AQ777*AN777/BF777,
AND(L777="semi_elasticity",M777="level"),O776*AN777,
AND(L777="semi_elasticity",M777="sd (Y)"),O776*AN777*BI777,
AND(L777="semi_elasticity",M777="sd (X)"),O776*AN777/AQ777,
AND(L777="level-log",M777="level"),O776/BF777,
AND(L777="level-log",M777="sd (X)"),O776/BF777/AQ777,
AND(L777="level-log",M777="sd (Y)"),O776/BF777*BI777,
AND(L777="elasticity",M777="level"),O776,
AND(L777="elasticity",M777="sd (X)"),O776/AQ777,
AND(L777="elasticity",M777="sd (Y)"),O776*BI777,
AND(L777="marginal_effect",M777="percent_of_mean"),O776*AN777/BF777/10)</f>
        <v>5.2759199999999999E-2</v>
      </c>
      <c r="AH777" s="56">
        <f t="shared" si="324"/>
        <v>0</v>
      </c>
      <c r="AI777" s="88">
        <f t="shared" si="325"/>
        <v>-9.2328600000000011E-2</v>
      </c>
      <c r="AJ777" s="55">
        <v>0</v>
      </c>
      <c r="AK777" s="55">
        <f t="shared" si="328"/>
        <v>1</v>
      </c>
      <c r="AL777" s="55" t="s">
        <v>148</v>
      </c>
      <c r="AM777" s="55" t="s">
        <v>1466</v>
      </c>
      <c r="AN777" s="55">
        <v>10.146000000000001</v>
      </c>
      <c r="AO777" s="55">
        <v>0</v>
      </c>
      <c r="AP777" s="55">
        <f t="shared" si="326"/>
        <v>101.46000000000001</v>
      </c>
      <c r="AQ777" s="55">
        <v>48.17</v>
      </c>
      <c r="AR777" s="55">
        <v>18</v>
      </c>
      <c r="AS777" s="55">
        <v>300</v>
      </c>
      <c r="AT777" s="55" t="s">
        <v>83</v>
      </c>
      <c r="AU777" s="55" t="s">
        <v>109</v>
      </c>
      <c r="AV777" s="55" t="s">
        <v>133</v>
      </c>
      <c r="AW777" s="55" t="s">
        <v>109</v>
      </c>
      <c r="AX777" s="55" t="s">
        <v>86</v>
      </c>
      <c r="AY777" s="55">
        <v>0</v>
      </c>
      <c r="AZ777" s="55">
        <v>10</v>
      </c>
      <c r="BA777" s="55" t="s">
        <v>87</v>
      </c>
      <c r="BB777" s="55" t="s">
        <v>88</v>
      </c>
      <c r="BC777" s="55" t="s">
        <v>89</v>
      </c>
      <c r="BD777" s="55" t="s">
        <v>90</v>
      </c>
      <c r="BE777" s="55" t="s">
        <v>1458</v>
      </c>
      <c r="BF777" s="55">
        <v>101.57</v>
      </c>
      <c r="BG777" s="55">
        <v>0</v>
      </c>
      <c r="BH777" s="55">
        <v>65.849999999999994</v>
      </c>
      <c r="BI777" s="55">
        <v>5</v>
      </c>
      <c r="BJ777" s="55">
        <v>430</v>
      </c>
      <c r="BK777" s="55" t="s">
        <v>91</v>
      </c>
      <c r="BL777" s="55" t="s">
        <v>84</v>
      </c>
      <c r="BM777" s="55">
        <v>1</v>
      </c>
      <c r="BN777" s="55" t="s">
        <v>428</v>
      </c>
      <c r="BO777" s="60" t="s">
        <v>1463</v>
      </c>
      <c r="BP777" s="55" t="s">
        <v>1464</v>
      </c>
      <c r="BQ777" s="55" t="s">
        <v>117</v>
      </c>
      <c r="BR777" s="55" t="s">
        <v>134</v>
      </c>
      <c r="BS777" s="55">
        <v>29.22</v>
      </c>
      <c r="BT777" s="55">
        <v>0.01</v>
      </c>
      <c r="BU777" s="57">
        <v>42552</v>
      </c>
      <c r="BV777" s="57">
        <v>42643</v>
      </c>
      <c r="BW777" s="55" t="s">
        <v>94</v>
      </c>
      <c r="BX777" s="55" t="s">
        <v>95</v>
      </c>
      <c r="BY777" s="55" t="s">
        <v>748</v>
      </c>
      <c r="BZ777" s="55">
        <v>1</v>
      </c>
      <c r="CA777" s="55">
        <v>1</v>
      </c>
      <c r="CB777" s="55" t="s">
        <v>303</v>
      </c>
      <c r="CC777" s="55" t="s">
        <v>314</v>
      </c>
      <c r="CD777" s="55">
        <v>1</v>
      </c>
      <c r="CE777" s="55" t="s">
        <v>1462</v>
      </c>
      <c r="CF777" s="55">
        <v>1</v>
      </c>
      <c r="CG777" s="55" t="s">
        <v>82</v>
      </c>
      <c r="CH777" s="55">
        <v>1</v>
      </c>
      <c r="CI777" s="55" t="s">
        <v>1465</v>
      </c>
      <c r="CJ777" s="55" t="s">
        <v>377</v>
      </c>
      <c r="CK777" s="55">
        <v>179</v>
      </c>
      <c r="CL777" s="55">
        <v>0</v>
      </c>
      <c r="CM777" s="55">
        <v>0</v>
      </c>
      <c r="CN777" s="55" t="s">
        <v>124</v>
      </c>
      <c r="CO777" s="55" t="s">
        <v>97</v>
      </c>
      <c r="CP777" s="55" t="s">
        <v>100</v>
      </c>
      <c r="CQ777" s="55" t="s">
        <v>126</v>
      </c>
      <c r="CR777" s="57">
        <v>46233</v>
      </c>
      <c r="CT777" s="55" t="s">
        <v>1894</v>
      </c>
    </row>
    <row r="778" spans="1:98" s="55" customFormat="1" x14ac:dyDescent="0.35">
      <c r="A778" s="54" t="s">
        <v>1459</v>
      </c>
      <c r="B778" s="54" t="s">
        <v>1855</v>
      </c>
      <c r="C778" s="55" t="s">
        <v>1460</v>
      </c>
      <c r="D778" s="55">
        <v>2022</v>
      </c>
      <c r="E778" s="60" t="s">
        <v>1461</v>
      </c>
      <c r="F778" s="54" t="s">
        <v>998</v>
      </c>
      <c r="G778" s="55" t="s">
        <v>78</v>
      </c>
      <c r="H778" s="55">
        <v>1</v>
      </c>
      <c r="I778" s="55" t="s">
        <v>290</v>
      </c>
      <c r="J778" s="55" t="s">
        <v>79</v>
      </c>
      <c r="K778" s="55">
        <v>81</v>
      </c>
      <c r="L778" s="55" t="s">
        <v>104</v>
      </c>
      <c r="M778" s="55" t="s">
        <v>380</v>
      </c>
      <c r="N778" s="55">
        <v>-3.0000000000000001E-3</v>
      </c>
      <c r="O778" s="55">
        <v>9.1000000000000004E-3</v>
      </c>
      <c r="P778" s="88">
        <f t="shared" si="318"/>
        <v>-0.32967032967032966</v>
      </c>
      <c r="Q778" s="55" t="s">
        <v>312</v>
      </c>
      <c r="R778" s="88">
        <f t="shared" si="319"/>
        <v>-2.0836E-2</v>
      </c>
      <c r="S778" s="88">
        <f t="shared" si="320"/>
        <v>1.4836000000000002E-2</v>
      </c>
      <c r="T778" s="55">
        <v>1</v>
      </c>
      <c r="U778" s="55" t="s">
        <v>312</v>
      </c>
      <c r="V778" s="55" t="s">
        <v>312</v>
      </c>
      <c r="W778" s="55" t="s">
        <v>312</v>
      </c>
      <c r="X778" s="55" t="str">
        <f t="shared" si="327"/>
        <v>NA</v>
      </c>
      <c r="Y778" s="88" t="s">
        <v>312</v>
      </c>
      <c r="Z778" s="88" t="s">
        <v>312</v>
      </c>
      <c r="AA778" s="88" t="s">
        <v>312</v>
      </c>
      <c r="AB778" s="55" t="s">
        <v>81</v>
      </c>
      <c r="AC778" s="88">
        <f t="shared" si="321"/>
        <v>-3.0438000000000003E-2</v>
      </c>
      <c r="AD778" s="88" cm="1">
        <f t="array" ref="AD778">_xlfn.IFS(
AND(L778="marginal_effect",M778="level"),N778*AN778/BF778,
AND(L778="marginal_effect",M778="sd (Y)"),N778*BI778*AN778/BF778,
AND(L778="marginal_effect",M778="sd (X)"),N778/AQ778*AN778/BF778,
AND(L778="semi_elasticity",M778="level"),N778*AN778,
AND(L778="semi_elasticity",M778="sd (Y)"),N778*AN778*BI778,
AND(L778="semi_elasticity",M778="sd (X)"),N778*AN778/AQ778,
AND(L778="level-log",M778="level"),N778/BF778,
AND(L778="level-log",M778="sd (X)"),N778/BF778/AQ778,
AND(L778="level-log",M778="sd (Y)"),N778/BF778*BI778,
AND(L778="elasticity",M778="level"),N778,
AND(L778="elasticity",M778="sd (X)"),N778/AQ778,
AND(L778="elasticity",M778="sd (Y)"),N778*BI778,
AND(L778="marginal_effect",M778="percent_of_mean"),N778*AN778/BF778/10)</f>
        <v>-3.0438000000000003E-2</v>
      </c>
      <c r="AE778" s="56">
        <f t="shared" si="323"/>
        <v>1</v>
      </c>
      <c r="AF778" s="88">
        <f t="shared" si="322"/>
        <v>9.2328600000000011E-2</v>
      </c>
      <c r="AG778" s="88" cm="1">
        <f t="array" ref="AG778">_xlfn.IFS(
AND(L778="marginal_effect",M778="level"),O777*AN778/BF778,
AND(L778="marginal_effect",M778="sd (Y)"),O777*BI778*AN778/BF778,
AND(L778="marginal_effect",M778="sd (X)"),O777/AQ778*AN778/BF778,
AND(L778="semi_elasticity",M778="level"),O777*AN778,
AND(L778="semi_elasticity",M778="sd (Y)"),O777*AN778*BI778,
AND(L778="semi_elasticity",M778="sd (X)"),O777*AN778/AQ778,
AND(L778="level-log",M778="level"),O777/BF778,
AND(L778="level-log",M778="sd (X)"),O777/BF778/AQ778,
AND(L778="level-log",M778="sd (Y)"),O777/BF778*BI778,
AND(L778="elasticity",M778="level"),O777,
AND(L778="elasticity",M778="sd (X)"),O777/AQ778,
AND(L778="elasticity",M778="sd (Y)"),O777*BI778,
AND(L778="marginal_effect",M778="percent_of_mean"),O777*AN778/BF778/10)</f>
        <v>7.1022000000000002E-2</v>
      </c>
      <c r="AH778" s="56">
        <f t="shared" si="324"/>
        <v>0</v>
      </c>
      <c r="AI778" s="88">
        <f t="shared" si="325"/>
        <v>-3.0438000000000003E-2</v>
      </c>
      <c r="AJ778" s="55">
        <v>0</v>
      </c>
      <c r="AK778" s="55">
        <f t="shared" si="328"/>
        <v>1</v>
      </c>
      <c r="AL778" s="55" t="s">
        <v>148</v>
      </c>
      <c r="AM778" s="55" t="s">
        <v>1466</v>
      </c>
      <c r="AN778" s="55">
        <v>10.146000000000001</v>
      </c>
      <c r="AO778" s="55">
        <v>0</v>
      </c>
      <c r="AP778" s="55">
        <f t="shared" si="326"/>
        <v>101.46000000000001</v>
      </c>
      <c r="AQ778" s="55">
        <v>48.17</v>
      </c>
      <c r="AR778" s="55">
        <v>18</v>
      </c>
      <c r="AS778" s="55">
        <v>300</v>
      </c>
      <c r="AT778" s="55" t="s">
        <v>83</v>
      </c>
      <c r="AU778" s="55" t="s">
        <v>109</v>
      </c>
      <c r="AV778" s="55" t="s">
        <v>133</v>
      </c>
      <c r="AW778" s="55" t="s">
        <v>109</v>
      </c>
      <c r="AX778" s="55" t="s">
        <v>86</v>
      </c>
      <c r="AY778" s="55">
        <v>0</v>
      </c>
      <c r="AZ778" s="55">
        <v>15</v>
      </c>
      <c r="BA778" s="55" t="s">
        <v>87</v>
      </c>
      <c r="BB778" s="55" t="s">
        <v>88</v>
      </c>
      <c r="BC778" s="55" t="s">
        <v>89</v>
      </c>
      <c r="BD778" s="55" t="s">
        <v>90</v>
      </c>
      <c r="BE778" s="55" t="s">
        <v>1458</v>
      </c>
      <c r="BF778" s="55">
        <v>101.57</v>
      </c>
      <c r="BG778" s="55">
        <v>0</v>
      </c>
      <c r="BH778" s="55">
        <v>65.849999999999994</v>
      </c>
      <c r="BI778" s="55">
        <v>5</v>
      </c>
      <c r="BJ778" s="55">
        <v>430</v>
      </c>
      <c r="BK778" s="55" t="s">
        <v>91</v>
      </c>
      <c r="BL778" s="55" t="s">
        <v>84</v>
      </c>
      <c r="BM778" s="55">
        <v>1</v>
      </c>
      <c r="BN778" s="55" t="s">
        <v>428</v>
      </c>
      <c r="BO778" s="60" t="s">
        <v>1463</v>
      </c>
      <c r="BP778" s="55" t="s">
        <v>1464</v>
      </c>
      <c r="BQ778" s="55" t="s">
        <v>117</v>
      </c>
      <c r="BR778" s="55" t="s">
        <v>134</v>
      </c>
      <c r="BS778" s="55">
        <v>29.22</v>
      </c>
      <c r="BT778" s="55">
        <v>0.01</v>
      </c>
      <c r="BU778" s="57">
        <v>42552</v>
      </c>
      <c r="BV778" s="57">
        <v>42643</v>
      </c>
      <c r="BW778" s="55" t="s">
        <v>94</v>
      </c>
      <c r="BX778" s="55" t="s">
        <v>95</v>
      </c>
      <c r="BY778" s="55" t="s">
        <v>748</v>
      </c>
      <c r="BZ778" s="55">
        <v>1</v>
      </c>
      <c r="CA778" s="55">
        <v>1</v>
      </c>
      <c r="CB778" s="55" t="s">
        <v>303</v>
      </c>
      <c r="CC778" s="55" t="s">
        <v>314</v>
      </c>
      <c r="CD778" s="55">
        <v>1</v>
      </c>
      <c r="CE778" s="55" t="s">
        <v>1462</v>
      </c>
      <c r="CF778" s="55">
        <v>1</v>
      </c>
      <c r="CG778" s="55" t="s">
        <v>82</v>
      </c>
      <c r="CH778" s="55">
        <v>1</v>
      </c>
      <c r="CI778" s="55" t="s">
        <v>1465</v>
      </c>
      <c r="CJ778" s="55" t="s">
        <v>377</v>
      </c>
      <c r="CK778" s="55">
        <v>179</v>
      </c>
      <c r="CL778" s="55">
        <v>0</v>
      </c>
      <c r="CM778" s="55">
        <v>0</v>
      </c>
      <c r="CN778" s="55" t="s">
        <v>124</v>
      </c>
      <c r="CO778" s="55" t="s">
        <v>97</v>
      </c>
      <c r="CP778" s="55" t="s">
        <v>100</v>
      </c>
      <c r="CQ778" s="55" t="s">
        <v>126</v>
      </c>
      <c r="CR778" s="57">
        <v>46233</v>
      </c>
      <c r="CT778" s="55" t="s">
        <v>1894</v>
      </c>
    </row>
    <row r="779" spans="1:98" s="55" customFormat="1" x14ac:dyDescent="0.35">
      <c r="A779" s="54" t="s">
        <v>1459</v>
      </c>
      <c r="B779" s="54" t="s">
        <v>1856</v>
      </c>
      <c r="C779" s="55" t="s">
        <v>1460</v>
      </c>
      <c r="D779" s="55">
        <v>2022</v>
      </c>
      <c r="E779" s="60" t="s">
        <v>1461</v>
      </c>
      <c r="F779" s="54" t="s">
        <v>998</v>
      </c>
      <c r="G779" s="55" t="s">
        <v>78</v>
      </c>
      <c r="H779" s="55">
        <v>1</v>
      </c>
      <c r="I779" s="55" t="s">
        <v>290</v>
      </c>
      <c r="J779" s="55" t="s">
        <v>79</v>
      </c>
      <c r="K779" s="55">
        <v>81</v>
      </c>
      <c r="L779" s="55" t="s">
        <v>104</v>
      </c>
      <c r="M779" s="55" t="s">
        <v>380</v>
      </c>
      <c r="N779" s="55">
        <v>-7.1000000000000004E-3</v>
      </c>
      <c r="O779" s="55">
        <v>1.3599999999999999E-2</v>
      </c>
      <c r="P779" s="88">
        <f t="shared" si="318"/>
        <v>-0.5220588235294118</v>
      </c>
      <c r="Q779" s="55" t="s">
        <v>312</v>
      </c>
      <c r="R779" s="88">
        <f t="shared" si="319"/>
        <v>-3.3756000000000001E-2</v>
      </c>
      <c r="S779" s="88">
        <f t="shared" si="320"/>
        <v>1.9555999999999997E-2</v>
      </c>
      <c r="T779" s="55">
        <v>1</v>
      </c>
      <c r="U779" s="55" t="s">
        <v>312</v>
      </c>
      <c r="V779" s="55" t="s">
        <v>312</v>
      </c>
      <c r="W779" s="55" t="s">
        <v>312</v>
      </c>
      <c r="X779" s="55" t="str">
        <f t="shared" si="327"/>
        <v>NA</v>
      </c>
      <c r="Y779" s="88" t="s">
        <v>312</v>
      </c>
      <c r="Z779" s="88" t="s">
        <v>312</v>
      </c>
      <c r="AA779" s="88" t="s">
        <v>312</v>
      </c>
      <c r="AB779" s="55" t="s">
        <v>81</v>
      </c>
      <c r="AC779" s="88">
        <f t="shared" si="321"/>
        <v>-7.2036600000000006E-2</v>
      </c>
      <c r="AD779" s="88" cm="1">
        <f t="array" ref="AD779">_xlfn.IFS(
AND(L779="marginal_effect",M779="level"),N779*AN779/BF779,
AND(L779="marginal_effect",M779="sd (Y)"),N779*BI779*AN779/BF779,
AND(L779="marginal_effect",M779="sd (X)"),N779/AQ779*AN779/BF779,
AND(L779="semi_elasticity",M779="level"),N779*AN779,
AND(L779="semi_elasticity",M779="sd (Y)"),N779*AN779*BI779,
AND(L779="semi_elasticity",M779="sd (X)"),N779*AN779/AQ779,
AND(L779="level-log",M779="level"),N779/BF779,
AND(L779="level-log",M779="sd (X)"),N779/BF779/AQ779,
AND(L779="level-log",M779="sd (Y)"),N779/BF779*BI779,
AND(L779="elasticity",M779="level"),N779,
AND(L779="elasticity",M779="sd (X)"),N779/AQ779,
AND(L779="elasticity",M779="sd (Y)"),N779*BI779,
AND(L779="marginal_effect",M779="percent_of_mean"),N779*AN779/BF779/10)</f>
        <v>-7.2036600000000006E-2</v>
      </c>
      <c r="AE779" s="56">
        <f t="shared" si="323"/>
        <v>1</v>
      </c>
      <c r="AF779" s="88">
        <f t="shared" si="322"/>
        <v>0.13798560000000001</v>
      </c>
      <c r="AG779" s="88" cm="1">
        <f t="array" ref="AG779">_xlfn.IFS(
AND(L779="marginal_effect",M779="level"),O778*AN779/BF779,
AND(L779="marginal_effect",M779="sd (Y)"),O778*BI779*AN779/BF779,
AND(L779="marginal_effect",M779="sd (X)"),O778/AQ779*AN779/BF779,
AND(L779="semi_elasticity",M779="level"),O778*AN779,
AND(L779="semi_elasticity",M779="sd (Y)"),O778*AN779*BI779,
AND(L779="semi_elasticity",M779="sd (X)"),O778*AN779/AQ779,
AND(L779="level-log",M779="level"),O778/BF779,
AND(L779="level-log",M779="sd (X)"),O778/BF779/AQ779,
AND(L779="level-log",M779="sd (Y)"),O778/BF779*BI779,
AND(L779="elasticity",M779="level"),O778,
AND(L779="elasticity",M779="sd (X)"),O778/AQ779,
AND(L779="elasticity",M779="sd (Y)"),O778*BI779,
AND(L779="marginal_effect",M779="percent_of_mean"),O778*AN779/BF779/10)</f>
        <v>9.2328600000000011E-2</v>
      </c>
      <c r="AH779" s="56">
        <f t="shared" si="324"/>
        <v>0</v>
      </c>
      <c r="AI779" s="88">
        <f t="shared" si="325"/>
        <v>-7.2036600000000006E-2</v>
      </c>
      <c r="AJ779" s="55">
        <v>0</v>
      </c>
      <c r="AK779" s="55">
        <f t="shared" si="328"/>
        <v>1</v>
      </c>
      <c r="AL779" s="55" t="s">
        <v>148</v>
      </c>
      <c r="AM779" s="55" t="s">
        <v>1466</v>
      </c>
      <c r="AN779" s="55">
        <v>10.146000000000001</v>
      </c>
      <c r="AO779" s="55">
        <v>0</v>
      </c>
      <c r="AP779" s="55">
        <f t="shared" si="326"/>
        <v>101.46000000000001</v>
      </c>
      <c r="AQ779" s="55">
        <v>48.17</v>
      </c>
      <c r="AR779" s="55">
        <v>18</v>
      </c>
      <c r="AS779" s="55">
        <v>300</v>
      </c>
      <c r="AT779" s="55" t="s">
        <v>83</v>
      </c>
      <c r="AU779" s="55" t="s">
        <v>109</v>
      </c>
      <c r="AV779" s="55" t="s">
        <v>133</v>
      </c>
      <c r="AW779" s="55" t="s">
        <v>109</v>
      </c>
      <c r="AX779" s="55" t="s">
        <v>86</v>
      </c>
      <c r="AY779" s="55">
        <v>0</v>
      </c>
      <c r="AZ779" s="55">
        <v>20</v>
      </c>
      <c r="BA779" s="55" t="s">
        <v>87</v>
      </c>
      <c r="BB779" s="55" t="s">
        <v>88</v>
      </c>
      <c r="BC779" s="55" t="s">
        <v>89</v>
      </c>
      <c r="BD779" s="55" t="s">
        <v>90</v>
      </c>
      <c r="BE779" s="55" t="s">
        <v>1458</v>
      </c>
      <c r="BF779" s="55">
        <v>101.57</v>
      </c>
      <c r="BG779" s="55">
        <v>0</v>
      </c>
      <c r="BH779" s="55">
        <v>65.849999999999994</v>
      </c>
      <c r="BI779" s="55">
        <v>5</v>
      </c>
      <c r="BJ779" s="55">
        <v>430</v>
      </c>
      <c r="BK779" s="55" t="s">
        <v>91</v>
      </c>
      <c r="BL779" s="55" t="s">
        <v>84</v>
      </c>
      <c r="BM779" s="55">
        <v>1</v>
      </c>
      <c r="BN779" s="55" t="s">
        <v>428</v>
      </c>
      <c r="BO779" s="60" t="s">
        <v>1463</v>
      </c>
      <c r="BP779" s="55" t="s">
        <v>1464</v>
      </c>
      <c r="BQ779" s="55" t="s">
        <v>117</v>
      </c>
      <c r="BR779" s="55" t="s">
        <v>134</v>
      </c>
      <c r="BS779" s="55">
        <v>29.22</v>
      </c>
      <c r="BT779" s="55">
        <v>0.01</v>
      </c>
      <c r="BU779" s="57">
        <v>42552</v>
      </c>
      <c r="BV779" s="57">
        <v>42643</v>
      </c>
      <c r="BW779" s="55" t="s">
        <v>94</v>
      </c>
      <c r="BX779" s="55" t="s">
        <v>95</v>
      </c>
      <c r="BY779" s="55" t="s">
        <v>748</v>
      </c>
      <c r="BZ779" s="55">
        <v>1</v>
      </c>
      <c r="CA779" s="55">
        <v>1</v>
      </c>
      <c r="CB779" s="55" t="s">
        <v>303</v>
      </c>
      <c r="CC779" s="55" t="s">
        <v>314</v>
      </c>
      <c r="CD779" s="55">
        <v>1</v>
      </c>
      <c r="CE779" s="55" t="s">
        <v>1462</v>
      </c>
      <c r="CF779" s="55">
        <v>1</v>
      </c>
      <c r="CG779" s="55" t="s">
        <v>82</v>
      </c>
      <c r="CH779" s="55">
        <v>1</v>
      </c>
      <c r="CI779" s="55" t="s">
        <v>1465</v>
      </c>
      <c r="CJ779" s="55" t="s">
        <v>377</v>
      </c>
      <c r="CK779" s="55">
        <v>179</v>
      </c>
      <c r="CL779" s="55">
        <v>0</v>
      </c>
      <c r="CM779" s="55">
        <v>0</v>
      </c>
      <c r="CN779" s="55" t="s">
        <v>124</v>
      </c>
      <c r="CO779" s="55" t="s">
        <v>97</v>
      </c>
      <c r="CP779" s="55" t="s">
        <v>100</v>
      </c>
      <c r="CQ779" s="55" t="s">
        <v>126</v>
      </c>
      <c r="CR779" s="57">
        <v>46233</v>
      </c>
      <c r="CT779" s="55" t="s">
        <v>1894</v>
      </c>
    </row>
    <row r="780" spans="1:98" s="55" customFormat="1" x14ac:dyDescent="0.35">
      <c r="A780" s="54" t="s">
        <v>1459</v>
      </c>
      <c r="B780" s="54" t="s">
        <v>1857</v>
      </c>
      <c r="C780" s="55" t="s">
        <v>1460</v>
      </c>
      <c r="D780" s="55">
        <v>2022</v>
      </c>
      <c r="E780" s="60" t="s">
        <v>1461</v>
      </c>
      <c r="F780" s="54" t="s">
        <v>998</v>
      </c>
      <c r="G780" s="55" t="s">
        <v>78</v>
      </c>
      <c r="H780" s="55">
        <v>1</v>
      </c>
      <c r="I780" s="55" t="s">
        <v>290</v>
      </c>
      <c r="J780" s="55" t="s">
        <v>79</v>
      </c>
      <c r="K780" s="55">
        <v>81</v>
      </c>
      <c r="L780" s="55" t="s">
        <v>104</v>
      </c>
      <c r="M780" s="55" t="s">
        <v>380</v>
      </c>
      <c r="N780" s="55">
        <v>-4.3999999999999997E-2</v>
      </c>
      <c r="O780" s="55">
        <v>1.4500000000000001E-2</v>
      </c>
      <c r="P780" s="88">
        <f t="shared" si="318"/>
        <v>-3.0344827586206895</v>
      </c>
      <c r="Q780" s="55" t="s">
        <v>312</v>
      </c>
      <c r="R780" s="88">
        <f t="shared" si="319"/>
        <v>-7.2419999999999998E-2</v>
      </c>
      <c r="S780" s="88">
        <f t="shared" si="320"/>
        <v>-1.5579999999999997E-2</v>
      </c>
      <c r="T780" s="55">
        <v>1</v>
      </c>
      <c r="U780" s="55" t="s">
        <v>312</v>
      </c>
      <c r="V780" s="55" t="s">
        <v>312</v>
      </c>
      <c r="W780" s="55" t="s">
        <v>312</v>
      </c>
      <c r="X780" s="55" t="str">
        <f t="shared" si="327"/>
        <v>NA</v>
      </c>
      <c r="Y780" s="88" t="s">
        <v>312</v>
      </c>
      <c r="Z780" s="88" t="s">
        <v>312</v>
      </c>
      <c r="AA780" s="88" t="s">
        <v>312</v>
      </c>
      <c r="AB780" s="55" t="s">
        <v>81</v>
      </c>
      <c r="AC780" s="88">
        <f t="shared" si="321"/>
        <v>-0.44642399999999999</v>
      </c>
      <c r="AD780" s="88" cm="1">
        <f t="array" ref="AD780">_xlfn.IFS(
AND(L780="marginal_effect",M780="level"),N780*AN780/BF780,
AND(L780="marginal_effect",M780="sd (Y)"),N780*BI780*AN780/BF780,
AND(L780="marginal_effect",M780="sd (X)"),N780/AQ780*AN780/BF780,
AND(L780="semi_elasticity",M780="level"),N780*AN780,
AND(L780="semi_elasticity",M780="sd (Y)"),N780*AN780*BI780,
AND(L780="semi_elasticity",M780="sd (X)"),N780*AN780/AQ780,
AND(L780="level-log",M780="level"),N780/BF780,
AND(L780="level-log",M780="sd (X)"),N780/BF780/AQ780,
AND(L780="level-log",M780="sd (Y)"),N780/BF780*BI780,
AND(L780="elasticity",M780="level"),N780,
AND(L780="elasticity",M780="sd (X)"),N780/AQ780,
AND(L780="elasticity",M780="sd (Y)"),N780*BI780,
AND(L780="marginal_effect",M780="percent_of_mean"),N780*AN780/BF780/10)</f>
        <v>-0.44642399999999999</v>
      </c>
      <c r="AE780" s="56">
        <f t="shared" si="323"/>
        <v>1</v>
      </c>
      <c r="AF780" s="88">
        <f t="shared" si="322"/>
        <v>0.14711700000000003</v>
      </c>
      <c r="AG780" s="88" cm="1">
        <f t="array" ref="AG780">_xlfn.IFS(
AND(L780="marginal_effect",M780="level"),O779*AN780/BF780,
AND(L780="marginal_effect",M780="sd (Y)"),O779*BI780*AN780/BF780,
AND(L780="marginal_effect",M780="sd (X)"),O779/AQ780*AN780/BF780,
AND(L780="semi_elasticity",M780="level"),O779*AN780,
AND(L780="semi_elasticity",M780="sd (Y)"),O779*AN780*BI780,
AND(L780="semi_elasticity",M780="sd (X)"),O779*AN780/AQ780,
AND(L780="level-log",M780="level"),O779/BF780,
AND(L780="level-log",M780="sd (X)"),O779/BF780/AQ780,
AND(L780="level-log",M780="sd (Y)"),O779/BF780*BI780,
AND(L780="elasticity",M780="level"),O779,
AND(L780="elasticity",M780="sd (X)"),O779/AQ780,
AND(L780="elasticity",M780="sd (Y)"),O779*BI780,
AND(L780="marginal_effect",M780="percent_of_mean"),O779*AN780/BF780/10)</f>
        <v>0.13798560000000001</v>
      </c>
      <c r="AH780" s="56">
        <f t="shared" si="324"/>
        <v>0</v>
      </c>
      <c r="AI780" s="88">
        <f t="shared" si="325"/>
        <v>-0.44642399999999999</v>
      </c>
      <c r="AJ780" s="55">
        <v>0</v>
      </c>
      <c r="AK780" s="55">
        <f t="shared" si="328"/>
        <v>1</v>
      </c>
      <c r="AL780" s="55" t="s">
        <v>148</v>
      </c>
      <c r="AM780" s="55" t="s">
        <v>1466</v>
      </c>
      <c r="AN780" s="55">
        <v>10.146000000000001</v>
      </c>
      <c r="AO780" s="55">
        <v>0</v>
      </c>
      <c r="AP780" s="55">
        <f t="shared" si="326"/>
        <v>101.46000000000001</v>
      </c>
      <c r="AQ780" s="55">
        <v>48.17</v>
      </c>
      <c r="AR780" s="55">
        <v>18</v>
      </c>
      <c r="AS780" s="55">
        <v>300</v>
      </c>
      <c r="AT780" s="55" t="s">
        <v>83</v>
      </c>
      <c r="AU780" s="55" t="s">
        <v>109</v>
      </c>
      <c r="AV780" s="55" t="s">
        <v>133</v>
      </c>
      <c r="AW780" s="55" t="s">
        <v>109</v>
      </c>
      <c r="AX780" s="55" t="s">
        <v>86</v>
      </c>
      <c r="AY780" s="55">
        <v>0</v>
      </c>
      <c r="AZ780" s="55">
        <v>25</v>
      </c>
      <c r="BA780" s="55" t="s">
        <v>87</v>
      </c>
      <c r="BB780" s="55" t="s">
        <v>88</v>
      </c>
      <c r="BC780" s="55" t="s">
        <v>89</v>
      </c>
      <c r="BD780" s="55" t="s">
        <v>90</v>
      </c>
      <c r="BE780" s="55" t="s">
        <v>1458</v>
      </c>
      <c r="BF780" s="55">
        <v>101.57</v>
      </c>
      <c r="BG780" s="55">
        <v>0</v>
      </c>
      <c r="BH780" s="55">
        <v>65.849999999999994</v>
      </c>
      <c r="BI780" s="55">
        <v>5</v>
      </c>
      <c r="BJ780" s="55">
        <v>430</v>
      </c>
      <c r="BK780" s="55" t="s">
        <v>91</v>
      </c>
      <c r="BL780" s="55" t="s">
        <v>84</v>
      </c>
      <c r="BM780" s="55">
        <v>1</v>
      </c>
      <c r="BN780" s="55" t="s">
        <v>428</v>
      </c>
      <c r="BO780" s="60" t="s">
        <v>1463</v>
      </c>
      <c r="BP780" s="55" t="s">
        <v>1464</v>
      </c>
      <c r="BQ780" s="55" t="s">
        <v>117</v>
      </c>
      <c r="BR780" s="55" t="s">
        <v>134</v>
      </c>
      <c r="BS780" s="55">
        <v>29.22</v>
      </c>
      <c r="BT780" s="55">
        <v>0.01</v>
      </c>
      <c r="BU780" s="57">
        <v>42552</v>
      </c>
      <c r="BV780" s="57">
        <v>42643</v>
      </c>
      <c r="BW780" s="55" t="s">
        <v>94</v>
      </c>
      <c r="BX780" s="55" t="s">
        <v>95</v>
      </c>
      <c r="BY780" s="55" t="s">
        <v>748</v>
      </c>
      <c r="BZ780" s="55">
        <v>1</v>
      </c>
      <c r="CA780" s="55">
        <v>1</v>
      </c>
      <c r="CB780" s="55" t="s">
        <v>303</v>
      </c>
      <c r="CC780" s="55" t="s">
        <v>314</v>
      </c>
      <c r="CD780" s="55">
        <v>1</v>
      </c>
      <c r="CE780" s="55" t="s">
        <v>1462</v>
      </c>
      <c r="CF780" s="55">
        <v>1</v>
      </c>
      <c r="CG780" s="55" t="s">
        <v>82</v>
      </c>
      <c r="CH780" s="55">
        <v>1</v>
      </c>
      <c r="CI780" s="55" t="s">
        <v>1465</v>
      </c>
      <c r="CJ780" s="55" t="s">
        <v>377</v>
      </c>
      <c r="CK780" s="55">
        <v>179</v>
      </c>
      <c r="CL780" s="55">
        <v>0</v>
      </c>
      <c r="CM780" s="55">
        <v>0</v>
      </c>
      <c r="CN780" s="55" t="s">
        <v>124</v>
      </c>
      <c r="CO780" s="55" t="s">
        <v>97</v>
      </c>
      <c r="CP780" s="55" t="s">
        <v>100</v>
      </c>
      <c r="CQ780" s="55" t="s">
        <v>126</v>
      </c>
      <c r="CR780" s="57">
        <v>46233</v>
      </c>
      <c r="CT780" s="55" t="s">
        <v>1894</v>
      </c>
    </row>
    <row r="781" spans="1:98" s="55" customFormat="1" x14ac:dyDescent="0.35">
      <c r="A781" s="54" t="s">
        <v>1459</v>
      </c>
      <c r="B781" s="54" t="s">
        <v>1858</v>
      </c>
      <c r="C781" s="55" t="s">
        <v>1460</v>
      </c>
      <c r="D781" s="55">
        <v>2022</v>
      </c>
      <c r="E781" s="60" t="s">
        <v>1461</v>
      </c>
      <c r="F781" s="54" t="s">
        <v>998</v>
      </c>
      <c r="G781" s="55" t="s">
        <v>78</v>
      </c>
      <c r="H781" s="55">
        <v>1</v>
      </c>
      <c r="I781" s="55" t="s">
        <v>290</v>
      </c>
      <c r="J781" s="55" t="s">
        <v>79</v>
      </c>
      <c r="K781" s="55">
        <v>81</v>
      </c>
      <c r="L781" s="55" t="s">
        <v>104</v>
      </c>
      <c r="M781" s="55" t="s">
        <v>380</v>
      </c>
      <c r="N781" s="55">
        <v>-4.9099999999999998E-2</v>
      </c>
      <c r="O781" s="55">
        <v>2.3199999999999998E-2</v>
      </c>
      <c r="P781" s="88">
        <f t="shared" si="318"/>
        <v>-2.1163793103448278</v>
      </c>
      <c r="Q781" s="55" t="s">
        <v>312</v>
      </c>
      <c r="R781" s="88">
        <f t="shared" si="319"/>
        <v>-9.4571999999999989E-2</v>
      </c>
      <c r="S781" s="88">
        <f t="shared" si="320"/>
        <v>-3.6279999999999993E-3</v>
      </c>
      <c r="T781" s="55">
        <v>1</v>
      </c>
      <c r="U781" s="55" t="s">
        <v>312</v>
      </c>
      <c r="V781" s="55" t="s">
        <v>312</v>
      </c>
      <c r="W781" s="55" t="s">
        <v>312</v>
      </c>
      <c r="X781" s="55" t="str">
        <f t="shared" si="327"/>
        <v>NA</v>
      </c>
      <c r="Y781" s="88" t="s">
        <v>312</v>
      </c>
      <c r="Z781" s="88" t="s">
        <v>312</v>
      </c>
      <c r="AA781" s="88" t="s">
        <v>312</v>
      </c>
      <c r="AB781" s="55" t="s">
        <v>81</v>
      </c>
      <c r="AC781" s="88">
        <f t="shared" si="321"/>
        <v>-0.49816860000000002</v>
      </c>
      <c r="AD781" s="88" cm="1">
        <f t="array" ref="AD781">_xlfn.IFS(
AND(L781="marginal_effect",M781="level"),N781*AN781/BF781,
AND(L781="marginal_effect",M781="sd (Y)"),N781*BI781*AN781/BF781,
AND(L781="marginal_effect",M781="sd (X)"),N781/AQ781*AN781/BF781,
AND(L781="semi_elasticity",M781="level"),N781*AN781,
AND(L781="semi_elasticity",M781="sd (Y)"),N781*AN781*BI781,
AND(L781="semi_elasticity",M781="sd (X)"),N781*AN781/AQ781,
AND(L781="level-log",M781="level"),N781/BF781,
AND(L781="level-log",M781="sd (X)"),N781/BF781/AQ781,
AND(L781="level-log",M781="sd (Y)"),N781/BF781*BI781,
AND(L781="elasticity",M781="level"),N781,
AND(L781="elasticity",M781="sd (X)"),N781/AQ781,
AND(L781="elasticity",M781="sd (Y)"),N781*BI781,
AND(L781="marginal_effect",M781="percent_of_mean"),N781*AN781/BF781/10)</f>
        <v>-0.49816860000000002</v>
      </c>
      <c r="AE781" s="56">
        <f t="shared" si="323"/>
        <v>1</v>
      </c>
      <c r="AF781" s="88">
        <f t="shared" si="322"/>
        <v>0.23538719999999999</v>
      </c>
      <c r="AG781" s="88" cm="1">
        <f t="array" ref="AG781">_xlfn.IFS(
AND(L781="marginal_effect",M781="level"),O780*AN781/BF781,
AND(L781="marginal_effect",M781="sd (Y)"),O780*BI781*AN781/BF781,
AND(L781="marginal_effect",M781="sd (X)"),O780/AQ781*AN781/BF781,
AND(L781="semi_elasticity",M781="level"),O780*AN781,
AND(L781="semi_elasticity",M781="sd (Y)"),O780*AN781*BI781,
AND(L781="semi_elasticity",M781="sd (X)"),O780*AN781/AQ781,
AND(L781="level-log",M781="level"),O780/BF781,
AND(L781="level-log",M781="sd (X)"),O780/BF781/AQ781,
AND(L781="level-log",M781="sd (Y)"),O780/BF781*BI781,
AND(L781="elasticity",M781="level"),O780,
AND(L781="elasticity",M781="sd (X)"),O780/AQ781,
AND(L781="elasticity",M781="sd (Y)"),O780*BI781,
AND(L781="marginal_effect",M781="percent_of_mean"),O780*AN781/BF781/10)</f>
        <v>0.14711700000000003</v>
      </c>
      <c r="AH781" s="56">
        <f t="shared" si="324"/>
        <v>0</v>
      </c>
      <c r="AI781" s="88">
        <f t="shared" si="325"/>
        <v>-0.49816860000000002</v>
      </c>
      <c r="AJ781" s="55">
        <v>0</v>
      </c>
      <c r="AK781" s="55">
        <f t="shared" si="328"/>
        <v>1</v>
      </c>
      <c r="AL781" s="55" t="s">
        <v>148</v>
      </c>
      <c r="AM781" s="55" t="s">
        <v>1466</v>
      </c>
      <c r="AN781" s="55">
        <v>10.146000000000001</v>
      </c>
      <c r="AO781" s="55">
        <v>0</v>
      </c>
      <c r="AP781" s="55">
        <f t="shared" si="326"/>
        <v>101.46000000000001</v>
      </c>
      <c r="AQ781" s="55">
        <v>48.17</v>
      </c>
      <c r="AR781" s="55">
        <v>18</v>
      </c>
      <c r="AS781" s="55">
        <v>300</v>
      </c>
      <c r="AT781" s="55" t="s">
        <v>83</v>
      </c>
      <c r="AU781" s="55" t="s">
        <v>109</v>
      </c>
      <c r="AV781" s="55" t="s">
        <v>133</v>
      </c>
      <c r="AW781" s="55" t="s">
        <v>109</v>
      </c>
      <c r="AX781" s="55" t="s">
        <v>86</v>
      </c>
      <c r="AY781" s="55">
        <v>0</v>
      </c>
      <c r="AZ781" s="55">
        <v>30</v>
      </c>
      <c r="BA781" s="55" t="s">
        <v>87</v>
      </c>
      <c r="BB781" s="55" t="s">
        <v>88</v>
      </c>
      <c r="BC781" s="55" t="s">
        <v>89</v>
      </c>
      <c r="BD781" s="55" t="s">
        <v>90</v>
      </c>
      <c r="BE781" s="55" t="s">
        <v>1458</v>
      </c>
      <c r="BF781" s="55">
        <v>101.57</v>
      </c>
      <c r="BG781" s="55">
        <v>0</v>
      </c>
      <c r="BH781" s="55">
        <v>65.849999999999994</v>
      </c>
      <c r="BI781" s="55">
        <v>5</v>
      </c>
      <c r="BJ781" s="55">
        <v>430</v>
      </c>
      <c r="BK781" s="55" t="s">
        <v>91</v>
      </c>
      <c r="BL781" s="55" t="s">
        <v>84</v>
      </c>
      <c r="BM781" s="55">
        <v>1</v>
      </c>
      <c r="BN781" s="55" t="s">
        <v>428</v>
      </c>
      <c r="BO781" s="60" t="s">
        <v>1463</v>
      </c>
      <c r="BP781" s="55" t="s">
        <v>1464</v>
      </c>
      <c r="BQ781" s="55" t="s">
        <v>117</v>
      </c>
      <c r="BR781" s="55" t="s">
        <v>134</v>
      </c>
      <c r="BS781" s="55">
        <v>29.22</v>
      </c>
      <c r="BT781" s="55">
        <v>0.01</v>
      </c>
      <c r="BU781" s="57">
        <v>42552</v>
      </c>
      <c r="BV781" s="57">
        <v>42643</v>
      </c>
      <c r="BW781" s="55" t="s">
        <v>94</v>
      </c>
      <c r="BX781" s="55" t="s">
        <v>95</v>
      </c>
      <c r="BY781" s="55" t="s">
        <v>748</v>
      </c>
      <c r="BZ781" s="55">
        <v>1</v>
      </c>
      <c r="CA781" s="55">
        <v>1</v>
      </c>
      <c r="CB781" s="55" t="s">
        <v>303</v>
      </c>
      <c r="CC781" s="55" t="s">
        <v>314</v>
      </c>
      <c r="CD781" s="55">
        <v>1</v>
      </c>
      <c r="CE781" s="55" t="s">
        <v>1462</v>
      </c>
      <c r="CF781" s="55">
        <v>1</v>
      </c>
      <c r="CG781" s="55" t="s">
        <v>82</v>
      </c>
      <c r="CH781" s="55">
        <v>1</v>
      </c>
      <c r="CI781" s="55" t="s">
        <v>1465</v>
      </c>
      <c r="CJ781" s="55" t="s">
        <v>377</v>
      </c>
      <c r="CK781" s="55">
        <v>179</v>
      </c>
      <c r="CL781" s="55">
        <v>0</v>
      </c>
      <c r="CM781" s="55">
        <v>0</v>
      </c>
      <c r="CN781" s="55" t="s">
        <v>124</v>
      </c>
      <c r="CO781" s="55" t="s">
        <v>97</v>
      </c>
      <c r="CP781" s="55" t="s">
        <v>100</v>
      </c>
      <c r="CQ781" s="55" t="s">
        <v>126</v>
      </c>
      <c r="CR781" s="57">
        <v>46233</v>
      </c>
      <c r="CT781" s="55" t="s">
        <v>1894</v>
      </c>
    </row>
    <row r="782" spans="1:98" s="55" customFormat="1" x14ac:dyDescent="0.35">
      <c r="A782" s="54" t="s">
        <v>1459</v>
      </c>
      <c r="B782" s="54" t="s">
        <v>1859</v>
      </c>
      <c r="C782" s="55" t="s">
        <v>1460</v>
      </c>
      <c r="D782" s="55">
        <v>2022</v>
      </c>
      <c r="E782" s="60" t="s">
        <v>1461</v>
      </c>
      <c r="F782" s="54" t="s">
        <v>998</v>
      </c>
      <c r="G782" s="55" t="s">
        <v>78</v>
      </c>
      <c r="H782" s="55">
        <v>1</v>
      </c>
      <c r="I782" s="55" t="s">
        <v>290</v>
      </c>
      <c r="J782" s="55" t="s">
        <v>79</v>
      </c>
      <c r="K782" s="55">
        <v>81</v>
      </c>
      <c r="L782" s="55" t="s">
        <v>104</v>
      </c>
      <c r="M782" s="55" t="s">
        <v>380</v>
      </c>
      <c r="N782" s="55">
        <v>-7.2599999999999998E-2</v>
      </c>
      <c r="O782" s="55">
        <v>2.5899999999999999E-2</v>
      </c>
      <c r="P782" s="88">
        <f t="shared" si="318"/>
        <v>-2.8030888030888033</v>
      </c>
      <c r="Q782" s="55" t="s">
        <v>312</v>
      </c>
      <c r="R782" s="88">
        <f t="shared" si="319"/>
        <v>-0.123364</v>
      </c>
      <c r="S782" s="88">
        <f t="shared" si="320"/>
        <v>-2.1836000000000001E-2</v>
      </c>
      <c r="T782" s="55">
        <v>1</v>
      </c>
      <c r="U782" s="55" t="s">
        <v>312</v>
      </c>
      <c r="V782" s="55" t="s">
        <v>312</v>
      </c>
      <c r="W782" s="55" t="s">
        <v>312</v>
      </c>
      <c r="X782" s="55" t="str">
        <f t="shared" si="327"/>
        <v>NA</v>
      </c>
      <c r="Y782" s="88" t="s">
        <v>312</v>
      </c>
      <c r="Z782" s="88" t="s">
        <v>312</v>
      </c>
      <c r="AA782" s="88" t="s">
        <v>312</v>
      </c>
      <c r="AB782" s="55" t="s">
        <v>81</v>
      </c>
      <c r="AC782" s="88">
        <f t="shared" si="321"/>
        <v>-0.73659960000000002</v>
      </c>
      <c r="AD782" s="88" cm="1">
        <f t="array" ref="AD782">_xlfn.IFS(
AND(L782="marginal_effect",M782="level"),N782*AN782/BF782,
AND(L782="marginal_effect",M782="sd (Y)"),N782*BI782*AN782/BF782,
AND(L782="marginal_effect",M782="sd (X)"),N782/AQ782*AN782/BF782,
AND(L782="semi_elasticity",M782="level"),N782*AN782,
AND(L782="semi_elasticity",M782="sd (Y)"),N782*AN782*BI782,
AND(L782="semi_elasticity",M782="sd (X)"),N782*AN782/AQ782,
AND(L782="level-log",M782="level"),N782/BF782,
AND(L782="level-log",M782="sd (X)"),N782/BF782/AQ782,
AND(L782="level-log",M782="sd (Y)"),N782/BF782*BI782,
AND(L782="elasticity",M782="level"),N782,
AND(L782="elasticity",M782="sd (X)"),N782/AQ782,
AND(L782="elasticity",M782="sd (Y)"),N782*BI782,
AND(L782="marginal_effect",M782="percent_of_mean"),N782*AN782/BF782/10)</f>
        <v>-0.73659960000000002</v>
      </c>
      <c r="AE782" s="56">
        <f t="shared" si="323"/>
        <v>1</v>
      </c>
      <c r="AF782" s="88">
        <f t="shared" si="322"/>
        <v>0.2627814</v>
      </c>
      <c r="AG782" s="88" cm="1">
        <f t="array" ref="AG782">_xlfn.IFS(
AND(L782="marginal_effect",M782="level"),O781*AN782/BF782,
AND(L782="marginal_effect",M782="sd (Y)"),O781*BI782*AN782/BF782,
AND(L782="marginal_effect",M782="sd (X)"),O781/AQ782*AN782/BF782,
AND(L782="semi_elasticity",M782="level"),O781*AN782,
AND(L782="semi_elasticity",M782="sd (Y)"),O781*AN782*BI782,
AND(L782="semi_elasticity",M782="sd (X)"),O781*AN782/AQ782,
AND(L782="level-log",M782="level"),O781/BF782,
AND(L782="level-log",M782="sd (X)"),O781/BF782/AQ782,
AND(L782="level-log",M782="sd (Y)"),O781/BF782*BI782,
AND(L782="elasticity",M782="level"),O781,
AND(L782="elasticity",M782="sd (X)"),O781/AQ782,
AND(L782="elasticity",M782="sd (Y)"),O781*BI782,
AND(L782="marginal_effect",M782="percent_of_mean"),O781*AN782/BF782/10)</f>
        <v>0.23538719999999999</v>
      </c>
      <c r="AH782" s="56">
        <f t="shared" si="324"/>
        <v>0</v>
      </c>
      <c r="AI782" s="88">
        <f t="shared" si="325"/>
        <v>-0.73659960000000002</v>
      </c>
      <c r="AJ782" s="55">
        <v>0</v>
      </c>
      <c r="AK782" s="55">
        <f t="shared" si="328"/>
        <v>1</v>
      </c>
      <c r="AL782" s="55" t="s">
        <v>148</v>
      </c>
      <c r="AM782" s="55" t="s">
        <v>1466</v>
      </c>
      <c r="AN782" s="55">
        <v>10.146000000000001</v>
      </c>
      <c r="AO782" s="55">
        <v>0</v>
      </c>
      <c r="AP782" s="55">
        <f t="shared" si="326"/>
        <v>101.46000000000001</v>
      </c>
      <c r="AQ782" s="55">
        <v>48.17</v>
      </c>
      <c r="AR782" s="55">
        <v>18</v>
      </c>
      <c r="AS782" s="55">
        <v>300</v>
      </c>
      <c r="AT782" s="55" t="s">
        <v>83</v>
      </c>
      <c r="AU782" s="55" t="s">
        <v>109</v>
      </c>
      <c r="AV782" s="55" t="s">
        <v>133</v>
      </c>
      <c r="AW782" s="55" t="s">
        <v>109</v>
      </c>
      <c r="AX782" s="55" t="s">
        <v>86</v>
      </c>
      <c r="AY782" s="55">
        <v>0</v>
      </c>
      <c r="AZ782" s="55">
        <v>35</v>
      </c>
      <c r="BA782" s="55" t="s">
        <v>87</v>
      </c>
      <c r="BB782" s="55" t="s">
        <v>88</v>
      </c>
      <c r="BC782" s="55" t="s">
        <v>89</v>
      </c>
      <c r="BD782" s="55" t="s">
        <v>90</v>
      </c>
      <c r="BE782" s="55" t="s">
        <v>1458</v>
      </c>
      <c r="BF782" s="55">
        <v>101.57</v>
      </c>
      <c r="BG782" s="55">
        <v>0</v>
      </c>
      <c r="BH782" s="55">
        <v>65.849999999999994</v>
      </c>
      <c r="BI782" s="55">
        <v>5</v>
      </c>
      <c r="BJ782" s="55">
        <v>430</v>
      </c>
      <c r="BK782" s="55" t="s">
        <v>91</v>
      </c>
      <c r="BL782" s="55" t="s">
        <v>84</v>
      </c>
      <c r="BM782" s="55">
        <v>1</v>
      </c>
      <c r="BN782" s="55" t="s">
        <v>428</v>
      </c>
      <c r="BO782" s="60" t="s">
        <v>1463</v>
      </c>
      <c r="BP782" s="55" t="s">
        <v>1464</v>
      </c>
      <c r="BQ782" s="55" t="s">
        <v>117</v>
      </c>
      <c r="BR782" s="55" t="s">
        <v>134</v>
      </c>
      <c r="BS782" s="55">
        <v>29.22</v>
      </c>
      <c r="BT782" s="55">
        <v>0.01</v>
      </c>
      <c r="BU782" s="57">
        <v>42552</v>
      </c>
      <c r="BV782" s="57">
        <v>42643</v>
      </c>
      <c r="BW782" s="55" t="s">
        <v>94</v>
      </c>
      <c r="BX782" s="55" t="s">
        <v>95</v>
      </c>
      <c r="BY782" s="55" t="s">
        <v>748</v>
      </c>
      <c r="BZ782" s="55">
        <v>1</v>
      </c>
      <c r="CA782" s="55">
        <v>1</v>
      </c>
      <c r="CB782" s="55" t="s">
        <v>303</v>
      </c>
      <c r="CC782" s="55" t="s">
        <v>314</v>
      </c>
      <c r="CD782" s="55">
        <v>1</v>
      </c>
      <c r="CE782" s="55" t="s">
        <v>1462</v>
      </c>
      <c r="CF782" s="55">
        <v>1</v>
      </c>
      <c r="CG782" s="55" t="s">
        <v>82</v>
      </c>
      <c r="CH782" s="55">
        <v>1</v>
      </c>
      <c r="CI782" s="55" t="s">
        <v>1465</v>
      </c>
      <c r="CJ782" s="55" t="s">
        <v>377</v>
      </c>
      <c r="CK782" s="55">
        <v>179</v>
      </c>
      <c r="CL782" s="55">
        <v>0</v>
      </c>
      <c r="CM782" s="55">
        <v>0</v>
      </c>
      <c r="CN782" s="55" t="s">
        <v>124</v>
      </c>
      <c r="CO782" s="55" t="s">
        <v>97</v>
      </c>
      <c r="CP782" s="55" t="s">
        <v>100</v>
      </c>
      <c r="CQ782" s="55" t="s">
        <v>126</v>
      </c>
      <c r="CR782" s="57">
        <v>46233</v>
      </c>
      <c r="CT782" s="55" t="s">
        <v>1894</v>
      </c>
    </row>
    <row r="783" spans="1:98" s="55" customFormat="1" x14ac:dyDescent="0.35">
      <c r="A783" s="54" t="s">
        <v>1459</v>
      </c>
      <c r="B783" s="54" t="s">
        <v>1860</v>
      </c>
      <c r="C783" s="55" t="s">
        <v>1460</v>
      </c>
      <c r="D783" s="55">
        <v>2022</v>
      </c>
      <c r="E783" s="60" t="s">
        <v>1461</v>
      </c>
      <c r="F783" s="54" t="s">
        <v>998</v>
      </c>
      <c r="G783" s="55" t="s">
        <v>78</v>
      </c>
      <c r="H783" s="55">
        <v>1</v>
      </c>
      <c r="I783" s="55" t="s">
        <v>290</v>
      </c>
      <c r="J783" s="55" t="s">
        <v>79</v>
      </c>
      <c r="K783" s="55">
        <v>81</v>
      </c>
      <c r="L783" s="55" t="s">
        <v>104</v>
      </c>
      <c r="M783" s="55" t="s">
        <v>380</v>
      </c>
      <c r="N783" s="55">
        <v>-3.4299999999999997E-2</v>
      </c>
      <c r="O783" s="55">
        <v>1.9E-2</v>
      </c>
      <c r="P783" s="88">
        <f t="shared" si="318"/>
        <v>-1.8052631578947367</v>
      </c>
      <c r="Q783" s="55" t="s">
        <v>312</v>
      </c>
      <c r="R783" s="88">
        <f t="shared" si="319"/>
        <v>-7.1539999999999992E-2</v>
      </c>
      <c r="S783" s="88">
        <f t="shared" si="320"/>
        <v>2.9399999999999982E-3</v>
      </c>
      <c r="T783" s="55">
        <v>1</v>
      </c>
      <c r="U783" s="55" t="s">
        <v>312</v>
      </c>
      <c r="V783" s="55" t="s">
        <v>312</v>
      </c>
      <c r="W783" s="55" t="s">
        <v>312</v>
      </c>
      <c r="X783" s="55" t="str">
        <f t="shared" si="327"/>
        <v>NA</v>
      </c>
      <c r="Y783" s="88" t="s">
        <v>312</v>
      </c>
      <c r="Z783" s="88" t="s">
        <v>312</v>
      </c>
      <c r="AA783" s="88" t="s">
        <v>312</v>
      </c>
      <c r="AB783" s="55" t="s">
        <v>81</v>
      </c>
      <c r="AC783" s="88">
        <f t="shared" si="321"/>
        <v>-0.34800779999999998</v>
      </c>
      <c r="AD783" s="88" cm="1">
        <f t="array" ref="AD783">_xlfn.IFS(
AND(L783="marginal_effect",M783="level"),N783*AN783/BF783,
AND(L783="marginal_effect",M783="sd (Y)"),N783*BI783*AN783/BF783,
AND(L783="marginal_effect",M783="sd (X)"),N783/AQ783*AN783/BF783,
AND(L783="semi_elasticity",M783="level"),N783*AN783,
AND(L783="semi_elasticity",M783="sd (Y)"),N783*AN783*BI783,
AND(L783="semi_elasticity",M783="sd (X)"),N783*AN783/AQ783,
AND(L783="level-log",M783="level"),N783/BF783,
AND(L783="level-log",M783="sd (X)"),N783/BF783/AQ783,
AND(L783="level-log",M783="sd (Y)"),N783/BF783*BI783,
AND(L783="elasticity",M783="level"),N783,
AND(L783="elasticity",M783="sd (X)"),N783/AQ783,
AND(L783="elasticity",M783="sd (Y)"),N783*BI783,
AND(L783="marginal_effect",M783="percent_of_mean"),N783*AN783/BF783/10)</f>
        <v>-0.34800779999999998</v>
      </c>
      <c r="AE783" s="56">
        <f t="shared" si="323"/>
        <v>1</v>
      </c>
      <c r="AF783" s="88">
        <f t="shared" si="322"/>
        <v>0.192774</v>
      </c>
      <c r="AG783" s="88" cm="1">
        <f t="array" ref="AG783">_xlfn.IFS(
AND(L783="marginal_effect",M783="level"),O782*AN783/BF783,
AND(L783="marginal_effect",M783="sd (Y)"),O782*BI783*AN783/BF783,
AND(L783="marginal_effect",M783="sd (X)"),O782/AQ783*AN783/BF783,
AND(L783="semi_elasticity",M783="level"),O782*AN783,
AND(L783="semi_elasticity",M783="sd (Y)"),O782*AN783*BI783,
AND(L783="semi_elasticity",M783="sd (X)"),O782*AN783/AQ783,
AND(L783="level-log",M783="level"),O782/BF783,
AND(L783="level-log",M783="sd (X)"),O782/BF783/AQ783,
AND(L783="level-log",M783="sd (Y)"),O782/BF783*BI783,
AND(L783="elasticity",M783="level"),O782,
AND(L783="elasticity",M783="sd (X)"),O782/AQ783,
AND(L783="elasticity",M783="sd (Y)"),O782*BI783,
AND(L783="marginal_effect",M783="percent_of_mean"),O782*AN783/BF783/10)</f>
        <v>0.2627814</v>
      </c>
      <c r="AH783" s="56">
        <f t="shared" si="324"/>
        <v>0</v>
      </c>
      <c r="AI783" s="88">
        <f t="shared" si="325"/>
        <v>-0.34800779999999998</v>
      </c>
      <c r="AJ783" s="55">
        <v>0</v>
      </c>
      <c r="AK783" s="55">
        <f t="shared" si="328"/>
        <v>1</v>
      </c>
      <c r="AL783" s="55" t="s">
        <v>148</v>
      </c>
      <c r="AM783" s="55" t="s">
        <v>1466</v>
      </c>
      <c r="AN783" s="55">
        <v>10.146000000000001</v>
      </c>
      <c r="AO783" s="55">
        <v>0</v>
      </c>
      <c r="AP783" s="55">
        <f t="shared" si="326"/>
        <v>101.46000000000001</v>
      </c>
      <c r="AQ783" s="55">
        <v>48.17</v>
      </c>
      <c r="AR783" s="55">
        <v>18</v>
      </c>
      <c r="AS783" s="55">
        <v>300</v>
      </c>
      <c r="AT783" s="55" t="s">
        <v>83</v>
      </c>
      <c r="AU783" s="55" t="s">
        <v>109</v>
      </c>
      <c r="AV783" s="55" t="s">
        <v>133</v>
      </c>
      <c r="AW783" s="55" t="s">
        <v>109</v>
      </c>
      <c r="AX783" s="55" t="s">
        <v>86</v>
      </c>
      <c r="AY783" s="55">
        <v>0</v>
      </c>
      <c r="AZ783" s="55">
        <v>40</v>
      </c>
      <c r="BA783" s="55" t="s">
        <v>87</v>
      </c>
      <c r="BB783" s="55" t="s">
        <v>88</v>
      </c>
      <c r="BC783" s="55" t="s">
        <v>89</v>
      </c>
      <c r="BD783" s="55" t="s">
        <v>90</v>
      </c>
      <c r="BE783" s="55" t="s">
        <v>1458</v>
      </c>
      <c r="BF783" s="55">
        <v>101.57</v>
      </c>
      <c r="BG783" s="55">
        <v>0</v>
      </c>
      <c r="BH783" s="55">
        <v>65.849999999999994</v>
      </c>
      <c r="BI783" s="55">
        <v>5</v>
      </c>
      <c r="BJ783" s="55">
        <v>430</v>
      </c>
      <c r="BK783" s="55" t="s">
        <v>91</v>
      </c>
      <c r="BL783" s="55" t="s">
        <v>84</v>
      </c>
      <c r="BM783" s="55">
        <v>1</v>
      </c>
      <c r="BN783" s="55" t="s">
        <v>428</v>
      </c>
      <c r="BO783" s="60" t="s">
        <v>1463</v>
      </c>
      <c r="BP783" s="55" t="s">
        <v>1464</v>
      </c>
      <c r="BQ783" s="55" t="s">
        <v>117</v>
      </c>
      <c r="BR783" s="55" t="s">
        <v>134</v>
      </c>
      <c r="BS783" s="55">
        <v>29.22</v>
      </c>
      <c r="BT783" s="55">
        <v>0.01</v>
      </c>
      <c r="BU783" s="57">
        <v>42552</v>
      </c>
      <c r="BV783" s="57">
        <v>42643</v>
      </c>
      <c r="BW783" s="55" t="s">
        <v>94</v>
      </c>
      <c r="BX783" s="55" t="s">
        <v>95</v>
      </c>
      <c r="BY783" s="55" t="s">
        <v>748</v>
      </c>
      <c r="BZ783" s="55">
        <v>1</v>
      </c>
      <c r="CA783" s="55">
        <v>1</v>
      </c>
      <c r="CB783" s="55" t="s">
        <v>303</v>
      </c>
      <c r="CC783" s="55" t="s">
        <v>314</v>
      </c>
      <c r="CD783" s="55">
        <v>1</v>
      </c>
      <c r="CE783" s="55" t="s">
        <v>1462</v>
      </c>
      <c r="CF783" s="55">
        <v>1</v>
      </c>
      <c r="CG783" s="55" t="s">
        <v>82</v>
      </c>
      <c r="CH783" s="55">
        <v>1</v>
      </c>
      <c r="CI783" s="55" t="s">
        <v>1465</v>
      </c>
      <c r="CJ783" s="55" t="s">
        <v>377</v>
      </c>
      <c r="CK783" s="55">
        <v>179</v>
      </c>
      <c r="CL783" s="55">
        <v>0</v>
      </c>
      <c r="CM783" s="55">
        <v>0</v>
      </c>
      <c r="CN783" s="55" t="s">
        <v>124</v>
      </c>
      <c r="CO783" s="55" t="s">
        <v>97</v>
      </c>
      <c r="CP783" s="55" t="s">
        <v>100</v>
      </c>
      <c r="CQ783" s="55" t="s">
        <v>126</v>
      </c>
      <c r="CR783" s="57">
        <v>46233</v>
      </c>
      <c r="CT783" s="55" t="s">
        <v>1894</v>
      </c>
    </row>
    <row r="784" spans="1:98" s="55" customFormat="1" x14ac:dyDescent="0.35">
      <c r="A784" s="54" t="s">
        <v>1459</v>
      </c>
      <c r="B784" s="54" t="s">
        <v>1861</v>
      </c>
      <c r="C784" s="55" t="s">
        <v>1460</v>
      </c>
      <c r="D784" s="55">
        <v>2022</v>
      </c>
      <c r="E784" s="60" t="s">
        <v>1461</v>
      </c>
      <c r="F784" s="54" t="s">
        <v>998</v>
      </c>
      <c r="G784" s="55" t="s">
        <v>78</v>
      </c>
      <c r="H784" s="55">
        <v>1</v>
      </c>
      <c r="I784" s="55" t="s">
        <v>290</v>
      </c>
      <c r="J784" s="55" t="s">
        <v>79</v>
      </c>
      <c r="K784" s="55">
        <v>81</v>
      </c>
      <c r="L784" s="55" t="s">
        <v>104</v>
      </c>
      <c r="M784" s="55" t="s">
        <v>380</v>
      </c>
      <c r="N784" s="55">
        <v>-1.29E-2</v>
      </c>
      <c r="O784" s="55">
        <v>5.1999999999999998E-3</v>
      </c>
      <c r="P784" s="88">
        <f t="shared" si="318"/>
        <v>-2.4807692307692308</v>
      </c>
      <c r="Q784" s="55" t="s">
        <v>312</v>
      </c>
      <c r="R784" s="88">
        <f t="shared" si="319"/>
        <v>-2.3092000000000001E-2</v>
      </c>
      <c r="S784" s="88">
        <f t="shared" si="320"/>
        <v>-2.7080000000000003E-3</v>
      </c>
      <c r="T784" s="55">
        <v>1</v>
      </c>
      <c r="U784" s="55" t="s">
        <v>312</v>
      </c>
      <c r="V784" s="55" t="s">
        <v>312</v>
      </c>
      <c r="W784" s="55" t="s">
        <v>312</v>
      </c>
      <c r="X784" s="55" t="str">
        <f t="shared" si="327"/>
        <v>NA</v>
      </c>
      <c r="Y784" s="88" t="s">
        <v>312</v>
      </c>
      <c r="Z784" s="88" t="s">
        <v>312</v>
      </c>
      <c r="AA784" s="88" t="s">
        <v>312</v>
      </c>
      <c r="AB784" s="55" t="s">
        <v>81</v>
      </c>
      <c r="AC784" s="88">
        <f t="shared" si="321"/>
        <v>-0.13088340000000001</v>
      </c>
      <c r="AD784" s="88" cm="1">
        <f t="array" ref="AD784">_xlfn.IFS(
AND(L784="marginal_effect",M784="level"),N784*AN784/BF784,
AND(L784="marginal_effect",M784="sd (Y)"),N784*BI784*AN784/BF784,
AND(L784="marginal_effect",M784="sd (X)"),N784/AQ784*AN784/BF784,
AND(L784="semi_elasticity",M784="level"),N784*AN784,
AND(L784="semi_elasticity",M784="sd (Y)"),N784*AN784*BI784,
AND(L784="semi_elasticity",M784="sd (X)"),N784*AN784/AQ784,
AND(L784="level-log",M784="level"),N784/BF784,
AND(L784="level-log",M784="sd (X)"),N784/BF784/AQ784,
AND(L784="level-log",M784="sd (Y)"),N784/BF784*BI784,
AND(L784="elasticity",M784="level"),N784,
AND(L784="elasticity",M784="sd (X)"),N784/AQ784,
AND(L784="elasticity",M784="sd (Y)"),N784*BI784,
AND(L784="marginal_effect",M784="percent_of_mean"),N784*AN784/BF784/10)</f>
        <v>-0.13088340000000001</v>
      </c>
      <c r="AE784" s="56">
        <f t="shared" si="323"/>
        <v>1</v>
      </c>
      <c r="AF784" s="88">
        <f t="shared" si="322"/>
        <v>5.2759199999999999E-2</v>
      </c>
      <c r="AG784" s="88" cm="1">
        <f t="array" ref="AG784">_xlfn.IFS(
AND(L784="marginal_effect",M784="level"),O783*AN784/BF784,
AND(L784="marginal_effect",M784="sd (Y)"),O783*BI784*AN784/BF784,
AND(L784="marginal_effect",M784="sd (X)"),O783/AQ784*AN784/BF784,
AND(L784="semi_elasticity",M784="level"),O783*AN784,
AND(L784="semi_elasticity",M784="sd (Y)"),O783*AN784*BI784,
AND(L784="semi_elasticity",M784="sd (X)"),O783*AN784/AQ784,
AND(L784="level-log",M784="level"),O783/BF784,
AND(L784="level-log",M784="sd (X)"),O783/BF784/AQ784,
AND(L784="level-log",M784="sd (Y)"),O783/BF784*BI784,
AND(L784="elasticity",M784="level"),O783,
AND(L784="elasticity",M784="sd (X)"),O783/AQ784,
AND(L784="elasticity",M784="sd (Y)"),O783*BI784,
AND(L784="marginal_effect",M784="percent_of_mean"),O783*AN784/BF784/10)</f>
        <v>0.192774</v>
      </c>
      <c r="AH784" s="56">
        <f t="shared" si="324"/>
        <v>0</v>
      </c>
      <c r="AI784" s="88">
        <f t="shared" si="325"/>
        <v>-0.13088340000000001</v>
      </c>
      <c r="AJ784" s="55">
        <v>0</v>
      </c>
      <c r="AK784" s="55">
        <f t="shared" si="328"/>
        <v>1</v>
      </c>
      <c r="AL784" s="55" t="s">
        <v>148</v>
      </c>
      <c r="AM784" s="55" t="s">
        <v>1466</v>
      </c>
      <c r="AN784" s="55">
        <v>10.146000000000001</v>
      </c>
      <c r="AO784" s="55">
        <v>0</v>
      </c>
      <c r="AP784" s="55">
        <f t="shared" si="326"/>
        <v>101.46000000000001</v>
      </c>
      <c r="AQ784" s="55">
        <v>48.17</v>
      </c>
      <c r="AR784" s="55">
        <v>18</v>
      </c>
      <c r="AS784" s="55">
        <v>300</v>
      </c>
      <c r="AT784" s="55" t="s">
        <v>83</v>
      </c>
      <c r="AU784" s="55" t="s">
        <v>109</v>
      </c>
      <c r="AV784" s="55" t="s">
        <v>133</v>
      </c>
      <c r="AW784" s="55" t="s">
        <v>109</v>
      </c>
      <c r="AX784" s="55" t="s">
        <v>86</v>
      </c>
      <c r="AY784" s="55">
        <v>0</v>
      </c>
      <c r="AZ784" s="55">
        <v>5</v>
      </c>
      <c r="BA784" s="55" t="s">
        <v>87</v>
      </c>
      <c r="BB784" s="55" t="s">
        <v>88</v>
      </c>
      <c r="BC784" s="55" t="s">
        <v>89</v>
      </c>
      <c r="BD784" s="55" t="s">
        <v>90</v>
      </c>
      <c r="BE784" s="55" t="s">
        <v>1458</v>
      </c>
      <c r="BF784" s="55">
        <v>101.57</v>
      </c>
      <c r="BG784" s="55">
        <v>0</v>
      </c>
      <c r="BH784" s="55">
        <v>65.849999999999994</v>
      </c>
      <c r="BI784" s="55">
        <v>5</v>
      </c>
      <c r="BJ784" s="55">
        <v>430</v>
      </c>
      <c r="BK784" s="55" t="s">
        <v>91</v>
      </c>
      <c r="BL784" s="55" t="s">
        <v>84</v>
      </c>
      <c r="BM784" s="55">
        <v>1</v>
      </c>
      <c r="BN784" s="55" t="s">
        <v>428</v>
      </c>
      <c r="BO784" s="60" t="s">
        <v>1463</v>
      </c>
      <c r="BP784" s="55" t="s">
        <v>1464</v>
      </c>
      <c r="BQ784" s="55" t="s">
        <v>117</v>
      </c>
      <c r="BR784" s="55" t="s">
        <v>134</v>
      </c>
      <c r="BS784" s="55">
        <v>29.22</v>
      </c>
      <c r="BT784" s="55">
        <v>0.01</v>
      </c>
      <c r="BU784" s="57">
        <v>42552</v>
      </c>
      <c r="BV784" s="57">
        <v>42643</v>
      </c>
      <c r="BW784" s="55" t="s">
        <v>94</v>
      </c>
      <c r="BX784" s="55" t="s">
        <v>95</v>
      </c>
      <c r="BY784" s="55" t="s">
        <v>748</v>
      </c>
      <c r="BZ784" s="55">
        <v>1</v>
      </c>
      <c r="CA784" s="55">
        <v>1</v>
      </c>
      <c r="CB784" s="55" t="s">
        <v>303</v>
      </c>
      <c r="CC784" s="55" t="s">
        <v>314</v>
      </c>
      <c r="CD784" s="55">
        <v>1</v>
      </c>
      <c r="CE784" s="55" t="s">
        <v>1462</v>
      </c>
      <c r="CF784" s="55">
        <v>0</v>
      </c>
      <c r="CG784" s="55" t="s">
        <v>97</v>
      </c>
      <c r="CH784" s="55">
        <v>1</v>
      </c>
      <c r="CI784" s="55" t="s">
        <v>1465</v>
      </c>
      <c r="CJ784" s="55" t="s">
        <v>377</v>
      </c>
      <c r="CK784" s="55">
        <v>179</v>
      </c>
      <c r="CL784" s="55">
        <v>0</v>
      </c>
      <c r="CM784" s="55">
        <v>0</v>
      </c>
      <c r="CN784" s="55" t="s">
        <v>124</v>
      </c>
      <c r="CO784" s="55" t="s">
        <v>97</v>
      </c>
      <c r="CP784" s="55" t="s">
        <v>100</v>
      </c>
      <c r="CQ784" s="55" t="s">
        <v>126</v>
      </c>
      <c r="CR784" s="57">
        <v>46233</v>
      </c>
      <c r="CT784" s="55" t="s">
        <v>1895</v>
      </c>
    </row>
    <row r="785" spans="1:98" s="55" customFormat="1" x14ac:dyDescent="0.35">
      <c r="A785" s="54" t="s">
        <v>1459</v>
      </c>
      <c r="B785" s="54" t="s">
        <v>1862</v>
      </c>
      <c r="C785" s="55" t="s">
        <v>1460</v>
      </c>
      <c r="D785" s="55">
        <v>2022</v>
      </c>
      <c r="E785" s="60" t="s">
        <v>1461</v>
      </c>
      <c r="F785" s="54" t="s">
        <v>998</v>
      </c>
      <c r="G785" s="55" t="s">
        <v>78</v>
      </c>
      <c r="H785" s="55">
        <v>1</v>
      </c>
      <c r="I785" s="55" t="s">
        <v>290</v>
      </c>
      <c r="J785" s="55" t="s">
        <v>79</v>
      </c>
      <c r="K785" s="55">
        <v>81</v>
      </c>
      <c r="L785" s="55" t="s">
        <v>104</v>
      </c>
      <c r="M785" s="55" t="s">
        <v>380</v>
      </c>
      <c r="N785" s="55">
        <v>-1.04E-2</v>
      </c>
      <c r="O785" s="55">
        <v>7.4999999999999997E-3</v>
      </c>
      <c r="P785" s="88">
        <f t="shared" si="318"/>
        <v>-1.3866666666666667</v>
      </c>
      <c r="Q785" s="55" t="s">
        <v>312</v>
      </c>
      <c r="R785" s="88">
        <f t="shared" si="319"/>
        <v>-2.5099999999999997E-2</v>
      </c>
      <c r="S785" s="88">
        <f t="shared" si="320"/>
        <v>4.3E-3</v>
      </c>
      <c r="T785" s="55">
        <v>1</v>
      </c>
      <c r="U785" s="55" t="s">
        <v>312</v>
      </c>
      <c r="V785" s="55" t="s">
        <v>312</v>
      </c>
      <c r="W785" s="55" t="s">
        <v>312</v>
      </c>
      <c r="X785" s="55" t="str">
        <f t="shared" si="327"/>
        <v>NA</v>
      </c>
      <c r="Y785" s="88" t="s">
        <v>312</v>
      </c>
      <c r="Z785" s="88" t="s">
        <v>312</v>
      </c>
      <c r="AA785" s="88" t="s">
        <v>312</v>
      </c>
      <c r="AB785" s="55" t="s">
        <v>81</v>
      </c>
      <c r="AC785" s="88">
        <f t="shared" si="321"/>
        <v>-0.1055184</v>
      </c>
      <c r="AD785" s="88" cm="1">
        <f t="array" ref="AD785">_xlfn.IFS(
AND(L785="marginal_effect",M785="level"),N785*AN785/BF785,
AND(L785="marginal_effect",M785="sd (Y)"),N785*BI785*AN785/BF785,
AND(L785="marginal_effect",M785="sd (X)"),N785/AQ785*AN785/BF785,
AND(L785="semi_elasticity",M785="level"),N785*AN785,
AND(L785="semi_elasticity",M785="sd (Y)"),N785*AN785*BI785,
AND(L785="semi_elasticity",M785="sd (X)"),N785*AN785/AQ785,
AND(L785="level-log",M785="level"),N785/BF785,
AND(L785="level-log",M785="sd (X)"),N785/BF785/AQ785,
AND(L785="level-log",M785="sd (Y)"),N785/BF785*BI785,
AND(L785="elasticity",M785="level"),N785,
AND(L785="elasticity",M785="sd (X)"),N785/AQ785,
AND(L785="elasticity",M785="sd (Y)"),N785*BI785,
AND(L785="marginal_effect",M785="percent_of_mean"),N785*AN785/BF785/10)</f>
        <v>-0.1055184</v>
      </c>
      <c r="AE785" s="56">
        <f t="shared" si="323"/>
        <v>1</v>
      </c>
      <c r="AF785" s="88">
        <f t="shared" si="322"/>
        <v>7.609500000000001E-2</v>
      </c>
      <c r="AG785" s="88" cm="1">
        <f t="array" ref="AG785">_xlfn.IFS(
AND(L785="marginal_effect",M785="level"),O784*AN785/BF785,
AND(L785="marginal_effect",M785="sd (Y)"),O784*BI785*AN785/BF785,
AND(L785="marginal_effect",M785="sd (X)"),O784/AQ785*AN785/BF785,
AND(L785="semi_elasticity",M785="level"),O784*AN785,
AND(L785="semi_elasticity",M785="sd (Y)"),O784*AN785*BI785,
AND(L785="semi_elasticity",M785="sd (X)"),O784*AN785/AQ785,
AND(L785="level-log",M785="level"),O784/BF785,
AND(L785="level-log",M785="sd (X)"),O784/BF785/AQ785,
AND(L785="level-log",M785="sd (Y)"),O784/BF785*BI785,
AND(L785="elasticity",M785="level"),O784,
AND(L785="elasticity",M785="sd (X)"),O784/AQ785,
AND(L785="elasticity",M785="sd (Y)"),O784*BI785,
AND(L785="marginal_effect",M785="percent_of_mean"),O784*AN785/BF785/10)</f>
        <v>5.2759199999999999E-2</v>
      </c>
      <c r="AH785" s="56">
        <f t="shared" si="324"/>
        <v>0</v>
      </c>
      <c r="AI785" s="88">
        <f t="shared" si="325"/>
        <v>-0.1055184</v>
      </c>
      <c r="AJ785" s="55">
        <v>0</v>
      </c>
      <c r="AK785" s="55">
        <f t="shared" si="328"/>
        <v>1</v>
      </c>
      <c r="AL785" s="55" t="s">
        <v>148</v>
      </c>
      <c r="AM785" s="55" t="s">
        <v>1466</v>
      </c>
      <c r="AN785" s="55">
        <v>10.146000000000001</v>
      </c>
      <c r="AO785" s="55">
        <v>0</v>
      </c>
      <c r="AP785" s="55">
        <f t="shared" si="326"/>
        <v>101.46000000000001</v>
      </c>
      <c r="AQ785" s="55">
        <v>48.17</v>
      </c>
      <c r="AR785" s="55">
        <v>18</v>
      </c>
      <c r="AS785" s="55">
        <v>300</v>
      </c>
      <c r="AT785" s="55" t="s">
        <v>83</v>
      </c>
      <c r="AU785" s="55" t="s">
        <v>109</v>
      </c>
      <c r="AV785" s="55" t="s">
        <v>133</v>
      </c>
      <c r="AW785" s="55" t="s">
        <v>109</v>
      </c>
      <c r="AX785" s="55" t="s">
        <v>86</v>
      </c>
      <c r="AY785" s="55">
        <v>0</v>
      </c>
      <c r="AZ785" s="55">
        <v>10</v>
      </c>
      <c r="BA785" s="55" t="s">
        <v>87</v>
      </c>
      <c r="BB785" s="55" t="s">
        <v>88</v>
      </c>
      <c r="BC785" s="55" t="s">
        <v>89</v>
      </c>
      <c r="BD785" s="55" t="s">
        <v>90</v>
      </c>
      <c r="BE785" s="55" t="s">
        <v>1458</v>
      </c>
      <c r="BF785" s="55">
        <v>101.57</v>
      </c>
      <c r="BG785" s="55">
        <v>0</v>
      </c>
      <c r="BH785" s="55">
        <v>65.849999999999994</v>
      </c>
      <c r="BI785" s="55">
        <v>5</v>
      </c>
      <c r="BJ785" s="55">
        <v>430</v>
      </c>
      <c r="BK785" s="55" t="s">
        <v>91</v>
      </c>
      <c r="BL785" s="55" t="s">
        <v>84</v>
      </c>
      <c r="BM785" s="55">
        <v>1</v>
      </c>
      <c r="BN785" s="55" t="s">
        <v>428</v>
      </c>
      <c r="BO785" s="60" t="s">
        <v>1463</v>
      </c>
      <c r="BP785" s="55" t="s">
        <v>1464</v>
      </c>
      <c r="BQ785" s="55" t="s">
        <v>117</v>
      </c>
      <c r="BR785" s="55" t="s">
        <v>134</v>
      </c>
      <c r="BS785" s="55">
        <v>29.22</v>
      </c>
      <c r="BT785" s="55">
        <v>0.01</v>
      </c>
      <c r="BU785" s="57">
        <v>42552</v>
      </c>
      <c r="BV785" s="57">
        <v>42643</v>
      </c>
      <c r="BW785" s="55" t="s">
        <v>94</v>
      </c>
      <c r="BX785" s="55" t="s">
        <v>95</v>
      </c>
      <c r="BY785" s="55" t="s">
        <v>748</v>
      </c>
      <c r="BZ785" s="55">
        <v>1</v>
      </c>
      <c r="CA785" s="55">
        <v>1</v>
      </c>
      <c r="CB785" s="55" t="s">
        <v>303</v>
      </c>
      <c r="CC785" s="55" t="s">
        <v>314</v>
      </c>
      <c r="CD785" s="55">
        <v>1</v>
      </c>
      <c r="CE785" s="55" t="s">
        <v>1462</v>
      </c>
      <c r="CF785" s="55">
        <v>0</v>
      </c>
      <c r="CG785" s="55" t="s">
        <v>97</v>
      </c>
      <c r="CH785" s="55">
        <v>1</v>
      </c>
      <c r="CI785" s="55" t="s">
        <v>1465</v>
      </c>
      <c r="CJ785" s="55" t="s">
        <v>377</v>
      </c>
      <c r="CK785" s="55">
        <v>179</v>
      </c>
      <c r="CL785" s="55">
        <v>0</v>
      </c>
      <c r="CM785" s="55">
        <v>0</v>
      </c>
      <c r="CN785" s="55" t="s">
        <v>124</v>
      </c>
      <c r="CO785" s="55" t="s">
        <v>97</v>
      </c>
      <c r="CP785" s="55" t="s">
        <v>100</v>
      </c>
      <c r="CQ785" s="55" t="s">
        <v>126</v>
      </c>
      <c r="CR785" s="57">
        <v>46233</v>
      </c>
      <c r="CT785" s="55" t="s">
        <v>1895</v>
      </c>
    </row>
    <row r="786" spans="1:98" s="55" customFormat="1" x14ac:dyDescent="0.35">
      <c r="A786" s="54" t="s">
        <v>1459</v>
      </c>
      <c r="B786" s="54" t="s">
        <v>1863</v>
      </c>
      <c r="C786" s="55" t="s">
        <v>1460</v>
      </c>
      <c r="D786" s="55">
        <v>2022</v>
      </c>
      <c r="E786" s="60" t="s">
        <v>1461</v>
      </c>
      <c r="F786" s="54" t="s">
        <v>998</v>
      </c>
      <c r="G786" s="55" t="s">
        <v>78</v>
      </c>
      <c r="H786" s="55">
        <v>1</v>
      </c>
      <c r="I786" s="55" t="s">
        <v>290</v>
      </c>
      <c r="J786" s="55" t="s">
        <v>79</v>
      </c>
      <c r="K786" s="55">
        <v>81</v>
      </c>
      <c r="L786" s="55" t="s">
        <v>104</v>
      </c>
      <c r="M786" s="55" t="s">
        <v>380</v>
      </c>
      <c r="N786" s="55">
        <v>-4.5999999999999999E-3</v>
      </c>
      <c r="O786" s="55">
        <v>9.4000000000000004E-3</v>
      </c>
      <c r="P786" s="88">
        <f t="shared" si="318"/>
        <v>-0.48936170212765956</v>
      </c>
      <c r="Q786" s="55" t="s">
        <v>312</v>
      </c>
      <c r="R786" s="88">
        <f t="shared" si="319"/>
        <v>-2.3023999999999999E-2</v>
      </c>
      <c r="S786" s="88">
        <f t="shared" si="320"/>
        <v>1.3823999999999999E-2</v>
      </c>
      <c r="T786" s="55">
        <v>1</v>
      </c>
      <c r="U786" s="55" t="s">
        <v>312</v>
      </c>
      <c r="V786" s="55" t="s">
        <v>312</v>
      </c>
      <c r="W786" s="55" t="s">
        <v>312</v>
      </c>
      <c r="X786" s="55" t="str">
        <f t="shared" si="327"/>
        <v>NA</v>
      </c>
      <c r="Y786" s="88" t="s">
        <v>312</v>
      </c>
      <c r="Z786" s="88" t="s">
        <v>312</v>
      </c>
      <c r="AA786" s="88" t="s">
        <v>312</v>
      </c>
      <c r="AB786" s="55" t="s">
        <v>81</v>
      </c>
      <c r="AC786" s="88">
        <f t="shared" si="321"/>
        <v>-4.6671600000000001E-2</v>
      </c>
      <c r="AD786" s="88" cm="1">
        <f t="array" ref="AD786">_xlfn.IFS(
AND(L786="marginal_effect",M786="level"),N786*AN786/BF786,
AND(L786="marginal_effect",M786="sd (Y)"),N786*BI786*AN786/BF786,
AND(L786="marginal_effect",M786="sd (X)"),N786/AQ786*AN786/BF786,
AND(L786="semi_elasticity",M786="level"),N786*AN786,
AND(L786="semi_elasticity",M786="sd (Y)"),N786*AN786*BI786,
AND(L786="semi_elasticity",M786="sd (X)"),N786*AN786/AQ786,
AND(L786="level-log",M786="level"),N786/BF786,
AND(L786="level-log",M786="sd (X)"),N786/BF786/AQ786,
AND(L786="level-log",M786="sd (Y)"),N786/BF786*BI786,
AND(L786="elasticity",M786="level"),N786,
AND(L786="elasticity",M786="sd (X)"),N786/AQ786,
AND(L786="elasticity",M786="sd (Y)"),N786*BI786,
AND(L786="marginal_effect",M786="percent_of_mean"),N786*AN786/BF786/10)</f>
        <v>-4.6671600000000001E-2</v>
      </c>
      <c r="AE786" s="56">
        <f t="shared" si="323"/>
        <v>1</v>
      </c>
      <c r="AF786" s="88">
        <f t="shared" si="322"/>
        <v>9.537240000000001E-2</v>
      </c>
      <c r="AG786" s="88" cm="1">
        <f t="array" ref="AG786">_xlfn.IFS(
AND(L786="marginal_effect",M786="level"),O785*AN786/BF786,
AND(L786="marginal_effect",M786="sd (Y)"),O785*BI786*AN786/BF786,
AND(L786="marginal_effect",M786="sd (X)"),O785/AQ786*AN786/BF786,
AND(L786="semi_elasticity",M786="level"),O785*AN786,
AND(L786="semi_elasticity",M786="sd (Y)"),O785*AN786*BI786,
AND(L786="semi_elasticity",M786="sd (X)"),O785*AN786/AQ786,
AND(L786="level-log",M786="level"),O785/BF786,
AND(L786="level-log",M786="sd (X)"),O785/BF786/AQ786,
AND(L786="level-log",M786="sd (Y)"),O785/BF786*BI786,
AND(L786="elasticity",M786="level"),O785,
AND(L786="elasticity",M786="sd (X)"),O785/AQ786,
AND(L786="elasticity",M786="sd (Y)"),O785*BI786,
AND(L786="marginal_effect",M786="percent_of_mean"),O785*AN786/BF786/10)</f>
        <v>7.609500000000001E-2</v>
      </c>
      <c r="AH786" s="56">
        <f t="shared" si="324"/>
        <v>0</v>
      </c>
      <c r="AI786" s="88">
        <f t="shared" si="325"/>
        <v>-4.6671600000000001E-2</v>
      </c>
      <c r="AJ786" s="55">
        <v>0</v>
      </c>
      <c r="AK786" s="55">
        <f t="shared" si="328"/>
        <v>1</v>
      </c>
      <c r="AL786" s="55" t="s">
        <v>148</v>
      </c>
      <c r="AM786" s="55" t="s">
        <v>1466</v>
      </c>
      <c r="AN786" s="55">
        <v>10.146000000000001</v>
      </c>
      <c r="AO786" s="55">
        <v>0</v>
      </c>
      <c r="AP786" s="55">
        <f t="shared" si="326"/>
        <v>101.46000000000001</v>
      </c>
      <c r="AQ786" s="55">
        <v>48.17</v>
      </c>
      <c r="AR786" s="55">
        <v>18</v>
      </c>
      <c r="AS786" s="55">
        <v>300</v>
      </c>
      <c r="AT786" s="55" t="s">
        <v>83</v>
      </c>
      <c r="AU786" s="55" t="s">
        <v>109</v>
      </c>
      <c r="AV786" s="55" t="s">
        <v>133</v>
      </c>
      <c r="AW786" s="55" t="s">
        <v>109</v>
      </c>
      <c r="AX786" s="55" t="s">
        <v>86</v>
      </c>
      <c r="AY786" s="55">
        <v>0</v>
      </c>
      <c r="AZ786" s="55">
        <v>15</v>
      </c>
      <c r="BA786" s="55" t="s">
        <v>87</v>
      </c>
      <c r="BB786" s="55" t="s">
        <v>88</v>
      </c>
      <c r="BC786" s="55" t="s">
        <v>89</v>
      </c>
      <c r="BD786" s="55" t="s">
        <v>90</v>
      </c>
      <c r="BE786" s="55" t="s">
        <v>1458</v>
      </c>
      <c r="BF786" s="55">
        <v>101.57</v>
      </c>
      <c r="BG786" s="55">
        <v>0</v>
      </c>
      <c r="BH786" s="55">
        <v>65.849999999999994</v>
      </c>
      <c r="BI786" s="55">
        <v>5</v>
      </c>
      <c r="BJ786" s="55">
        <v>430</v>
      </c>
      <c r="BK786" s="55" t="s">
        <v>91</v>
      </c>
      <c r="BL786" s="55" t="s">
        <v>84</v>
      </c>
      <c r="BM786" s="55">
        <v>1</v>
      </c>
      <c r="BN786" s="55" t="s">
        <v>428</v>
      </c>
      <c r="BO786" s="60" t="s">
        <v>1463</v>
      </c>
      <c r="BP786" s="55" t="s">
        <v>1464</v>
      </c>
      <c r="BQ786" s="55" t="s">
        <v>117</v>
      </c>
      <c r="BR786" s="55" t="s">
        <v>134</v>
      </c>
      <c r="BS786" s="55">
        <v>29.22</v>
      </c>
      <c r="BT786" s="55">
        <v>0.01</v>
      </c>
      <c r="BU786" s="57">
        <v>42552</v>
      </c>
      <c r="BV786" s="57">
        <v>42643</v>
      </c>
      <c r="BW786" s="55" t="s">
        <v>94</v>
      </c>
      <c r="BX786" s="55" t="s">
        <v>95</v>
      </c>
      <c r="BY786" s="55" t="s">
        <v>748</v>
      </c>
      <c r="BZ786" s="55">
        <v>1</v>
      </c>
      <c r="CA786" s="55">
        <v>1</v>
      </c>
      <c r="CB786" s="55" t="s">
        <v>303</v>
      </c>
      <c r="CC786" s="55" t="s">
        <v>314</v>
      </c>
      <c r="CD786" s="55">
        <v>1</v>
      </c>
      <c r="CE786" s="55" t="s">
        <v>1462</v>
      </c>
      <c r="CF786" s="55">
        <v>0</v>
      </c>
      <c r="CG786" s="55" t="s">
        <v>97</v>
      </c>
      <c r="CH786" s="55">
        <v>1</v>
      </c>
      <c r="CI786" s="55" t="s">
        <v>1465</v>
      </c>
      <c r="CJ786" s="55" t="s">
        <v>377</v>
      </c>
      <c r="CK786" s="55">
        <v>179</v>
      </c>
      <c r="CL786" s="55">
        <v>0</v>
      </c>
      <c r="CM786" s="55">
        <v>0</v>
      </c>
      <c r="CN786" s="55" t="s">
        <v>124</v>
      </c>
      <c r="CO786" s="55" t="s">
        <v>97</v>
      </c>
      <c r="CP786" s="55" t="s">
        <v>100</v>
      </c>
      <c r="CQ786" s="55" t="s">
        <v>126</v>
      </c>
      <c r="CR786" s="57">
        <v>46233</v>
      </c>
      <c r="CT786" s="55" t="s">
        <v>1895</v>
      </c>
    </row>
    <row r="787" spans="1:98" s="55" customFormat="1" x14ac:dyDescent="0.35">
      <c r="A787" s="54" t="s">
        <v>1459</v>
      </c>
      <c r="B787" s="54" t="s">
        <v>1864</v>
      </c>
      <c r="C787" s="55" t="s">
        <v>1460</v>
      </c>
      <c r="D787" s="55">
        <v>2022</v>
      </c>
      <c r="E787" s="60" t="s">
        <v>1461</v>
      </c>
      <c r="F787" s="54" t="s">
        <v>998</v>
      </c>
      <c r="G787" s="55" t="s">
        <v>78</v>
      </c>
      <c r="H787" s="55">
        <v>1</v>
      </c>
      <c r="I787" s="55" t="s">
        <v>290</v>
      </c>
      <c r="J787" s="55" t="s">
        <v>79</v>
      </c>
      <c r="K787" s="55">
        <v>81</v>
      </c>
      <c r="L787" s="55" t="s">
        <v>104</v>
      </c>
      <c r="M787" s="55" t="s">
        <v>380</v>
      </c>
      <c r="N787" s="55">
        <v>-6.0000000000000001E-3</v>
      </c>
      <c r="O787" s="55">
        <v>1.43E-2</v>
      </c>
      <c r="P787" s="88">
        <f t="shared" si="318"/>
        <v>-0.41958041958041958</v>
      </c>
      <c r="Q787" s="55" t="s">
        <v>312</v>
      </c>
      <c r="R787" s="88">
        <f t="shared" si="319"/>
        <v>-3.4028000000000003E-2</v>
      </c>
      <c r="S787" s="88">
        <f t="shared" si="320"/>
        <v>2.2027999999999999E-2</v>
      </c>
      <c r="T787" s="55">
        <v>1</v>
      </c>
      <c r="U787" s="55" t="s">
        <v>312</v>
      </c>
      <c r="V787" s="55" t="s">
        <v>312</v>
      </c>
      <c r="W787" s="55" t="s">
        <v>312</v>
      </c>
      <c r="X787" s="55" t="str">
        <f t="shared" si="327"/>
        <v>NA</v>
      </c>
      <c r="Y787" s="88" t="s">
        <v>312</v>
      </c>
      <c r="Z787" s="88" t="s">
        <v>312</v>
      </c>
      <c r="AA787" s="88" t="s">
        <v>312</v>
      </c>
      <c r="AB787" s="55" t="s">
        <v>81</v>
      </c>
      <c r="AC787" s="88">
        <f t="shared" si="321"/>
        <v>-6.0876000000000006E-2</v>
      </c>
      <c r="AD787" s="88" cm="1">
        <f t="array" ref="AD787">_xlfn.IFS(
AND(L787="marginal_effect",M787="level"),N787*AN787/BF787,
AND(L787="marginal_effect",M787="sd (Y)"),N787*BI787*AN787/BF787,
AND(L787="marginal_effect",M787="sd (X)"),N787/AQ787*AN787/BF787,
AND(L787="semi_elasticity",M787="level"),N787*AN787,
AND(L787="semi_elasticity",M787="sd (Y)"),N787*AN787*BI787,
AND(L787="semi_elasticity",M787="sd (X)"),N787*AN787/AQ787,
AND(L787="level-log",M787="level"),N787/BF787,
AND(L787="level-log",M787="sd (X)"),N787/BF787/AQ787,
AND(L787="level-log",M787="sd (Y)"),N787/BF787*BI787,
AND(L787="elasticity",M787="level"),N787,
AND(L787="elasticity",M787="sd (X)"),N787/AQ787,
AND(L787="elasticity",M787="sd (Y)"),N787*BI787,
AND(L787="marginal_effect",M787="percent_of_mean"),N787*AN787/BF787/10)</f>
        <v>-6.0876000000000006E-2</v>
      </c>
      <c r="AE787" s="56">
        <f t="shared" si="323"/>
        <v>1</v>
      </c>
      <c r="AF787" s="88">
        <f t="shared" si="322"/>
        <v>0.14508780000000002</v>
      </c>
      <c r="AG787" s="88" cm="1">
        <f t="array" ref="AG787">_xlfn.IFS(
AND(L787="marginal_effect",M787="level"),O786*AN787/BF787,
AND(L787="marginal_effect",M787="sd (Y)"),O786*BI787*AN787/BF787,
AND(L787="marginal_effect",M787="sd (X)"),O786/AQ787*AN787/BF787,
AND(L787="semi_elasticity",M787="level"),O786*AN787,
AND(L787="semi_elasticity",M787="sd (Y)"),O786*AN787*BI787,
AND(L787="semi_elasticity",M787="sd (X)"),O786*AN787/AQ787,
AND(L787="level-log",M787="level"),O786/BF787,
AND(L787="level-log",M787="sd (X)"),O786/BF787/AQ787,
AND(L787="level-log",M787="sd (Y)"),O786/BF787*BI787,
AND(L787="elasticity",M787="level"),O786,
AND(L787="elasticity",M787="sd (X)"),O786/AQ787,
AND(L787="elasticity",M787="sd (Y)"),O786*BI787,
AND(L787="marginal_effect",M787="percent_of_mean"),O786*AN787/BF787/10)</f>
        <v>9.537240000000001E-2</v>
      </c>
      <c r="AH787" s="56">
        <f t="shared" si="324"/>
        <v>0</v>
      </c>
      <c r="AI787" s="88">
        <f t="shared" si="325"/>
        <v>-6.0876000000000006E-2</v>
      </c>
      <c r="AJ787" s="55">
        <v>0</v>
      </c>
      <c r="AK787" s="55">
        <f t="shared" si="328"/>
        <v>1</v>
      </c>
      <c r="AL787" s="55" t="s">
        <v>148</v>
      </c>
      <c r="AM787" s="55" t="s">
        <v>1466</v>
      </c>
      <c r="AN787" s="55">
        <v>10.146000000000001</v>
      </c>
      <c r="AO787" s="55">
        <v>0</v>
      </c>
      <c r="AP787" s="55">
        <f t="shared" si="326"/>
        <v>101.46000000000001</v>
      </c>
      <c r="AQ787" s="55">
        <v>48.17</v>
      </c>
      <c r="AR787" s="55">
        <v>18</v>
      </c>
      <c r="AS787" s="55">
        <v>300</v>
      </c>
      <c r="AT787" s="55" t="s">
        <v>83</v>
      </c>
      <c r="AU787" s="55" t="s">
        <v>109</v>
      </c>
      <c r="AV787" s="55" t="s">
        <v>133</v>
      </c>
      <c r="AW787" s="55" t="s">
        <v>109</v>
      </c>
      <c r="AX787" s="55" t="s">
        <v>86</v>
      </c>
      <c r="AY787" s="55">
        <v>0</v>
      </c>
      <c r="AZ787" s="55">
        <v>20</v>
      </c>
      <c r="BA787" s="55" t="s">
        <v>87</v>
      </c>
      <c r="BB787" s="55" t="s">
        <v>88</v>
      </c>
      <c r="BC787" s="55" t="s">
        <v>89</v>
      </c>
      <c r="BD787" s="55" t="s">
        <v>90</v>
      </c>
      <c r="BE787" s="55" t="s">
        <v>1458</v>
      </c>
      <c r="BF787" s="55">
        <v>101.57</v>
      </c>
      <c r="BG787" s="55">
        <v>0</v>
      </c>
      <c r="BH787" s="55">
        <v>65.849999999999994</v>
      </c>
      <c r="BI787" s="55">
        <v>5</v>
      </c>
      <c r="BJ787" s="55">
        <v>430</v>
      </c>
      <c r="BK787" s="55" t="s">
        <v>91</v>
      </c>
      <c r="BL787" s="55" t="s">
        <v>84</v>
      </c>
      <c r="BM787" s="55">
        <v>1</v>
      </c>
      <c r="BN787" s="55" t="s">
        <v>428</v>
      </c>
      <c r="BO787" s="60" t="s">
        <v>1463</v>
      </c>
      <c r="BP787" s="55" t="s">
        <v>1464</v>
      </c>
      <c r="BQ787" s="55" t="s">
        <v>117</v>
      </c>
      <c r="BR787" s="55" t="s">
        <v>134</v>
      </c>
      <c r="BS787" s="55">
        <v>29.22</v>
      </c>
      <c r="BT787" s="55">
        <v>0.01</v>
      </c>
      <c r="BU787" s="57">
        <v>42552</v>
      </c>
      <c r="BV787" s="57">
        <v>42643</v>
      </c>
      <c r="BW787" s="55" t="s">
        <v>94</v>
      </c>
      <c r="BX787" s="55" t="s">
        <v>95</v>
      </c>
      <c r="BY787" s="55" t="s">
        <v>748</v>
      </c>
      <c r="BZ787" s="55">
        <v>1</v>
      </c>
      <c r="CA787" s="55">
        <v>1</v>
      </c>
      <c r="CB787" s="55" t="s">
        <v>303</v>
      </c>
      <c r="CC787" s="55" t="s">
        <v>314</v>
      </c>
      <c r="CD787" s="55">
        <v>1</v>
      </c>
      <c r="CE787" s="55" t="s">
        <v>1462</v>
      </c>
      <c r="CF787" s="55">
        <v>0</v>
      </c>
      <c r="CG787" s="55" t="s">
        <v>97</v>
      </c>
      <c r="CH787" s="55">
        <v>1</v>
      </c>
      <c r="CI787" s="55" t="s">
        <v>1465</v>
      </c>
      <c r="CJ787" s="55" t="s">
        <v>377</v>
      </c>
      <c r="CK787" s="55">
        <v>179</v>
      </c>
      <c r="CL787" s="55">
        <v>0</v>
      </c>
      <c r="CM787" s="55">
        <v>0</v>
      </c>
      <c r="CN787" s="55" t="s">
        <v>124</v>
      </c>
      <c r="CO787" s="55" t="s">
        <v>97</v>
      </c>
      <c r="CP787" s="55" t="s">
        <v>100</v>
      </c>
      <c r="CQ787" s="55" t="s">
        <v>126</v>
      </c>
      <c r="CR787" s="57">
        <v>46233</v>
      </c>
      <c r="CT787" s="55" t="s">
        <v>1895</v>
      </c>
    </row>
    <row r="788" spans="1:98" s="55" customFormat="1" x14ac:dyDescent="0.35">
      <c r="A788" s="54" t="s">
        <v>1459</v>
      </c>
      <c r="B788" s="54" t="s">
        <v>1865</v>
      </c>
      <c r="C788" s="55" t="s">
        <v>1460</v>
      </c>
      <c r="D788" s="55">
        <v>2022</v>
      </c>
      <c r="E788" s="60" t="s">
        <v>1461</v>
      </c>
      <c r="F788" s="54" t="s">
        <v>998</v>
      </c>
      <c r="G788" s="55" t="s">
        <v>78</v>
      </c>
      <c r="H788" s="55">
        <v>1</v>
      </c>
      <c r="I788" s="55" t="s">
        <v>290</v>
      </c>
      <c r="J788" s="55" t="s">
        <v>79</v>
      </c>
      <c r="K788" s="55">
        <v>81</v>
      </c>
      <c r="L788" s="55" t="s">
        <v>104</v>
      </c>
      <c r="M788" s="55" t="s">
        <v>380</v>
      </c>
      <c r="N788" s="55">
        <v>-4.3700000000000003E-2</v>
      </c>
      <c r="O788" s="55">
        <v>1.49E-2</v>
      </c>
      <c r="P788" s="88">
        <f t="shared" si="318"/>
        <v>-2.9328859060402688</v>
      </c>
      <c r="Q788" s="55" t="s">
        <v>312</v>
      </c>
      <c r="R788" s="88">
        <f t="shared" si="319"/>
        <v>-7.2903999999999997E-2</v>
      </c>
      <c r="S788" s="88">
        <f t="shared" si="320"/>
        <v>-1.4496000000000002E-2</v>
      </c>
      <c r="T788" s="55">
        <v>1</v>
      </c>
      <c r="U788" s="55" t="s">
        <v>312</v>
      </c>
      <c r="V788" s="55" t="s">
        <v>312</v>
      </c>
      <c r="W788" s="55" t="s">
        <v>312</v>
      </c>
      <c r="X788" s="55" t="str">
        <f t="shared" si="327"/>
        <v>NA</v>
      </c>
      <c r="Y788" s="88" t="s">
        <v>312</v>
      </c>
      <c r="Z788" s="88" t="s">
        <v>312</v>
      </c>
      <c r="AA788" s="88" t="s">
        <v>312</v>
      </c>
      <c r="AB788" s="55" t="s">
        <v>81</v>
      </c>
      <c r="AC788" s="88">
        <f t="shared" si="321"/>
        <v>-0.44338020000000006</v>
      </c>
      <c r="AD788" s="88" cm="1">
        <f t="array" ref="AD788">_xlfn.IFS(
AND(L788="marginal_effect",M788="level"),N788*AN788/BF788,
AND(L788="marginal_effect",M788="sd (Y)"),N788*BI788*AN788/BF788,
AND(L788="marginal_effect",M788="sd (X)"),N788/AQ788*AN788/BF788,
AND(L788="semi_elasticity",M788="level"),N788*AN788,
AND(L788="semi_elasticity",M788="sd (Y)"),N788*AN788*BI788,
AND(L788="semi_elasticity",M788="sd (X)"),N788*AN788/AQ788,
AND(L788="level-log",M788="level"),N788/BF788,
AND(L788="level-log",M788="sd (X)"),N788/BF788/AQ788,
AND(L788="level-log",M788="sd (Y)"),N788/BF788*BI788,
AND(L788="elasticity",M788="level"),N788,
AND(L788="elasticity",M788="sd (X)"),N788/AQ788,
AND(L788="elasticity",M788="sd (Y)"),N788*BI788,
AND(L788="marginal_effect",M788="percent_of_mean"),N788*AN788/BF788/10)</f>
        <v>-0.44338020000000006</v>
      </c>
      <c r="AE788" s="56">
        <f t="shared" si="323"/>
        <v>1</v>
      </c>
      <c r="AF788" s="88">
        <f t="shared" si="322"/>
        <v>0.15117540000000002</v>
      </c>
      <c r="AG788" s="88" cm="1">
        <f t="array" ref="AG788">_xlfn.IFS(
AND(L788="marginal_effect",M788="level"),O787*AN788/BF788,
AND(L788="marginal_effect",M788="sd (Y)"),O787*BI788*AN788/BF788,
AND(L788="marginal_effect",M788="sd (X)"),O787/AQ788*AN788/BF788,
AND(L788="semi_elasticity",M788="level"),O787*AN788,
AND(L788="semi_elasticity",M788="sd (Y)"),O787*AN788*BI788,
AND(L788="semi_elasticity",M788="sd (X)"),O787*AN788/AQ788,
AND(L788="level-log",M788="level"),O787/BF788,
AND(L788="level-log",M788="sd (X)"),O787/BF788/AQ788,
AND(L788="level-log",M788="sd (Y)"),O787/BF788*BI788,
AND(L788="elasticity",M788="level"),O787,
AND(L788="elasticity",M788="sd (X)"),O787/AQ788,
AND(L788="elasticity",M788="sd (Y)"),O787*BI788,
AND(L788="marginal_effect",M788="percent_of_mean"),O787*AN788/BF788/10)</f>
        <v>0.14508780000000002</v>
      </c>
      <c r="AH788" s="56">
        <f t="shared" si="324"/>
        <v>0</v>
      </c>
      <c r="AI788" s="88">
        <f t="shared" si="325"/>
        <v>-0.44338020000000006</v>
      </c>
      <c r="AJ788" s="55">
        <v>0</v>
      </c>
      <c r="AK788" s="55">
        <f t="shared" si="328"/>
        <v>1</v>
      </c>
      <c r="AL788" s="55" t="s">
        <v>148</v>
      </c>
      <c r="AM788" s="55" t="s">
        <v>1466</v>
      </c>
      <c r="AN788" s="55">
        <v>10.146000000000001</v>
      </c>
      <c r="AO788" s="55">
        <v>0</v>
      </c>
      <c r="AP788" s="55">
        <f t="shared" si="326"/>
        <v>101.46000000000001</v>
      </c>
      <c r="AQ788" s="55">
        <v>48.17</v>
      </c>
      <c r="AR788" s="55">
        <v>18</v>
      </c>
      <c r="AS788" s="55">
        <v>300</v>
      </c>
      <c r="AT788" s="55" t="s">
        <v>83</v>
      </c>
      <c r="AU788" s="55" t="s">
        <v>109</v>
      </c>
      <c r="AV788" s="55" t="s">
        <v>133</v>
      </c>
      <c r="AW788" s="55" t="s">
        <v>109</v>
      </c>
      <c r="AX788" s="55" t="s">
        <v>86</v>
      </c>
      <c r="AY788" s="55">
        <v>0</v>
      </c>
      <c r="AZ788" s="55">
        <v>25</v>
      </c>
      <c r="BA788" s="55" t="s">
        <v>87</v>
      </c>
      <c r="BB788" s="55" t="s">
        <v>88</v>
      </c>
      <c r="BC788" s="55" t="s">
        <v>89</v>
      </c>
      <c r="BD788" s="55" t="s">
        <v>90</v>
      </c>
      <c r="BE788" s="55" t="s">
        <v>1458</v>
      </c>
      <c r="BF788" s="55">
        <v>101.57</v>
      </c>
      <c r="BG788" s="55">
        <v>0</v>
      </c>
      <c r="BH788" s="55">
        <v>65.849999999999994</v>
      </c>
      <c r="BI788" s="55">
        <v>5</v>
      </c>
      <c r="BJ788" s="55">
        <v>430</v>
      </c>
      <c r="BK788" s="55" t="s">
        <v>91</v>
      </c>
      <c r="BL788" s="55" t="s">
        <v>84</v>
      </c>
      <c r="BM788" s="55">
        <v>1</v>
      </c>
      <c r="BN788" s="55" t="s">
        <v>428</v>
      </c>
      <c r="BO788" s="60" t="s">
        <v>1463</v>
      </c>
      <c r="BP788" s="55" t="s">
        <v>1464</v>
      </c>
      <c r="BQ788" s="55" t="s">
        <v>117</v>
      </c>
      <c r="BR788" s="55" t="s">
        <v>134</v>
      </c>
      <c r="BS788" s="55">
        <v>29.22</v>
      </c>
      <c r="BT788" s="55">
        <v>0.01</v>
      </c>
      <c r="BU788" s="57">
        <v>42552</v>
      </c>
      <c r="BV788" s="57">
        <v>42643</v>
      </c>
      <c r="BW788" s="55" t="s">
        <v>94</v>
      </c>
      <c r="BX788" s="55" t="s">
        <v>95</v>
      </c>
      <c r="BY788" s="55" t="s">
        <v>748</v>
      </c>
      <c r="BZ788" s="55">
        <v>1</v>
      </c>
      <c r="CA788" s="55">
        <v>1</v>
      </c>
      <c r="CB788" s="55" t="s">
        <v>303</v>
      </c>
      <c r="CC788" s="55" t="s">
        <v>314</v>
      </c>
      <c r="CD788" s="55">
        <v>1</v>
      </c>
      <c r="CE788" s="55" t="s">
        <v>1462</v>
      </c>
      <c r="CF788" s="55">
        <v>0</v>
      </c>
      <c r="CG788" s="55" t="s">
        <v>97</v>
      </c>
      <c r="CH788" s="55">
        <v>1</v>
      </c>
      <c r="CI788" s="55" t="s">
        <v>1465</v>
      </c>
      <c r="CJ788" s="55" t="s">
        <v>377</v>
      </c>
      <c r="CK788" s="55">
        <v>179</v>
      </c>
      <c r="CL788" s="55">
        <v>0</v>
      </c>
      <c r="CM788" s="55">
        <v>0</v>
      </c>
      <c r="CN788" s="55" t="s">
        <v>124</v>
      </c>
      <c r="CO788" s="55" t="s">
        <v>97</v>
      </c>
      <c r="CP788" s="55" t="s">
        <v>100</v>
      </c>
      <c r="CQ788" s="55" t="s">
        <v>126</v>
      </c>
      <c r="CR788" s="57">
        <v>46233</v>
      </c>
      <c r="CT788" s="55" t="s">
        <v>1895</v>
      </c>
    </row>
    <row r="789" spans="1:98" s="55" customFormat="1" x14ac:dyDescent="0.35">
      <c r="A789" s="54" t="s">
        <v>1459</v>
      </c>
      <c r="B789" s="54" t="s">
        <v>1866</v>
      </c>
      <c r="C789" s="55" t="s">
        <v>1460</v>
      </c>
      <c r="D789" s="55">
        <v>2022</v>
      </c>
      <c r="E789" s="60" t="s">
        <v>1461</v>
      </c>
      <c r="F789" s="54" t="s">
        <v>998</v>
      </c>
      <c r="G789" s="55" t="s">
        <v>78</v>
      </c>
      <c r="H789" s="55">
        <v>1</v>
      </c>
      <c r="I789" s="55" t="s">
        <v>290</v>
      </c>
      <c r="J789" s="55" t="s">
        <v>79</v>
      </c>
      <c r="K789" s="55">
        <v>81</v>
      </c>
      <c r="L789" s="55" t="s">
        <v>104</v>
      </c>
      <c r="M789" s="55" t="s">
        <v>380</v>
      </c>
      <c r="N789" s="55">
        <v>-5.0599999999999999E-2</v>
      </c>
      <c r="O789" s="55">
        <v>2.3599999999999999E-2</v>
      </c>
      <c r="P789" s="88">
        <f t="shared" si="318"/>
        <v>-2.1440677966101696</v>
      </c>
      <c r="Q789" s="55" t="s">
        <v>312</v>
      </c>
      <c r="R789" s="88">
        <f t="shared" si="319"/>
        <v>-9.6855999999999998E-2</v>
      </c>
      <c r="S789" s="88">
        <f t="shared" si="320"/>
        <v>-4.3440000000000006E-3</v>
      </c>
      <c r="T789" s="55">
        <v>1</v>
      </c>
      <c r="U789" s="55" t="s">
        <v>312</v>
      </c>
      <c r="V789" s="55" t="s">
        <v>312</v>
      </c>
      <c r="W789" s="55" t="s">
        <v>312</v>
      </c>
      <c r="X789" s="55" t="str">
        <f t="shared" si="327"/>
        <v>NA</v>
      </c>
      <c r="Y789" s="88" t="s">
        <v>312</v>
      </c>
      <c r="Z789" s="88" t="s">
        <v>312</v>
      </c>
      <c r="AA789" s="88" t="s">
        <v>312</v>
      </c>
      <c r="AB789" s="55" t="s">
        <v>81</v>
      </c>
      <c r="AC789" s="88">
        <f t="shared" si="321"/>
        <v>-0.51338760000000006</v>
      </c>
      <c r="AD789" s="88" cm="1">
        <f t="array" ref="AD789">_xlfn.IFS(
AND(L789="marginal_effect",M789="level"),N789*AN789/BF789,
AND(L789="marginal_effect",M789="sd (Y)"),N789*BI789*AN789/BF789,
AND(L789="marginal_effect",M789="sd (X)"),N789/AQ789*AN789/BF789,
AND(L789="semi_elasticity",M789="level"),N789*AN789,
AND(L789="semi_elasticity",M789="sd (Y)"),N789*AN789*BI789,
AND(L789="semi_elasticity",M789="sd (X)"),N789*AN789/AQ789,
AND(L789="level-log",M789="level"),N789/BF789,
AND(L789="level-log",M789="sd (X)"),N789/BF789/AQ789,
AND(L789="level-log",M789="sd (Y)"),N789/BF789*BI789,
AND(L789="elasticity",M789="level"),N789,
AND(L789="elasticity",M789="sd (X)"),N789/AQ789,
AND(L789="elasticity",M789="sd (Y)"),N789*BI789,
AND(L789="marginal_effect",M789="percent_of_mean"),N789*AN789/BF789/10)</f>
        <v>-0.51338760000000006</v>
      </c>
      <c r="AE789" s="56">
        <f t="shared" si="323"/>
        <v>1</v>
      </c>
      <c r="AF789" s="88">
        <f t="shared" si="322"/>
        <v>0.23944560000000001</v>
      </c>
      <c r="AG789" s="88" cm="1">
        <f t="array" ref="AG789">_xlfn.IFS(
AND(L789="marginal_effect",M789="level"),O788*AN789/BF789,
AND(L789="marginal_effect",M789="sd (Y)"),O788*BI789*AN789/BF789,
AND(L789="marginal_effect",M789="sd (X)"),O788/AQ789*AN789/BF789,
AND(L789="semi_elasticity",M789="level"),O788*AN789,
AND(L789="semi_elasticity",M789="sd (Y)"),O788*AN789*BI789,
AND(L789="semi_elasticity",M789="sd (X)"),O788*AN789/AQ789,
AND(L789="level-log",M789="level"),O788/BF789,
AND(L789="level-log",M789="sd (X)"),O788/BF789/AQ789,
AND(L789="level-log",M789="sd (Y)"),O788/BF789*BI789,
AND(L789="elasticity",M789="level"),O788,
AND(L789="elasticity",M789="sd (X)"),O788/AQ789,
AND(L789="elasticity",M789="sd (Y)"),O788*BI789,
AND(L789="marginal_effect",M789="percent_of_mean"),O788*AN789/BF789/10)</f>
        <v>0.15117540000000002</v>
      </c>
      <c r="AH789" s="56">
        <f t="shared" si="324"/>
        <v>0</v>
      </c>
      <c r="AI789" s="88">
        <f t="shared" si="325"/>
        <v>-0.51338760000000006</v>
      </c>
      <c r="AJ789" s="55">
        <v>0</v>
      </c>
      <c r="AK789" s="55">
        <f t="shared" si="328"/>
        <v>1</v>
      </c>
      <c r="AL789" s="55" t="s">
        <v>148</v>
      </c>
      <c r="AM789" s="55" t="s">
        <v>1466</v>
      </c>
      <c r="AN789" s="55">
        <v>10.146000000000001</v>
      </c>
      <c r="AO789" s="55">
        <v>0</v>
      </c>
      <c r="AP789" s="55">
        <f t="shared" si="326"/>
        <v>101.46000000000001</v>
      </c>
      <c r="AQ789" s="55">
        <v>48.17</v>
      </c>
      <c r="AR789" s="55">
        <v>18</v>
      </c>
      <c r="AS789" s="55">
        <v>300</v>
      </c>
      <c r="AT789" s="55" t="s">
        <v>83</v>
      </c>
      <c r="AU789" s="55" t="s">
        <v>109</v>
      </c>
      <c r="AV789" s="55" t="s">
        <v>133</v>
      </c>
      <c r="AW789" s="55" t="s">
        <v>109</v>
      </c>
      <c r="AX789" s="55" t="s">
        <v>86</v>
      </c>
      <c r="AY789" s="55">
        <v>0</v>
      </c>
      <c r="AZ789" s="55">
        <v>30</v>
      </c>
      <c r="BA789" s="55" t="s">
        <v>87</v>
      </c>
      <c r="BB789" s="55" t="s">
        <v>88</v>
      </c>
      <c r="BC789" s="55" t="s">
        <v>89</v>
      </c>
      <c r="BD789" s="55" t="s">
        <v>90</v>
      </c>
      <c r="BE789" s="55" t="s">
        <v>1458</v>
      </c>
      <c r="BF789" s="55">
        <v>101.57</v>
      </c>
      <c r="BG789" s="55">
        <v>0</v>
      </c>
      <c r="BH789" s="55">
        <v>65.849999999999994</v>
      </c>
      <c r="BI789" s="55">
        <v>5</v>
      </c>
      <c r="BJ789" s="55">
        <v>430</v>
      </c>
      <c r="BK789" s="55" t="s">
        <v>91</v>
      </c>
      <c r="BL789" s="55" t="s">
        <v>84</v>
      </c>
      <c r="BM789" s="55">
        <v>1</v>
      </c>
      <c r="BN789" s="55" t="s">
        <v>428</v>
      </c>
      <c r="BO789" s="60" t="s">
        <v>1463</v>
      </c>
      <c r="BP789" s="55" t="s">
        <v>1464</v>
      </c>
      <c r="BQ789" s="55" t="s">
        <v>117</v>
      </c>
      <c r="BR789" s="55" t="s">
        <v>134</v>
      </c>
      <c r="BS789" s="55">
        <v>29.22</v>
      </c>
      <c r="BT789" s="55">
        <v>0.01</v>
      </c>
      <c r="BU789" s="57">
        <v>42552</v>
      </c>
      <c r="BV789" s="57">
        <v>42643</v>
      </c>
      <c r="BW789" s="55" t="s">
        <v>94</v>
      </c>
      <c r="BX789" s="55" t="s">
        <v>95</v>
      </c>
      <c r="BY789" s="55" t="s">
        <v>748</v>
      </c>
      <c r="BZ789" s="55">
        <v>1</v>
      </c>
      <c r="CA789" s="55">
        <v>1</v>
      </c>
      <c r="CB789" s="55" t="s">
        <v>303</v>
      </c>
      <c r="CC789" s="55" t="s">
        <v>314</v>
      </c>
      <c r="CD789" s="55">
        <v>1</v>
      </c>
      <c r="CE789" s="55" t="s">
        <v>1462</v>
      </c>
      <c r="CF789" s="55">
        <v>0</v>
      </c>
      <c r="CG789" s="55" t="s">
        <v>97</v>
      </c>
      <c r="CH789" s="55">
        <v>1</v>
      </c>
      <c r="CI789" s="55" t="s">
        <v>1465</v>
      </c>
      <c r="CJ789" s="55" t="s">
        <v>377</v>
      </c>
      <c r="CK789" s="55">
        <v>179</v>
      </c>
      <c r="CL789" s="55">
        <v>0</v>
      </c>
      <c r="CM789" s="55">
        <v>0</v>
      </c>
      <c r="CN789" s="55" t="s">
        <v>124</v>
      </c>
      <c r="CO789" s="55" t="s">
        <v>97</v>
      </c>
      <c r="CP789" s="55" t="s">
        <v>100</v>
      </c>
      <c r="CQ789" s="55" t="s">
        <v>126</v>
      </c>
      <c r="CR789" s="57">
        <v>46233</v>
      </c>
      <c r="CT789" s="55" t="s">
        <v>1895</v>
      </c>
    </row>
    <row r="790" spans="1:98" s="55" customFormat="1" x14ac:dyDescent="0.35">
      <c r="A790" s="54" t="s">
        <v>1459</v>
      </c>
      <c r="B790" s="54" t="s">
        <v>1867</v>
      </c>
      <c r="C790" s="55" t="s">
        <v>1460</v>
      </c>
      <c r="D790" s="55">
        <v>2022</v>
      </c>
      <c r="E790" s="60" t="s">
        <v>1461</v>
      </c>
      <c r="F790" s="54" t="s">
        <v>998</v>
      </c>
      <c r="G790" s="55" t="s">
        <v>78</v>
      </c>
      <c r="H790" s="55">
        <v>1</v>
      </c>
      <c r="I790" s="55" t="s">
        <v>290</v>
      </c>
      <c r="J790" s="55" t="s">
        <v>79</v>
      </c>
      <c r="K790" s="55">
        <v>81</v>
      </c>
      <c r="L790" s="55" t="s">
        <v>104</v>
      </c>
      <c r="M790" s="55" t="s">
        <v>380</v>
      </c>
      <c r="N790" s="55">
        <v>-7.4200000000000002E-2</v>
      </c>
      <c r="O790" s="55">
        <v>2.5999999999999999E-2</v>
      </c>
      <c r="P790" s="88">
        <f t="shared" si="318"/>
        <v>-2.8538461538461539</v>
      </c>
      <c r="Q790" s="55" t="s">
        <v>312</v>
      </c>
      <c r="R790" s="88">
        <f t="shared" si="319"/>
        <v>-0.12515999999999999</v>
      </c>
      <c r="S790" s="88">
        <f t="shared" si="320"/>
        <v>-2.3240000000000004E-2</v>
      </c>
      <c r="T790" s="55">
        <v>1</v>
      </c>
      <c r="U790" s="55" t="s">
        <v>312</v>
      </c>
      <c r="V790" s="55" t="s">
        <v>312</v>
      </c>
      <c r="W790" s="55" t="s">
        <v>312</v>
      </c>
      <c r="X790" s="55" t="str">
        <f t="shared" si="327"/>
        <v>NA</v>
      </c>
      <c r="Y790" s="88" t="s">
        <v>312</v>
      </c>
      <c r="Z790" s="88" t="s">
        <v>312</v>
      </c>
      <c r="AA790" s="88" t="s">
        <v>312</v>
      </c>
      <c r="AB790" s="55" t="s">
        <v>81</v>
      </c>
      <c r="AC790" s="88">
        <f t="shared" si="321"/>
        <v>-0.75283320000000009</v>
      </c>
      <c r="AD790" s="88" cm="1">
        <f t="array" ref="AD790">_xlfn.IFS(
AND(L790="marginal_effect",M790="level"),N790*AN790/BF790,
AND(L790="marginal_effect",M790="sd (Y)"),N790*BI790*AN790/BF790,
AND(L790="marginal_effect",M790="sd (X)"),N790/AQ790*AN790/BF790,
AND(L790="semi_elasticity",M790="level"),N790*AN790,
AND(L790="semi_elasticity",M790="sd (Y)"),N790*AN790*BI790,
AND(L790="semi_elasticity",M790="sd (X)"),N790*AN790/AQ790,
AND(L790="level-log",M790="level"),N790/BF790,
AND(L790="level-log",M790="sd (X)"),N790/BF790/AQ790,
AND(L790="level-log",M790="sd (Y)"),N790/BF790*BI790,
AND(L790="elasticity",M790="level"),N790,
AND(L790="elasticity",M790="sd (X)"),N790/AQ790,
AND(L790="elasticity",M790="sd (Y)"),N790*BI790,
AND(L790="marginal_effect",M790="percent_of_mean"),N790*AN790/BF790/10)</f>
        <v>-0.75283320000000009</v>
      </c>
      <c r="AE790" s="56">
        <f t="shared" si="323"/>
        <v>1</v>
      </c>
      <c r="AF790" s="88">
        <f t="shared" si="322"/>
        <v>0.26379600000000003</v>
      </c>
      <c r="AG790" s="88" cm="1">
        <f t="array" ref="AG790">_xlfn.IFS(
AND(L790="marginal_effect",M790="level"),O789*AN790/BF790,
AND(L790="marginal_effect",M790="sd (Y)"),O789*BI790*AN790/BF790,
AND(L790="marginal_effect",M790="sd (X)"),O789/AQ790*AN790/BF790,
AND(L790="semi_elasticity",M790="level"),O789*AN790,
AND(L790="semi_elasticity",M790="sd (Y)"),O789*AN790*BI790,
AND(L790="semi_elasticity",M790="sd (X)"),O789*AN790/AQ790,
AND(L790="level-log",M790="level"),O789/BF790,
AND(L790="level-log",M790="sd (X)"),O789/BF790/AQ790,
AND(L790="level-log",M790="sd (Y)"),O789/BF790*BI790,
AND(L790="elasticity",M790="level"),O789,
AND(L790="elasticity",M790="sd (X)"),O789/AQ790,
AND(L790="elasticity",M790="sd (Y)"),O789*BI790,
AND(L790="marginal_effect",M790="percent_of_mean"),O789*AN790/BF790/10)</f>
        <v>0.23944560000000001</v>
      </c>
      <c r="AH790" s="56">
        <f t="shared" si="324"/>
        <v>0</v>
      </c>
      <c r="AI790" s="88">
        <f t="shared" si="325"/>
        <v>-0.75283320000000009</v>
      </c>
      <c r="AJ790" s="55">
        <v>0</v>
      </c>
      <c r="AK790" s="55">
        <f t="shared" si="328"/>
        <v>1</v>
      </c>
      <c r="AL790" s="55" t="s">
        <v>148</v>
      </c>
      <c r="AM790" s="55" t="s">
        <v>1466</v>
      </c>
      <c r="AN790" s="55">
        <v>10.146000000000001</v>
      </c>
      <c r="AO790" s="55">
        <v>0</v>
      </c>
      <c r="AP790" s="55">
        <f t="shared" si="326"/>
        <v>101.46000000000001</v>
      </c>
      <c r="AQ790" s="55">
        <v>48.17</v>
      </c>
      <c r="AR790" s="55">
        <v>18</v>
      </c>
      <c r="AS790" s="55">
        <v>300</v>
      </c>
      <c r="AT790" s="55" t="s">
        <v>83</v>
      </c>
      <c r="AU790" s="55" t="s">
        <v>109</v>
      </c>
      <c r="AV790" s="55" t="s">
        <v>133</v>
      </c>
      <c r="AW790" s="55" t="s">
        <v>109</v>
      </c>
      <c r="AX790" s="55" t="s">
        <v>86</v>
      </c>
      <c r="AY790" s="55">
        <v>0</v>
      </c>
      <c r="AZ790" s="55">
        <v>35</v>
      </c>
      <c r="BA790" s="55" t="s">
        <v>87</v>
      </c>
      <c r="BB790" s="55" t="s">
        <v>88</v>
      </c>
      <c r="BC790" s="55" t="s">
        <v>89</v>
      </c>
      <c r="BD790" s="55" t="s">
        <v>90</v>
      </c>
      <c r="BE790" s="55" t="s">
        <v>1458</v>
      </c>
      <c r="BF790" s="55">
        <v>101.57</v>
      </c>
      <c r="BG790" s="55">
        <v>0</v>
      </c>
      <c r="BH790" s="55">
        <v>65.849999999999994</v>
      </c>
      <c r="BI790" s="55">
        <v>5</v>
      </c>
      <c r="BJ790" s="55">
        <v>430</v>
      </c>
      <c r="BK790" s="55" t="s">
        <v>91</v>
      </c>
      <c r="BL790" s="55" t="s">
        <v>84</v>
      </c>
      <c r="BM790" s="55">
        <v>1</v>
      </c>
      <c r="BN790" s="55" t="s">
        <v>428</v>
      </c>
      <c r="BO790" s="60" t="s">
        <v>1463</v>
      </c>
      <c r="BP790" s="55" t="s">
        <v>1464</v>
      </c>
      <c r="BQ790" s="55" t="s">
        <v>117</v>
      </c>
      <c r="BR790" s="55" t="s">
        <v>134</v>
      </c>
      <c r="BS790" s="55">
        <v>29.22</v>
      </c>
      <c r="BT790" s="55">
        <v>0.01</v>
      </c>
      <c r="BU790" s="57">
        <v>42552</v>
      </c>
      <c r="BV790" s="57">
        <v>42643</v>
      </c>
      <c r="BW790" s="55" t="s">
        <v>94</v>
      </c>
      <c r="BX790" s="55" t="s">
        <v>95</v>
      </c>
      <c r="BY790" s="55" t="s">
        <v>748</v>
      </c>
      <c r="BZ790" s="55">
        <v>1</v>
      </c>
      <c r="CA790" s="55">
        <v>1</v>
      </c>
      <c r="CB790" s="55" t="s">
        <v>303</v>
      </c>
      <c r="CC790" s="55" t="s">
        <v>314</v>
      </c>
      <c r="CD790" s="55">
        <v>1</v>
      </c>
      <c r="CE790" s="55" t="s">
        <v>1462</v>
      </c>
      <c r="CF790" s="55">
        <v>0</v>
      </c>
      <c r="CG790" s="55" t="s">
        <v>97</v>
      </c>
      <c r="CH790" s="55">
        <v>1</v>
      </c>
      <c r="CI790" s="55" t="s">
        <v>1465</v>
      </c>
      <c r="CJ790" s="55" t="s">
        <v>377</v>
      </c>
      <c r="CK790" s="55">
        <v>179</v>
      </c>
      <c r="CL790" s="55">
        <v>0</v>
      </c>
      <c r="CM790" s="55">
        <v>0</v>
      </c>
      <c r="CN790" s="55" t="s">
        <v>124</v>
      </c>
      <c r="CO790" s="55" t="s">
        <v>97</v>
      </c>
      <c r="CP790" s="55" t="s">
        <v>100</v>
      </c>
      <c r="CQ790" s="55" t="s">
        <v>126</v>
      </c>
      <c r="CR790" s="57">
        <v>46233</v>
      </c>
      <c r="CT790" s="55" t="s">
        <v>1895</v>
      </c>
    </row>
    <row r="791" spans="1:98" s="55" customFormat="1" x14ac:dyDescent="0.35">
      <c r="A791" s="54" t="s">
        <v>1459</v>
      </c>
      <c r="B791" s="54" t="s">
        <v>1868</v>
      </c>
      <c r="C791" s="55" t="s">
        <v>1460</v>
      </c>
      <c r="D791" s="55">
        <v>2022</v>
      </c>
      <c r="E791" s="60" t="s">
        <v>1461</v>
      </c>
      <c r="F791" s="54" t="s">
        <v>998</v>
      </c>
      <c r="G791" s="55" t="s">
        <v>78</v>
      </c>
      <c r="H791" s="55">
        <v>1</v>
      </c>
      <c r="I791" s="55" t="s">
        <v>290</v>
      </c>
      <c r="J791" s="55" t="s">
        <v>79</v>
      </c>
      <c r="K791" s="55">
        <v>81</v>
      </c>
      <c r="L791" s="55" t="s">
        <v>104</v>
      </c>
      <c r="M791" s="55" t="s">
        <v>380</v>
      </c>
      <c r="N791" s="55">
        <v>-3.7499999999999999E-2</v>
      </c>
      <c r="O791" s="55">
        <v>1.9300000000000001E-2</v>
      </c>
      <c r="P791" s="88">
        <f t="shared" si="318"/>
        <v>-1.9430051813471501</v>
      </c>
      <c r="Q791" s="55" t="s">
        <v>312</v>
      </c>
      <c r="R791" s="88">
        <f t="shared" si="319"/>
        <v>-7.5328000000000006E-2</v>
      </c>
      <c r="S791" s="88">
        <f t="shared" si="320"/>
        <v>3.280000000000019E-4</v>
      </c>
      <c r="T791" s="55">
        <v>1</v>
      </c>
      <c r="U791" s="55" t="s">
        <v>312</v>
      </c>
      <c r="V791" s="55" t="s">
        <v>312</v>
      </c>
      <c r="W791" s="55" t="s">
        <v>312</v>
      </c>
      <c r="X791" s="55" t="str">
        <f t="shared" si="327"/>
        <v>NA</v>
      </c>
      <c r="Y791" s="88" t="s">
        <v>312</v>
      </c>
      <c r="Z791" s="88" t="s">
        <v>312</v>
      </c>
      <c r="AA791" s="88" t="s">
        <v>312</v>
      </c>
      <c r="AB791" s="55" t="s">
        <v>81</v>
      </c>
      <c r="AC791" s="88">
        <f t="shared" si="321"/>
        <v>-0.38047500000000001</v>
      </c>
      <c r="AD791" s="88" cm="1">
        <f t="array" ref="AD791">_xlfn.IFS(
AND(L791="marginal_effect",M791="level"),N791*AN791/BF791,
AND(L791="marginal_effect",M791="sd (Y)"),N791*BI791*AN791/BF791,
AND(L791="marginal_effect",M791="sd (X)"),N791/AQ791*AN791/BF791,
AND(L791="semi_elasticity",M791="level"),N791*AN791,
AND(L791="semi_elasticity",M791="sd (Y)"),N791*AN791*BI791,
AND(L791="semi_elasticity",M791="sd (X)"),N791*AN791/AQ791,
AND(L791="level-log",M791="level"),N791/BF791,
AND(L791="level-log",M791="sd (X)"),N791/BF791/AQ791,
AND(L791="level-log",M791="sd (Y)"),N791/BF791*BI791,
AND(L791="elasticity",M791="level"),N791,
AND(L791="elasticity",M791="sd (X)"),N791/AQ791,
AND(L791="elasticity",M791="sd (Y)"),N791*BI791,
AND(L791="marginal_effect",M791="percent_of_mean"),N791*AN791/BF791/10)</f>
        <v>-0.38047500000000001</v>
      </c>
      <c r="AE791" s="56">
        <f t="shared" si="323"/>
        <v>1</v>
      </c>
      <c r="AF791" s="88">
        <f t="shared" si="322"/>
        <v>0.19581780000000001</v>
      </c>
      <c r="AG791" s="88" cm="1">
        <f t="array" ref="AG791">_xlfn.IFS(
AND(L791="marginal_effect",M791="level"),O790*AN791/BF791,
AND(L791="marginal_effect",M791="sd (Y)"),O790*BI791*AN791/BF791,
AND(L791="marginal_effect",M791="sd (X)"),O790/AQ791*AN791/BF791,
AND(L791="semi_elasticity",M791="level"),O790*AN791,
AND(L791="semi_elasticity",M791="sd (Y)"),O790*AN791*BI791,
AND(L791="semi_elasticity",M791="sd (X)"),O790*AN791/AQ791,
AND(L791="level-log",M791="level"),O790/BF791,
AND(L791="level-log",M791="sd (X)"),O790/BF791/AQ791,
AND(L791="level-log",M791="sd (Y)"),O790/BF791*BI791,
AND(L791="elasticity",M791="level"),O790,
AND(L791="elasticity",M791="sd (X)"),O790/AQ791,
AND(L791="elasticity",M791="sd (Y)"),O790*BI791,
AND(L791="marginal_effect",M791="percent_of_mean"),O790*AN791/BF791/10)</f>
        <v>0.26379600000000003</v>
      </c>
      <c r="AH791" s="56">
        <f t="shared" si="324"/>
        <v>0</v>
      </c>
      <c r="AI791" s="88">
        <f t="shared" si="325"/>
        <v>-0.38047500000000001</v>
      </c>
      <c r="AJ791" s="55">
        <v>0</v>
      </c>
      <c r="AK791" s="55">
        <f t="shared" si="328"/>
        <v>1</v>
      </c>
      <c r="AL791" s="55" t="s">
        <v>148</v>
      </c>
      <c r="AM791" s="55" t="s">
        <v>1466</v>
      </c>
      <c r="AN791" s="55">
        <v>10.146000000000001</v>
      </c>
      <c r="AO791" s="55">
        <v>0</v>
      </c>
      <c r="AP791" s="55">
        <f t="shared" si="326"/>
        <v>101.46000000000001</v>
      </c>
      <c r="AQ791" s="55">
        <v>48.17</v>
      </c>
      <c r="AR791" s="55">
        <v>18</v>
      </c>
      <c r="AS791" s="55">
        <v>300</v>
      </c>
      <c r="AT791" s="55" t="s">
        <v>83</v>
      </c>
      <c r="AU791" s="55" t="s">
        <v>109</v>
      </c>
      <c r="AV791" s="55" t="s">
        <v>133</v>
      </c>
      <c r="AW791" s="55" t="s">
        <v>109</v>
      </c>
      <c r="AX791" s="55" t="s">
        <v>86</v>
      </c>
      <c r="AY791" s="55">
        <v>0</v>
      </c>
      <c r="AZ791" s="55">
        <v>40</v>
      </c>
      <c r="BA791" s="55" t="s">
        <v>87</v>
      </c>
      <c r="BB791" s="55" t="s">
        <v>88</v>
      </c>
      <c r="BC791" s="55" t="s">
        <v>89</v>
      </c>
      <c r="BD791" s="55" t="s">
        <v>90</v>
      </c>
      <c r="BE791" s="55" t="s">
        <v>1458</v>
      </c>
      <c r="BF791" s="55">
        <v>101.57</v>
      </c>
      <c r="BG791" s="55">
        <v>0</v>
      </c>
      <c r="BH791" s="55">
        <v>65.849999999999994</v>
      </c>
      <c r="BI791" s="55">
        <v>5</v>
      </c>
      <c r="BJ791" s="55">
        <v>430</v>
      </c>
      <c r="BK791" s="55" t="s">
        <v>91</v>
      </c>
      <c r="BL791" s="55" t="s">
        <v>84</v>
      </c>
      <c r="BM791" s="55">
        <v>1</v>
      </c>
      <c r="BN791" s="55" t="s">
        <v>428</v>
      </c>
      <c r="BO791" s="60" t="s">
        <v>1463</v>
      </c>
      <c r="BP791" s="55" t="s">
        <v>1464</v>
      </c>
      <c r="BQ791" s="55" t="s">
        <v>117</v>
      </c>
      <c r="BR791" s="55" t="s">
        <v>134</v>
      </c>
      <c r="BS791" s="55">
        <v>29.22</v>
      </c>
      <c r="BT791" s="55">
        <v>0.01</v>
      </c>
      <c r="BU791" s="57">
        <v>42552</v>
      </c>
      <c r="BV791" s="57">
        <v>42643</v>
      </c>
      <c r="BW791" s="55" t="s">
        <v>94</v>
      </c>
      <c r="BX791" s="55" t="s">
        <v>95</v>
      </c>
      <c r="BY791" s="55" t="s">
        <v>748</v>
      </c>
      <c r="BZ791" s="55">
        <v>1</v>
      </c>
      <c r="CA791" s="55">
        <v>1</v>
      </c>
      <c r="CB791" s="55" t="s">
        <v>303</v>
      </c>
      <c r="CC791" s="55" t="s">
        <v>314</v>
      </c>
      <c r="CD791" s="55">
        <v>1</v>
      </c>
      <c r="CE791" s="55" t="s">
        <v>1462</v>
      </c>
      <c r="CF791" s="55">
        <v>0</v>
      </c>
      <c r="CG791" s="55" t="s">
        <v>97</v>
      </c>
      <c r="CH791" s="55">
        <v>1</v>
      </c>
      <c r="CI791" s="55" t="s">
        <v>1465</v>
      </c>
      <c r="CJ791" s="55" t="s">
        <v>377</v>
      </c>
      <c r="CK791" s="55">
        <v>179</v>
      </c>
      <c r="CL791" s="55">
        <v>0</v>
      </c>
      <c r="CM791" s="55">
        <v>0</v>
      </c>
      <c r="CN791" s="55" t="s">
        <v>124</v>
      </c>
      <c r="CO791" s="55" t="s">
        <v>97</v>
      </c>
      <c r="CP791" s="55" t="s">
        <v>100</v>
      </c>
      <c r="CQ791" s="55" t="s">
        <v>126</v>
      </c>
      <c r="CR791" s="57">
        <v>46233</v>
      </c>
      <c r="CT791" s="55" t="s">
        <v>1895</v>
      </c>
    </row>
    <row r="792" spans="1:98" s="55" customFormat="1" x14ac:dyDescent="0.35">
      <c r="A792" s="54" t="s">
        <v>1459</v>
      </c>
      <c r="B792" s="54" t="s">
        <v>1869</v>
      </c>
      <c r="C792" s="55" t="s">
        <v>1460</v>
      </c>
      <c r="D792" s="55">
        <v>2022</v>
      </c>
      <c r="E792" s="60" t="s">
        <v>1461</v>
      </c>
      <c r="F792" s="54" t="s">
        <v>998</v>
      </c>
      <c r="G792" s="55" t="s">
        <v>78</v>
      </c>
      <c r="H792" s="55">
        <v>1</v>
      </c>
      <c r="I792" s="55" t="s">
        <v>290</v>
      </c>
      <c r="J792" s="55" t="s">
        <v>79</v>
      </c>
      <c r="K792" s="55">
        <v>81</v>
      </c>
      <c r="L792" s="55" t="s">
        <v>104</v>
      </c>
      <c r="M792" s="55" t="s">
        <v>380</v>
      </c>
      <c r="N792" s="55">
        <v>-8.8000000000000005E-3</v>
      </c>
      <c r="O792" s="55">
        <v>3.3E-3</v>
      </c>
      <c r="P792" s="88">
        <f t="shared" si="318"/>
        <v>-2.666666666666667</v>
      </c>
      <c r="Q792" s="55" t="s">
        <v>312</v>
      </c>
      <c r="R792" s="88">
        <f t="shared" si="319"/>
        <v>-1.5268E-2</v>
      </c>
      <c r="S792" s="88">
        <f t="shared" si="320"/>
        <v>-2.3320000000000007E-3</v>
      </c>
      <c r="T792" s="55">
        <v>1</v>
      </c>
      <c r="U792" s="55" t="s">
        <v>312</v>
      </c>
      <c r="V792" s="55" t="s">
        <v>312</v>
      </c>
      <c r="W792" s="55" t="s">
        <v>312</v>
      </c>
      <c r="X792" s="55" t="str">
        <f t="shared" si="327"/>
        <v>NA</v>
      </c>
      <c r="Y792" s="88" t="s">
        <v>312</v>
      </c>
      <c r="Z792" s="88" t="s">
        <v>312</v>
      </c>
      <c r="AA792" s="88" t="s">
        <v>312</v>
      </c>
      <c r="AB792" s="55" t="s">
        <v>81</v>
      </c>
      <c r="AC792" s="88">
        <f t="shared" si="321"/>
        <v>-8.9284800000000011E-2</v>
      </c>
      <c r="AD792" s="88" cm="1">
        <f t="array" ref="AD792">_xlfn.IFS(
AND(L792="marginal_effect",M792="level"),N792*AN792/BF792,
AND(L792="marginal_effect",M792="sd (Y)"),N792*BI792*AN792/BF792,
AND(L792="marginal_effect",M792="sd (X)"),N792/AQ792*AN792/BF792,
AND(L792="semi_elasticity",M792="level"),N792*AN792,
AND(L792="semi_elasticity",M792="sd (Y)"),N792*AN792*BI792,
AND(L792="semi_elasticity",M792="sd (X)"),N792*AN792/AQ792,
AND(L792="level-log",M792="level"),N792/BF792,
AND(L792="level-log",M792="sd (X)"),N792/BF792/AQ792,
AND(L792="level-log",M792="sd (Y)"),N792/BF792*BI792,
AND(L792="elasticity",M792="level"),N792,
AND(L792="elasticity",M792="sd (X)"),N792/AQ792,
AND(L792="elasticity",M792="sd (Y)"),N792*BI792,
AND(L792="marginal_effect",M792="percent_of_mean"),N792*AN792/BF792/10)</f>
        <v>-8.9284800000000011E-2</v>
      </c>
      <c r="AE792" s="56">
        <f t="shared" si="323"/>
        <v>1</v>
      </c>
      <c r="AF792" s="88">
        <f t="shared" si="322"/>
        <v>3.3481799999999999E-2</v>
      </c>
      <c r="AG792" s="88" cm="1">
        <f t="array" ref="AG792">_xlfn.IFS(
AND(L792="marginal_effect",M792="level"),O791*AN792/BF792,
AND(L792="marginal_effect",M792="sd (Y)"),O791*BI792*AN792/BF792,
AND(L792="marginal_effect",M792="sd (X)"),O791/AQ792*AN792/BF792,
AND(L792="semi_elasticity",M792="level"),O791*AN792,
AND(L792="semi_elasticity",M792="sd (Y)"),O791*AN792*BI792,
AND(L792="semi_elasticity",M792="sd (X)"),O791*AN792/AQ792,
AND(L792="level-log",M792="level"),O791/BF792,
AND(L792="level-log",M792="sd (X)"),O791/BF792/AQ792,
AND(L792="level-log",M792="sd (Y)"),O791/BF792*BI792,
AND(L792="elasticity",M792="level"),O791,
AND(L792="elasticity",M792="sd (X)"),O791/AQ792,
AND(L792="elasticity",M792="sd (Y)"),O791*BI792,
AND(L792="marginal_effect",M792="percent_of_mean"),O791*AN792/BF792/10)</f>
        <v>0.19581780000000001</v>
      </c>
      <c r="AH792" s="56">
        <f t="shared" si="324"/>
        <v>0</v>
      </c>
      <c r="AI792" s="88">
        <f t="shared" si="325"/>
        <v>-8.9284800000000011E-2</v>
      </c>
      <c r="AJ792" s="55">
        <v>0</v>
      </c>
      <c r="AK792" s="55">
        <f t="shared" si="328"/>
        <v>1</v>
      </c>
      <c r="AL792" s="55" t="s">
        <v>148</v>
      </c>
      <c r="AM792" s="55" t="s">
        <v>1466</v>
      </c>
      <c r="AN792" s="55">
        <v>10.146000000000001</v>
      </c>
      <c r="AO792" s="55">
        <v>0</v>
      </c>
      <c r="AP792" s="55">
        <f t="shared" si="326"/>
        <v>101.46000000000001</v>
      </c>
      <c r="AQ792" s="55">
        <v>48.17</v>
      </c>
      <c r="AR792" s="55">
        <v>18</v>
      </c>
      <c r="AS792" s="55">
        <v>300</v>
      </c>
      <c r="AT792" s="55" t="s">
        <v>83</v>
      </c>
      <c r="AU792" s="55" t="s">
        <v>109</v>
      </c>
      <c r="AV792" s="55" t="s">
        <v>133</v>
      </c>
      <c r="AW792" s="55" t="s">
        <v>109</v>
      </c>
      <c r="AX792" s="55" t="s">
        <v>86</v>
      </c>
      <c r="AY792" s="55">
        <v>0</v>
      </c>
      <c r="AZ792" s="55">
        <v>5</v>
      </c>
      <c r="BA792" s="55" t="s">
        <v>87</v>
      </c>
      <c r="BB792" s="55" t="s">
        <v>88</v>
      </c>
      <c r="BC792" s="55" t="s">
        <v>89</v>
      </c>
      <c r="BD792" s="55" t="s">
        <v>90</v>
      </c>
      <c r="BE792" s="55" t="s">
        <v>1458</v>
      </c>
      <c r="BF792" s="55">
        <v>101.57</v>
      </c>
      <c r="BG792" s="55">
        <v>0</v>
      </c>
      <c r="BH792" s="55">
        <v>65.849999999999994</v>
      </c>
      <c r="BI792" s="55">
        <v>5</v>
      </c>
      <c r="BJ792" s="55">
        <v>430</v>
      </c>
      <c r="BK792" s="55" t="s">
        <v>91</v>
      </c>
      <c r="BL792" s="55" t="s">
        <v>84</v>
      </c>
      <c r="BM792" s="55">
        <v>1</v>
      </c>
      <c r="BN792" s="55" t="s">
        <v>428</v>
      </c>
      <c r="BO792" s="60" t="s">
        <v>1463</v>
      </c>
      <c r="BP792" s="55" t="s">
        <v>1464</v>
      </c>
      <c r="BQ792" s="55" t="s">
        <v>117</v>
      </c>
      <c r="BR792" s="55" t="s">
        <v>134</v>
      </c>
      <c r="BS792" s="55">
        <v>29.22</v>
      </c>
      <c r="BT792" s="55">
        <v>0.01</v>
      </c>
      <c r="BU792" s="57">
        <v>42552</v>
      </c>
      <c r="BV792" s="57">
        <v>42643</v>
      </c>
      <c r="BW792" s="55" t="s">
        <v>94</v>
      </c>
      <c r="BX792" s="55" t="s">
        <v>95</v>
      </c>
      <c r="BY792" s="55" t="s">
        <v>748</v>
      </c>
      <c r="BZ792" s="55">
        <v>1</v>
      </c>
      <c r="CA792" s="55">
        <v>1</v>
      </c>
      <c r="CB792" s="55" t="s">
        <v>303</v>
      </c>
      <c r="CC792" s="55" t="s">
        <v>314</v>
      </c>
      <c r="CD792" s="55">
        <v>1</v>
      </c>
      <c r="CE792" s="55" t="s">
        <v>1462</v>
      </c>
      <c r="CF792" s="55">
        <v>0</v>
      </c>
      <c r="CG792" s="55" t="s">
        <v>97</v>
      </c>
      <c r="CH792" s="55">
        <v>1</v>
      </c>
      <c r="CI792" s="55" t="s">
        <v>1465</v>
      </c>
      <c r="CJ792" s="55" t="s">
        <v>377</v>
      </c>
      <c r="CK792" s="55">
        <v>179</v>
      </c>
      <c r="CL792" s="55">
        <v>0</v>
      </c>
      <c r="CM792" s="55">
        <v>0</v>
      </c>
      <c r="CN792" s="55" t="s">
        <v>124</v>
      </c>
      <c r="CO792" s="55" t="s">
        <v>97</v>
      </c>
      <c r="CP792" s="55" t="s">
        <v>100</v>
      </c>
      <c r="CQ792" s="55" t="s">
        <v>126</v>
      </c>
      <c r="CR792" s="57">
        <v>46233</v>
      </c>
      <c r="CT792" s="55" t="s">
        <v>1896</v>
      </c>
    </row>
    <row r="793" spans="1:98" s="55" customFormat="1" x14ac:dyDescent="0.35">
      <c r="A793" s="54" t="s">
        <v>1459</v>
      </c>
      <c r="B793" s="54" t="s">
        <v>1870</v>
      </c>
      <c r="C793" s="55" t="s">
        <v>1460</v>
      </c>
      <c r="D793" s="55">
        <v>2022</v>
      </c>
      <c r="E793" s="60" t="s">
        <v>1461</v>
      </c>
      <c r="F793" s="54" t="s">
        <v>998</v>
      </c>
      <c r="G793" s="55" t="s">
        <v>78</v>
      </c>
      <c r="H793" s="55">
        <v>1</v>
      </c>
      <c r="I793" s="55" t="s">
        <v>290</v>
      </c>
      <c r="J793" s="55" t="s">
        <v>79</v>
      </c>
      <c r="K793" s="55">
        <v>81</v>
      </c>
      <c r="L793" s="55" t="s">
        <v>104</v>
      </c>
      <c r="M793" s="55" t="s">
        <v>380</v>
      </c>
      <c r="N793" s="55">
        <v>-2.9999999999999997E-4</v>
      </c>
      <c r="O793" s="55">
        <v>3.3999999999999998E-3</v>
      </c>
      <c r="P793" s="88">
        <f t="shared" si="318"/>
        <v>-8.8235294117647051E-2</v>
      </c>
      <c r="Q793" s="55" t="s">
        <v>312</v>
      </c>
      <c r="R793" s="88">
        <f t="shared" si="319"/>
        <v>-6.9639999999999997E-3</v>
      </c>
      <c r="S793" s="88">
        <f t="shared" si="320"/>
        <v>6.3639999999999999E-3</v>
      </c>
      <c r="T793" s="55">
        <v>1</v>
      </c>
      <c r="U793" s="55" t="s">
        <v>312</v>
      </c>
      <c r="V793" s="55" t="s">
        <v>312</v>
      </c>
      <c r="W793" s="55" t="s">
        <v>312</v>
      </c>
      <c r="X793" s="55" t="str">
        <f t="shared" si="327"/>
        <v>NA</v>
      </c>
      <c r="Y793" s="88" t="s">
        <v>312</v>
      </c>
      <c r="Z793" s="88" t="s">
        <v>312</v>
      </c>
      <c r="AA793" s="88" t="s">
        <v>312</v>
      </c>
      <c r="AB793" s="55" t="s">
        <v>81</v>
      </c>
      <c r="AC793" s="88">
        <f t="shared" si="321"/>
        <v>-3.0438000000000002E-3</v>
      </c>
      <c r="AD793" s="88" cm="1">
        <f t="array" ref="AD793">_xlfn.IFS(
AND(L793="marginal_effect",M793="level"),N793*AN793/BF793,
AND(L793="marginal_effect",M793="sd (Y)"),N793*BI793*AN793/BF793,
AND(L793="marginal_effect",M793="sd (X)"),N793/AQ793*AN793/BF793,
AND(L793="semi_elasticity",M793="level"),N793*AN793,
AND(L793="semi_elasticity",M793="sd (Y)"),N793*AN793*BI793,
AND(L793="semi_elasticity",M793="sd (X)"),N793*AN793/AQ793,
AND(L793="level-log",M793="level"),N793/BF793,
AND(L793="level-log",M793="sd (X)"),N793/BF793/AQ793,
AND(L793="level-log",M793="sd (Y)"),N793/BF793*BI793,
AND(L793="elasticity",M793="level"),N793,
AND(L793="elasticity",M793="sd (X)"),N793/AQ793,
AND(L793="elasticity",M793="sd (Y)"),N793*BI793,
AND(L793="marginal_effect",M793="percent_of_mean"),N793*AN793/BF793/10)</f>
        <v>-3.0438000000000002E-3</v>
      </c>
      <c r="AE793" s="56">
        <f t="shared" si="323"/>
        <v>1</v>
      </c>
      <c r="AF793" s="88">
        <f t="shared" si="322"/>
        <v>3.4496400000000003E-2</v>
      </c>
      <c r="AG793" s="88" cm="1">
        <f t="array" ref="AG793">_xlfn.IFS(
AND(L793="marginal_effect",M793="level"),O792*AN793/BF793,
AND(L793="marginal_effect",M793="sd (Y)"),O792*BI793*AN793/BF793,
AND(L793="marginal_effect",M793="sd (X)"),O792/AQ793*AN793/BF793,
AND(L793="semi_elasticity",M793="level"),O792*AN793,
AND(L793="semi_elasticity",M793="sd (Y)"),O792*AN793*BI793,
AND(L793="semi_elasticity",M793="sd (X)"),O792*AN793/AQ793,
AND(L793="level-log",M793="level"),O792/BF793,
AND(L793="level-log",M793="sd (X)"),O792/BF793/AQ793,
AND(L793="level-log",M793="sd (Y)"),O792/BF793*BI793,
AND(L793="elasticity",M793="level"),O792,
AND(L793="elasticity",M793="sd (X)"),O792/AQ793,
AND(L793="elasticity",M793="sd (Y)"),O792*BI793,
AND(L793="marginal_effect",M793="percent_of_mean"),O792*AN793/BF793/10)</f>
        <v>3.3481799999999999E-2</v>
      </c>
      <c r="AH793" s="56">
        <f t="shared" si="324"/>
        <v>0</v>
      </c>
      <c r="AI793" s="88">
        <f t="shared" si="325"/>
        <v>-3.0438000000000002E-3</v>
      </c>
      <c r="AJ793" s="55">
        <v>0</v>
      </c>
      <c r="AK793" s="55">
        <f t="shared" si="328"/>
        <v>1</v>
      </c>
      <c r="AL793" s="55" t="s">
        <v>148</v>
      </c>
      <c r="AM793" s="55" t="s">
        <v>1466</v>
      </c>
      <c r="AN793" s="55">
        <v>10.146000000000001</v>
      </c>
      <c r="AO793" s="55">
        <v>0</v>
      </c>
      <c r="AP793" s="55">
        <f t="shared" si="326"/>
        <v>101.46000000000001</v>
      </c>
      <c r="AQ793" s="55">
        <v>48.17</v>
      </c>
      <c r="AR793" s="55">
        <v>18</v>
      </c>
      <c r="AS793" s="55">
        <v>300</v>
      </c>
      <c r="AT793" s="55" t="s">
        <v>83</v>
      </c>
      <c r="AU793" s="55" t="s">
        <v>109</v>
      </c>
      <c r="AV793" s="55" t="s">
        <v>133</v>
      </c>
      <c r="AW793" s="55" t="s">
        <v>109</v>
      </c>
      <c r="AX793" s="55" t="s">
        <v>86</v>
      </c>
      <c r="AY793" s="55">
        <v>0</v>
      </c>
      <c r="AZ793" s="55">
        <v>10</v>
      </c>
      <c r="BA793" s="55" t="s">
        <v>87</v>
      </c>
      <c r="BB793" s="55" t="s">
        <v>88</v>
      </c>
      <c r="BC793" s="55" t="s">
        <v>89</v>
      </c>
      <c r="BD793" s="55" t="s">
        <v>90</v>
      </c>
      <c r="BE793" s="55" t="s">
        <v>1458</v>
      </c>
      <c r="BF793" s="55">
        <v>101.57</v>
      </c>
      <c r="BG793" s="55">
        <v>0</v>
      </c>
      <c r="BH793" s="55">
        <v>65.849999999999994</v>
      </c>
      <c r="BI793" s="55">
        <v>5</v>
      </c>
      <c r="BJ793" s="55">
        <v>430</v>
      </c>
      <c r="BK793" s="55" t="s">
        <v>91</v>
      </c>
      <c r="BL793" s="55" t="s">
        <v>84</v>
      </c>
      <c r="BM793" s="55">
        <v>1</v>
      </c>
      <c r="BN793" s="55" t="s">
        <v>428</v>
      </c>
      <c r="BO793" s="60" t="s">
        <v>1463</v>
      </c>
      <c r="BP793" s="55" t="s">
        <v>1464</v>
      </c>
      <c r="BQ793" s="55" t="s">
        <v>117</v>
      </c>
      <c r="BR793" s="55" t="s">
        <v>134</v>
      </c>
      <c r="BS793" s="55">
        <v>29.22</v>
      </c>
      <c r="BT793" s="55">
        <v>0.01</v>
      </c>
      <c r="BU793" s="57">
        <v>42552</v>
      </c>
      <c r="BV793" s="57">
        <v>42643</v>
      </c>
      <c r="BW793" s="55" t="s">
        <v>94</v>
      </c>
      <c r="BX793" s="55" t="s">
        <v>95</v>
      </c>
      <c r="BY793" s="55" t="s">
        <v>748</v>
      </c>
      <c r="BZ793" s="55">
        <v>1</v>
      </c>
      <c r="CA793" s="55">
        <v>1</v>
      </c>
      <c r="CB793" s="55" t="s">
        <v>303</v>
      </c>
      <c r="CC793" s="55" t="s">
        <v>314</v>
      </c>
      <c r="CD793" s="55">
        <v>1</v>
      </c>
      <c r="CE793" s="55" t="s">
        <v>1462</v>
      </c>
      <c r="CF793" s="55">
        <v>0</v>
      </c>
      <c r="CG793" s="55" t="s">
        <v>97</v>
      </c>
      <c r="CH793" s="55">
        <v>1</v>
      </c>
      <c r="CI793" s="55" t="s">
        <v>1465</v>
      </c>
      <c r="CJ793" s="55" t="s">
        <v>377</v>
      </c>
      <c r="CK793" s="55">
        <v>179</v>
      </c>
      <c r="CL793" s="55">
        <v>0</v>
      </c>
      <c r="CM793" s="55">
        <v>0</v>
      </c>
      <c r="CN793" s="55" t="s">
        <v>124</v>
      </c>
      <c r="CO793" s="55" t="s">
        <v>97</v>
      </c>
      <c r="CP793" s="55" t="s">
        <v>100</v>
      </c>
      <c r="CQ793" s="55" t="s">
        <v>126</v>
      </c>
      <c r="CR793" s="57">
        <v>46233</v>
      </c>
      <c r="CT793" s="55" t="s">
        <v>1896</v>
      </c>
    </row>
    <row r="794" spans="1:98" s="55" customFormat="1" x14ac:dyDescent="0.35">
      <c r="A794" s="54" t="s">
        <v>1459</v>
      </c>
      <c r="B794" s="54" t="s">
        <v>1871</v>
      </c>
      <c r="C794" s="55" t="s">
        <v>1460</v>
      </c>
      <c r="D794" s="55">
        <v>2022</v>
      </c>
      <c r="E794" s="60" t="s">
        <v>1461</v>
      </c>
      <c r="F794" s="54" t="s">
        <v>998</v>
      </c>
      <c r="G794" s="55" t="s">
        <v>78</v>
      </c>
      <c r="H794" s="55">
        <v>1</v>
      </c>
      <c r="I794" s="55" t="s">
        <v>290</v>
      </c>
      <c r="J794" s="55" t="s">
        <v>79</v>
      </c>
      <c r="K794" s="55">
        <v>81</v>
      </c>
      <c r="L794" s="55" t="s">
        <v>104</v>
      </c>
      <c r="M794" s="55" t="s">
        <v>380</v>
      </c>
      <c r="N794" s="55">
        <v>-3.0599999999999999E-2</v>
      </c>
      <c r="O794" s="55">
        <v>2.7199999999999998E-2</v>
      </c>
      <c r="P794" s="88">
        <f t="shared" si="318"/>
        <v>-1.125</v>
      </c>
      <c r="Q794" s="55" t="s">
        <v>312</v>
      </c>
      <c r="R794" s="88">
        <f t="shared" si="319"/>
        <v>-8.3912E-2</v>
      </c>
      <c r="S794" s="88">
        <f t="shared" si="320"/>
        <v>2.2712E-2</v>
      </c>
      <c r="T794" s="55">
        <v>1</v>
      </c>
      <c r="U794" s="55" t="s">
        <v>312</v>
      </c>
      <c r="V794" s="55" t="s">
        <v>312</v>
      </c>
      <c r="W794" s="55" t="s">
        <v>312</v>
      </c>
      <c r="X794" s="55" t="str">
        <f t="shared" si="327"/>
        <v>NA</v>
      </c>
      <c r="Y794" s="88" t="s">
        <v>312</v>
      </c>
      <c r="Z794" s="88" t="s">
        <v>312</v>
      </c>
      <c r="AA794" s="88" t="s">
        <v>312</v>
      </c>
      <c r="AB794" s="55" t="s">
        <v>81</v>
      </c>
      <c r="AC794" s="88">
        <f t="shared" si="321"/>
        <v>-0.31046760000000001</v>
      </c>
      <c r="AD794" s="88" cm="1">
        <f t="array" ref="AD794">_xlfn.IFS(
AND(L794="marginal_effect",M794="level"),N794*AN794/BF794,
AND(L794="marginal_effect",M794="sd (Y)"),N794*BI794*AN794/BF794,
AND(L794="marginal_effect",M794="sd (X)"),N794/AQ794*AN794/BF794,
AND(L794="semi_elasticity",M794="level"),N794*AN794,
AND(L794="semi_elasticity",M794="sd (Y)"),N794*AN794*BI794,
AND(L794="semi_elasticity",M794="sd (X)"),N794*AN794/AQ794,
AND(L794="level-log",M794="level"),N794/BF794,
AND(L794="level-log",M794="sd (X)"),N794/BF794/AQ794,
AND(L794="level-log",M794="sd (Y)"),N794/BF794*BI794,
AND(L794="elasticity",M794="level"),N794,
AND(L794="elasticity",M794="sd (X)"),N794/AQ794,
AND(L794="elasticity",M794="sd (Y)"),N794*BI794,
AND(L794="marginal_effect",M794="percent_of_mean"),N794*AN794/BF794/10)</f>
        <v>-0.31046760000000001</v>
      </c>
      <c r="AE794" s="56">
        <f t="shared" si="323"/>
        <v>1</v>
      </c>
      <c r="AF794" s="88">
        <f t="shared" si="322"/>
        <v>0.27597120000000003</v>
      </c>
      <c r="AG794" s="88" cm="1">
        <f t="array" ref="AG794">_xlfn.IFS(
AND(L794="marginal_effect",M794="level"),O793*AN794/BF794,
AND(L794="marginal_effect",M794="sd (Y)"),O793*BI794*AN794/BF794,
AND(L794="marginal_effect",M794="sd (X)"),O793/AQ794*AN794/BF794,
AND(L794="semi_elasticity",M794="level"),O793*AN794,
AND(L794="semi_elasticity",M794="sd (Y)"),O793*AN794*BI794,
AND(L794="semi_elasticity",M794="sd (X)"),O793*AN794/AQ794,
AND(L794="level-log",M794="level"),O793/BF794,
AND(L794="level-log",M794="sd (X)"),O793/BF794/AQ794,
AND(L794="level-log",M794="sd (Y)"),O793/BF794*BI794,
AND(L794="elasticity",M794="level"),O793,
AND(L794="elasticity",M794="sd (X)"),O793/AQ794,
AND(L794="elasticity",M794="sd (Y)"),O793*BI794,
AND(L794="marginal_effect",M794="percent_of_mean"),O793*AN794/BF794/10)</f>
        <v>3.4496400000000003E-2</v>
      </c>
      <c r="AH794" s="56">
        <f t="shared" si="324"/>
        <v>0</v>
      </c>
      <c r="AI794" s="88">
        <f t="shared" si="325"/>
        <v>-0.31046760000000001</v>
      </c>
      <c r="AJ794" s="55">
        <v>0</v>
      </c>
      <c r="AK794" s="55">
        <f t="shared" si="328"/>
        <v>1</v>
      </c>
      <c r="AL794" s="55" t="s">
        <v>148</v>
      </c>
      <c r="AM794" s="55" t="s">
        <v>1466</v>
      </c>
      <c r="AN794" s="55">
        <v>10.146000000000001</v>
      </c>
      <c r="AO794" s="55">
        <v>0</v>
      </c>
      <c r="AP794" s="55">
        <f t="shared" si="326"/>
        <v>101.46000000000001</v>
      </c>
      <c r="AQ794" s="55">
        <v>48.17</v>
      </c>
      <c r="AR794" s="55">
        <v>18</v>
      </c>
      <c r="AS794" s="55">
        <v>300</v>
      </c>
      <c r="AT794" s="55" t="s">
        <v>83</v>
      </c>
      <c r="AU794" s="55" t="s">
        <v>109</v>
      </c>
      <c r="AV794" s="55" t="s">
        <v>133</v>
      </c>
      <c r="AW794" s="55" t="s">
        <v>109</v>
      </c>
      <c r="AX794" s="55" t="s">
        <v>86</v>
      </c>
      <c r="AY794" s="55">
        <v>0</v>
      </c>
      <c r="AZ794" s="55">
        <v>15</v>
      </c>
      <c r="BA794" s="55" t="s">
        <v>87</v>
      </c>
      <c r="BB794" s="55" t="s">
        <v>88</v>
      </c>
      <c r="BC794" s="55" t="s">
        <v>89</v>
      </c>
      <c r="BD794" s="55" t="s">
        <v>90</v>
      </c>
      <c r="BE794" s="55" t="s">
        <v>1458</v>
      </c>
      <c r="BF794" s="55">
        <v>101.57</v>
      </c>
      <c r="BG794" s="55">
        <v>0</v>
      </c>
      <c r="BH794" s="55">
        <v>65.849999999999994</v>
      </c>
      <c r="BI794" s="55">
        <v>5</v>
      </c>
      <c r="BJ794" s="55">
        <v>430</v>
      </c>
      <c r="BK794" s="55" t="s">
        <v>91</v>
      </c>
      <c r="BL794" s="55" t="s">
        <v>84</v>
      </c>
      <c r="BM794" s="55">
        <v>1</v>
      </c>
      <c r="BN794" s="55" t="s">
        <v>428</v>
      </c>
      <c r="BO794" s="60" t="s">
        <v>1463</v>
      </c>
      <c r="BP794" s="55" t="s">
        <v>1464</v>
      </c>
      <c r="BQ794" s="55" t="s">
        <v>117</v>
      </c>
      <c r="BR794" s="55" t="s">
        <v>134</v>
      </c>
      <c r="BS794" s="55">
        <v>29.22</v>
      </c>
      <c r="BT794" s="55">
        <v>0.01</v>
      </c>
      <c r="BU794" s="57">
        <v>42552</v>
      </c>
      <c r="BV794" s="57">
        <v>42643</v>
      </c>
      <c r="BW794" s="55" t="s">
        <v>94</v>
      </c>
      <c r="BX794" s="55" t="s">
        <v>95</v>
      </c>
      <c r="BY794" s="55" t="s">
        <v>748</v>
      </c>
      <c r="BZ794" s="55">
        <v>1</v>
      </c>
      <c r="CA794" s="55">
        <v>1</v>
      </c>
      <c r="CB794" s="55" t="s">
        <v>303</v>
      </c>
      <c r="CC794" s="55" t="s">
        <v>314</v>
      </c>
      <c r="CD794" s="55">
        <v>1</v>
      </c>
      <c r="CE794" s="55" t="s">
        <v>1462</v>
      </c>
      <c r="CF794" s="55">
        <v>0</v>
      </c>
      <c r="CG794" s="55" t="s">
        <v>97</v>
      </c>
      <c r="CH794" s="55">
        <v>1</v>
      </c>
      <c r="CI794" s="55" t="s">
        <v>1465</v>
      </c>
      <c r="CJ794" s="55" t="s">
        <v>377</v>
      </c>
      <c r="CK794" s="55">
        <v>179</v>
      </c>
      <c r="CL794" s="55">
        <v>0</v>
      </c>
      <c r="CM794" s="55">
        <v>0</v>
      </c>
      <c r="CN794" s="55" t="s">
        <v>124</v>
      </c>
      <c r="CO794" s="55" t="s">
        <v>97</v>
      </c>
      <c r="CP794" s="55" t="s">
        <v>100</v>
      </c>
      <c r="CQ794" s="55" t="s">
        <v>126</v>
      </c>
      <c r="CR794" s="57">
        <v>46233</v>
      </c>
      <c r="CT794" s="55" t="s">
        <v>1896</v>
      </c>
    </row>
    <row r="795" spans="1:98" s="55" customFormat="1" x14ac:dyDescent="0.35">
      <c r="A795" s="54" t="s">
        <v>1459</v>
      </c>
      <c r="B795" s="54" t="s">
        <v>1872</v>
      </c>
      <c r="C795" s="55" t="s">
        <v>1460</v>
      </c>
      <c r="D795" s="55">
        <v>2022</v>
      </c>
      <c r="E795" s="60" t="s">
        <v>1461</v>
      </c>
      <c r="F795" s="54" t="s">
        <v>998</v>
      </c>
      <c r="G795" s="55" t="s">
        <v>78</v>
      </c>
      <c r="H795" s="55">
        <v>1</v>
      </c>
      <c r="I795" s="55" t="s">
        <v>290</v>
      </c>
      <c r="J795" s="55" t="s">
        <v>79</v>
      </c>
      <c r="K795" s="55">
        <v>81</v>
      </c>
      <c r="L795" s="55" t="s">
        <v>104</v>
      </c>
      <c r="M795" s="55" t="s">
        <v>380</v>
      </c>
      <c r="N795" s="55">
        <v>-4.0800000000000003E-2</v>
      </c>
      <c r="O795" s="55">
        <v>0.16159999999999999</v>
      </c>
      <c r="P795" s="88">
        <f t="shared" si="318"/>
        <v>-0.25247524752475248</v>
      </c>
      <c r="Q795" s="55" t="s">
        <v>312</v>
      </c>
      <c r="R795" s="88">
        <f t="shared" si="319"/>
        <v>-0.35753599999999996</v>
      </c>
      <c r="S795" s="88">
        <f t="shared" si="320"/>
        <v>0.27593599999999996</v>
      </c>
      <c r="T795" s="55">
        <v>1</v>
      </c>
      <c r="U795" s="55" t="s">
        <v>312</v>
      </c>
      <c r="V795" s="55" t="s">
        <v>312</v>
      </c>
      <c r="W795" s="55" t="s">
        <v>312</v>
      </c>
      <c r="X795" s="55" t="str">
        <f t="shared" si="327"/>
        <v>NA</v>
      </c>
      <c r="Y795" s="88" t="s">
        <v>312</v>
      </c>
      <c r="Z795" s="88" t="s">
        <v>312</v>
      </c>
      <c r="AA795" s="88" t="s">
        <v>312</v>
      </c>
      <c r="AB795" s="55" t="s">
        <v>81</v>
      </c>
      <c r="AC795" s="88">
        <f t="shared" si="321"/>
        <v>-0.41395680000000007</v>
      </c>
      <c r="AD795" s="88" cm="1">
        <f t="array" ref="AD795">_xlfn.IFS(
AND(L795="marginal_effect",M795="level"),N795*AN795/BF795,
AND(L795="marginal_effect",M795="sd (Y)"),N795*BI795*AN795/BF795,
AND(L795="marginal_effect",M795="sd (X)"),N795/AQ795*AN795/BF795,
AND(L795="semi_elasticity",M795="level"),N795*AN795,
AND(L795="semi_elasticity",M795="sd (Y)"),N795*AN795*BI795,
AND(L795="semi_elasticity",M795="sd (X)"),N795*AN795/AQ795,
AND(L795="level-log",M795="level"),N795/BF795,
AND(L795="level-log",M795="sd (X)"),N795/BF795/AQ795,
AND(L795="level-log",M795="sd (Y)"),N795/BF795*BI795,
AND(L795="elasticity",M795="level"),N795,
AND(L795="elasticity",M795="sd (X)"),N795/AQ795,
AND(L795="elasticity",M795="sd (Y)"),N795*BI795,
AND(L795="marginal_effect",M795="percent_of_mean"),N795*AN795/BF795/10)</f>
        <v>-0.41395680000000007</v>
      </c>
      <c r="AE795" s="56">
        <f t="shared" si="323"/>
        <v>1</v>
      </c>
      <c r="AF795" s="88">
        <f t="shared" si="322"/>
        <v>1.6395936</v>
      </c>
      <c r="AG795" s="88" cm="1">
        <f t="array" ref="AG795">_xlfn.IFS(
AND(L795="marginal_effect",M795="level"),O795*AN795/BF795,
AND(L795="marginal_effect",M795="sd (Y)"),O795*BI795*AN795/BF795,
AND(L795="marginal_effect",M795="sd (X)"),O795/AQ795*AN795/BF795,
AND(L795="semi_elasticity",M795="level"),O795*AN795,
AND(L795="semi_elasticity",M795="sd (Y)"),O795*AN795*BI795,
AND(L795="semi_elasticity",M795="sd (X)"),O795*AN795/AQ795,
AND(L795="level-log",M795="level"),O795/BF795,
AND(L795="level-log",M795="sd (X)"),O795/BF795/AQ795,
AND(L795="level-log",M795="sd (Y)"),O795/BF795*BI795,
AND(L795="elasticity",M795="level"),O795,
AND(L795="elasticity",M795="sd (X)"),O795/AQ795,
AND(L795="elasticity",M795="sd (Y)"),O795*BI795,
AND(L795="marginal_effect",M795="percent_of_mean"),O795*AN795/BF795/10)</f>
        <v>1.6395936</v>
      </c>
      <c r="AH795" s="56">
        <f t="shared" si="324"/>
        <v>1</v>
      </c>
      <c r="AI795" s="88">
        <f t="shared" si="325"/>
        <v>-0.41395680000000007</v>
      </c>
      <c r="AJ795" s="55">
        <v>0</v>
      </c>
      <c r="AK795" s="55">
        <f t="shared" si="328"/>
        <v>0</v>
      </c>
      <c r="AL795" s="55" t="s">
        <v>148</v>
      </c>
      <c r="AM795" s="55" t="s">
        <v>1466</v>
      </c>
      <c r="AN795" s="55">
        <v>10.146000000000001</v>
      </c>
      <c r="AO795" s="55">
        <v>0</v>
      </c>
      <c r="AP795" s="55">
        <f t="shared" si="326"/>
        <v>101.46000000000001</v>
      </c>
      <c r="AQ795" s="55">
        <v>48.17</v>
      </c>
      <c r="AR795" s="55">
        <v>18</v>
      </c>
      <c r="AS795" s="55">
        <v>300</v>
      </c>
      <c r="AT795" s="55" t="s">
        <v>83</v>
      </c>
      <c r="AU795" s="55" t="s">
        <v>109</v>
      </c>
      <c r="AV795" s="55" t="s">
        <v>133</v>
      </c>
      <c r="AW795" s="55" t="s">
        <v>109</v>
      </c>
      <c r="AX795" s="55" t="s">
        <v>86</v>
      </c>
      <c r="AY795" s="55">
        <v>0</v>
      </c>
      <c r="AZ795" s="55">
        <v>20</v>
      </c>
      <c r="BA795" s="55" t="s">
        <v>87</v>
      </c>
      <c r="BB795" s="55" t="s">
        <v>88</v>
      </c>
      <c r="BC795" s="55" t="s">
        <v>89</v>
      </c>
      <c r="BD795" s="55" t="s">
        <v>90</v>
      </c>
      <c r="BE795" s="55" t="s">
        <v>1458</v>
      </c>
      <c r="BF795" s="55">
        <v>101.57</v>
      </c>
      <c r="BG795" s="55">
        <v>0</v>
      </c>
      <c r="BH795" s="55">
        <v>65.849999999999994</v>
      </c>
      <c r="BI795" s="55">
        <v>5</v>
      </c>
      <c r="BJ795" s="55">
        <v>430</v>
      </c>
      <c r="BK795" s="55" t="s">
        <v>91</v>
      </c>
      <c r="BL795" s="55" t="s">
        <v>84</v>
      </c>
      <c r="BM795" s="55">
        <v>1</v>
      </c>
      <c r="BN795" s="55" t="s">
        <v>428</v>
      </c>
      <c r="BO795" s="60" t="s">
        <v>1463</v>
      </c>
      <c r="BP795" s="55" t="s">
        <v>1464</v>
      </c>
      <c r="BQ795" s="55" t="s">
        <v>117</v>
      </c>
      <c r="BR795" s="55" t="s">
        <v>134</v>
      </c>
      <c r="BS795" s="55">
        <v>29.22</v>
      </c>
      <c r="BT795" s="55">
        <v>0.01</v>
      </c>
      <c r="BU795" s="57">
        <v>42552</v>
      </c>
      <c r="BV795" s="57">
        <v>42643</v>
      </c>
      <c r="BW795" s="55" t="s">
        <v>94</v>
      </c>
      <c r="BX795" s="55" t="s">
        <v>95</v>
      </c>
      <c r="BY795" s="55" t="s">
        <v>748</v>
      </c>
      <c r="BZ795" s="55">
        <v>1</v>
      </c>
      <c r="CA795" s="55">
        <v>1</v>
      </c>
      <c r="CB795" s="55" t="s">
        <v>303</v>
      </c>
      <c r="CC795" s="55" t="s">
        <v>314</v>
      </c>
      <c r="CD795" s="55">
        <v>1</v>
      </c>
      <c r="CE795" s="55" t="s">
        <v>1462</v>
      </c>
      <c r="CF795" s="55">
        <v>0</v>
      </c>
      <c r="CG795" s="55" t="s">
        <v>97</v>
      </c>
      <c r="CH795" s="55">
        <v>1</v>
      </c>
      <c r="CI795" s="55" t="s">
        <v>1465</v>
      </c>
      <c r="CJ795" s="55" t="s">
        <v>377</v>
      </c>
      <c r="CK795" s="55">
        <v>179</v>
      </c>
      <c r="CL795" s="55">
        <v>0</v>
      </c>
      <c r="CM795" s="55">
        <v>0</v>
      </c>
      <c r="CN795" s="55" t="s">
        <v>124</v>
      </c>
      <c r="CO795" s="55" t="s">
        <v>97</v>
      </c>
      <c r="CP795" s="55" t="s">
        <v>100</v>
      </c>
      <c r="CQ795" s="55" t="s">
        <v>126</v>
      </c>
      <c r="CR795" s="57">
        <v>46233</v>
      </c>
      <c r="CT795" s="55" t="s">
        <v>1896</v>
      </c>
    </row>
    <row r="796" spans="1:98" s="55" customFormat="1" x14ac:dyDescent="0.35">
      <c r="A796" s="54" t="s">
        <v>1459</v>
      </c>
      <c r="B796" s="54" t="s">
        <v>1873</v>
      </c>
      <c r="C796" s="55" t="s">
        <v>1460</v>
      </c>
      <c r="D796" s="55">
        <v>2022</v>
      </c>
      <c r="E796" s="60" t="s">
        <v>1461</v>
      </c>
      <c r="F796" s="54" t="s">
        <v>998</v>
      </c>
      <c r="G796" s="55" t="s">
        <v>78</v>
      </c>
      <c r="H796" s="55">
        <v>1</v>
      </c>
      <c r="I796" s="55" t="s">
        <v>290</v>
      </c>
      <c r="J796" s="55" t="s">
        <v>79</v>
      </c>
      <c r="K796" s="55">
        <v>81</v>
      </c>
      <c r="L796" s="55" t="s">
        <v>104</v>
      </c>
      <c r="M796" s="55" t="s">
        <v>380</v>
      </c>
      <c r="N796" s="55">
        <v>-5.8799999999999998E-2</v>
      </c>
      <c r="O796" s="55">
        <v>2.6200000000000001E-2</v>
      </c>
      <c r="P796" s="88">
        <f t="shared" si="318"/>
        <v>-2.2442748091603053</v>
      </c>
      <c r="Q796" s="55" t="s">
        <v>312</v>
      </c>
      <c r="R796" s="88">
        <f t="shared" si="319"/>
        <v>-0.110152</v>
      </c>
      <c r="S796" s="88">
        <f t="shared" si="320"/>
        <v>-7.4479999999999963E-3</v>
      </c>
      <c r="T796" s="55">
        <v>1</v>
      </c>
      <c r="U796" s="55" t="s">
        <v>312</v>
      </c>
      <c r="V796" s="55" t="s">
        <v>312</v>
      </c>
      <c r="W796" s="55" t="s">
        <v>312</v>
      </c>
      <c r="X796" s="55" t="str">
        <f t="shared" si="327"/>
        <v>NA</v>
      </c>
      <c r="Y796" s="88" t="s">
        <v>312</v>
      </c>
      <c r="Z796" s="88" t="s">
        <v>312</v>
      </c>
      <c r="AA796" s="88" t="s">
        <v>312</v>
      </c>
      <c r="AB796" s="55" t="s">
        <v>81</v>
      </c>
      <c r="AC796" s="88">
        <f t="shared" si="321"/>
        <v>-0.59658480000000003</v>
      </c>
      <c r="AD796" s="88" cm="1">
        <f t="array" ref="AD796">_xlfn.IFS(
AND(L796="marginal_effect",M796="level"),N796*AN796/BF796,
AND(L796="marginal_effect",M796="sd (Y)"),N796*BI796*AN796/BF796,
AND(L796="marginal_effect",M796="sd (X)"),N796/AQ796*AN796/BF796,
AND(L796="semi_elasticity",M796="level"),N796*AN796,
AND(L796="semi_elasticity",M796="sd (Y)"),N796*AN796*BI796,
AND(L796="semi_elasticity",M796="sd (X)"),N796*AN796/AQ796,
AND(L796="level-log",M796="level"),N796/BF796,
AND(L796="level-log",M796="sd (X)"),N796/BF796/AQ796,
AND(L796="level-log",M796="sd (Y)"),N796/BF796*BI796,
AND(L796="elasticity",M796="level"),N796,
AND(L796="elasticity",M796="sd (X)"),N796/AQ796,
AND(L796="elasticity",M796="sd (Y)"),N796*BI796,
AND(L796="marginal_effect",M796="percent_of_mean"),N796*AN796/BF796/10)</f>
        <v>-0.59658480000000003</v>
      </c>
      <c r="AE796" s="56">
        <f t="shared" si="323"/>
        <v>1</v>
      </c>
      <c r="AF796" s="88">
        <f t="shared" si="322"/>
        <v>0.26582520000000004</v>
      </c>
      <c r="AG796" s="88" cm="1">
        <f t="array" ref="AG796">_xlfn.IFS(
AND(L796="marginal_effect",M796="level"),O795*AN796/BF796,
AND(L796="marginal_effect",M796="sd (Y)"),O795*BI796*AN796/BF796,
AND(L796="marginal_effect",M796="sd (X)"),O795/AQ796*AN796/BF796,
AND(L796="semi_elasticity",M796="level"),O795*AN796,
AND(L796="semi_elasticity",M796="sd (Y)"),O795*AN796*BI796,
AND(L796="semi_elasticity",M796="sd (X)"),O795*AN796/AQ796,
AND(L796="level-log",M796="level"),O795/BF796,
AND(L796="level-log",M796="sd (X)"),O795/BF796/AQ796,
AND(L796="level-log",M796="sd (Y)"),O795/BF796*BI796,
AND(L796="elasticity",M796="level"),O795,
AND(L796="elasticity",M796="sd (X)"),O795/AQ796,
AND(L796="elasticity",M796="sd (Y)"),O795*BI796,
AND(L796="marginal_effect",M796="percent_of_mean"),O795*AN796/BF796/10)</f>
        <v>1.6395936</v>
      </c>
      <c r="AH796" s="56">
        <f t="shared" si="324"/>
        <v>0</v>
      </c>
      <c r="AI796" s="88">
        <f t="shared" si="325"/>
        <v>-0.59658480000000003</v>
      </c>
      <c r="AJ796" s="55">
        <v>0</v>
      </c>
      <c r="AK796" s="55">
        <f t="shared" si="328"/>
        <v>1</v>
      </c>
      <c r="AL796" s="55" t="s">
        <v>148</v>
      </c>
      <c r="AM796" s="55" t="s">
        <v>1466</v>
      </c>
      <c r="AN796" s="55">
        <v>10.146000000000001</v>
      </c>
      <c r="AO796" s="55">
        <v>0</v>
      </c>
      <c r="AP796" s="55">
        <f t="shared" si="326"/>
        <v>101.46000000000001</v>
      </c>
      <c r="AQ796" s="55">
        <v>48.17</v>
      </c>
      <c r="AR796" s="55">
        <v>18</v>
      </c>
      <c r="AS796" s="55">
        <v>300</v>
      </c>
      <c r="AT796" s="55" t="s">
        <v>83</v>
      </c>
      <c r="AU796" s="55" t="s">
        <v>109</v>
      </c>
      <c r="AV796" s="55" t="s">
        <v>133</v>
      </c>
      <c r="AW796" s="55" t="s">
        <v>109</v>
      </c>
      <c r="AX796" s="55" t="s">
        <v>86</v>
      </c>
      <c r="AY796" s="55">
        <v>0</v>
      </c>
      <c r="AZ796" s="55">
        <v>25</v>
      </c>
      <c r="BA796" s="55" t="s">
        <v>87</v>
      </c>
      <c r="BB796" s="55" t="s">
        <v>88</v>
      </c>
      <c r="BC796" s="55" t="s">
        <v>89</v>
      </c>
      <c r="BD796" s="55" t="s">
        <v>90</v>
      </c>
      <c r="BE796" s="55" t="s">
        <v>1458</v>
      </c>
      <c r="BF796" s="55">
        <v>101.57</v>
      </c>
      <c r="BG796" s="55">
        <v>0</v>
      </c>
      <c r="BH796" s="55">
        <v>65.849999999999994</v>
      </c>
      <c r="BI796" s="55">
        <v>5</v>
      </c>
      <c r="BJ796" s="55">
        <v>430</v>
      </c>
      <c r="BK796" s="55" t="s">
        <v>91</v>
      </c>
      <c r="BL796" s="55" t="s">
        <v>84</v>
      </c>
      <c r="BM796" s="55">
        <v>1</v>
      </c>
      <c r="BN796" s="55" t="s">
        <v>428</v>
      </c>
      <c r="BO796" s="60" t="s">
        <v>1463</v>
      </c>
      <c r="BP796" s="55" t="s">
        <v>1464</v>
      </c>
      <c r="BQ796" s="55" t="s">
        <v>117</v>
      </c>
      <c r="BR796" s="55" t="s">
        <v>134</v>
      </c>
      <c r="BS796" s="55">
        <v>29.22</v>
      </c>
      <c r="BT796" s="55">
        <v>0.01</v>
      </c>
      <c r="BU796" s="57">
        <v>42552</v>
      </c>
      <c r="BV796" s="57">
        <v>42643</v>
      </c>
      <c r="BW796" s="55" t="s">
        <v>94</v>
      </c>
      <c r="BX796" s="55" t="s">
        <v>95</v>
      </c>
      <c r="BY796" s="55" t="s">
        <v>748</v>
      </c>
      <c r="BZ796" s="55">
        <v>1</v>
      </c>
      <c r="CA796" s="55">
        <v>1</v>
      </c>
      <c r="CB796" s="55" t="s">
        <v>303</v>
      </c>
      <c r="CC796" s="55" t="s">
        <v>314</v>
      </c>
      <c r="CD796" s="55">
        <v>1</v>
      </c>
      <c r="CE796" s="55" t="s">
        <v>1462</v>
      </c>
      <c r="CF796" s="55">
        <v>0</v>
      </c>
      <c r="CG796" s="55" t="s">
        <v>97</v>
      </c>
      <c r="CH796" s="55">
        <v>1</v>
      </c>
      <c r="CI796" s="55" t="s">
        <v>1465</v>
      </c>
      <c r="CJ796" s="55" t="s">
        <v>377</v>
      </c>
      <c r="CK796" s="55">
        <v>179</v>
      </c>
      <c r="CL796" s="55">
        <v>0</v>
      </c>
      <c r="CM796" s="55">
        <v>0</v>
      </c>
      <c r="CN796" s="55" t="s">
        <v>124</v>
      </c>
      <c r="CO796" s="55" t="s">
        <v>97</v>
      </c>
      <c r="CP796" s="55" t="s">
        <v>100</v>
      </c>
      <c r="CQ796" s="55" t="s">
        <v>126</v>
      </c>
      <c r="CR796" s="57">
        <v>46233</v>
      </c>
      <c r="CT796" s="55" t="s">
        <v>1896</v>
      </c>
    </row>
    <row r="797" spans="1:98" s="55" customFormat="1" x14ac:dyDescent="0.35">
      <c r="A797" s="54" t="s">
        <v>1459</v>
      </c>
      <c r="B797" s="54" t="s">
        <v>1874</v>
      </c>
      <c r="C797" s="55" t="s">
        <v>1460</v>
      </c>
      <c r="D797" s="55">
        <v>2022</v>
      </c>
      <c r="E797" s="60" t="s">
        <v>1461</v>
      </c>
      <c r="F797" s="54" t="s">
        <v>998</v>
      </c>
      <c r="G797" s="55" t="s">
        <v>78</v>
      </c>
      <c r="H797" s="55">
        <v>1</v>
      </c>
      <c r="I797" s="55" t="s">
        <v>290</v>
      </c>
      <c r="J797" s="55" t="s">
        <v>79</v>
      </c>
      <c r="K797" s="55">
        <v>81</v>
      </c>
      <c r="L797" s="55" t="s">
        <v>104</v>
      </c>
      <c r="M797" s="55" t="s">
        <v>380</v>
      </c>
      <c r="N797" s="55">
        <v>-5.1200000000000002E-2</v>
      </c>
      <c r="O797" s="55">
        <v>1.7299999999999999E-2</v>
      </c>
      <c r="P797" s="88">
        <f t="shared" si="318"/>
        <v>-2.9595375722543356</v>
      </c>
      <c r="Q797" s="55" t="s">
        <v>312</v>
      </c>
      <c r="R797" s="88">
        <f t="shared" si="319"/>
        <v>-8.5108000000000003E-2</v>
      </c>
      <c r="S797" s="88">
        <f t="shared" si="320"/>
        <v>-1.7292000000000002E-2</v>
      </c>
      <c r="T797" s="55">
        <v>1</v>
      </c>
      <c r="U797" s="55" t="s">
        <v>312</v>
      </c>
      <c r="V797" s="55" t="s">
        <v>312</v>
      </c>
      <c r="W797" s="55" t="s">
        <v>312</v>
      </c>
      <c r="X797" s="55" t="str">
        <f t="shared" si="327"/>
        <v>NA</v>
      </c>
      <c r="Y797" s="88" t="s">
        <v>312</v>
      </c>
      <c r="Z797" s="88" t="s">
        <v>312</v>
      </c>
      <c r="AA797" s="88" t="s">
        <v>312</v>
      </c>
      <c r="AB797" s="55" t="s">
        <v>81</v>
      </c>
      <c r="AC797" s="88">
        <f t="shared" si="321"/>
        <v>-0.51947520000000003</v>
      </c>
      <c r="AD797" s="88" cm="1">
        <f t="array" ref="AD797">_xlfn.IFS(
AND(L797="marginal_effect",M797="level"),N797*AN797/BF797,
AND(L797="marginal_effect",M797="sd (Y)"),N797*BI797*AN797/BF797,
AND(L797="marginal_effect",M797="sd (X)"),N797/AQ797*AN797/BF797,
AND(L797="semi_elasticity",M797="level"),N797*AN797,
AND(L797="semi_elasticity",M797="sd (Y)"),N797*AN797*BI797,
AND(L797="semi_elasticity",M797="sd (X)"),N797*AN797/AQ797,
AND(L797="level-log",M797="level"),N797/BF797,
AND(L797="level-log",M797="sd (X)"),N797/BF797/AQ797,
AND(L797="level-log",M797="sd (Y)"),N797/BF797*BI797,
AND(L797="elasticity",M797="level"),N797,
AND(L797="elasticity",M797="sd (X)"),N797/AQ797,
AND(L797="elasticity",M797="sd (Y)"),N797*BI797,
AND(L797="marginal_effect",M797="percent_of_mean"),N797*AN797/BF797/10)</f>
        <v>-0.51947520000000003</v>
      </c>
      <c r="AE797" s="56">
        <f t="shared" si="323"/>
        <v>1</v>
      </c>
      <c r="AF797" s="88">
        <f t="shared" si="322"/>
        <v>0.17552580000000001</v>
      </c>
      <c r="AG797" s="88" cm="1">
        <f t="array" ref="AG797">_xlfn.IFS(
AND(L797="marginal_effect",M797="level"),O796*AN797/BF797,
AND(L797="marginal_effect",M797="sd (Y)"),O796*BI797*AN797/BF797,
AND(L797="marginal_effect",M797="sd (X)"),O796/AQ797*AN797/BF797,
AND(L797="semi_elasticity",M797="level"),O796*AN797,
AND(L797="semi_elasticity",M797="sd (Y)"),O796*AN797*BI797,
AND(L797="semi_elasticity",M797="sd (X)"),O796*AN797/AQ797,
AND(L797="level-log",M797="level"),O796/BF797,
AND(L797="level-log",M797="sd (X)"),O796/BF797/AQ797,
AND(L797="level-log",M797="sd (Y)"),O796/BF797*BI797,
AND(L797="elasticity",M797="level"),O796,
AND(L797="elasticity",M797="sd (X)"),O796/AQ797,
AND(L797="elasticity",M797="sd (Y)"),O796*BI797,
AND(L797="marginal_effect",M797="percent_of_mean"),O796*AN797/BF797/10)</f>
        <v>0.26582520000000004</v>
      </c>
      <c r="AH797" s="56">
        <f t="shared" si="324"/>
        <v>0</v>
      </c>
      <c r="AI797" s="88">
        <f t="shared" si="325"/>
        <v>-0.51947520000000003</v>
      </c>
      <c r="AJ797" s="55">
        <v>0</v>
      </c>
      <c r="AK797" s="55">
        <f t="shared" si="328"/>
        <v>1</v>
      </c>
      <c r="AL797" s="55" t="s">
        <v>148</v>
      </c>
      <c r="AM797" s="55" t="s">
        <v>1466</v>
      </c>
      <c r="AN797" s="55">
        <v>10.146000000000001</v>
      </c>
      <c r="AO797" s="55">
        <v>0</v>
      </c>
      <c r="AP797" s="55">
        <f t="shared" si="326"/>
        <v>101.46000000000001</v>
      </c>
      <c r="AQ797" s="55">
        <v>48.17</v>
      </c>
      <c r="AR797" s="55">
        <v>18</v>
      </c>
      <c r="AS797" s="55">
        <v>300</v>
      </c>
      <c r="AT797" s="55" t="s">
        <v>83</v>
      </c>
      <c r="AU797" s="55" t="s">
        <v>109</v>
      </c>
      <c r="AV797" s="55" t="s">
        <v>133</v>
      </c>
      <c r="AW797" s="55" t="s">
        <v>109</v>
      </c>
      <c r="AX797" s="55" t="s">
        <v>86</v>
      </c>
      <c r="AY797" s="55">
        <v>0</v>
      </c>
      <c r="AZ797" s="55">
        <v>30</v>
      </c>
      <c r="BA797" s="55" t="s">
        <v>87</v>
      </c>
      <c r="BB797" s="55" t="s">
        <v>88</v>
      </c>
      <c r="BC797" s="55" t="s">
        <v>89</v>
      </c>
      <c r="BD797" s="55" t="s">
        <v>90</v>
      </c>
      <c r="BE797" s="55" t="s">
        <v>1458</v>
      </c>
      <c r="BF797" s="55">
        <v>101.57</v>
      </c>
      <c r="BG797" s="55">
        <v>0</v>
      </c>
      <c r="BH797" s="55">
        <v>65.849999999999994</v>
      </c>
      <c r="BI797" s="55">
        <v>5</v>
      </c>
      <c r="BJ797" s="55">
        <v>430</v>
      </c>
      <c r="BK797" s="55" t="s">
        <v>91</v>
      </c>
      <c r="BL797" s="55" t="s">
        <v>84</v>
      </c>
      <c r="BM797" s="55">
        <v>1</v>
      </c>
      <c r="BN797" s="55" t="s">
        <v>428</v>
      </c>
      <c r="BO797" s="60" t="s">
        <v>1463</v>
      </c>
      <c r="BP797" s="55" t="s">
        <v>1464</v>
      </c>
      <c r="BQ797" s="55" t="s">
        <v>117</v>
      </c>
      <c r="BR797" s="55" t="s">
        <v>134</v>
      </c>
      <c r="BS797" s="55">
        <v>29.22</v>
      </c>
      <c r="BT797" s="55">
        <v>0.01</v>
      </c>
      <c r="BU797" s="57">
        <v>42552</v>
      </c>
      <c r="BV797" s="57">
        <v>42643</v>
      </c>
      <c r="BW797" s="55" t="s">
        <v>94</v>
      </c>
      <c r="BX797" s="55" t="s">
        <v>95</v>
      </c>
      <c r="BY797" s="55" t="s">
        <v>748</v>
      </c>
      <c r="BZ797" s="55">
        <v>1</v>
      </c>
      <c r="CA797" s="55">
        <v>1</v>
      </c>
      <c r="CB797" s="55" t="s">
        <v>303</v>
      </c>
      <c r="CC797" s="55" t="s">
        <v>314</v>
      </c>
      <c r="CD797" s="55">
        <v>1</v>
      </c>
      <c r="CE797" s="55" t="s">
        <v>1462</v>
      </c>
      <c r="CF797" s="55">
        <v>0</v>
      </c>
      <c r="CG797" s="55" t="s">
        <v>97</v>
      </c>
      <c r="CH797" s="55">
        <v>1</v>
      </c>
      <c r="CI797" s="55" t="s">
        <v>1465</v>
      </c>
      <c r="CJ797" s="55" t="s">
        <v>377</v>
      </c>
      <c r="CK797" s="55">
        <v>179</v>
      </c>
      <c r="CL797" s="55">
        <v>0</v>
      </c>
      <c r="CM797" s="55">
        <v>0</v>
      </c>
      <c r="CN797" s="55" t="s">
        <v>124</v>
      </c>
      <c r="CO797" s="55" t="s">
        <v>97</v>
      </c>
      <c r="CP797" s="55" t="s">
        <v>100</v>
      </c>
      <c r="CQ797" s="55" t="s">
        <v>126</v>
      </c>
      <c r="CR797" s="57">
        <v>46233</v>
      </c>
      <c r="CT797" s="55" t="s">
        <v>1896</v>
      </c>
    </row>
    <row r="798" spans="1:98" s="55" customFormat="1" x14ac:dyDescent="0.35">
      <c r="A798" s="54" t="s">
        <v>1459</v>
      </c>
      <c r="B798" s="54" t="s">
        <v>1875</v>
      </c>
      <c r="C798" s="55" t="s">
        <v>1460</v>
      </c>
      <c r="D798" s="55">
        <v>2022</v>
      </c>
      <c r="E798" s="60" t="s">
        <v>1461</v>
      </c>
      <c r="F798" s="54" t="s">
        <v>998</v>
      </c>
      <c r="G798" s="55" t="s">
        <v>78</v>
      </c>
      <c r="H798" s="55">
        <v>1</v>
      </c>
      <c r="I798" s="55" t="s">
        <v>290</v>
      </c>
      <c r="J798" s="55" t="s">
        <v>79</v>
      </c>
      <c r="K798" s="55">
        <v>81</v>
      </c>
      <c r="L798" s="55" t="s">
        <v>104</v>
      </c>
      <c r="M798" s="55" t="s">
        <v>380</v>
      </c>
      <c r="N798" s="55">
        <v>-3.9800000000000002E-2</v>
      </c>
      <c r="O798" s="55">
        <v>1.5800000000000002E-2</v>
      </c>
      <c r="P798" s="88">
        <f t="shared" si="318"/>
        <v>-2.518987341772152</v>
      </c>
      <c r="Q798" s="55" t="s">
        <v>312</v>
      </c>
      <c r="R798" s="88">
        <f t="shared" si="319"/>
        <v>-7.0767999999999998E-2</v>
      </c>
      <c r="S798" s="88">
        <f t="shared" si="320"/>
        <v>-8.8319999999999996E-3</v>
      </c>
      <c r="T798" s="55">
        <v>1</v>
      </c>
      <c r="U798" s="55" t="s">
        <v>312</v>
      </c>
      <c r="V798" s="55" t="s">
        <v>312</v>
      </c>
      <c r="W798" s="55" t="s">
        <v>312</v>
      </c>
      <c r="X798" s="55" t="str">
        <f t="shared" si="327"/>
        <v>NA</v>
      </c>
      <c r="Y798" s="88" t="s">
        <v>312</v>
      </c>
      <c r="Z798" s="88" t="s">
        <v>312</v>
      </c>
      <c r="AA798" s="88" t="s">
        <v>312</v>
      </c>
      <c r="AB798" s="55" t="s">
        <v>81</v>
      </c>
      <c r="AC798" s="88">
        <f t="shared" si="321"/>
        <v>-0.40381080000000003</v>
      </c>
      <c r="AD798" s="88" cm="1">
        <f t="array" ref="AD798">_xlfn.IFS(
AND(L798="marginal_effect",M798="level"),N798*AN798/BF798,
AND(L798="marginal_effect",M798="sd (Y)"),N798*BI798*AN798/BF798,
AND(L798="marginal_effect",M798="sd (X)"),N798/AQ798*AN798/BF798,
AND(L798="semi_elasticity",M798="level"),N798*AN798,
AND(L798="semi_elasticity",M798="sd (Y)"),N798*AN798*BI798,
AND(L798="semi_elasticity",M798="sd (X)"),N798*AN798/AQ798,
AND(L798="level-log",M798="level"),N798/BF798,
AND(L798="level-log",M798="sd (X)"),N798/BF798/AQ798,
AND(L798="level-log",M798="sd (Y)"),N798/BF798*BI798,
AND(L798="elasticity",M798="level"),N798,
AND(L798="elasticity",M798="sd (X)"),N798/AQ798,
AND(L798="elasticity",M798="sd (Y)"),N798*BI798,
AND(L798="marginal_effect",M798="percent_of_mean"),N798*AN798/BF798/10)</f>
        <v>-0.40381080000000003</v>
      </c>
      <c r="AE798" s="56">
        <f t="shared" si="323"/>
        <v>1</v>
      </c>
      <c r="AF798" s="88">
        <f t="shared" si="322"/>
        <v>0.16030680000000003</v>
      </c>
      <c r="AG798" s="88" cm="1">
        <f t="array" ref="AG798">_xlfn.IFS(
AND(L798="marginal_effect",M798="level"),O797*AN798/BF798,
AND(L798="marginal_effect",M798="sd (Y)"),O797*BI798*AN798/BF798,
AND(L798="marginal_effect",M798="sd (X)"),O797/AQ798*AN798/BF798,
AND(L798="semi_elasticity",M798="level"),O797*AN798,
AND(L798="semi_elasticity",M798="sd (Y)"),O797*AN798*BI798,
AND(L798="semi_elasticity",M798="sd (X)"),O797*AN798/AQ798,
AND(L798="level-log",M798="level"),O797/BF798,
AND(L798="level-log",M798="sd (X)"),O797/BF798/AQ798,
AND(L798="level-log",M798="sd (Y)"),O797/BF798*BI798,
AND(L798="elasticity",M798="level"),O797,
AND(L798="elasticity",M798="sd (X)"),O797/AQ798,
AND(L798="elasticity",M798="sd (Y)"),O797*BI798,
AND(L798="marginal_effect",M798="percent_of_mean"),O797*AN798/BF798/10)</f>
        <v>0.17552580000000001</v>
      </c>
      <c r="AH798" s="56">
        <f t="shared" si="324"/>
        <v>0</v>
      </c>
      <c r="AI798" s="88">
        <f t="shared" si="325"/>
        <v>-0.40381080000000003</v>
      </c>
      <c r="AJ798" s="55">
        <v>0</v>
      </c>
      <c r="AK798" s="55">
        <f t="shared" si="328"/>
        <v>1</v>
      </c>
      <c r="AL798" s="55" t="s">
        <v>148</v>
      </c>
      <c r="AM798" s="55" t="s">
        <v>1466</v>
      </c>
      <c r="AN798" s="55">
        <v>10.146000000000001</v>
      </c>
      <c r="AO798" s="55">
        <v>0</v>
      </c>
      <c r="AP798" s="55">
        <f t="shared" si="326"/>
        <v>101.46000000000001</v>
      </c>
      <c r="AQ798" s="55">
        <v>48.17</v>
      </c>
      <c r="AR798" s="55">
        <v>18</v>
      </c>
      <c r="AS798" s="55">
        <v>300</v>
      </c>
      <c r="AT798" s="55" t="s">
        <v>83</v>
      </c>
      <c r="AU798" s="55" t="s">
        <v>109</v>
      </c>
      <c r="AV798" s="55" t="s">
        <v>133</v>
      </c>
      <c r="AW798" s="55" t="s">
        <v>109</v>
      </c>
      <c r="AX798" s="55" t="s">
        <v>86</v>
      </c>
      <c r="AY798" s="55">
        <v>0</v>
      </c>
      <c r="AZ798" s="55">
        <v>35</v>
      </c>
      <c r="BA798" s="55" t="s">
        <v>87</v>
      </c>
      <c r="BB798" s="55" t="s">
        <v>88</v>
      </c>
      <c r="BC798" s="55" t="s">
        <v>89</v>
      </c>
      <c r="BD798" s="55" t="s">
        <v>90</v>
      </c>
      <c r="BE798" s="55" t="s">
        <v>1458</v>
      </c>
      <c r="BF798" s="55">
        <v>101.57</v>
      </c>
      <c r="BG798" s="55">
        <v>0</v>
      </c>
      <c r="BH798" s="55">
        <v>65.849999999999994</v>
      </c>
      <c r="BI798" s="55">
        <v>5</v>
      </c>
      <c r="BJ798" s="55">
        <v>430</v>
      </c>
      <c r="BK798" s="55" t="s">
        <v>91</v>
      </c>
      <c r="BL798" s="55" t="s">
        <v>84</v>
      </c>
      <c r="BM798" s="55">
        <v>1</v>
      </c>
      <c r="BN798" s="55" t="s">
        <v>428</v>
      </c>
      <c r="BO798" s="60" t="s">
        <v>1463</v>
      </c>
      <c r="BP798" s="55" t="s">
        <v>1464</v>
      </c>
      <c r="BQ798" s="55" t="s">
        <v>117</v>
      </c>
      <c r="BR798" s="55" t="s">
        <v>134</v>
      </c>
      <c r="BS798" s="55">
        <v>29.22</v>
      </c>
      <c r="BT798" s="55">
        <v>0.01</v>
      </c>
      <c r="BU798" s="57">
        <v>42552</v>
      </c>
      <c r="BV798" s="57">
        <v>42643</v>
      </c>
      <c r="BW798" s="55" t="s">
        <v>94</v>
      </c>
      <c r="BX798" s="55" t="s">
        <v>95</v>
      </c>
      <c r="BY798" s="55" t="s">
        <v>748</v>
      </c>
      <c r="BZ798" s="55">
        <v>1</v>
      </c>
      <c r="CA798" s="55">
        <v>1</v>
      </c>
      <c r="CB798" s="55" t="s">
        <v>303</v>
      </c>
      <c r="CC798" s="55" t="s">
        <v>314</v>
      </c>
      <c r="CD798" s="55">
        <v>1</v>
      </c>
      <c r="CE798" s="55" t="s">
        <v>1462</v>
      </c>
      <c r="CF798" s="55">
        <v>0</v>
      </c>
      <c r="CG798" s="55" t="s">
        <v>97</v>
      </c>
      <c r="CH798" s="55">
        <v>1</v>
      </c>
      <c r="CI798" s="55" t="s">
        <v>1465</v>
      </c>
      <c r="CJ798" s="55" t="s">
        <v>377</v>
      </c>
      <c r="CK798" s="55">
        <v>179</v>
      </c>
      <c r="CL798" s="55">
        <v>0</v>
      </c>
      <c r="CM798" s="55">
        <v>0</v>
      </c>
      <c r="CN798" s="55" t="s">
        <v>124</v>
      </c>
      <c r="CO798" s="55" t="s">
        <v>97</v>
      </c>
      <c r="CP798" s="55" t="s">
        <v>100</v>
      </c>
      <c r="CQ798" s="55" t="s">
        <v>126</v>
      </c>
      <c r="CR798" s="57">
        <v>46233</v>
      </c>
      <c r="CT798" s="55" t="s">
        <v>1896</v>
      </c>
    </row>
    <row r="799" spans="1:98" s="55" customFormat="1" x14ac:dyDescent="0.35">
      <c r="A799" s="54" t="s">
        <v>1459</v>
      </c>
      <c r="B799" s="54" t="s">
        <v>1876</v>
      </c>
      <c r="C799" s="55" t="s">
        <v>1460</v>
      </c>
      <c r="D799" s="55">
        <v>2022</v>
      </c>
      <c r="E799" s="60" t="s">
        <v>1461</v>
      </c>
      <c r="F799" s="54" t="s">
        <v>998</v>
      </c>
      <c r="G799" s="55" t="s">
        <v>78</v>
      </c>
      <c r="H799" s="55">
        <v>1</v>
      </c>
      <c r="I799" s="55" t="s">
        <v>290</v>
      </c>
      <c r="J799" s="55" t="s">
        <v>79</v>
      </c>
      <c r="K799" s="55">
        <v>81</v>
      </c>
      <c r="L799" s="55" t="s">
        <v>104</v>
      </c>
      <c r="M799" s="55" t="s">
        <v>380</v>
      </c>
      <c r="N799" s="55">
        <v>-4.4499999999999998E-2</v>
      </c>
      <c r="O799" s="55">
        <v>0.13969999999999999</v>
      </c>
      <c r="P799" s="88">
        <f t="shared" ref="P799:P817" si="329">N799/O799</f>
        <v>-0.31853972798854691</v>
      </c>
      <c r="Q799" s="55" t="s">
        <v>312</v>
      </c>
      <c r="R799" s="88">
        <f t="shared" ref="R799:R817" si="330">N799-1.96*O799</f>
        <v>-0.31831199999999998</v>
      </c>
      <c r="S799" s="88">
        <f t="shared" ref="S799:S817" si="331">N799+1.96*O799</f>
        <v>0.22931200000000002</v>
      </c>
      <c r="T799" s="55">
        <v>1</v>
      </c>
      <c r="U799" s="55" t="s">
        <v>312</v>
      </c>
      <c r="V799" s="55" t="s">
        <v>312</v>
      </c>
      <c r="W799" s="55" t="s">
        <v>312</v>
      </c>
      <c r="X799" s="55" t="str">
        <f t="shared" si="327"/>
        <v>NA</v>
      </c>
      <c r="Y799" s="88" t="s">
        <v>312</v>
      </c>
      <c r="Z799" s="88" t="s">
        <v>312</v>
      </c>
      <c r="AA799" s="88" t="s">
        <v>312</v>
      </c>
      <c r="AB799" s="55" t="s">
        <v>81</v>
      </c>
      <c r="AC799" s="88">
        <f t="shared" ref="AC799:AC815" si="332">N799*AN799</f>
        <v>-0.45149700000000004</v>
      </c>
      <c r="AD799" s="88" cm="1">
        <f t="array" ref="AD799">_xlfn.IFS(
AND(L799="marginal_effect",M799="level"),N799*AN799/BF799,
AND(L799="marginal_effect",M799="sd (Y)"),N799*BI799*AN799/BF799,
AND(L799="marginal_effect",M799="sd (X)"),N799/AQ799*AN799/BF799,
AND(L799="semi_elasticity",M799="level"),N799*AN799,
AND(L799="semi_elasticity",M799="sd (Y)"),N799*AN799*BI799,
AND(L799="semi_elasticity",M799="sd (X)"),N799*AN799/AQ799,
AND(L799="level-log",M799="level"),N799/BF799,
AND(L799="level-log",M799="sd (X)"),N799/BF799/AQ799,
AND(L799="level-log",M799="sd (Y)"),N799/BF799*BI799,
AND(L799="elasticity",M799="level"),N799,
AND(L799="elasticity",M799="sd (X)"),N799/AQ799,
AND(L799="elasticity",M799="sd (Y)"),N799*BI799,
AND(L799="marginal_effect",M799="percent_of_mean"),N799*AN799/BF799/10)</f>
        <v>-0.45149700000000004</v>
      </c>
      <c r="AE799" s="56">
        <f t="shared" si="323"/>
        <v>1</v>
      </c>
      <c r="AF799" s="88">
        <f t="shared" ref="AF799:AF815" si="333">O799*AN799</f>
        <v>1.4173962</v>
      </c>
      <c r="AG799" s="88" cm="1">
        <f t="array" ref="AG799">_xlfn.IFS(
AND(L799="marginal_effect",M799="level"),O798*AN799/BF799,
AND(L799="marginal_effect",M799="sd (Y)"),O798*BI799*AN799/BF799,
AND(L799="marginal_effect",M799="sd (X)"),O798/AQ799*AN799/BF799,
AND(L799="semi_elasticity",M799="level"),O798*AN799,
AND(L799="semi_elasticity",M799="sd (Y)"),O798*AN799*BI799,
AND(L799="semi_elasticity",M799="sd (X)"),O798*AN799/AQ799,
AND(L799="level-log",M799="level"),O798/BF799,
AND(L799="level-log",M799="sd (X)"),O798/BF799/AQ799,
AND(L799="level-log",M799="sd (Y)"),O798/BF799*BI799,
AND(L799="elasticity",M799="level"),O798,
AND(L799="elasticity",M799="sd (X)"),O798/AQ799,
AND(L799="elasticity",M799="sd (Y)"),O798*BI799,
AND(L799="marginal_effect",M799="percent_of_mean"),O798*AN799/BF799/10)</f>
        <v>0.16030680000000003</v>
      </c>
      <c r="AH799" s="56">
        <f t="shared" si="324"/>
        <v>0</v>
      </c>
      <c r="AI799" s="88">
        <f t="shared" si="325"/>
        <v>-0.45149700000000004</v>
      </c>
      <c r="AJ799" s="55">
        <v>0</v>
      </c>
      <c r="AK799" s="55">
        <f t="shared" si="328"/>
        <v>1</v>
      </c>
      <c r="AL799" s="55" t="s">
        <v>148</v>
      </c>
      <c r="AM799" s="55" t="s">
        <v>1466</v>
      </c>
      <c r="AN799" s="55">
        <v>10.146000000000001</v>
      </c>
      <c r="AO799" s="55">
        <v>0</v>
      </c>
      <c r="AP799" s="55">
        <f t="shared" si="326"/>
        <v>101.46000000000001</v>
      </c>
      <c r="AQ799" s="55">
        <v>48.17</v>
      </c>
      <c r="AR799" s="55">
        <v>18</v>
      </c>
      <c r="AS799" s="55">
        <v>300</v>
      </c>
      <c r="AT799" s="55" t="s">
        <v>83</v>
      </c>
      <c r="AU799" s="55" t="s">
        <v>109</v>
      </c>
      <c r="AV799" s="55" t="s">
        <v>133</v>
      </c>
      <c r="AW799" s="55" t="s">
        <v>109</v>
      </c>
      <c r="AX799" s="55" t="s">
        <v>86</v>
      </c>
      <c r="AY799" s="55">
        <v>0</v>
      </c>
      <c r="AZ799" s="55">
        <v>40</v>
      </c>
      <c r="BA799" s="55" t="s">
        <v>87</v>
      </c>
      <c r="BB799" s="55" t="s">
        <v>88</v>
      </c>
      <c r="BC799" s="55" t="s">
        <v>89</v>
      </c>
      <c r="BD799" s="55" t="s">
        <v>90</v>
      </c>
      <c r="BE799" s="55" t="s">
        <v>1458</v>
      </c>
      <c r="BF799" s="55">
        <v>101.57</v>
      </c>
      <c r="BG799" s="55">
        <v>0</v>
      </c>
      <c r="BH799" s="55">
        <v>65.849999999999994</v>
      </c>
      <c r="BI799" s="55">
        <v>5</v>
      </c>
      <c r="BJ799" s="55">
        <v>430</v>
      </c>
      <c r="BK799" s="55" t="s">
        <v>91</v>
      </c>
      <c r="BL799" s="55" t="s">
        <v>84</v>
      </c>
      <c r="BM799" s="55">
        <v>1</v>
      </c>
      <c r="BN799" s="55" t="s">
        <v>428</v>
      </c>
      <c r="BO799" s="60" t="s">
        <v>1463</v>
      </c>
      <c r="BP799" s="55" t="s">
        <v>1464</v>
      </c>
      <c r="BQ799" s="55" t="s">
        <v>117</v>
      </c>
      <c r="BR799" s="55" t="s">
        <v>134</v>
      </c>
      <c r="BS799" s="55">
        <v>29.22</v>
      </c>
      <c r="BT799" s="55">
        <v>0.01</v>
      </c>
      <c r="BU799" s="57">
        <v>42552</v>
      </c>
      <c r="BV799" s="57">
        <v>42643</v>
      </c>
      <c r="BW799" s="55" t="s">
        <v>94</v>
      </c>
      <c r="BX799" s="55" t="s">
        <v>95</v>
      </c>
      <c r="BY799" s="55" t="s">
        <v>748</v>
      </c>
      <c r="BZ799" s="55">
        <v>1</v>
      </c>
      <c r="CA799" s="55">
        <v>1</v>
      </c>
      <c r="CB799" s="55" t="s">
        <v>303</v>
      </c>
      <c r="CC799" s="55" t="s">
        <v>314</v>
      </c>
      <c r="CD799" s="55">
        <v>1</v>
      </c>
      <c r="CE799" s="55" t="s">
        <v>1462</v>
      </c>
      <c r="CF799" s="55">
        <v>0</v>
      </c>
      <c r="CG799" s="55" t="s">
        <v>97</v>
      </c>
      <c r="CH799" s="55">
        <v>1</v>
      </c>
      <c r="CI799" s="55" t="s">
        <v>1465</v>
      </c>
      <c r="CJ799" s="55" t="s">
        <v>377</v>
      </c>
      <c r="CK799" s="55">
        <v>179</v>
      </c>
      <c r="CL799" s="55">
        <v>0</v>
      </c>
      <c r="CM799" s="55">
        <v>0</v>
      </c>
      <c r="CN799" s="55" t="s">
        <v>124</v>
      </c>
      <c r="CO799" s="55" t="s">
        <v>97</v>
      </c>
      <c r="CP799" s="55" t="s">
        <v>100</v>
      </c>
      <c r="CQ799" s="55" t="s">
        <v>126</v>
      </c>
      <c r="CR799" s="57">
        <v>46233</v>
      </c>
      <c r="CT799" s="55" t="s">
        <v>1896</v>
      </c>
    </row>
    <row r="800" spans="1:98" s="55" customFormat="1" x14ac:dyDescent="0.35">
      <c r="A800" s="54" t="s">
        <v>1459</v>
      </c>
      <c r="B800" s="54" t="s">
        <v>1877</v>
      </c>
      <c r="C800" s="55" t="s">
        <v>1460</v>
      </c>
      <c r="D800" s="55">
        <v>2022</v>
      </c>
      <c r="E800" s="60" t="s">
        <v>1461</v>
      </c>
      <c r="F800" s="54" t="s">
        <v>998</v>
      </c>
      <c r="G800" s="55" t="s">
        <v>78</v>
      </c>
      <c r="H800" s="55">
        <v>1</v>
      </c>
      <c r="I800" s="55" t="s">
        <v>290</v>
      </c>
      <c r="J800" s="55" t="s">
        <v>79</v>
      </c>
      <c r="K800" s="55">
        <v>81</v>
      </c>
      <c r="L800" s="55" t="s">
        <v>104</v>
      </c>
      <c r="M800" s="55" t="s">
        <v>380</v>
      </c>
      <c r="N800" s="55">
        <v>-0.1371</v>
      </c>
      <c r="O800" s="55">
        <v>5.5999999999999999E-3</v>
      </c>
      <c r="P800" s="88">
        <f t="shared" si="329"/>
        <v>-24.482142857142858</v>
      </c>
      <c r="Q800" s="55" t="s">
        <v>312</v>
      </c>
      <c r="R800" s="88">
        <f t="shared" si="330"/>
        <v>-0.14807599999999999</v>
      </c>
      <c r="S800" s="88">
        <f t="shared" si="331"/>
        <v>-0.12612400000000001</v>
      </c>
      <c r="T800" s="55">
        <v>1</v>
      </c>
      <c r="U800" s="55" t="s">
        <v>312</v>
      </c>
      <c r="V800" s="55" t="s">
        <v>312</v>
      </c>
      <c r="W800" s="55" t="s">
        <v>312</v>
      </c>
      <c r="X800" s="55" t="str">
        <f t="shared" si="327"/>
        <v>NA</v>
      </c>
      <c r="Y800" s="88" t="s">
        <v>312</v>
      </c>
      <c r="Z800" s="88" t="s">
        <v>312</v>
      </c>
      <c r="AA800" s="88" t="s">
        <v>312</v>
      </c>
      <c r="AB800" s="55" t="s">
        <v>81</v>
      </c>
      <c r="AC800" s="88">
        <f t="shared" si="332"/>
        <v>-1.3910166000000002</v>
      </c>
      <c r="AD800" s="88" cm="1">
        <f t="array" ref="AD800">_xlfn.IFS(
AND(L800="marginal_effect",M800="level"),N800*AN800/BF800,
AND(L800="marginal_effect",M800="sd (Y)"),N800*BI800*AN800/BF800,
AND(L800="marginal_effect",M800="sd (X)"),N800/AQ800*AN800/BF800,
AND(L800="semi_elasticity",M800="level"),N800*AN800,
AND(L800="semi_elasticity",M800="sd (Y)"),N800*AN800*BI800,
AND(L800="semi_elasticity",M800="sd (X)"),N800*AN800/AQ800,
AND(L800="level-log",M800="level"),N800/BF800,
AND(L800="level-log",M800="sd (X)"),N800/BF800/AQ800,
AND(L800="level-log",M800="sd (Y)"),N800/BF800*BI800,
AND(L800="elasticity",M800="level"),N800,
AND(L800="elasticity",M800="sd (X)"),N800/AQ800,
AND(L800="elasticity",M800="sd (Y)"),N800*BI800,
AND(L800="marginal_effect",M800="percent_of_mean"),N800*AN800/BF800/10)</f>
        <v>-1.3910166000000002</v>
      </c>
      <c r="AE800" s="56">
        <f t="shared" ref="AE800:AE831" si="334">IF(AC800=AD800,1,0)</f>
        <v>1</v>
      </c>
      <c r="AF800" s="88">
        <f t="shared" si="333"/>
        <v>5.6817600000000003E-2</v>
      </c>
      <c r="AG800" s="88" cm="1">
        <f t="array" ref="AG800">_xlfn.IFS(
AND(L800="marginal_effect",M800="level"),O799*AN800/BF800,
AND(L800="marginal_effect",M800="sd (Y)"),O799*BI800*AN800/BF800,
AND(L800="marginal_effect",M800="sd (X)"),O799/AQ800*AN800/BF800,
AND(L800="semi_elasticity",M800="level"),O799*AN800,
AND(L800="semi_elasticity",M800="sd (Y)"),O799*AN800*BI800,
AND(L800="semi_elasticity",M800="sd (X)"),O799*AN800/AQ800,
AND(L800="level-log",M800="level"),O799/BF800,
AND(L800="level-log",M800="sd (X)"),O799/BF800/AQ800,
AND(L800="level-log",M800="sd (Y)"),O799/BF800*BI800,
AND(L800="elasticity",M800="level"),O799,
AND(L800="elasticity",M800="sd (X)"),O799/AQ800,
AND(L800="elasticity",M800="sd (Y)"),O799*BI800,
AND(L800="marginal_effect",M800="percent_of_mean"),O799*AN800/BF800/10)</f>
        <v>1.4173962</v>
      </c>
      <c r="AH800" s="56">
        <f t="shared" ref="AH800:AH817" si="335">IF(AF800=AG800,1,0)</f>
        <v>0</v>
      </c>
      <c r="AI800" s="88">
        <f t="shared" si="325"/>
        <v>-1.3910166000000002</v>
      </c>
      <c r="AJ800" s="55">
        <v>0</v>
      </c>
      <c r="AK800" s="55">
        <f t="shared" si="328"/>
        <v>1</v>
      </c>
      <c r="AL800" s="55" t="s">
        <v>148</v>
      </c>
      <c r="AM800" s="55" t="s">
        <v>1466</v>
      </c>
      <c r="AN800" s="55">
        <v>10.146000000000001</v>
      </c>
      <c r="AO800" s="55">
        <v>0</v>
      </c>
      <c r="AP800" s="55">
        <f t="shared" si="326"/>
        <v>101.46000000000001</v>
      </c>
      <c r="AQ800" s="55">
        <v>48.17</v>
      </c>
      <c r="AR800" s="55">
        <v>18</v>
      </c>
      <c r="AS800" s="55">
        <v>300</v>
      </c>
      <c r="AT800" s="55" t="s">
        <v>83</v>
      </c>
      <c r="AU800" s="55" t="s">
        <v>109</v>
      </c>
      <c r="AV800" s="55" t="s">
        <v>133</v>
      </c>
      <c r="AW800" s="55" t="s">
        <v>109</v>
      </c>
      <c r="AX800" s="55" t="s">
        <v>86</v>
      </c>
      <c r="AY800" s="55">
        <v>0</v>
      </c>
      <c r="AZ800" s="55">
        <v>5</v>
      </c>
      <c r="BA800" s="55" t="s">
        <v>87</v>
      </c>
      <c r="BB800" s="55" t="s">
        <v>88</v>
      </c>
      <c r="BC800" s="55" t="s">
        <v>89</v>
      </c>
      <c r="BD800" s="55" t="s">
        <v>90</v>
      </c>
      <c r="BE800" s="55" t="s">
        <v>1458</v>
      </c>
      <c r="BF800" s="55">
        <v>101.57</v>
      </c>
      <c r="BG800" s="55">
        <v>0</v>
      </c>
      <c r="BH800" s="55">
        <v>65.849999999999994</v>
      </c>
      <c r="BI800" s="55">
        <v>5</v>
      </c>
      <c r="BJ800" s="55">
        <v>430</v>
      </c>
      <c r="BK800" s="55" t="s">
        <v>91</v>
      </c>
      <c r="BL800" s="55" t="s">
        <v>84</v>
      </c>
      <c r="BM800" s="55">
        <v>1</v>
      </c>
      <c r="BN800" s="55" t="s">
        <v>428</v>
      </c>
      <c r="BO800" s="60" t="s">
        <v>1463</v>
      </c>
      <c r="BP800" s="55" t="s">
        <v>1464</v>
      </c>
      <c r="BQ800" s="55" t="s">
        <v>117</v>
      </c>
      <c r="BR800" s="55" t="s">
        <v>134</v>
      </c>
      <c r="BS800" s="55">
        <v>29.22</v>
      </c>
      <c r="BT800" s="55">
        <v>0.01</v>
      </c>
      <c r="BU800" s="57">
        <v>42552</v>
      </c>
      <c r="BV800" s="57">
        <v>42643</v>
      </c>
      <c r="BW800" s="55" t="s">
        <v>94</v>
      </c>
      <c r="BX800" s="55" t="s">
        <v>95</v>
      </c>
      <c r="BY800" s="55" t="s">
        <v>748</v>
      </c>
      <c r="BZ800" s="55">
        <v>1</v>
      </c>
      <c r="CA800" s="55">
        <v>1</v>
      </c>
      <c r="CB800" s="55" t="s">
        <v>303</v>
      </c>
      <c r="CC800" s="55" t="s">
        <v>314</v>
      </c>
      <c r="CD800" s="55">
        <v>1</v>
      </c>
      <c r="CE800" s="55" t="s">
        <v>1462</v>
      </c>
      <c r="CF800" s="55">
        <v>1</v>
      </c>
      <c r="CG800" s="55" t="s">
        <v>82</v>
      </c>
      <c r="CH800" s="55">
        <v>1</v>
      </c>
      <c r="CI800" s="55" t="s">
        <v>1465</v>
      </c>
      <c r="CJ800" s="55" t="s">
        <v>377</v>
      </c>
      <c r="CK800" s="55">
        <v>179</v>
      </c>
      <c r="CL800" s="55">
        <v>0</v>
      </c>
      <c r="CM800" s="55">
        <v>0</v>
      </c>
      <c r="CN800" s="55" t="s">
        <v>124</v>
      </c>
      <c r="CO800" s="55" t="s">
        <v>97</v>
      </c>
      <c r="CP800" s="55" t="s">
        <v>100</v>
      </c>
      <c r="CQ800" s="55" t="s">
        <v>126</v>
      </c>
      <c r="CR800" s="57">
        <v>46233</v>
      </c>
      <c r="CT800" s="55" t="s">
        <v>1897</v>
      </c>
    </row>
    <row r="801" spans="1:98" s="55" customFormat="1" x14ac:dyDescent="0.35">
      <c r="A801" s="54" t="s">
        <v>1459</v>
      </c>
      <c r="B801" s="54" t="s">
        <v>1878</v>
      </c>
      <c r="C801" s="55" t="s">
        <v>1460</v>
      </c>
      <c r="D801" s="55">
        <v>2022</v>
      </c>
      <c r="E801" s="60" t="s">
        <v>1461</v>
      </c>
      <c r="F801" s="54" t="s">
        <v>998</v>
      </c>
      <c r="G801" s="55" t="s">
        <v>78</v>
      </c>
      <c r="H801" s="55">
        <v>1</v>
      </c>
      <c r="I801" s="55" t="s">
        <v>290</v>
      </c>
      <c r="J801" s="55" t="s">
        <v>79</v>
      </c>
      <c r="K801" s="55">
        <v>81</v>
      </c>
      <c r="L801" s="55" t="s">
        <v>104</v>
      </c>
      <c r="M801" s="55" t="s">
        <v>380</v>
      </c>
      <c r="N801" s="55">
        <v>-7.6E-3</v>
      </c>
      <c r="O801" s="55">
        <v>6.4999999999999997E-3</v>
      </c>
      <c r="P801" s="88">
        <f t="shared" si="329"/>
        <v>-1.1692307692307693</v>
      </c>
      <c r="Q801" s="55" t="s">
        <v>312</v>
      </c>
      <c r="R801" s="88">
        <f t="shared" si="330"/>
        <v>-2.034E-2</v>
      </c>
      <c r="S801" s="88">
        <f t="shared" si="331"/>
        <v>5.1399999999999996E-3</v>
      </c>
      <c r="T801" s="55">
        <v>1</v>
      </c>
      <c r="U801" s="55" t="s">
        <v>312</v>
      </c>
      <c r="V801" s="55" t="s">
        <v>312</v>
      </c>
      <c r="W801" s="55" t="s">
        <v>312</v>
      </c>
      <c r="X801" s="55" t="str">
        <f t="shared" si="327"/>
        <v>NA</v>
      </c>
      <c r="Y801" s="88" t="s">
        <v>312</v>
      </c>
      <c r="Z801" s="88" t="s">
        <v>312</v>
      </c>
      <c r="AA801" s="88" t="s">
        <v>312</v>
      </c>
      <c r="AB801" s="55" t="s">
        <v>81</v>
      </c>
      <c r="AC801" s="88">
        <f t="shared" si="332"/>
        <v>-7.71096E-2</v>
      </c>
      <c r="AD801" s="88" cm="1">
        <f t="array" ref="AD801">_xlfn.IFS(
AND(L801="marginal_effect",M801="level"),N801*AN801/BF801,
AND(L801="marginal_effect",M801="sd (Y)"),N801*BI801*AN801/BF801,
AND(L801="marginal_effect",M801="sd (X)"),N801/AQ801*AN801/BF801,
AND(L801="semi_elasticity",M801="level"),N801*AN801,
AND(L801="semi_elasticity",M801="sd (Y)"),N801*AN801*BI801,
AND(L801="semi_elasticity",M801="sd (X)"),N801*AN801/AQ801,
AND(L801="level-log",M801="level"),N801/BF801,
AND(L801="level-log",M801="sd (X)"),N801/BF801/AQ801,
AND(L801="level-log",M801="sd (Y)"),N801/BF801*BI801,
AND(L801="elasticity",M801="level"),N801,
AND(L801="elasticity",M801="sd (X)"),N801/AQ801,
AND(L801="elasticity",M801="sd (Y)"),N801*BI801,
AND(L801="marginal_effect",M801="percent_of_mean"),N801*AN801/BF801/10)</f>
        <v>-7.71096E-2</v>
      </c>
      <c r="AE801" s="56">
        <f t="shared" si="334"/>
        <v>1</v>
      </c>
      <c r="AF801" s="88">
        <f t="shared" si="333"/>
        <v>6.5949000000000008E-2</v>
      </c>
      <c r="AG801" s="88" cm="1">
        <f t="array" ref="AG801">_xlfn.IFS(
AND(L801="marginal_effect",M801="level"),O800*AN801/BF801,
AND(L801="marginal_effect",M801="sd (Y)"),O800*BI801*AN801/BF801,
AND(L801="marginal_effect",M801="sd (X)"),O800/AQ801*AN801/BF801,
AND(L801="semi_elasticity",M801="level"),O800*AN801,
AND(L801="semi_elasticity",M801="sd (Y)"),O800*AN801*BI801,
AND(L801="semi_elasticity",M801="sd (X)"),O800*AN801/AQ801,
AND(L801="level-log",M801="level"),O800/BF801,
AND(L801="level-log",M801="sd (X)"),O800/BF801/AQ801,
AND(L801="level-log",M801="sd (Y)"),O800/BF801*BI801,
AND(L801="elasticity",M801="level"),O800,
AND(L801="elasticity",M801="sd (X)"),O800/AQ801,
AND(L801="elasticity",M801="sd (Y)"),O800*BI801,
AND(L801="marginal_effect",M801="percent_of_mean"),O800*AN801/BF801/10)</f>
        <v>5.6817600000000003E-2</v>
      </c>
      <c r="AH801" s="56">
        <f t="shared" si="335"/>
        <v>0</v>
      </c>
      <c r="AI801" s="88">
        <f t="shared" si="325"/>
        <v>-7.71096E-2</v>
      </c>
      <c r="AJ801" s="55">
        <v>0</v>
      </c>
      <c r="AK801" s="55">
        <f t="shared" si="328"/>
        <v>1</v>
      </c>
      <c r="AL801" s="55" t="s">
        <v>148</v>
      </c>
      <c r="AM801" s="55" t="s">
        <v>1466</v>
      </c>
      <c r="AN801" s="55">
        <v>10.146000000000001</v>
      </c>
      <c r="AO801" s="55">
        <v>0</v>
      </c>
      <c r="AP801" s="55">
        <f t="shared" si="326"/>
        <v>101.46000000000001</v>
      </c>
      <c r="AQ801" s="55">
        <v>48.17</v>
      </c>
      <c r="AR801" s="55">
        <v>18</v>
      </c>
      <c r="AS801" s="55">
        <v>300</v>
      </c>
      <c r="AT801" s="55" t="s">
        <v>83</v>
      </c>
      <c r="AU801" s="55" t="s">
        <v>109</v>
      </c>
      <c r="AV801" s="55" t="s">
        <v>133</v>
      </c>
      <c r="AW801" s="55" t="s">
        <v>109</v>
      </c>
      <c r="AX801" s="55" t="s">
        <v>86</v>
      </c>
      <c r="AY801" s="55">
        <v>0</v>
      </c>
      <c r="AZ801" s="55">
        <v>10</v>
      </c>
      <c r="BA801" s="55" t="s">
        <v>87</v>
      </c>
      <c r="BB801" s="55" t="s">
        <v>88</v>
      </c>
      <c r="BC801" s="55" t="s">
        <v>89</v>
      </c>
      <c r="BD801" s="55" t="s">
        <v>90</v>
      </c>
      <c r="BE801" s="55" t="s">
        <v>1458</v>
      </c>
      <c r="BF801" s="55">
        <v>101.57</v>
      </c>
      <c r="BG801" s="55">
        <v>0</v>
      </c>
      <c r="BH801" s="55">
        <v>65.849999999999994</v>
      </c>
      <c r="BI801" s="55">
        <v>5</v>
      </c>
      <c r="BJ801" s="55">
        <v>430</v>
      </c>
      <c r="BK801" s="55" t="s">
        <v>91</v>
      </c>
      <c r="BL801" s="55" t="s">
        <v>84</v>
      </c>
      <c r="BM801" s="55">
        <v>1</v>
      </c>
      <c r="BN801" s="55" t="s">
        <v>428</v>
      </c>
      <c r="BO801" s="60" t="s">
        <v>1463</v>
      </c>
      <c r="BP801" s="55" t="s">
        <v>1464</v>
      </c>
      <c r="BQ801" s="55" t="s">
        <v>117</v>
      </c>
      <c r="BR801" s="55" t="s">
        <v>134</v>
      </c>
      <c r="BS801" s="55">
        <v>29.22</v>
      </c>
      <c r="BT801" s="55">
        <v>0.01</v>
      </c>
      <c r="BU801" s="57">
        <v>42552</v>
      </c>
      <c r="BV801" s="57">
        <v>42643</v>
      </c>
      <c r="BW801" s="55" t="s">
        <v>94</v>
      </c>
      <c r="BX801" s="55" t="s">
        <v>95</v>
      </c>
      <c r="BY801" s="55" t="s">
        <v>748</v>
      </c>
      <c r="BZ801" s="55">
        <v>1</v>
      </c>
      <c r="CA801" s="55">
        <v>1</v>
      </c>
      <c r="CB801" s="55" t="s">
        <v>303</v>
      </c>
      <c r="CC801" s="55" t="s">
        <v>314</v>
      </c>
      <c r="CD801" s="55">
        <v>1</v>
      </c>
      <c r="CE801" s="55" t="s">
        <v>1462</v>
      </c>
      <c r="CF801" s="55">
        <v>1</v>
      </c>
      <c r="CG801" s="55" t="s">
        <v>82</v>
      </c>
      <c r="CH801" s="55">
        <v>1</v>
      </c>
      <c r="CI801" s="55" t="s">
        <v>1465</v>
      </c>
      <c r="CJ801" s="55" t="s">
        <v>377</v>
      </c>
      <c r="CK801" s="55">
        <v>179</v>
      </c>
      <c r="CL801" s="55">
        <v>0</v>
      </c>
      <c r="CM801" s="55">
        <v>0</v>
      </c>
      <c r="CN801" s="55" t="s">
        <v>124</v>
      </c>
      <c r="CO801" s="55" t="s">
        <v>97</v>
      </c>
      <c r="CP801" s="55" t="s">
        <v>100</v>
      </c>
      <c r="CQ801" s="55" t="s">
        <v>126</v>
      </c>
      <c r="CR801" s="57">
        <v>46233</v>
      </c>
      <c r="CT801" s="55" t="s">
        <v>1897</v>
      </c>
    </row>
    <row r="802" spans="1:98" s="55" customFormat="1" x14ac:dyDescent="0.35">
      <c r="A802" s="54" t="s">
        <v>1459</v>
      </c>
      <c r="B802" s="54" t="s">
        <v>1879</v>
      </c>
      <c r="C802" s="55" t="s">
        <v>1460</v>
      </c>
      <c r="D802" s="55">
        <v>2022</v>
      </c>
      <c r="E802" s="60" t="s">
        <v>1461</v>
      </c>
      <c r="F802" s="54" t="s">
        <v>998</v>
      </c>
      <c r="G802" s="55" t="s">
        <v>78</v>
      </c>
      <c r="H802" s="55">
        <v>1</v>
      </c>
      <c r="I802" s="55" t="s">
        <v>290</v>
      </c>
      <c r="J802" s="55" t="s">
        <v>79</v>
      </c>
      <c r="K802" s="55">
        <v>81</v>
      </c>
      <c r="L802" s="55" t="s">
        <v>104</v>
      </c>
      <c r="M802" s="55" t="s">
        <v>380</v>
      </c>
      <c r="N802" s="55">
        <v>-4.1500000000000002E-2</v>
      </c>
      <c r="O802" s="55">
        <v>2.5100000000000001E-2</v>
      </c>
      <c r="P802" s="88">
        <f t="shared" si="329"/>
        <v>-1.653386454183267</v>
      </c>
      <c r="Q802" s="55" t="s">
        <v>312</v>
      </c>
      <c r="R802" s="88">
        <f t="shared" si="330"/>
        <v>-9.0695999999999999E-2</v>
      </c>
      <c r="S802" s="88">
        <f t="shared" si="331"/>
        <v>7.6960000000000015E-3</v>
      </c>
      <c r="T802" s="55">
        <v>1</v>
      </c>
      <c r="U802" s="55" t="s">
        <v>312</v>
      </c>
      <c r="V802" s="55" t="s">
        <v>312</v>
      </c>
      <c r="W802" s="55" t="s">
        <v>312</v>
      </c>
      <c r="X802" s="55" t="str">
        <f t="shared" si="327"/>
        <v>NA</v>
      </c>
      <c r="Y802" s="88" t="s">
        <v>312</v>
      </c>
      <c r="Z802" s="88" t="s">
        <v>312</v>
      </c>
      <c r="AA802" s="88" t="s">
        <v>312</v>
      </c>
      <c r="AB802" s="55" t="s">
        <v>81</v>
      </c>
      <c r="AC802" s="88">
        <f t="shared" si="332"/>
        <v>-0.42105900000000007</v>
      </c>
      <c r="AD802" s="88" cm="1">
        <f t="array" ref="AD802">_xlfn.IFS(
AND(L802="marginal_effect",M802="level"),N802*AN802/BF802,
AND(L802="marginal_effect",M802="sd (Y)"),N802*BI802*AN802/BF802,
AND(L802="marginal_effect",M802="sd (X)"),N802/AQ802*AN802/BF802,
AND(L802="semi_elasticity",M802="level"),N802*AN802,
AND(L802="semi_elasticity",M802="sd (Y)"),N802*AN802*BI802,
AND(L802="semi_elasticity",M802="sd (X)"),N802*AN802/AQ802,
AND(L802="level-log",M802="level"),N802/BF802,
AND(L802="level-log",M802="sd (X)"),N802/BF802/AQ802,
AND(L802="level-log",M802="sd (Y)"),N802/BF802*BI802,
AND(L802="elasticity",M802="level"),N802,
AND(L802="elasticity",M802="sd (X)"),N802/AQ802,
AND(L802="elasticity",M802="sd (Y)"),N802*BI802,
AND(L802="marginal_effect",M802="percent_of_mean"),N802*AN802/BF802/10)</f>
        <v>-0.42105900000000007</v>
      </c>
      <c r="AE802" s="56">
        <f t="shared" si="334"/>
        <v>1</v>
      </c>
      <c r="AF802" s="88">
        <f t="shared" si="333"/>
        <v>0.25466460000000002</v>
      </c>
      <c r="AG802" s="88" cm="1">
        <f t="array" ref="AG802">_xlfn.IFS(
AND(L802="marginal_effect",M802="level"),O801*AN802/BF802,
AND(L802="marginal_effect",M802="sd (Y)"),O801*BI802*AN802/BF802,
AND(L802="marginal_effect",M802="sd (X)"),O801/AQ802*AN802/BF802,
AND(L802="semi_elasticity",M802="level"),O801*AN802,
AND(L802="semi_elasticity",M802="sd (Y)"),O801*AN802*BI802,
AND(L802="semi_elasticity",M802="sd (X)"),O801*AN802/AQ802,
AND(L802="level-log",M802="level"),O801/BF802,
AND(L802="level-log",M802="sd (X)"),O801/BF802/AQ802,
AND(L802="level-log",M802="sd (Y)"),O801/BF802*BI802,
AND(L802="elasticity",M802="level"),O801,
AND(L802="elasticity",M802="sd (X)"),O801/AQ802,
AND(L802="elasticity",M802="sd (Y)"),O801*BI802,
AND(L802="marginal_effect",M802="percent_of_mean"),O801*AN802/BF802/10)</f>
        <v>6.5949000000000008E-2</v>
      </c>
      <c r="AH802" s="56">
        <f t="shared" si="335"/>
        <v>0</v>
      </c>
      <c r="AI802" s="88">
        <f t="shared" si="325"/>
        <v>-0.42105900000000007</v>
      </c>
      <c r="AJ802" s="55">
        <v>0</v>
      </c>
      <c r="AK802" s="55">
        <f t="shared" si="328"/>
        <v>1</v>
      </c>
      <c r="AL802" s="55" t="s">
        <v>148</v>
      </c>
      <c r="AM802" s="55" t="s">
        <v>1466</v>
      </c>
      <c r="AN802" s="55">
        <v>10.146000000000001</v>
      </c>
      <c r="AO802" s="55">
        <v>0</v>
      </c>
      <c r="AP802" s="55">
        <f t="shared" si="326"/>
        <v>101.46000000000001</v>
      </c>
      <c r="AQ802" s="55">
        <v>48.17</v>
      </c>
      <c r="AR802" s="55">
        <v>18</v>
      </c>
      <c r="AS802" s="55">
        <v>300</v>
      </c>
      <c r="AT802" s="55" t="s">
        <v>83</v>
      </c>
      <c r="AU802" s="55" t="s">
        <v>109</v>
      </c>
      <c r="AV802" s="55" t="s">
        <v>133</v>
      </c>
      <c r="AW802" s="55" t="s">
        <v>109</v>
      </c>
      <c r="AX802" s="55" t="s">
        <v>86</v>
      </c>
      <c r="AY802" s="55">
        <v>0</v>
      </c>
      <c r="AZ802" s="55">
        <v>15</v>
      </c>
      <c r="BA802" s="55" t="s">
        <v>87</v>
      </c>
      <c r="BB802" s="55" t="s">
        <v>88</v>
      </c>
      <c r="BC802" s="55" t="s">
        <v>89</v>
      </c>
      <c r="BD802" s="55" t="s">
        <v>90</v>
      </c>
      <c r="BE802" s="55" t="s">
        <v>1458</v>
      </c>
      <c r="BF802" s="55">
        <v>101.57</v>
      </c>
      <c r="BG802" s="55">
        <v>0</v>
      </c>
      <c r="BH802" s="55">
        <v>65.849999999999994</v>
      </c>
      <c r="BI802" s="55">
        <v>5</v>
      </c>
      <c r="BJ802" s="55">
        <v>430</v>
      </c>
      <c r="BK802" s="55" t="s">
        <v>91</v>
      </c>
      <c r="BL802" s="55" t="s">
        <v>84</v>
      </c>
      <c r="BM802" s="55">
        <v>1</v>
      </c>
      <c r="BN802" s="55" t="s">
        <v>428</v>
      </c>
      <c r="BO802" s="60" t="s">
        <v>1463</v>
      </c>
      <c r="BP802" s="55" t="s">
        <v>1464</v>
      </c>
      <c r="BQ802" s="55" t="s">
        <v>117</v>
      </c>
      <c r="BR802" s="55" t="s">
        <v>134</v>
      </c>
      <c r="BS802" s="55">
        <v>29.22</v>
      </c>
      <c r="BT802" s="55">
        <v>0.01</v>
      </c>
      <c r="BU802" s="57">
        <v>42552</v>
      </c>
      <c r="BV802" s="57">
        <v>42643</v>
      </c>
      <c r="BW802" s="55" t="s">
        <v>94</v>
      </c>
      <c r="BX802" s="55" t="s">
        <v>95</v>
      </c>
      <c r="BY802" s="55" t="s">
        <v>748</v>
      </c>
      <c r="BZ802" s="55">
        <v>1</v>
      </c>
      <c r="CA802" s="55">
        <v>1</v>
      </c>
      <c r="CB802" s="55" t="s">
        <v>303</v>
      </c>
      <c r="CC802" s="55" t="s">
        <v>314</v>
      </c>
      <c r="CD802" s="55">
        <v>1</v>
      </c>
      <c r="CE802" s="55" t="s">
        <v>1462</v>
      </c>
      <c r="CF802" s="55">
        <v>1</v>
      </c>
      <c r="CG802" s="55" t="s">
        <v>82</v>
      </c>
      <c r="CH802" s="55">
        <v>1</v>
      </c>
      <c r="CI802" s="55" t="s">
        <v>1465</v>
      </c>
      <c r="CJ802" s="55" t="s">
        <v>377</v>
      </c>
      <c r="CK802" s="55">
        <v>179</v>
      </c>
      <c r="CL802" s="55">
        <v>0</v>
      </c>
      <c r="CM802" s="55">
        <v>0</v>
      </c>
      <c r="CN802" s="55" t="s">
        <v>124</v>
      </c>
      <c r="CO802" s="55" t="s">
        <v>97</v>
      </c>
      <c r="CP802" s="55" t="s">
        <v>100</v>
      </c>
      <c r="CQ802" s="55" t="s">
        <v>126</v>
      </c>
      <c r="CR802" s="57">
        <v>46233</v>
      </c>
      <c r="CT802" s="55" t="s">
        <v>1897</v>
      </c>
    </row>
    <row r="803" spans="1:98" s="55" customFormat="1" x14ac:dyDescent="0.35">
      <c r="A803" s="54" t="s">
        <v>1459</v>
      </c>
      <c r="B803" s="54" t="s">
        <v>1880</v>
      </c>
      <c r="C803" s="55" t="s">
        <v>1460</v>
      </c>
      <c r="D803" s="55">
        <v>2022</v>
      </c>
      <c r="E803" s="60" t="s">
        <v>1461</v>
      </c>
      <c r="F803" s="54" t="s">
        <v>998</v>
      </c>
      <c r="G803" s="55" t="s">
        <v>78</v>
      </c>
      <c r="H803" s="55">
        <v>1</v>
      </c>
      <c r="I803" s="55" t="s">
        <v>290</v>
      </c>
      <c r="J803" s="55" t="s">
        <v>79</v>
      </c>
      <c r="K803" s="55">
        <v>81</v>
      </c>
      <c r="L803" s="55" t="s">
        <v>104</v>
      </c>
      <c r="M803" s="55" t="s">
        <v>380</v>
      </c>
      <c r="N803" s="55">
        <v>-0.02</v>
      </c>
      <c r="O803" s="55">
        <v>1.44E-2</v>
      </c>
      <c r="P803" s="88">
        <f t="shared" si="329"/>
        <v>-1.3888888888888891</v>
      </c>
      <c r="Q803" s="55" t="s">
        <v>312</v>
      </c>
      <c r="R803" s="88">
        <f t="shared" si="330"/>
        <v>-4.8224000000000003E-2</v>
      </c>
      <c r="S803" s="88">
        <f t="shared" si="331"/>
        <v>8.2239999999999987E-3</v>
      </c>
      <c r="T803" s="55">
        <v>1</v>
      </c>
      <c r="U803" s="55" t="s">
        <v>312</v>
      </c>
      <c r="V803" s="55" t="s">
        <v>312</v>
      </c>
      <c r="W803" s="55" t="s">
        <v>312</v>
      </c>
      <c r="X803" s="55" t="str">
        <f t="shared" si="327"/>
        <v>NA</v>
      </c>
      <c r="Y803" s="88" t="s">
        <v>312</v>
      </c>
      <c r="Z803" s="88" t="s">
        <v>312</v>
      </c>
      <c r="AA803" s="88" t="s">
        <v>312</v>
      </c>
      <c r="AB803" s="55" t="s">
        <v>81</v>
      </c>
      <c r="AC803" s="88">
        <f t="shared" si="332"/>
        <v>-0.20292000000000002</v>
      </c>
      <c r="AD803" s="88" cm="1">
        <f t="array" ref="AD803">_xlfn.IFS(
AND(L803="marginal_effect",M803="level"),N803*AN803/BF803,
AND(L803="marginal_effect",M803="sd (Y)"),N803*BI803*AN803/BF803,
AND(L803="marginal_effect",M803="sd (X)"),N803/AQ803*AN803/BF803,
AND(L803="semi_elasticity",M803="level"),N803*AN803,
AND(L803="semi_elasticity",M803="sd (Y)"),N803*AN803*BI803,
AND(L803="semi_elasticity",M803="sd (X)"),N803*AN803/AQ803,
AND(L803="level-log",M803="level"),N803/BF803,
AND(L803="level-log",M803="sd (X)"),N803/BF803/AQ803,
AND(L803="level-log",M803="sd (Y)"),N803/BF803*BI803,
AND(L803="elasticity",M803="level"),N803,
AND(L803="elasticity",M803="sd (X)"),N803/AQ803,
AND(L803="elasticity",M803="sd (Y)"),N803*BI803,
AND(L803="marginal_effect",M803="percent_of_mean"),N803*AN803/BF803/10)</f>
        <v>-0.20292000000000002</v>
      </c>
      <c r="AE803" s="56">
        <f t="shared" si="334"/>
        <v>1</v>
      </c>
      <c r="AF803" s="88">
        <f t="shared" si="333"/>
        <v>0.14610240000000002</v>
      </c>
      <c r="AG803" s="88" cm="1">
        <f t="array" ref="AG803">_xlfn.IFS(
AND(L803="marginal_effect",M803="level"),O802*AN803/BF803,
AND(L803="marginal_effect",M803="sd (Y)"),O802*BI803*AN803/BF803,
AND(L803="marginal_effect",M803="sd (X)"),O802/AQ803*AN803/BF803,
AND(L803="semi_elasticity",M803="level"),O802*AN803,
AND(L803="semi_elasticity",M803="sd (Y)"),O802*AN803*BI803,
AND(L803="semi_elasticity",M803="sd (X)"),O802*AN803/AQ803,
AND(L803="level-log",M803="level"),O802/BF803,
AND(L803="level-log",M803="sd (X)"),O802/BF803/AQ803,
AND(L803="level-log",M803="sd (Y)"),O802/BF803*BI803,
AND(L803="elasticity",M803="level"),O802,
AND(L803="elasticity",M803="sd (X)"),O802/AQ803,
AND(L803="elasticity",M803="sd (Y)"),O802*BI803,
AND(L803="marginal_effect",M803="percent_of_mean"),O802*AN803/BF803/10)</f>
        <v>0.25466460000000002</v>
      </c>
      <c r="AH803" s="56">
        <f t="shared" si="335"/>
        <v>0</v>
      </c>
      <c r="AI803" s="88">
        <f t="shared" si="325"/>
        <v>-0.20292000000000002</v>
      </c>
      <c r="AJ803" s="55">
        <v>0</v>
      </c>
      <c r="AK803" s="55">
        <f t="shared" si="328"/>
        <v>1</v>
      </c>
      <c r="AL803" s="55" t="s">
        <v>148</v>
      </c>
      <c r="AM803" s="55" t="s">
        <v>1466</v>
      </c>
      <c r="AN803" s="55">
        <v>10.146000000000001</v>
      </c>
      <c r="AO803" s="55">
        <v>0</v>
      </c>
      <c r="AP803" s="55">
        <f t="shared" si="326"/>
        <v>101.46000000000001</v>
      </c>
      <c r="AQ803" s="55">
        <v>48.17</v>
      </c>
      <c r="AR803" s="55">
        <v>18</v>
      </c>
      <c r="AS803" s="55">
        <v>300</v>
      </c>
      <c r="AT803" s="55" t="s">
        <v>83</v>
      </c>
      <c r="AU803" s="55" t="s">
        <v>109</v>
      </c>
      <c r="AV803" s="55" t="s">
        <v>133</v>
      </c>
      <c r="AW803" s="55" t="s">
        <v>109</v>
      </c>
      <c r="AX803" s="55" t="s">
        <v>86</v>
      </c>
      <c r="AY803" s="55">
        <v>0</v>
      </c>
      <c r="AZ803" s="55">
        <v>20</v>
      </c>
      <c r="BA803" s="55" t="s">
        <v>87</v>
      </c>
      <c r="BB803" s="55" t="s">
        <v>88</v>
      </c>
      <c r="BC803" s="55" t="s">
        <v>89</v>
      </c>
      <c r="BD803" s="55" t="s">
        <v>90</v>
      </c>
      <c r="BE803" s="55" t="s">
        <v>1458</v>
      </c>
      <c r="BF803" s="55">
        <v>101.57</v>
      </c>
      <c r="BG803" s="55">
        <v>0</v>
      </c>
      <c r="BH803" s="55">
        <v>65.849999999999994</v>
      </c>
      <c r="BI803" s="55">
        <v>5</v>
      </c>
      <c r="BJ803" s="55">
        <v>430</v>
      </c>
      <c r="BK803" s="55" t="s">
        <v>91</v>
      </c>
      <c r="BL803" s="55" t="s">
        <v>84</v>
      </c>
      <c r="BM803" s="55">
        <v>1</v>
      </c>
      <c r="BN803" s="55" t="s">
        <v>428</v>
      </c>
      <c r="BO803" s="60" t="s">
        <v>1463</v>
      </c>
      <c r="BP803" s="55" t="s">
        <v>1464</v>
      </c>
      <c r="BQ803" s="55" t="s">
        <v>117</v>
      </c>
      <c r="BR803" s="55" t="s">
        <v>134</v>
      </c>
      <c r="BS803" s="55">
        <v>29.22</v>
      </c>
      <c r="BT803" s="55">
        <v>0.01</v>
      </c>
      <c r="BU803" s="57">
        <v>42552</v>
      </c>
      <c r="BV803" s="57">
        <v>42643</v>
      </c>
      <c r="BW803" s="55" t="s">
        <v>94</v>
      </c>
      <c r="BX803" s="55" t="s">
        <v>95</v>
      </c>
      <c r="BY803" s="55" t="s">
        <v>748</v>
      </c>
      <c r="BZ803" s="55">
        <v>1</v>
      </c>
      <c r="CA803" s="55">
        <v>1</v>
      </c>
      <c r="CB803" s="55" t="s">
        <v>303</v>
      </c>
      <c r="CC803" s="55" t="s">
        <v>314</v>
      </c>
      <c r="CD803" s="55">
        <v>1</v>
      </c>
      <c r="CE803" s="55" t="s">
        <v>1462</v>
      </c>
      <c r="CF803" s="55">
        <v>1</v>
      </c>
      <c r="CG803" s="55" t="s">
        <v>82</v>
      </c>
      <c r="CH803" s="55">
        <v>1</v>
      </c>
      <c r="CI803" s="55" t="s">
        <v>1465</v>
      </c>
      <c r="CJ803" s="55" t="s">
        <v>377</v>
      </c>
      <c r="CK803" s="55">
        <v>179</v>
      </c>
      <c r="CL803" s="55">
        <v>0</v>
      </c>
      <c r="CM803" s="55">
        <v>0</v>
      </c>
      <c r="CN803" s="55" t="s">
        <v>124</v>
      </c>
      <c r="CO803" s="55" t="s">
        <v>97</v>
      </c>
      <c r="CP803" s="55" t="s">
        <v>100</v>
      </c>
      <c r="CQ803" s="55" t="s">
        <v>126</v>
      </c>
      <c r="CR803" s="57">
        <v>46233</v>
      </c>
      <c r="CT803" s="55" t="s">
        <v>1897</v>
      </c>
    </row>
    <row r="804" spans="1:98" s="55" customFormat="1" x14ac:dyDescent="0.35">
      <c r="A804" s="54" t="s">
        <v>1459</v>
      </c>
      <c r="B804" s="54" t="s">
        <v>1881</v>
      </c>
      <c r="C804" s="55" t="s">
        <v>1460</v>
      </c>
      <c r="D804" s="55">
        <v>2022</v>
      </c>
      <c r="E804" s="60" t="s">
        <v>1461</v>
      </c>
      <c r="F804" s="54" t="s">
        <v>998</v>
      </c>
      <c r="G804" s="55" t="s">
        <v>78</v>
      </c>
      <c r="H804" s="55">
        <v>1</v>
      </c>
      <c r="I804" s="55" t="s">
        <v>290</v>
      </c>
      <c r="J804" s="55" t="s">
        <v>79</v>
      </c>
      <c r="K804" s="55">
        <v>81</v>
      </c>
      <c r="L804" s="55" t="s">
        <v>104</v>
      </c>
      <c r="M804" s="55" t="s">
        <v>380</v>
      </c>
      <c r="N804" s="55">
        <v>-7.0900000000000005E-2</v>
      </c>
      <c r="O804" s="55">
        <v>3.6900000000000002E-2</v>
      </c>
      <c r="P804" s="88">
        <f t="shared" si="329"/>
        <v>-1.9214092140921408</v>
      </c>
      <c r="Q804" s="55" t="s">
        <v>312</v>
      </c>
      <c r="R804" s="88">
        <f t="shared" si="330"/>
        <v>-0.14322400000000002</v>
      </c>
      <c r="S804" s="88">
        <f t="shared" si="331"/>
        <v>1.4239999999999947E-3</v>
      </c>
      <c r="T804" s="55">
        <v>1</v>
      </c>
      <c r="U804" s="55" t="s">
        <v>312</v>
      </c>
      <c r="V804" s="55" t="s">
        <v>312</v>
      </c>
      <c r="W804" s="55" t="s">
        <v>312</v>
      </c>
      <c r="X804" s="55" t="str">
        <f t="shared" ref="X804:X835" si="336">U804</f>
        <v>NA</v>
      </c>
      <c r="Y804" s="88" t="s">
        <v>312</v>
      </c>
      <c r="Z804" s="88" t="s">
        <v>312</v>
      </c>
      <c r="AA804" s="88" t="s">
        <v>312</v>
      </c>
      <c r="AB804" s="55" t="s">
        <v>81</v>
      </c>
      <c r="AC804" s="88">
        <f t="shared" si="332"/>
        <v>-0.71935140000000009</v>
      </c>
      <c r="AD804" s="88" cm="1">
        <f t="array" ref="AD804">_xlfn.IFS(
AND(L804="marginal_effect",M804="level"),N804*AN804/BF804,
AND(L804="marginal_effect",M804="sd (Y)"),N804*BI804*AN804/BF804,
AND(L804="marginal_effect",M804="sd (X)"),N804/AQ804*AN804/BF804,
AND(L804="semi_elasticity",M804="level"),N804*AN804,
AND(L804="semi_elasticity",M804="sd (Y)"),N804*AN804*BI804,
AND(L804="semi_elasticity",M804="sd (X)"),N804*AN804/AQ804,
AND(L804="level-log",M804="level"),N804/BF804,
AND(L804="level-log",M804="sd (X)"),N804/BF804/AQ804,
AND(L804="level-log",M804="sd (Y)"),N804/BF804*BI804,
AND(L804="elasticity",M804="level"),N804,
AND(L804="elasticity",M804="sd (X)"),N804/AQ804,
AND(L804="elasticity",M804="sd (Y)"),N804*BI804,
AND(L804="marginal_effect",M804="percent_of_mean"),N804*AN804/BF804/10)</f>
        <v>-0.71935140000000009</v>
      </c>
      <c r="AE804" s="56">
        <f t="shared" si="334"/>
        <v>1</v>
      </c>
      <c r="AF804" s="88">
        <f t="shared" si="333"/>
        <v>0.37438740000000004</v>
      </c>
      <c r="AG804" s="88" cm="1">
        <f t="array" ref="AG804">_xlfn.IFS(
AND(L804="marginal_effect",M804="level"),O803*AN804/BF804,
AND(L804="marginal_effect",M804="sd (Y)"),O803*BI804*AN804/BF804,
AND(L804="marginal_effect",M804="sd (X)"),O803/AQ804*AN804/BF804,
AND(L804="semi_elasticity",M804="level"),O803*AN804,
AND(L804="semi_elasticity",M804="sd (Y)"),O803*AN804*BI804,
AND(L804="semi_elasticity",M804="sd (X)"),O803*AN804/AQ804,
AND(L804="level-log",M804="level"),O803/BF804,
AND(L804="level-log",M804="sd (X)"),O803/BF804/AQ804,
AND(L804="level-log",M804="sd (Y)"),O803/BF804*BI804,
AND(L804="elasticity",M804="level"),O803,
AND(L804="elasticity",M804="sd (X)"),O803/AQ804,
AND(L804="elasticity",M804="sd (Y)"),O803*BI804,
AND(L804="marginal_effect",M804="percent_of_mean"),O803*AN804/BF804/10)</f>
        <v>0.14610240000000002</v>
      </c>
      <c r="AH804" s="56">
        <f t="shared" si="335"/>
        <v>0</v>
      </c>
      <c r="AI804" s="88">
        <f t="shared" si="325"/>
        <v>-0.71935140000000009</v>
      </c>
      <c r="AJ804" s="55">
        <v>0</v>
      </c>
      <c r="AK804" s="55">
        <f t="shared" si="328"/>
        <v>1</v>
      </c>
      <c r="AL804" s="55" t="s">
        <v>148</v>
      </c>
      <c r="AM804" s="55" t="s">
        <v>1466</v>
      </c>
      <c r="AN804" s="55">
        <v>10.146000000000001</v>
      </c>
      <c r="AO804" s="55">
        <v>0</v>
      </c>
      <c r="AP804" s="55">
        <f t="shared" si="326"/>
        <v>101.46000000000001</v>
      </c>
      <c r="AQ804" s="55">
        <v>48.17</v>
      </c>
      <c r="AR804" s="55">
        <v>18</v>
      </c>
      <c r="AS804" s="55">
        <v>300</v>
      </c>
      <c r="AT804" s="55" t="s">
        <v>83</v>
      </c>
      <c r="AU804" s="55" t="s">
        <v>109</v>
      </c>
      <c r="AV804" s="55" t="s">
        <v>133</v>
      </c>
      <c r="AW804" s="55" t="s">
        <v>109</v>
      </c>
      <c r="AX804" s="55" t="s">
        <v>86</v>
      </c>
      <c r="AY804" s="55">
        <v>0</v>
      </c>
      <c r="AZ804" s="55">
        <v>25</v>
      </c>
      <c r="BA804" s="55" t="s">
        <v>87</v>
      </c>
      <c r="BB804" s="55" t="s">
        <v>88</v>
      </c>
      <c r="BC804" s="55" t="s">
        <v>89</v>
      </c>
      <c r="BD804" s="55" t="s">
        <v>90</v>
      </c>
      <c r="BE804" s="55" t="s">
        <v>1458</v>
      </c>
      <c r="BF804" s="55">
        <v>101.57</v>
      </c>
      <c r="BG804" s="55">
        <v>0</v>
      </c>
      <c r="BH804" s="55">
        <v>65.849999999999994</v>
      </c>
      <c r="BI804" s="55">
        <v>5</v>
      </c>
      <c r="BJ804" s="55">
        <v>430</v>
      </c>
      <c r="BK804" s="55" t="s">
        <v>91</v>
      </c>
      <c r="BL804" s="55" t="s">
        <v>84</v>
      </c>
      <c r="BM804" s="55">
        <v>1</v>
      </c>
      <c r="BN804" s="55" t="s">
        <v>428</v>
      </c>
      <c r="BO804" s="60" t="s">
        <v>1463</v>
      </c>
      <c r="BP804" s="55" t="s">
        <v>1464</v>
      </c>
      <c r="BQ804" s="55" t="s">
        <v>117</v>
      </c>
      <c r="BR804" s="55" t="s">
        <v>134</v>
      </c>
      <c r="BS804" s="55">
        <v>29.22</v>
      </c>
      <c r="BT804" s="55">
        <v>0.01</v>
      </c>
      <c r="BU804" s="57">
        <v>42552</v>
      </c>
      <c r="BV804" s="57">
        <v>42643</v>
      </c>
      <c r="BW804" s="55" t="s">
        <v>94</v>
      </c>
      <c r="BX804" s="55" t="s">
        <v>95</v>
      </c>
      <c r="BY804" s="55" t="s">
        <v>748</v>
      </c>
      <c r="BZ804" s="55">
        <v>1</v>
      </c>
      <c r="CA804" s="55">
        <v>1</v>
      </c>
      <c r="CB804" s="55" t="s">
        <v>303</v>
      </c>
      <c r="CC804" s="55" t="s">
        <v>314</v>
      </c>
      <c r="CD804" s="55">
        <v>1</v>
      </c>
      <c r="CE804" s="55" t="s">
        <v>1462</v>
      </c>
      <c r="CF804" s="55">
        <v>1</v>
      </c>
      <c r="CG804" s="55" t="s">
        <v>82</v>
      </c>
      <c r="CH804" s="55">
        <v>1</v>
      </c>
      <c r="CI804" s="55" t="s">
        <v>1465</v>
      </c>
      <c r="CJ804" s="55" t="s">
        <v>377</v>
      </c>
      <c r="CK804" s="55">
        <v>179</v>
      </c>
      <c r="CL804" s="55">
        <v>0</v>
      </c>
      <c r="CM804" s="55">
        <v>0</v>
      </c>
      <c r="CN804" s="55" t="s">
        <v>124</v>
      </c>
      <c r="CO804" s="55" t="s">
        <v>97</v>
      </c>
      <c r="CP804" s="55" t="s">
        <v>100</v>
      </c>
      <c r="CQ804" s="55" t="s">
        <v>126</v>
      </c>
      <c r="CR804" s="57">
        <v>46233</v>
      </c>
      <c r="CT804" s="55" t="s">
        <v>1897</v>
      </c>
    </row>
    <row r="805" spans="1:98" s="55" customFormat="1" x14ac:dyDescent="0.35">
      <c r="A805" s="54" t="s">
        <v>1459</v>
      </c>
      <c r="B805" s="54" t="s">
        <v>1882</v>
      </c>
      <c r="C805" s="55" t="s">
        <v>1460</v>
      </c>
      <c r="D805" s="55">
        <v>2022</v>
      </c>
      <c r="E805" s="60" t="s">
        <v>1461</v>
      </c>
      <c r="F805" s="54" t="s">
        <v>998</v>
      </c>
      <c r="G805" s="55" t="s">
        <v>78</v>
      </c>
      <c r="H805" s="55">
        <v>1</v>
      </c>
      <c r="I805" s="55" t="s">
        <v>290</v>
      </c>
      <c r="J805" s="55" t="s">
        <v>79</v>
      </c>
      <c r="K805" s="55">
        <v>81</v>
      </c>
      <c r="L805" s="55" t="s">
        <v>104</v>
      </c>
      <c r="M805" s="55" t="s">
        <v>380</v>
      </c>
      <c r="N805" s="55">
        <v>-4.2500000000000003E-2</v>
      </c>
      <c r="O805" s="55">
        <v>1.8800000000000001E-2</v>
      </c>
      <c r="P805" s="88">
        <f t="shared" si="329"/>
        <v>-2.2606382978723407</v>
      </c>
      <c r="Q805" s="55" t="s">
        <v>312</v>
      </c>
      <c r="R805" s="88">
        <f t="shared" si="330"/>
        <v>-7.9348000000000002E-2</v>
      </c>
      <c r="S805" s="88">
        <f t="shared" si="331"/>
        <v>-5.6520000000000042E-3</v>
      </c>
      <c r="T805" s="55">
        <v>1</v>
      </c>
      <c r="U805" s="55" t="s">
        <v>312</v>
      </c>
      <c r="V805" s="55" t="s">
        <v>312</v>
      </c>
      <c r="W805" s="55" t="s">
        <v>312</v>
      </c>
      <c r="X805" s="55" t="str">
        <f t="shared" si="336"/>
        <v>NA</v>
      </c>
      <c r="Y805" s="88" t="s">
        <v>312</v>
      </c>
      <c r="Z805" s="88" t="s">
        <v>312</v>
      </c>
      <c r="AA805" s="88" t="s">
        <v>312</v>
      </c>
      <c r="AB805" s="55" t="s">
        <v>81</v>
      </c>
      <c r="AC805" s="88">
        <f t="shared" si="332"/>
        <v>-0.43120500000000006</v>
      </c>
      <c r="AD805" s="88" cm="1">
        <f t="array" ref="AD805">_xlfn.IFS(
AND(L805="marginal_effect",M805="level"),N805*AN805/BF805,
AND(L805="marginal_effect",M805="sd (Y)"),N805*BI805*AN805/BF805,
AND(L805="marginal_effect",M805="sd (X)"),N805/AQ805*AN805/BF805,
AND(L805="semi_elasticity",M805="level"),N805*AN805,
AND(L805="semi_elasticity",M805="sd (Y)"),N805*AN805*BI805,
AND(L805="semi_elasticity",M805="sd (X)"),N805*AN805/AQ805,
AND(L805="level-log",M805="level"),N805/BF805,
AND(L805="level-log",M805="sd (X)"),N805/BF805/AQ805,
AND(L805="level-log",M805="sd (Y)"),N805/BF805*BI805,
AND(L805="elasticity",M805="level"),N805,
AND(L805="elasticity",M805="sd (X)"),N805/AQ805,
AND(L805="elasticity",M805="sd (Y)"),N805*BI805,
AND(L805="marginal_effect",M805="percent_of_mean"),N805*AN805/BF805/10)</f>
        <v>-0.43120500000000006</v>
      </c>
      <c r="AE805" s="56">
        <f t="shared" si="334"/>
        <v>1</v>
      </c>
      <c r="AF805" s="88">
        <f t="shared" si="333"/>
        <v>0.19074480000000002</v>
      </c>
      <c r="AG805" s="88" cm="1">
        <f t="array" ref="AG805">_xlfn.IFS(
AND(L805="marginal_effect",M805="level"),O804*AN805/BF805,
AND(L805="marginal_effect",M805="sd (Y)"),O804*BI805*AN805/BF805,
AND(L805="marginal_effect",M805="sd (X)"),O804/AQ805*AN805/BF805,
AND(L805="semi_elasticity",M805="level"),O804*AN805,
AND(L805="semi_elasticity",M805="sd (Y)"),O804*AN805*BI805,
AND(L805="semi_elasticity",M805="sd (X)"),O804*AN805/AQ805,
AND(L805="level-log",M805="level"),O804/BF805,
AND(L805="level-log",M805="sd (X)"),O804/BF805/AQ805,
AND(L805="level-log",M805="sd (Y)"),O804/BF805*BI805,
AND(L805="elasticity",M805="level"),O804,
AND(L805="elasticity",M805="sd (X)"),O804/AQ805,
AND(L805="elasticity",M805="sd (Y)"),O804*BI805,
AND(L805="marginal_effect",M805="percent_of_mean"),O804*AN805/BF805/10)</f>
        <v>0.37438740000000004</v>
      </c>
      <c r="AH805" s="56">
        <f t="shared" si="335"/>
        <v>0</v>
      </c>
      <c r="AI805" s="88">
        <f t="shared" si="325"/>
        <v>-0.43120500000000006</v>
      </c>
      <c r="AJ805" s="55">
        <v>0</v>
      </c>
      <c r="AK805" s="55">
        <f t="shared" si="328"/>
        <v>1</v>
      </c>
      <c r="AL805" s="55" t="s">
        <v>148</v>
      </c>
      <c r="AM805" s="55" t="s">
        <v>1466</v>
      </c>
      <c r="AN805" s="55">
        <v>10.146000000000001</v>
      </c>
      <c r="AO805" s="55">
        <v>0</v>
      </c>
      <c r="AP805" s="55">
        <f t="shared" si="326"/>
        <v>101.46000000000001</v>
      </c>
      <c r="AQ805" s="55">
        <v>48.17</v>
      </c>
      <c r="AR805" s="55">
        <v>18</v>
      </c>
      <c r="AS805" s="55">
        <v>300</v>
      </c>
      <c r="AT805" s="55" t="s">
        <v>83</v>
      </c>
      <c r="AU805" s="55" t="s">
        <v>109</v>
      </c>
      <c r="AV805" s="55" t="s">
        <v>133</v>
      </c>
      <c r="AW805" s="55" t="s">
        <v>109</v>
      </c>
      <c r="AX805" s="55" t="s">
        <v>86</v>
      </c>
      <c r="AY805" s="55">
        <v>0</v>
      </c>
      <c r="AZ805" s="55">
        <v>30</v>
      </c>
      <c r="BA805" s="55" t="s">
        <v>87</v>
      </c>
      <c r="BB805" s="55" t="s">
        <v>88</v>
      </c>
      <c r="BC805" s="55" t="s">
        <v>89</v>
      </c>
      <c r="BD805" s="55" t="s">
        <v>90</v>
      </c>
      <c r="BE805" s="55" t="s">
        <v>1458</v>
      </c>
      <c r="BF805" s="55">
        <v>101.57</v>
      </c>
      <c r="BG805" s="55">
        <v>0</v>
      </c>
      <c r="BH805" s="55">
        <v>65.849999999999994</v>
      </c>
      <c r="BI805" s="55">
        <v>5</v>
      </c>
      <c r="BJ805" s="55">
        <v>430</v>
      </c>
      <c r="BK805" s="55" t="s">
        <v>91</v>
      </c>
      <c r="BL805" s="55" t="s">
        <v>84</v>
      </c>
      <c r="BM805" s="55">
        <v>1</v>
      </c>
      <c r="BN805" s="55" t="s">
        <v>428</v>
      </c>
      <c r="BO805" s="60" t="s">
        <v>1463</v>
      </c>
      <c r="BP805" s="55" t="s">
        <v>1464</v>
      </c>
      <c r="BQ805" s="55" t="s">
        <v>117</v>
      </c>
      <c r="BR805" s="55" t="s">
        <v>134</v>
      </c>
      <c r="BS805" s="55">
        <v>29.22</v>
      </c>
      <c r="BT805" s="55">
        <v>0.01</v>
      </c>
      <c r="BU805" s="57">
        <v>42552</v>
      </c>
      <c r="BV805" s="57">
        <v>42643</v>
      </c>
      <c r="BW805" s="55" t="s">
        <v>94</v>
      </c>
      <c r="BX805" s="55" t="s">
        <v>95</v>
      </c>
      <c r="BY805" s="55" t="s">
        <v>748</v>
      </c>
      <c r="BZ805" s="55">
        <v>1</v>
      </c>
      <c r="CA805" s="55">
        <v>1</v>
      </c>
      <c r="CB805" s="55" t="s">
        <v>303</v>
      </c>
      <c r="CC805" s="55" t="s">
        <v>314</v>
      </c>
      <c r="CD805" s="55">
        <v>1</v>
      </c>
      <c r="CE805" s="55" t="s">
        <v>1462</v>
      </c>
      <c r="CF805" s="55">
        <v>1</v>
      </c>
      <c r="CG805" s="55" t="s">
        <v>82</v>
      </c>
      <c r="CH805" s="55">
        <v>1</v>
      </c>
      <c r="CI805" s="55" t="s">
        <v>1465</v>
      </c>
      <c r="CJ805" s="55" t="s">
        <v>377</v>
      </c>
      <c r="CK805" s="55">
        <v>179</v>
      </c>
      <c r="CL805" s="55">
        <v>0</v>
      </c>
      <c r="CM805" s="55">
        <v>0</v>
      </c>
      <c r="CN805" s="55" t="s">
        <v>124</v>
      </c>
      <c r="CO805" s="55" t="s">
        <v>97</v>
      </c>
      <c r="CP805" s="55" t="s">
        <v>100</v>
      </c>
      <c r="CQ805" s="55" t="s">
        <v>126</v>
      </c>
      <c r="CR805" s="57">
        <v>46233</v>
      </c>
      <c r="CT805" s="55" t="s">
        <v>1897</v>
      </c>
    </row>
    <row r="806" spans="1:98" s="55" customFormat="1" x14ac:dyDescent="0.35">
      <c r="A806" s="54" t="s">
        <v>1459</v>
      </c>
      <c r="B806" s="54" t="s">
        <v>1883</v>
      </c>
      <c r="C806" s="55" t="s">
        <v>1460</v>
      </c>
      <c r="D806" s="55">
        <v>2022</v>
      </c>
      <c r="E806" s="60" t="s">
        <v>1461</v>
      </c>
      <c r="F806" s="54" t="s">
        <v>998</v>
      </c>
      <c r="G806" s="55" t="s">
        <v>78</v>
      </c>
      <c r="H806" s="55">
        <v>1</v>
      </c>
      <c r="I806" s="55" t="s">
        <v>290</v>
      </c>
      <c r="J806" s="55" t="s">
        <v>79</v>
      </c>
      <c r="K806" s="55">
        <v>81</v>
      </c>
      <c r="L806" s="55" t="s">
        <v>104</v>
      </c>
      <c r="M806" s="55" t="s">
        <v>380</v>
      </c>
      <c r="N806" s="55">
        <v>-2.6700000000000002E-2</v>
      </c>
      <c r="O806" s="55">
        <v>2.69E-2</v>
      </c>
      <c r="P806" s="88">
        <f t="shared" si="329"/>
        <v>-0.99256505576208187</v>
      </c>
      <c r="Q806" s="55" t="s">
        <v>312</v>
      </c>
      <c r="R806" s="88">
        <f t="shared" si="330"/>
        <v>-7.9423999999999995E-2</v>
      </c>
      <c r="S806" s="88">
        <f t="shared" si="331"/>
        <v>2.6023999999999999E-2</v>
      </c>
      <c r="T806" s="55">
        <v>1</v>
      </c>
      <c r="U806" s="55" t="s">
        <v>312</v>
      </c>
      <c r="V806" s="55" t="s">
        <v>312</v>
      </c>
      <c r="W806" s="55" t="s">
        <v>312</v>
      </c>
      <c r="X806" s="55" t="str">
        <f t="shared" si="336"/>
        <v>NA</v>
      </c>
      <c r="Y806" s="88" t="s">
        <v>312</v>
      </c>
      <c r="Z806" s="88" t="s">
        <v>312</v>
      </c>
      <c r="AA806" s="88" t="s">
        <v>312</v>
      </c>
      <c r="AB806" s="55" t="s">
        <v>81</v>
      </c>
      <c r="AC806" s="88">
        <f t="shared" si="332"/>
        <v>-0.27089820000000003</v>
      </c>
      <c r="AD806" s="88" cm="1">
        <f t="array" ref="AD806">_xlfn.IFS(
AND(L806="marginal_effect",M806="level"),N806*AN806/BF806,
AND(L806="marginal_effect",M806="sd (Y)"),N806*BI806*AN806/BF806,
AND(L806="marginal_effect",M806="sd (X)"),N806/AQ806*AN806/BF806,
AND(L806="semi_elasticity",M806="level"),N806*AN806,
AND(L806="semi_elasticity",M806="sd (Y)"),N806*AN806*BI806,
AND(L806="semi_elasticity",M806="sd (X)"),N806*AN806/AQ806,
AND(L806="level-log",M806="level"),N806/BF806,
AND(L806="level-log",M806="sd (X)"),N806/BF806/AQ806,
AND(L806="level-log",M806="sd (Y)"),N806/BF806*BI806,
AND(L806="elasticity",M806="level"),N806,
AND(L806="elasticity",M806="sd (X)"),N806/AQ806,
AND(L806="elasticity",M806="sd (Y)"),N806*BI806,
AND(L806="marginal_effect",M806="percent_of_mean"),N806*AN806/BF806/10)</f>
        <v>-0.27089820000000003</v>
      </c>
      <c r="AE806" s="56">
        <f t="shared" si="334"/>
        <v>1</v>
      </c>
      <c r="AF806" s="88">
        <f t="shared" si="333"/>
        <v>0.27292740000000004</v>
      </c>
      <c r="AG806" s="88" cm="1">
        <f t="array" ref="AG806">_xlfn.IFS(
AND(L806="marginal_effect",M806="level"),O805*AN806/BF806,
AND(L806="marginal_effect",M806="sd (Y)"),O805*BI806*AN806/BF806,
AND(L806="marginal_effect",M806="sd (X)"),O805/AQ806*AN806/BF806,
AND(L806="semi_elasticity",M806="level"),O805*AN806,
AND(L806="semi_elasticity",M806="sd (Y)"),O805*AN806*BI806,
AND(L806="semi_elasticity",M806="sd (X)"),O805*AN806/AQ806,
AND(L806="level-log",M806="level"),O805/BF806,
AND(L806="level-log",M806="sd (X)"),O805/BF806/AQ806,
AND(L806="level-log",M806="sd (Y)"),O805/BF806*BI806,
AND(L806="elasticity",M806="level"),O805,
AND(L806="elasticity",M806="sd (X)"),O805/AQ806,
AND(L806="elasticity",M806="sd (Y)"),O805*BI806,
AND(L806="marginal_effect",M806="percent_of_mean"),O805*AN806/BF806/10)</f>
        <v>0.19074480000000002</v>
      </c>
      <c r="AH806" s="56">
        <f t="shared" si="335"/>
        <v>0</v>
      </c>
      <c r="AI806" s="88">
        <f t="shared" si="325"/>
        <v>-0.27089820000000003</v>
      </c>
      <c r="AJ806" s="55">
        <v>0</v>
      </c>
      <c r="AK806" s="55">
        <f t="shared" si="328"/>
        <v>1</v>
      </c>
      <c r="AL806" s="55" t="s">
        <v>148</v>
      </c>
      <c r="AM806" s="55" t="s">
        <v>1466</v>
      </c>
      <c r="AN806" s="55">
        <v>10.146000000000001</v>
      </c>
      <c r="AO806" s="55">
        <v>0</v>
      </c>
      <c r="AP806" s="55">
        <f t="shared" si="326"/>
        <v>101.46000000000001</v>
      </c>
      <c r="AQ806" s="55">
        <v>48.17</v>
      </c>
      <c r="AR806" s="55">
        <v>18</v>
      </c>
      <c r="AS806" s="55">
        <v>300</v>
      </c>
      <c r="AT806" s="55" t="s">
        <v>83</v>
      </c>
      <c r="AU806" s="55" t="s">
        <v>109</v>
      </c>
      <c r="AV806" s="55" t="s">
        <v>133</v>
      </c>
      <c r="AW806" s="55" t="s">
        <v>109</v>
      </c>
      <c r="AX806" s="55" t="s">
        <v>86</v>
      </c>
      <c r="AY806" s="55">
        <v>0</v>
      </c>
      <c r="AZ806" s="55">
        <v>35</v>
      </c>
      <c r="BA806" s="55" t="s">
        <v>87</v>
      </c>
      <c r="BB806" s="55" t="s">
        <v>88</v>
      </c>
      <c r="BC806" s="55" t="s">
        <v>89</v>
      </c>
      <c r="BD806" s="55" t="s">
        <v>90</v>
      </c>
      <c r="BE806" s="55" t="s">
        <v>1458</v>
      </c>
      <c r="BF806" s="55">
        <v>101.57</v>
      </c>
      <c r="BG806" s="55">
        <v>0</v>
      </c>
      <c r="BH806" s="55">
        <v>65.849999999999994</v>
      </c>
      <c r="BI806" s="55">
        <v>5</v>
      </c>
      <c r="BJ806" s="55">
        <v>430</v>
      </c>
      <c r="BK806" s="55" t="s">
        <v>91</v>
      </c>
      <c r="BL806" s="55" t="s">
        <v>84</v>
      </c>
      <c r="BM806" s="55">
        <v>1</v>
      </c>
      <c r="BN806" s="55" t="s">
        <v>428</v>
      </c>
      <c r="BO806" s="60" t="s">
        <v>1463</v>
      </c>
      <c r="BP806" s="55" t="s">
        <v>1464</v>
      </c>
      <c r="BQ806" s="55" t="s">
        <v>117</v>
      </c>
      <c r="BR806" s="55" t="s">
        <v>134</v>
      </c>
      <c r="BS806" s="55">
        <v>29.22</v>
      </c>
      <c r="BT806" s="55">
        <v>0.01</v>
      </c>
      <c r="BU806" s="57">
        <v>42552</v>
      </c>
      <c r="BV806" s="57">
        <v>42643</v>
      </c>
      <c r="BW806" s="55" t="s">
        <v>94</v>
      </c>
      <c r="BX806" s="55" t="s">
        <v>95</v>
      </c>
      <c r="BY806" s="55" t="s">
        <v>748</v>
      </c>
      <c r="BZ806" s="55">
        <v>1</v>
      </c>
      <c r="CA806" s="55">
        <v>1</v>
      </c>
      <c r="CB806" s="55" t="s">
        <v>303</v>
      </c>
      <c r="CC806" s="55" t="s">
        <v>314</v>
      </c>
      <c r="CD806" s="55">
        <v>1</v>
      </c>
      <c r="CE806" s="55" t="s">
        <v>1462</v>
      </c>
      <c r="CF806" s="55">
        <v>1</v>
      </c>
      <c r="CG806" s="55" t="s">
        <v>82</v>
      </c>
      <c r="CH806" s="55">
        <v>1</v>
      </c>
      <c r="CI806" s="55" t="s">
        <v>1465</v>
      </c>
      <c r="CJ806" s="55" t="s">
        <v>377</v>
      </c>
      <c r="CK806" s="55">
        <v>179</v>
      </c>
      <c r="CL806" s="55">
        <v>0</v>
      </c>
      <c r="CM806" s="55">
        <v>0</v>
      </c>
      <c r="CN806" s="55" t="s">
        <v>124</v>
      </c>
      <c r="CO806" s="55" t="s">
        <v>97</v>
      </c>
      <c r="CP806" s="55" t="s">
        <v>100</v>
      </c>
      <c r="CQ806" s="55" t="s">
        <v>126</v>
      </c>
      <c r="CR806" s="57">
        <v>46233</v>
      </c>
      <c r="CT806" s="55" t="s">
        <v>1897</v>
      </c>
    </row>
    <row r="807" spans="1:98" s="55" customFormat="1" x14ac:dyDescent="0.35">
      <c r="A807" s="54" t="s">
        <v>1459</v>
      </c>
      <c r="B807" s="54" t="s">
        <v>1884</v>
      </c>
      <c r="C807" s="55" t="s">
        <v>1460</v>
      </c>
      <c r="D807" s="55">
        <v>2022</v>
      </c>
      <c r="E807" s="60" t="s">
        <v>1461</v>
      </c>
      <c r="F807" s="54" t="s">
        <v>998</v>
      </c>
      <c r="G807" s="55" t="s">
        <v>78</v>
      </c>
      <c r="H807" s="55">
        <v>1</v>
      </c>
      <c r="I807" s="55" t="s">
        <v>290</v>
      </c>
      <c r="J807" s="55" t="s">
        <v>79</v>
      </c>
      <c r="K807" s="55">
        <v>81</v>
      </c>
      <c r="L807" s="55" t="s">
        <v>104</v>
      </c>
      <c r="M807" s="55" t="s">
        <v>380</v>
      </c>
      <c r="N807" s="55">
        <v>-7.3099999999999998E-2</v>
      </c>
      <c r="O807" s="55">
        <v>3.0200000000000001E-2</v>
      </c>
      <c r="P807" s="88">
        <f t="shared" si="329"/>
        <v>-2.4205298013245033</v>
      </c>
      <c r="Q807" s="55" t="s">
        <v>312</v>
      </c>
      <c r="R807" s="88">
        <f t="shared" si="330"/>
        <v>-0.13229199999999999</v>
      </c>
      <c r="S807" s="88">
        <f t="shared" si="331"/>
        <v>-1.3907999999999997E-2</v>
      </c>
      <c r="T807" s="55">
        <v>1</v>
      </c>
      <c r="U807" s="55" t="s">
        <v>312</v>
      </c>
      <c r="V807" s="55" t="s">
        <v>312</v>
      </c>
      <c r="W807" s="55" t="s">
        <v>312</v>
      </c>
      <c r="X807" s="55" t="str">
        <f t="shared" si="336"/>
        <v>NA</v>
      </c>
      <c r="Y807" s="88" t="s">
        <v>312</v>
      </c>
      <c r="Z807" s="88" t="s">
        <v>312</v>
      </c>
      <c r="AA807" s="88" t="s">
        <v>312</v>
      </c>
      <c r="AB807" s="55" t="s">
        <v>81</v>
      </c>
      <c r="AC807" s="88">
        <f t="shared" si="332"/>
        <v>-0.74167260000000002</v>
      </c>
      <c r="AD807" s="88" cm="1">
        <f t="array" ref="AD807">_xlfn.IFS(
AND(L807="marginal_effect",M807="level"),N807*AN807/BF807,
AND(L807="marginal_effect",M807="sd (Y)"),N807*BI807*AN807/BF807,
AND(L807="marginal_effect",M807="sd (X)"),N807/AQ807*AN807/BF807,
AND(L807="semi_elasticity",M807="level"),N807*AN807,
AND(L807="semi_elasticity",M807="sd (Y)"),N807*AN807*BI807,
AND(L807="semi_elasticity",M807="sd (X)"),N807*AN807/AQ807,
AND(L807="level-log",M807="level"),N807/BF807,
AND(L807="level-log",M807="sd (X)"),N807/BF807/AQ807,
AND(L807="level-log",M807="sd (Y)"),N807/BF807*BI807,
AND(L807="elasticity",M807="level"),N807,
AND(L807="elasticity",M807="sd (X)"),N807/AQ807,
AND(L807="elasticity",M807="sd (Y)"),N807*BI807,
AND(L807="marginal_effect",M807="percent_of_mean"),N807*AN807/BF807/10)</f>
        <v>-0.74167260000000002</v>
      </c>
      <c r="AE807" s="56">
        <f t="shared" si="334"/>
        <v>1</v>
      </c>
      <c r="AF807" s="88">
        <f t="shared" si="333"/>
        <v>0.30640920000000005</v>
      </c>
      <c r="AG807" s="88" cm="1">
        <f t="array" ref="AG807">_xlfn.IFS(
AND(L807="marginal_effect",M807="level"),O806*AN807/BF807,
AND(L807="marginal_effect",M807="sd (Y)"),O806*BI807*AN807/BF807,
AND(L807="marginal_effect",M807="sd (X)"),O806/AQ807*AN807/BF807,
AND(L807="semi_elasticity",M807="level"),O806*AN807,
AND(L807="semi_elasticity",M807="sd (Y)"),O806*AN807*BI807,
AND(L807="semi_elasticity",M807="sd (X)"),O806*AN807/AQ807,
AND(L807="level-log",M807="level"),O806/BF807,
AND(L807="level-log",M807="sd (X)"),O806/BF807/AQ807,
AND(L807="level-log",M807="sd (Y)"),O806/BF807*BI807,
AND(L807="elasticity",M807="level"),O806,
AND(L807="elasticity",M807="sd (X)"),O806/AQ807,
AND(L807="elasticity",M807="sd (Y)"),O806*BI807,
AND(L807="marginal_effect",M807="percent_of_mean"),O806*AN807/BF807/10)</f>
        <v>0.27292740000000004</v>
      </c>
      <c r="AH807" s="56">
        <f t="shared" si="335"/>
        <v>0</v>
      </c>
      <c r="AI807" s="88">
        <f t="shared" si="325"/>
        <v>-0.74167260000000002</v>
      </c>
      <c r="AJ807" s="55">
        <v>0</v>
      </c>
      <c r="AK807" s="55">
        <f t="shared" si="328"/>
        <v>1</v>
      </c>
      <c r="AL807" s="55" t="s">
        <v>148</v>
      </c>
      <c r="AM807" s="55" t="s">
        <v>1466</v>
      </c>
      <c r="AN807" s="55">
        <v>10.146000000000001</v>
      </c>
      <c r="AO807" s="55">
        <v>0</v>
      </c>
      <c r="AP807" s="55">
        <f t="shared" si="326"/>
        <v>101.46000000000001</v>
      </c>
      <c r="AQ807" s="55">
        <v>48.17</v>
      </c>
      <c r="AR807" s="55">
        <v>18</v>
      </c>
      <c r="AS807" s="55">
        <v>300</v>
      </c>
      <c r="AT807" s="55" t="s">
        <v>83</v>
      </c>
      <c r="AU807" s="55" t="s">
        <v>109</v>
      </c>
      <c r="AV807" s="55" t="s">
        <v>133</v>
      </c>
      <c r="AW807" s="55" t="s">
        <v>109</v>
      </c>
      <c r="AX807" s="55" t="s">
        <v>86</v>
      </c>
      <c r="AY807" s="55">
        <v>0</v>
      </c>
      <c r="AZ807" s="55">
        <v>40</v>
      </c>
      <c r="BA807" s="55" t="s">
        <v>87</v>
      </c>
      <c r="BB807" s="55" t="s">
        <v>88</v>
      </c>
      <c r="BC807" s="55" t="s">
        <v>89</v>
      </c>
      <c r="BD807" s="55" t="s">
        <v>90</v>
      </c>
      <c r="BE807" s="55" t="s">
        <v>1458</v>
      </c>
      <c r="BF807" s="55">
        <v>101.57</v>
      </c>
      <c r="BG807" s="55">
        <v>0</v>
      </c>
      <c r="BH807" s="55">
        <v>65.849999999999994</v>
      </c>
      <c r="BI807" s="55">
        <v>5</v>
      </c>
      <c r="BJ807" s="55">
        <v>430</v>
      </c>
      <c r="BK807" s="55" t="s">
        <v>91</v>
      </c>
      <c r="BL807" s="55" t="s">
        <v>84</v>
      </c>
      <c r="BM807" s="55">
        <v>1</v>
      </c>
      <c r="BN807" s="55" t="s">
        <v>428</v>
      </c>
      <c r="BO807" s="60" t="s">
        <v>1463</v>
      </c>
      <c r="BP807" s="55" t="s">
        <v>1464</v>
      </c>
      <c r="BQ807" s="55" t="s">
        <v>117</v>
      </c>
      <c r="BR807" s="55" t="s">
        <v>134</v>
      </c>
      <c r="BS807" s="55">
        <v>29.22</v>
      </c>
      <c r="BT807" s="55">
        <v>0.01</v>
      </c>
      <c r="BU807" s="57">
        <v>42552</v>
      </c>
      <c r="BV807" s="57">
        <v>42643</v>
      </c>
      <c r="BW807" s="55" t="s">
        <v>94</v>
      </c>
      <c r="BX807" s="55" t="s">
        <v>95</v>
      </c>
      <c r="BY807" s="55" t="s">
        <v>748</v>
      </c>
      <c r="BZ807" s="55">
        <v>1</v>
      </c>
      <c r="CA807" s="55">
        <v>1</v>
      </c>
      <c r="CB807" s="55" t="s">
        <v>303</v>
      </c>
      <c r="CC807" s="55" t="s">
        <v>314</v>
      </c>
      <c r="CD807" s="55">
        <v>1</v>
      </c>
      <c r="CE807" s="55" t="s">
        <v>1462</v>
      </c>
      <c r="CF807" s="55">
        <v>1</v>
      </c>
      <c r="CG807" s="55" t="s">
        <v>82</v>
      </c>
      <c r="CH807" s="55">
        <v>1</v>
      </c>
      <c r="CI807" s="55" t="s">
        <v>1465</v>
      </c>
      <c r="CJ807" s="55" t="s">
        <v>377</v>
      </c>
      <c r="CK807" s="55">
        <v>179</v>
      </c>
      <c r="CL807" s="55">
        <v>0</v>
      </c>
      <c r="CM807" s="55">
        <v>0</v>
      </c>
      <c r="CN807" s="55" t="s">
        <v>124</v>
      </c>
      <c r="CO807" s="55" t="s">
        <v>97</v>
      </c>
      <c r="CP807" s="55" t="s">
        <v>100</v>
      </c>
      <c r="CQ807" s="55" t="s">
        <v>126</v>
      </c>
      <c r="CR807" s="57">
        <v>46233</v>
      </c>
      <c r="CT807" s="55" t="s">
        <v>1897</v>
      </c>
    </row>
    <row r="808" spans="1:98" s="55" customFormat="1" x14ac:dyDescent="0.35">
      <c r="A808" s="54" t="s">
        <v>1459</v>
      </c>
      <c r="B808" s="54" t="s">
        <v>1885</v>
      </c>
      <c r="C808" s="55" t="s">
        <v>1460</v>
      </c>
      <c r="D808" s="55">
        <v>2022</v>
      </c>
      <c r="E808" s="60" t="s">
        <v>1461</v>
      </c>
      <c r="F808" s="54" t="s">
        <v>998</v>
      </c>
      <c r="G808" s="55" t="s">
        <v>78</v>
      </c>
      <c r="H808" s="55">
        <v>1</v>
      </c>
      <c r="I808" s="55" t="s">
        <v>290</v>
      </c>
      <c r="J808" s="55" t="s">
        <v>79</v>
      </c>
      <c r="K808" s="55">
        <v>81</v>
      </c>
      <c r="L808" s="55" t="s">
        <v>104</v>
      </c>
      <c r="M808" s="55" t="s">
        <v>380</v>
      </c>
      <c r="N808" s="55">
        <v>-1.3100000000000001E-2</v>
      </c>
      <c r="O808" s="55">
        <v>5.4999999999999997E-3</v>
      </c>
      <c r="P808" s="88">
        <f t="shared" si="329"/>
        <v>-2.3818181818181818</v>
      </c>
      <c r="Q808" s="55" t="s">
        <v>312</v>
      </c>
      <c r="R808" s="88">
        <f t="shared" si="330"/>
        <v>-2.3879999999999998E-2</v>
      </c>
      <c r="S808" s="88">
        <f t="shared" si="331"/>
        <v>-2.3200000000000009E-3</v>
      </c>
      <c r="T808" s="55">
        <v>1</v>
      </c>
      <c r="U808" s="55" t="s">
        <v>312</v>
      </c>
      <c r="V808" s="55" t="s">
        <v>312</v>
      </c>
      <c r="W808" s="55" t="s">
        <v>312</v>
      </c>
      <c r="X808" s="55" t="str">
        <f t="shared" si="336"/>
        <v>NA</v>
      </c>
      <c r="Y808" s="88" t="s">
        <v>312</v>
      </c>
      <c r="Z808" s="88" t="s">
        <v>312</v>
      </c>
      <c r="AA808" s="88" t="s">
        <v>312</v>
      </c>
      <c r="AB808" s="55" t="s">
        <v>81</v>
      </c>
      <c r="AC808" s="88">
        <f t="shared" si="332"/>
        <v>-0.13291260000000002</v>
      </c>
      <c r="AD808" s="88" cm="1">
        <f t="array" ref="AD808">_xlfn.IFS(
AND(L808="marginal_effect",M808="level"),N808*AN808/BF808,
AND(L808="marginal_effect",M808="sd (Y)"),N808*BI808*AN808/BF808,
AND(L808="marginal_effect",M808="sd (X)"),N808/AQ808*AN808/BF808,
AND(L808="semi_elasticity",M808="level"),N808*AN808,
AND(L808="semi_elasticity",M808="sd (Y)"),N808*AN808*BI808,
AND(L808="semi_elasticity",M808="sd (X)"),N808*AN808/AQ808,
AND(L808="level-log",M808="level"),N808/BF808,
AND(L808="level-log",M808="sd (X)"),N808/BF808/AQ808,
AND(L808="level-log",M808="sd (Y)"),N808/BF808*BI808,
AND(L808="elasticity",M808="level"),N808,
AND(L808="elasticity",M808="sd (X)"),N808/AQ808,
AND(L808="elasticity",M808="sd (Y)"),N808*BI808,
AND(L808="marginal_effect",M808="percent_of_mean"),N808*AN808/BF808/10)</f>
        <v>-0.13291260000000002</v>
      </c>
      <c r="AE808" s="56">
        <f t="shared" si="334"/>
        <v>1</v>
      </c>
      <c r="AF808" s="88">
        <f t="shared" si="333"/>
        <v>5.5802999999999998E-2</v>
      </c>
      <c r="AG808" s="88" cm="1">
        <f t="array" ref="AG808">_xlfn.IFS(
AND(L808="marginal_effect",M808="level"),O807*AN808/BF808,
AND(L808="marginal_effect",M808="sd (Y)"),O807*BI808*AN808/BF808,
AND(L808="marginal_effect",M808="sd (X)"),O807/AQ808*AN808/BF808,
AND(L808="semi_elasticity",M808="level"),O807*AN808,
AND(L808="semi_elasticity",M808="sd (Y)"),O807*AN808*BI808,
AND(L808="semi_elasticity",M808="sd (X)"),O807*AN808/AQ808,
AND(L808="level-log",M808="level"),O807/BF808,
AND(L808="level-log",M808="sd (X)"),O807/BF808/AQ808,
AND(L808="level-log",M808="sd (Y)"),O807/BF808*BI808,
AND(L808="elasticity",M808="level"),O807,
AND(L808="elasticity",M808="sd (X)"),O807/AQ808,
AND(L808="elasticity",M808="sd (Y)"),O807*BI808,
AND(L808="marginal_effect",M808="percent_of_mean"),O807*AN808/BF808/10)</f>
        <v>0.30640920000000005</v>
      </c>
      <c r="AH808" s="56">
        <f t="shared" si="335"/>
        <v>0</v>
      </c>
      <c r="AI808" s="88">
        <f t="shared" si="325"/>
        <v>-0.13291260000000002</v>
      </c>
      <c r="AJ808" s="55">
        <v>0</v>
      </c>
      <c r="AK808" s="55">
        <f t="shared" ref="AK808:AK817" si="337">IF(P808=(AC808/AF808),1,0)</f>
        <v>1</v>
      </c>
      <c r="AL808" s="55" t="s">
        <v>148</v>
      </c>
      <c r="AM808" s="55" t="s">
        <v>1466</v>
      </c>
      <c r="AN808" s="55">
        <v>10.146000000000001</v>
      </c>
      <c r="AO808" s="55">
        <v>0</v>
      </c>
      <c r="AP808" s="55">
        <f t="shared" si="326"/>
        <v>101.46000000000001</v>
      </c>
      <c r="AQ808" s="55">
        <v>48.17</v>
      </c>
      <c r="AR808" s="55">
        <v>18</v>
      </c>
      <c r="AS808" s="55">
        <v>300</v>
      </c>
      <c r="AT808" s="55" t="s">
        <v>83</v>
      </c>
      <c r="AU808" s="55" t="s">
        <v>109</v>
      </c>
      <c r="AV808" s="55" t="s">
        <v>133</v>
      </c>
      <c r="AW808" s="55" t="s">
        <v>109</v>
      </c>
      <c r="AX808" s="55" t="s">
        <v>86</v>
      </c>
      <c r="AY808" s="55">
        <v>0</v>
      </c>
      <c r="AZ808" s="55">
        <v>5</v>
      </c>
      <c r="BA808" s="55" t="s">
        <v>87</v>
      </c>
      <c r="BB808" s="55" t="s">
        <v>88</v>
      </c>
      <c r="BC808" s="55" t="s">
        <v>89</v>
      </c>
      <c r="BD808" s="55" t="s">
        <v>90</v>
      </c>
      <c r="BE808" s="55" t="s">
        <v>1458</v>
      </c>
      <c r="BF808" s="55">
        <v>101.57</v>
      </c>
      <c r="BG808" s="55">
        <v>0</v>
      </c>
      <c r="BH808" s="55">
        <v>65.849999999999994</v>
      </c>
      <c r="BI808" s="55">
        <v>5</v>
      </c>
      <c r="BJ808" s="55">
        <v>430</v>
      </c>
      <c r="BK808" s="55" t="s">
        <v>91</v>
      </c>
      <c r="BL808" s="55" t="s">
        <v>84</v>
      </c>
      <c r="BM808" s="55">
        <v>1</v>
      </c>
      <c r="BN808" s="55" t="s">
        <v>428</v>
      </c>
      <c r="BO808" s="60" t="s">
        <v>1463</v>
      </c>
      <c r="BP808" s="55" t="s">
        <v>1464</v>
      </c>
      <c r="BQ808" s="55" t="s">
        <v>117</v>
      </c>
      <c r="BR808" s="55" t="s">
        <v>134</v>
      </c>
      <c r="BS808" s="55">
        <v>29.22</v>
      </c>
      <c r="BT808" s="55">
        <v>0.01</v>
      </c>
      <c r="BU808" s="57">
        <v>42552</v>
      </c>
      <c r="BV808" s="57">
        <v>42643</v>
      </c>
      <c r="BW808" s="55" t="s">
        <v>94</v>
      </c>
      <c r="BX808" s="55" t="s">
        <v>95</v>
      </c>
      <c r="BY808" s="55" t="s">
        <v>748</v>
      </c>
      <c r="BZ808" s="55">
        <v>1</v>
      </c>
      <c r="CA808" s="55">
        <v>1</v>
      </c>
      <c r="CB808" s="55" t="s">
        <v>303</v>
      </c>
      <c r="CC808" s="55" t="s">
        <v>314</v>
      </c>
      <c r="CD808" s="55">
        <v>1</v>
      </c>
      <c r="CE808" s="55" t="s">
        <v>1462</v>
      </c>
      <c r="CF808" s="55">
        <v>0</v>
      </c>
      <c r="CG808" s="55" t="s">
        <v>97</v>
      </c>
      <c r="CH808" s="55">
        <v>1</v>
      </c>
      <c r="CI808" s="55" t="s">
        <v>1465</v>
      </c>
      <c r="CJ808" s="55" t="s">
        <v>377</v>
      </c>
      <c r="CK808" s="55">
        <v>179</v>
      </c>
      <c r="CL808" s="55">
        <v>0</v>
      </c>
      <c r="CM808" s="55">
        <v>0</v>
      </c>
      <c r="CN808" s="55" t="s">
        <v>124</v>
      </c>
      <c r="CO808" s="55" t="s">
        <v>97</v>
      </c>
      <c r="CP808" s="55" t="s">
        <v>100</v>
      </c>
      <c r="CQ808" s="55" t="s">
        <v>126</v>
      </c>
      <c r="CR808" s="57">
        <v>46233</v>
      </c>
      <c r="CT808" s="55" t="s">
        <v>1898</v>
      </c>
    </row>
    <row r="809" spans="1:98" s="55" customFormat="1" x14ac:dyDescent="0.35">
      <c r="A809" s="54" t="s">
        <v>1459</v>
      </c>
      <c r="B809" s="54" t="s">
        <v>1886</v>
      </c>
      <c r="C809" s="55" t="s">
        <v>1460</v>
      </c>
      <c r="D809" s="55">
        <v>2022</v>
      </c>
      <c r="E809" s="60" t="s">
        <v>1461</v>
      </c>
      <c r="F809" s="54" t="s">
        <v>998</v>
      </c>
      <c r="G809" s="55" t="s">
        <v>78</v>
      </c>
      <c r="H809" s="55">
        <v>1</v>
      </c>
      <c r="I809" s="55" t="s">
        <v>290</v>
      </c>
      <c r="J809" s="55" t="s">
        <v>79</v>
      </c>
      <c r="K809" s="55">
        <v>81</v>
      </c>
      <c r="L809" s="55" t="s">
        <v>104</v>
      </c>
      <c r="M809" s="55" t="s">
        <v>380</v>
      </c>
      <c r="N809" s="55">
        <v>-8.6999999999999994E-3</v>
      </c>
      <c r="O809" s="55">
        <v>6.8999999999999999E-3</v>
      </c>
      <c r="P809" s="88">
        <f t="shared" si="329"/>
        <v>-1.2608695652173911</v>
      </c>
      <c r="Q809" s="55" t="s">
        <v>312</v>
      </c>
      <c r="R809" s="88">
        <f t="shared" si="330"/>
        <v>-2.2224000000000001E-2</v>
      </c>
      <c r="S809" s="88">
        <f t="shared" si="331"/>
        <v>4.8240000000000002E-3</v>
      </c>
      <c r="T809" s="55">
        <v>1</v>
      </c>
      <c r="U809" s="55" t="s">
        <v>312</v>
      </c>
      <c r="V809" s="55" t="s">
        <v>312</v>
      </c>
      <c r="W809" s="55" t="s">
        <v>312</v>
      </c>
      <c r="X809" s="55" t="str">
        <f t="shared" si="336"/>
        <v>NA</v>
      </c>
      <c r="Y809" s="88" t="s">
        <v>312</v>
      </c>
      <c r="Z809" s="88" t="s">
        <v>312</v>
      </c>
      <c r="AA809" s="88" t="s">
        <v>312</v>
      </c>
      <c r="AB809" s="55" t="s">
        <v>81</v>
      </c>
      <c r="AC809" s="88">
        <f t="shared" si="332"/>
        <v>-8.8270200000000007E-2</v>
      </c>
      <c r="AD809" s="88" cm="1">
        <f t="array" ref="AD809">_xlfn.IFS(
AND(L809="marginal_effect",M809="level"),N809*AN809/BF809,
AND(L809="marginal_effect",M809="sd (Y)"),N809*BI809*AN809/BF809,
AND(L809="marginal_effect",M809="sd (X)"),N809/AQ809*AN809/BF809,
AND(L809="semi_elasticity",M809="level"),N809*AN809,
AND(L809="semi_elasticity",M809="sd (Y)"),N809*AN809*BI809,
AND(L809="semi_elasticity",M809="sd (X)"),N809*AN809/AQ809,
AND(L809="level-log",M809="level"),N809/BF809,
AND(L809="level-log",M809="sd (X)"),N809/BF809/AQ809,
AND(L809="level-log",M809="sd (Y)"),N809/BF809*BI809,
AND(L809="elasticity",M809="level"),N809,
AND(L809="elasticity",M809="sd (X)"),N809/AQ809,
AND(L809="elasticity",M809="sd (Y)"),N809*BI809,
AND(L809="marginal_effect",M809="percent_of_mean"),N809*AN809/BF809/10)</f>
        <v>-8.8270200000000007E-2</v>
      </c>
      <c r="AE809" s="56">
        <f t="shared" si="334"/>
        <v>1</v>
      </c>
      <c r="AF809" s="88">
        <f t="shared" si="333"/>
        <v>7.0007399999999997E-2</v>
      </c>
      <c r="AG809" s="88" cm="1">
        <f t="array" ref="AG809">_xlfn.IFS(
AND(L809="marginal_effect",M809="level"),O808*AN809/BF809,
AND(L809="marginal_effect",M809="sd (Y)"),O808*BI809*AN809/BF809,
AND(L809="marginal_effect",M809="sd (X)"),O808/AQ809*AN809/BF809,
AND(L809="semi_elasticity",M809="level"),O808*AN809,
AND(L809="semi_elasticity",M809="sd (Y)"),O808*AN809*BI809,
AND(L809="semi_elasticity",M809="sd (X)"),O808*AN809/AQ809,
AND(L809="level-log",M809="level"),O808/BF809,
AND(L809="level-log",M809="sd (X)"),O808/BF809/AQ809,
AND(L809="level-log",M809="sd (Y)"),O808/BF809*BI809,
AND(L809="elasticity",M809="level"),O808,
AND(L809="elasticity",M809="sd (X)"),O808/AQ809,
AND(L809="elasticity",M809="sd (Y)"),O808*BI809,
AND(L809="marginal_effect",M809="percent_of_mean"),O808*AN809/BF809/10)</f>
        <v>5.5802999999999998E-2</v>
      </c>
      <c r="AH809" s="56">
        <f t="shared" si="335"/>
        <v>0</v>
      </c>
      <c r="AI809" s="88">
        <f t="shared" si="325"/>
        <v>-8.8270200000000007E-2</v>
      </c>
      <c r="AJ809" s="55">
        <v>0</v>
      </c>
      <c r="AK809" s="55">
        <f t="shared" si="337"/>
        <v>1</v>
      </c>
      <c r="AL809" s="55" t="s">
        <v>148</v>
      </c>
      <c r="AM809" s="55" t="s">
        <v>1466</v>
      </c>
      <c r="AN809" s="55">
        <v>10.146000000000001</v>
      </c>
      <c r="AO809" s="55">
        <v>0</v>
      </c>
      <c r="AP809" s="55">
        <f t="shared" si="326"/>
        <v>101.46000000000001</v>
      </c>
      <c r="AQ809" s="55">
        <v>48.17</v>
      </c>
      <c r="AR809" s="55">
        <v>18</v>
      </c>
      <c r="AS809" s="55">
        <v>300</v>
      </c>
      <c r="AT809" s="55" t="s">
        <v>83</v>
      </c>
      <c r="AU809" s="55" t="s">
        <v>109</v>
      </c>
      <c r="AV809" s="55" t="s">
        <v>133</v>
      </c>
      <c r="AW809" s="55" t="s">
        <v>109</v>
      </c>
      <c r="AX809" s="55" t="s">
        <v>86</v>
      </c>
      <c r="AY809" s="55">
        <v>0</v>
      </c>
      <c r="AZ809" s="55">
        <v>10</v>
      </c>
      <c r="BA809" s="55" t="s">
        <v>87</v>
      </c>
      <c r="BB809" s="55" t="s">
        <v>88</v>
      </c>
      <c r="BC809" s="55" t="s">
        <v>89</v>
      </c>
      <c r="BD809" s="55" t="s">
        <v>90</v>
      </c>
      <c r="BE809" s="55" t="s">
        <v>1458</v>
      </c>
      <c r="BF809" s="55">
        <v>101.57</v>
      </c>
      <c r="BG809" s="55">
        <v>0</v>
      </c>
      <c r="BH809" s="55">
        <v>65.849999999999994</v>
      </c>
      <c r="BI809" s="55">
        <v>5</v>
      </c>
      <c r="BJ809" s="55">
        <v>430</v>
      </c>
      <c r="BK809" s="55" t="s">
        <v>91</v>
      </c>
      <c r="BL809" s="55" t="s">
        <v>84</v>
      </c>
      <c r="BM809" s="55">
        <v>1</v>
      </c>
      <c r="BN809" s="55" t="s">
        <v>428</v>
      </c>
      <c r="BO809" s="60" t="s">
        <v>1463</v>
      </c>
      <c r="BP809" s="55" t="s">
        <v>1464</v>
      </c>
      <c r="BQ809" s="55" t="s">
        <v>117</v>
      </c>
      <c r="BR809" s="55" t="s">
        <v>134</v>
      </c>
      <c r="BS809" s="55">
        <v>29.22</v>
      </c>
      <c r="BT809" s="55">
        <v>0.01</v>
      </c>
      <c r="BU809" s="57">
        <v>42552</v>
      </c>
      <c r="BV809" s="57">
        <v>42643</v>
      </c>
      <c r="BW809" s="55" t="s">
        <v>94</v>
      </c>
      <c r="BX809" s="55" t="s">
        <v>95</v>
      </c>
      <c r="BY809" s="55" t="s">
        <v>748</v>
      </c>
      <c r="BZ809" s="55">
        <v>1</v>
      </c>
      <c r="CA809" s="55">
        <v>1</v>
      </c>
      <c r="CB809" s="55" t="s">
        <v>303</v>
      </c>
      <c r="CC809" s="55" t="s">
        <v>314</v>
      </c>
      <c r="CD809" s="55">
        <v>1</v>
      </c>
      <c r="CE809" s="55" t="s">
        <v>1462</v>
      </c>
      <c r="CF809" s="55">
        <v>0</v>
      </c>
      <c r="CG809" s="55" t="s">
        <v>97</v>
      </c>
      <c r="CH809" s="55">
        <v>1</v>
      </c>
      <c r="CI809" s="55" t="s">
        <v>1465</v>
      </c>
      <c r="CJ809" s="55" t="s">
        <v>377</v>
      </c>
      <c r="CK809" s="55">
        <v>179</v>
      </c>
      <c r="CL809" s="55">
        <v>0</v>
      </c>
      <c r="CM809" s="55">
        <v>0</v>
      </c>
      <c r="CN809" s="55" t="s">
        <v>124</v>
      </c>
      <c r="CO809" s="55" t="s">
        <v>97</v>
      </c>
      <c r="CP809" s="55" t="s">
        <v>100</v>
      </c>
      <c r="CQ809" s="55" t="s">
        <v>126</v>
      </c>
      <c r="CR809" s="57">
        <v>46233</v>
      </c>
      <c r="CT809" s="55" t="s">
        <v>1898</v>
      </c>
    </row>
    <row r="810" spans="1:98" s="55" customFormat="1" x14ac:dyDescent="0.35">
      <c r="A810" s="54" t="s">
        <v>1459</v>
      </c>
      <c r="B810" s="54" t="s">
        <v>1887</v>
      </c>
      <c r="C810" s="55" t="s">
        <v>1460</v>
      </c>
      <c r="D810" s="55">
        <v>2022</v>
      </c>
      <c r="E810" s="60" t="s">
        <v>1461</v>
      </c>
      <c r="F810" s="54" t="s">
        <v>998</v>
      </c>
      <c r="G810" s="55" t="s">
        <v>78</v>
      </c>
      <c r="H810" s="55">
        <v>1</v>
      </c>
      <c r="I810" s="55" t="s">
        <v>290</v>
      </c>
      <c r="J810" s="55" t="s">
        <v>79</v>
      </c>
      <c r="K810" s="55">
        <v>81</v>
      </c>
      <c r="L810" s="55" t="s">
        <v>104</v>
      </c>
      <c r="M810" s="55" t="s">
        <v>380</v>
      </c>
      <c r="N810" s="55">
        <v>-4.4299999999999999E-2</v>
      </c>
      <c r="O810" s="55">
        <v>2.6499999999999999E-2</v>
      </c>
      <c r="P810" s="88">
        <f t="shared" si="329"/>
        <v>-1.6716981132075472</v>
      </c>
      <c r="Q810" s="55" t="s">
        <v>312</v>
      </c>
      <c r="R810" s="88">
        <f t="shared" si="330"/>
        <v>-9.6239999999999992E-2</v>
      </c>
      <c r="S810" s="88">
        <f t="shared" si="331"/>
        <v>7.640000000000001E-3</v>
      </c>
      <c r="T810" s="55">
        <v>1</v>
      </c>
      <c r="U810" s="55" t="s">
        <v>312</v>
      </c>
      <c r="V810" s="55" t="s">
        <v>312</v>
      </c>
      <c r="W810" s="55" t="s">
        <v>312</v>
      </c>
      <c r="X810" s="55" t="str">
        <f t="shared" si="336"/>
        <v>NA</v>
      </c>
      <c r="Y810" s="88" t="s">
        <v>312</v>
      </c>
      <c r="Z810" s="88" t="s">
        <v>312</v>
      </c>
      <c r="AA810" s="88" t="s">
        <v>312</v>
      </c>
      <c r="AB810" s="55" t="s">
        <v>81</v>
      </c>
      <c r="AC810" s="88">
        <f t="shared" si="332"/>
        <v>-0.44946780000000003</v>
      </c>
      <c r="AD810" s="88" cm="1">
        <f t="array" ref="AD810">_xlfn.IFS(
AND(L810="marginal_effect",M810="level"),N810*AN810/BF810,
AND(L810="marginal_effect",M810="sd (Y)"),N810*BI810*AN810/BF810,
AND(L810="marginal_effect",M810="sd (X)"),N810/AQ810*AN810/BF810,
AND(L810="semi_elasticity",M810="level"),N810*AN810,
AND(L810="semi_elasticity",M810="sd (Y)"),N810*AN810*BI810,
AND(L810="semi_elasticity",M810="sd (X)"),N810*AN810/AQ810,
AND(L810="level-log",M810="level"),N810/BF810,
AND(L810="level-log",M810="sd (X)"),N810/BF810/AQ810,
AND(L810="level-log",M810="sd (Y)"),N810/BF810*BI810,
AND(L810="elasticity",M810="level"),N810,
AND(L810="elasticity",M810="sd (X)"),N810/AQ810,
AND(L810="elasticity",M810="sd (Y)"),N810*BI810,
AND(L810="marginal_effect",M810="percent_of_mean"),N810*AN810/BF810/10)</f>
        <v>-0.44946780000000003</v>
      </c>
      <c r="AE810" s="56">
        <f t="shared" si="334"/>
        <v>1</v>
      </c>
      <c r="AF810" s="88">
        <f t="shared" si="333"/>
        <v>0.26886900000000002</v>
      </c>
      <c r="AG810" s="88" cm="1">
        <f t="array" ref="AG810">_xlfn.IFS(
AND(L810="marginal_effect",M810="level"),O809*AN810/BF810,
AND(L810="marginal_effect",M810="sd (Y)"),O809*BI810*AN810/BF810,
AND(L810="marginal_effect",M810="sd (X)"),O809/AQ810*AN810/BF810,
AND(L810="semi_elasticity",M810="level"),O809*AN810,
AND(L810="semi_elasticity",M810="sd (Y)"),O809*AN810*BI810,
AND(L810="semi_elasticity",M810="sd (X)"),O809*AN810/AQ810,
AND(L810="level-log",M810="level"),O809/BF810,
AND(L810="level-log",M810="sd (X)"),O809/BF810/AQ810,
AND(L810="level-log",M810="sd (Y)"),O809/BF810*BI810,
AND(L810="elasticity",M810="level"),O809,
AND(L810="elasticity",M810="sd (X)"),O809/AQ810,
AND(L810="elasticity",M810="sd (Y)"),O809*BI810,
AND(L810="marginal_effect",M810="percent_of_mean"),O809*AN810/BF810/10)</f>
        <v>7.0007399999999997E-2</v>
      </c>
      <c r="AH810" s="56">
        <f t="shared" si="335"/>
        <v>0</v>
      </c>
      <c r="AI810" s="88">
        <f t="shared" si="325"/>
        <v>-0.44946780000000003</v>
      </c>
      <c r="AJ810" s="55">
        <v>0</v>
      </c>
      <c r="AK810" s="55">
        <f t="shared" si="337"/>
        <v>1</v>
      </c>
      <c r="AL810" s="55" t="s">
        <v>148</v>
      </c>
      <c r="AM810" s="55" t="s">
        <v>1466</v>
      </c>
      <c r="AN810" s="55">
        <v>10.146000000000001</v>
      </c>
      <c r="AO810" s="55">
        <v>0</v>
      </c>
      <c r="AP810" s="55">
        <f t="shared" si="326"/>
        <v>101.46000000000001</v>
      </c>
      <c r="AQ810" s="55">
        <v>48.17</v>
      </c>
      <c r="AR810" s="55">
        <v>18</v>
      </c>
      <c r="AS810" s="55">
        <v>300</v>
      </c>
      <c r="AT810" s="55" t="s">
        <v>83</v>
      </c>
      <c r="AU810" s="55" t="s">
        <v>109</v>
      </c>
      <c r="AV810" s="55" t="s">
        <v>133</v>
      </c>
      <c r="AW810" s="55" t="s">
        <v>109</v>
      </c>
      <c r="AX810" s="55" t="s">
        <v>86</v>
      </c>
      <c r="AY810" s="55">
        <v>0</v>
      </c>
      <c r="AZ810" s="55">
        <v>15</v>
      </c>
      <c r="BA810" s="55" t="s">
        <v>87</v>
      </c>
      <c r="BB810" s="55" t="s">
        <v>88</v>
      </c>
      <c r="BC810" s="55" t="s">
        <v>89</v>
      </c>
      <c r="BD810" s="55" t="s">
        <v>90</v>
      </c>
      <c r="BE810" s="55" t="s">
        <v>1458</v>
      </c>
      <c r="BF810" s="55">
        <v>101.57</v>
      </c>
      <c r="BG810" s="55">
        <v>0</v>
      </c>
      <c r="BH810" s="55">
        <v>65.849999999999994</v>
      </c>
      <c r="BI810" s="55">
        <v>5</v>
      </c>
      <c r="BJ810" s="55">
        <v>430</v>
      </c>
      <c r="BK810" s="55" t="s">
        <v>91</v>
      </c>
      <c r="BL810" s="55" t="s">
        <v>84</v>
      </c>
      <c r="BM810" s="55">
        <v>1</v>
      </c>
      <c r="BN810" s="55" t="s">
        <v>428</v>
      </c>
      <c r="BO810" s="60" t="s">
        <v>1463</v>
      </c>
      <c r="BP810" s="55" t="s">
        <v>1464</v>
      </c>
      <c r="BQ810" s="55" t="s">
        <v>117</v>
      </c>
      <c r="BR810" s="55" t="s">
        <v>134</v>
      </c>
      <c r="BS810" s="55">
        <v>29.22</v>
      </c>
      <c r="BT810" s="55">
        <v>0.01</v>
      </c>
      <c r="BU810" s="57">
        <v>42552</v>
      </c>
      <c r="BV810" s="57">
        <v>42643</v>
      </c>
      <c r="BW810" s="55" t="s">
        <v>94</v>
      </c>
      <c r="BX810" s="55" t="s">
        <v>95</v>
      </c>
      <c r="BY810" s="55" t="s">
        <v>748</v>
      </c>
      <c r="BZ810" s="55">
        <v>1</v>
      </c>
      <c r="CA810" s="55">
        <v>1</v>
      </c>
      <c r="CB810" s="55" t="s">
        <v>303</v>
      </c>
      <c r="CC810" s="55" t="s">
        <v>314</v>
      </c>
      <c r="CD810" s="55">
        <v>1</v>
      </c>
      <c r="CE810" s="55" t="s">
        <v>1462</v>
      </c>
      <c r="CF810" s="55">
        <v>0</v>
      </c>
      <c r="CG810" s="55" t="s">
        <v>97</v>
      </c>
      <c r="CH810" s="55">
        <v>1</v>
      </c>
      <c r="CI810" s="55" t="s">
        <v>1465</v>
      </c>
      <c r="CJ810" s="55" t="s">
        <v>377</v>
      </c>
      <c r="CK810" s="55">
        <v>179</v>
      </c>
      <c r="CL810" s="55">
        <v>0</v>
      </c>
      <c r="CM810" s="55">
        <v>0</v>
      </c>
      <c r="CN810" s="55" t="s">
        <v>124</v>
      </c>
      <c r="CO810" s="55" t="s">
        <v>97</v>
      </c>
      <c r="CP810" s="55" t="s">
        <v>100</v>
      </c>
      <c r="CQ810" s="55" t="s">
        <v>126</v>
      </c>
      <c r="CR810" s="57">
        <v>46233</v>
      </c>
      <c r="CT810" s="55" t="s">
        <v>1898</v>
      </c>
    </row>
    <row r="811" spans="1:98" s="55" customFormat="1" x14ac:dyDescent="0.35">
      <c r="A811" s="54" t="s">
        <v>1459</v>
      </c>
      <c r="B811" s="54" t="s">
        <v>1888</v>
      </c>
      <c r="C811" s="55" t="s">
        <v>1460</v>
      </c>
      <c r="D811" s="55">
        <v>2022</v>
      </c>
      <c r="E811" s="60" t="s">
        <v>1461</v>
      </c>
      <c r="F811" s="54" t="s">
        <v>998</v>
      </c>
      <c r="G811" s="55" t="s">
        <v>78</v>
      </c>
      <c r="H811" s="55">
        <v>1</v>
      </c>
      <c r="I811" s="55" t="s">
        <v>290</v>
      </c>
      <c r="J811" s="55" t="s">
        <v>79</v>
      </c>
      <c r="K811" s="55">
        <v>81</v>
      </c>
      <c r="L811" s="55" t="s">
        <v>104</v>
      </c>
      <c r="M811" s="55" t="s">
        <v>380</v>
      </c>
      <c r="N811" s="55">
        <v>-2.1399999999999999E-2</v>
      </c>
      <c r="O811" s="55">
        <v>1.5299999999999999E-2</v>
      </c>
      <c r="P811" s="88">
        <f t="shared" si="329"/>
        <v>-1.3986928104575163</v>
      </c>
      <c r="Q811" s="55" t="s">
        <v>312</v>
      </c>
      <c r="R811" s="88">
        <f t="shared" si="330"/>
        <v>-5.1387999999999996E-2</v>
      </c>
      <c r="S811" s="88">
        <f t="shared" si="331"/>
        <v>8.5879999999999984E-3</v>
      </c>
      <c r="T811" s="55">
        <v>1</v>
      </c>
      <c r="U811" s="55" t="s">
        <v>312</v>
      </c>
      <c r="V811" s="55" t="s">
        <v>312</v>
      </c>
      <c r="W811" s="55" t="s">
        <v>312</v>
      </c>
      <c r="X811" s="55" t="str">
        <f t="shared" si="336"/>
        <v>NA</v>
      </c>
      <c r="Y811" s="88" t="s">
        <v>312</v>
      </c>
      <c r="Z811" s="88" t="s">
        <v>312</v>
      </c>
      <c r="AA811" s="88" t="s">
        <v>312</v>
      </c>
      <c r="AB811" s="55" t="s">
        <v>81</v>
      </c>
      <c r="AC811" s="88">
        <f t="shared" si="332"/>
        <v>-0.2171244</v>
      </c>
      <c r="AD811" s="88" cm="1">
        <f t="array" ref="AD811">_xlfn.IFS(
AND(L811="marginal_effect",M811="level"),N811*AN811/BF811,
AND(L811="marginal_effect",M811="sd (Y)"),N811*BI811*AN811/BF811,
AND(L811="marginal_effect",M811="sd (X)"),N811/AQ811*AN811/BF811,
AND(L811="semi_elasticity",M811="level"),N811*AN811,
AND(L811="semi_elasticity",M811="sd (Y)"),N811*AN811*BI811,
AND(L811="semi_elasticity",M811="sd (X)"),N811*AN811/AQ811,
AND(L811="level-log",M811="level"),N811/BF811,
AND(L811="level-log",M811="sd (X)"),N811/BF811/AQ811,
AND(L811="level-log",M811="sd (Y)"),N811/BF811*BI811,
AND(L811="elasticity",M811="level"),N811,
AND(L811="elasticity",M811="sd (X)"),N811/AQ811,
AND(L811="elasticity",M811="sd (Y)"),N811*BI811,
AND(L811="marginal_effect",M811="percent_of_mean"),N811*AN811/BF811/10)</f>
        <v>-0.2171244</v>
      </c>
      <c r="AE811" s="56">
        <f t="shared" si="334"/>
        <v>1</v>
      </c>
      <c r="AF811" s="88">
        <f t="shared" si="333"/>
        <v>0.15523380000000001</v>
      </c>
      <c r="AG811" s="88" cm="1">
        <f t="array" ref="AG811">_xlfn.IFS(
AND(L811="marginal_effect",M811="level"),O810*AN811/BF811,
AND(L811="marginal_effect",M811="sd (Y)"),O810*BI811*AN811/BF811,
AND(L811="marginal_effect",M811="sd (X)"),O810/AQ811*AN811/BF811,
AND(L811="semi_elasticity",M811="level"),O810*AN811,
AND(L811="semi_elasticity",M811="sd (Y)"),O810*AN811*BI811,
AND(L811="semi_elasticity",M811="sd (X)"),O810*AN811/AQ811,
AND(L811="level-log",M811="level"),O810/BF811,
AND(L811="level-log",M811="sd (X)"),O810/BF811/AQ811,
AND(L811="level-log",M811="sd (Y)"),O810/BF811*BI811,
AND(L811="elasticity",M811="level"),O810,
AND(L811="elasticity",M811="sd (X)"),O810/AQ811,
AND(L811="elasticity",M811="sd (Y)"),O810*BI811,
AND(L811="marginal_effect",M811="percent_of_mean"),O810*AN811/BF811/10)</f>
        <v>0.26886900000000002</v>
      </c>
      <c r="AH811" s="56">
        <f t="shared" si="335"/>
        <v>0</v>
      </c>
      <c r="AI811" s="88">
        <f t="shared" si="325"/>
        <v>-0.2171244</v>
      </c>
      <c r="AJ811" s="55">
        <v>0</v>
      </c>
      <c r="AK811" s="55">
        <f t="shared" si="337"/>
        <v>1</v>
      </c>
      <c r="AL811" s="55" t="s">
        <v>148</v>
      </c>
      <c r="AM811" s="55" t="s">
        <v>1466</v>
      </c>
      <c r="AN811" s="55">
        <v>10.146000000000001</v>
      </c>
      <c r="AO811" s="55">
        <v>0</v>
      </c>
      <c r="AP811" s="55">
        <f t="shared" si="326"/>
        <v>101.46000000000001</v>
      </c>
      <c r="AQ811" s="55">
        <v>48.17</v>
      </c>
      <c r="AR811" s="55">
        <v>18</v>
      </c>
      <c r="AS811" s="55">
        <v>300</v>
      </c>
      <c r="AT811" s="55" t="s">
        <v>83</v>
      </c>
      <c r="AU811" s="55" t="s">
        <v>109</v>
      </c>
      <c r="AV811" s="55" t="s">
        <v>133</v>
      </c>
      <c r="AW811" s="55" t="s">
        <v>109</v>
      </c>
      <c r="AX811" s="55" t="s">
        <v>86</v>
      </c>
      <c r="AY811" s="55">
        <v>0</v>
      </c>
      <c r="AZ811" s="55">
        <v>20</v>
      </c>
      <c r="BA811" s="55" t="s">
        <v>87</v>
      </c>
      <c r="BB811" s="55" t="s">
        <v>88</v>
      </c>
      <c r="BC811" s="55" t="s">
        <v>89</v>
      </c>
      <c r="BD811" s="55" t="s">
        <v>90</v>
      </c>
      <c r="BE811" s="55" t="s">
        <v>1458</v>
      </c>
      <c r="BF811" s="55">
        <v>101.57</v>
      </c>
      <c r="BG811" s="55">
        <v>0</v>
      </c>
      <c r="BH811" s="55">
        <v>65.849999999999994</v>
      </c>
      <c r="BI811" s="55">
        <v>5</v>
      </c>
      <c r="BJ811" s="55">
        <v>430</v>
      </c>
      <c r="BK811" s="55" t="s">
        <v>91</v>
      </c>
      <c r="BL811" s="55" t="s">
        <v>84</v>
      </c>
      <c r="BM811" s="55">
        <v>1</v>
      </c>
      <c r="BN811" s="55" t="s">
        <v>428</v>
      </c>
      <c r="BO811" s="60" t="s">
        <v>1463</v>
      </c>
      <c r="BP811" s="55" t="s">
        <v>1464</v>
      </c>
      <c r="BQ811" s="55" t="s">
        <v>117</v>
      </c>
      <c r="BR811" s="55" t="s">
        <v>134</v>
      </c>
      <c r="BS811" s="55">
        <v>29.22</v>
      </c>
      <c r="BT811" s="55">
        <v>0.01</v>
      </c>
      <c r="BU811" s="57">
        <v>42552</v>
      </c>
      <c r="BV811" s="57">
        <v>42643</v>
      </c>
      <c r="BW811" s="55" t="s">
        <v>94</v>
      </c>
      <c r="BX811" s="55" t="s">
        <v>95</v>
      </c>
      <c r="BY811" s="55" t="s">
        <v>748</v>
      </c>
      <c r="BZ811" s="55">
        <v>1</v>
      </c>
      <c r="CA811" s="55">
        <v>1</v>
      </c>
      <c r="CB811" s="55" t="s">
        <v>303</v>
      </c>
      <c r="CC811" s="55" t="s">
        <v>314</v>
      </c>
      <c r="CD811" s="55">
        <v>1</v>
      </c>
      <c r="CE811" s="55" t="s">
        <v>1462</v>
      </c>
      <c r="CF811" s="55">
        <v>0</v>
      </c>
      <c r="CG811" s="55" t="s">
        <v>97</v>
      </c>
      <c r="CH811" s="55">
        <v>1</v>
      </c>
      <c r="CI811" s="55" t="s">
        <v>1465</v>
      </c>
      <c r="CJ811" s="55" t="s">
        <v>377</v>
      </c>
      <c r="CK811" s="55">
        <v>179</v>
      </c>
      <c r="CL811" s="55">
        <v>0</v>
      </c>
      <c r="CM811" s="55">
        <v>0</v>
      </c>
      <c r="CN811" s="55" t="s">
        <v>124</v>
      </c>
      <c r="CO811" s="55" t="s">
        <v>97</v>
      </c>
      <c r="CP811" s="55" t="s">
        <v>100</v>
      </c>
      <c r="CQ811" s="55" t="s">
        <v>126</v>
      </c>
      <c r="CR811" s="57">
        <v>46233</v>
      </c>
      <c r="CT811" s="55" t="s">
        <v>1898</v>
      </c>
    </row>
    <row r="812" spans="1:98" s="55" customFormat="1" x14ac:dyDescent="0.35">
      <c r="A812" s="54" t="s">
        <v>1459</v>
      </c>
      <c r="B812" s="54" t="s">
        <v>1889</v>
      </c>
      <c r="C812" s="55" t="s">
        <v>1460</v>
      </c>
      <c r="D812" s="55">
        <v>2022</v>
      </c>
      <c r="E812" s="60" t="s">
        <v>1461</v>
      </c>
      <c r="F812" s="54" t="s">
        <v>998</v>
      </c>
      <c r="G812" s="55" t="s">
        <v>78</v>
      </c>
      <c r="H812" s="55">
        <v>1</v>
      </c>
      <c r="I812" s="55" t="s">
        <v>290</v>
      </c>
      <c r="J812" s="55" t="s">
        <v>79</v>
      </c>
      <c r="K812" s="55">
        <v>81</v>
      </c>
      <c r="L812" s="55" t="s">
        <v>104</v>
      </c>
      <c r="M812" s="55" t="s">
        <v>380</v>
      </c>
      <c r="N812" s="55">
        <v>-6.2300000000000001E-2</v>
      </c>
      <c r="O812" s="55">
        <v>3.7699999999999997E-2</v>
      </c>
      <c r="P812" s="88">
        <f t="shared" si="329"/>
        <v>-1.6525198938992043</v>
      </c>
      <c r="Q812" s="55" t="s">
        <v>312</v>
      </c>
      <c r="R812" s="88">
        <f t="shared" si="330"/>
        <v>-0.13619200000000001</v>
      </c>
      <c r="S812" s="88">
        <f t="shared" si="331"/>
        <v>1.1591999999999998E-2</v>
      </c>
      <c r="T812" s="55">
        <v>1</v>
      </c>
      <c r="U812" s="55" t="s">
        <v>312</v>
      </c>
      <c r="V812" s="55" t="s">
        <v>312</v>
      </c>
      <c r="W812" s="55" t="s">
        <v>312</v>
      </c>
      <c r="X812" s="55" t="str">
        <f t="shared" si="336"/>
        <v>NA</v>
      </c>
      <c r="Y812" s="88" t="s">
        <v>312</v>
      </c>
      <c r="Z812" s="88" t="s">
        <v>312</v>
      </c>
      <c r="AA812" s="88" t="s">
        <v>312</v>
      </c>
      <c r="AB812" s="55" t="s">
        <v>81</v>
      </c>
      <c r="AC812" s="88">
        <f t="shared" si="332"/>
        <v>-0.6320958000000001</v>
      </c>
      <c r="AD812" s="88" cm="1">
        <f t="array" ref="AD812">_xlfn.IFS(
AND(L812="marginal_effect",M812="level"),N812*AN812/BF812,
AND(L812="marginal_effect",M812="sd (Y)"),N812*BI812*AN812/BF812,
AND(L812="marginal_effect",M812="sd (X)"),N812/AQ812*AN812/BF812,
AND(L812="semi_elasticity",M812="level"),N812*AN812,
AND(L812="semi_elasticity",M812="sd (Y)"),N812*AN812*BI812,
AND(L812="semi_elasticity",M812="sd (X)"),N812*AN812/AQ812,
AND(L812="level-log",M812="level"),N812/BF812,
AND(L812="level-log",M812="sd (X)"),N812/BF812/AQ812,
AND(L812="level-log",M812="sd (Y)"),N812/BF812*BI812,
AND(L812="elasticity",M812="level"),N812,
AND(L812="elasticity",M812="sd (X)"),N812/AQ812,
AND(L812="elasticity",M812="sd (Y)"),N812*BI812,
AND(L812="marginal_effect",M812="percent_of_mean"),N812*AN812/BF812/10)</f>
        <v>-0.6320958000000001</v>
      </c>
      <c r="AE812" s="56">
        <f t="shared" si="334"/>
        <v>1</v>
      </c>
      <c r="AF812" s="88">
        <f t="shared" si="333"/>
        <v>0.38250420000000002</v>
      </c>
      <c r="AG812" s="88" cm="1">
        <f t="array" ref="AG812">_xlfn.IFS(
AND(L812="marginal_effect",M812="level"),O811*AN812/BF812,
AND(L812="marginal_effect",M812="sd (Y)"),O811*BI812*AN812/BF812,
AND(L812="marginal_effect",M812="sd (X)"),O811/AQ812*AN812/BF812,
AND(L812="semi_elasticity",M812="level"),O811*AN812,
AND(L812="semi_elasticity",M812="sd (Y)"),O811*AN812*BI812,
AND(L812="semi_elasticity",M812="sd (X)"),O811*AN812/AQ812,
AND(L812="level-log",M812="level"),O811/BF812,
AND(L812="level-log",M812="sd (X)"),O811/BF812/AQ812,
AND(L812="level-log",M812="sd (Y)"),O811/BF812*BI812,
AND(L812="elasticity",M812="level"),O811,
AND(L812="elasticity",M812="sd (X)"),O811/AQ812,
AND(L812="elasticity",M812="sd (Y)"),O811*BI812,
AND(L812="marginal_effect",M812="percent_of_mean"),O811*AN812/BF812/10)</f>
        <v>0.15523380000000001</v>
      </c>
      <c r="AH812" s="56">
        <f t="shared" si="335"/>
        <v>0</v>
      </c>
      <c r="AI812" s="88">
        <f t="shared" si="325"/>
        <v>-0.6320958000000001</v>
      </c>
      <c r="AJ812" s="55">
        <v>0</v>
      </c>
      <c r="AK812" s="55">
        <f t="shared" si="337"/>
        <v>1</v>
      </c>
      <c r="AL812" s="55" t="s">
        <v>148</v>
      </c>
      <c r="AM812" s="55" t="s">
        <v>1466</v>
      </c>
      <c r="AN812" s="55">
        <v>10.146000000000001</v>
      </c>
      <c r="AO812" s="55">
        <v>0</v>
      </c>
      <c r="AP812" s="55">
        <f t="shared" si="326"/>
        <v>101.46000000000001</v>
      </c>
      <c r="AQ812" s="55">
        <v>48.17</v>
      </c>
      <c r="AR812" s="55">
        <v>18</v>
      </c>
      <c r="AS812" s="55">
        <v>300</v>
      </c>
      <c r="AT812" s="55" t="s">
        <v>83</v>
      </c>
      <c r="AU812" s="55" t="s">
        <v>109</v>
      </c>
      <c r="AV812" s="55" t="s">
        <v>133</v>
      </c>
      <c r="AW812" s="55" t="s">
        <v>109</v>
      </c>
      <c r="AX812" s="55" t="s">
        <v>86</v>
      </c>
      <c r="AY812" s="55">
        <v>0</v>
      </c>
      <c r="AZ812" s="55">
        <v>25</v>
      </c>
      <c r="BA812" s="55" t="s">
        <v>87</v>
      </c>
      <c r="BB812" s="55" t="s">
        <v>88</v>
      </c>
      <c r="BC812" s="55" t="s">
        <v>89</v>
      </c>
      <c r="BD812" s="55" t="s">
        <v>90</v>
      </c>
      <c r="BE812" s="55" t="s">
        <v>1458</v>
      </c>
      <c r="BF812" s="55">
        <v>101.57</v>
      </c>
      <c r="BG812" s="55">
        <v>0</v>
      </c>
      <c r="BH812" s="55">
        <v>65.849999999999994</v>
      </c>
      <c r="BI812" s="55">
        <v>5</v>
      </c>
      <c r="BJ812" s="55">
        <v>430</v>
      </c>
      <c r="BK812" s="55" t="s">
        <v>91</v>
      </c>
      <c r="BL812" s="55" t="s">
        <v>84</v>
      </c>
      <c r="BM812" s="55">
        <v>1</v>
      </c>
      <c r="BN812" s="55" t="s">
        <v>428</v>
      </c>
      <c r="BO812" s="60" t="s">
        <v>1463</v>
      </c>
      <c r="BP812" s="55" t="s">
        <v>1464</v>
      </c>
      <c r="BQ812" s="55" t="s">
        <v>117</v>
      </c>
      <c r="BR812" s="55" t="s">
        <v>134</v>
      </c>
      <c r="BS812" s="55">
        <v>29.22</v>
      </c>
      <c r="BT812" s="55">
        <v>0.01</v>
      </c>
      <c r="BU812" s="57">
        <v>42552</v>
      </c>
      <c r="BV812" s="57">
        <v>42643</v>
      </c>
      <c r="BW812" s="55" t="s">
        <v>94</v>
      </c>
      <c r="BX812" s="55" t="s">
        <v>95</v>
      </c>
      <c r="BY812" s="55" t="s">
        <v>748</v>
      </c>
      <c r="BZ812" s="55">
        <v>1</v>
      </c>
      <c r="CA812" s="55">
        <v>1</v>
      </c>
      <c r="CB812" s="55" t="s">
        <v>303</v>
      </c>
      <c r="CC812" s="55" t="s">
        <v>314</v>
      </c>
      <c r="CD812" s="55">
        <v>1</v>
      </c>
      <c r="CE812" s="55" t="s">
        <v>1462</v>
      </c>
      <c r="CF812" s="55">
        <v>0</v>
      </c>
      <c r="CG812" s="55" t="s">
        <v>97</v>
      </c>
      <c r="CH812" s="55">
        <v>1</v>
      </c>
      <c r="CI812" s="55" t="s">
        <v>1465</v>
      </c>
      <c r="CJ812" s="55" t="s">
        <v>377</v>
      </c>
      <c r="CK812" s="55">
        <v>179</v>
      </c>
      <c r="CL812" s="55">
        <v>0</v>
      </c>
      <c r="CM812" s="55">
        <v>0</v>
      </c>
      <c r="CN812" s="55" t="s">
        <v>124</v>
      </c>
      <c r="CO812" s="55" t="s">
        <v>97</v>
      </c>
      <c r="CP812" s="55" t="s">
        <v>100</v>
      </c>
      <c r="CQ812" s="55" t="s">
        <v>126</v>
      </c>
      <c r="CR812" s="57">
        <v>46233</v>
      </c>
      <c r="CT812" s="55" t="s">
        <v>1898</v>
      </c>
    </row>
    <row r="813" spans="1:98" s="55" customFormat="1" x14ac:dyDescent="0.35">
      <c r="A813" s="54" t="s">
        <v>1459</v>
      </c>
      <c r="B813" s="54" t="s">
        <v>1890</v>
      </c>
      <c r="C813" s="55" t="s">
        <v>1460</v>
      </c>
      <c r="D813" s="55">
        <v>2022</v>
      </c>
      <c r="E813" s="60" t="s">
        <v>1461</v>
      </c>
      <c r="F813" s="54" t="s">
        <v>998</v>
      </c>
      <c r="G813" s="55" t="s">
        <v>78</v>
      </c>
      <c r="H813" s="55">
        <v>1</v>
      </c>
      <c r="I813" s="55" t="s">
        <v>290</v>
      </c>
      <c r="J813" s="55" t="s">
        <v>79</v>
      </c>
      <c r="K813" s="55">
        <v>81</v>
      </c>
      <c r="L813" s="55" t="s">
        <v>104</v>
      </c>
      <c r="M813" s="55" t="s">
        <v>380</v>
      </c>
      <c r="N813" s="55">
        <v>-4.1099999999999998E-2</v>
      </c>
      <c r="O813" s="55">
        <v>1.9199999999999998E-2</v>
      </c>
      <c r="P813" s="88">
        <f t="shared" si="329"/>
        <v>-2.140625</v>
      </c>
      <c r="Q813" s="55" t="s">
        <v>312</v>
      </c>
      <c r="R813" s="88">
        <f t="shared" si="330"/>
        <v>-7.8731999999999996E-2</v>
      </c>
      <c r="S813" s="88">
        <f t="shared" si="331"/>
        <v>-3.4679999999999989E-3</v>
      </c>
      <c r="T813" s="55">
        <v>1</v>
      </c>
      <c r="U813" s="55" t="s">
        <v>312</v>
      </c>
      <c r="V813" s="55" t="s">
        <v>312</v>
      </c>
      <c r="W813" s="55" t="s">
        <v>312</v>
      </c>
      <c r="X813" s="55" t="str">
        <f t="shared" si="336"/>
        <v>NA</v>
      </c>
      <c r="Y813" s="88" t="s">
        <v>312</v>
      </c>
      <c r="Z813" s="88" t="s">
        <v>312</v>
      </c>
      <c r="AA813" s="88" t="s">
        <v>312</v>
      </c>
      <c r="AB813" s="55" t="s">
        <v>81</v>
      </c>
      <c r="AC813" s="88">
        <f t="shared" si="332"/>
        <v>-0.4170006</v>
      </c>
      <c r="AD813" s="88" cm="1">
        <f t="array" ref="AD813">_xlfn.IFS(
AND(L813="marginal_effect",M813="level"),N813*AN813/BF813,
AND(L813="marginal_effect",M813="sd (Y)"),N813*BI813*AN813/BF813,
AND(L813="marginal_effect",M813="sd (X)"),N813/AQ813*AN813/BF813,
AND(L813="semi_elasticity",M813="level"),N813*AN813,
AND(L813="semi_elasticity",M813="sd (Y)"),N813*AN813*BI813,
AND(L813="semi_elasticity",M813="sd (X)"),N813*AN813/AQ813,
AND(L813="level-log",M813="level"),N813/BF813,
AND(L813="level-log",M813="sd (X)"),N813/BF813/AQ813,
AND(L813="level-log",M813="sd (Y)"),N813/BF813*BI813,
AND(L813="elasticity",M813="level"),N813,
AND(L813="elasticity",M813="sd (X)"),N813/AQ813,
AND(L813="elasticity",M813="sd (Y)"),N813*BI813,
AND(L813="marginal_effect",M813="percent_of_mean"),N813*AN813/BF813/10)</f>
        <v>-0.4170006</v>
      </c>
      <c r="AE813" s="56">
        <f t="shared" si="334"/>
        <v>1</v>
      </c>
      <c r="AF813" s="88">
        <f t="shared" si="333"/>
        <v>0.19480320000000001</v>
      </c>
      <c r="AG813" s="88" cm="1">
        <f t="array" ref="AG813">_xlfn.IFS(
AND(L813="marginal_effect",M813="level"),O812*AN813/BF813,
AND(L813="marginal_effect",M813="sd (Y)"),O812*BI813*AN813/BF813,
AND(L813="marginal_effect",M813="sd (X)"),O812/AQ813*AN813/BF813,
AND(L813="semi_elasticity",M813="level"),O812*AN813,
AND(L813="semi_elasticity",M813="sd (Y)"),O812*AN813*BI813,
AND(L813="semi_elasticity",M813="sd (X)"),O812*AN813/AQ813,
AND(L813="level-log",M813="level"),O812/BF813,
AND(L813="level-log",M813="sd (X)"),O812/BF813/AQ813,
AND(L813="level-log",M813="sd (Y)"),O812/BF813*BI813,
AND(L813="elasticity",M813="level"),O812,
AND(L813="elasticity",M813="sd (X)"),O812/AQ813,
AND(L813="elasticity",M813="sd (Y)"),O812*BI813,
AND(L813="marginal_effect",M813="percent_of_mean"),O812*AN813/BF813/10)</f>
        <v>0.38250420000000002</v>
      </c>
      <c r="AH813" s="56">
        <f t="shared" si="335"/>
        <v>0</v>
      </c>
      <c r="AI813" s="88">
        <f t="shared" si="325"/>
        <v>-0.4170006</v>
      </c>
      <c r="AJ813" s="55">
        <v>0</v>
      </c>
      <c r="AK813" s="55">
        <f t="shared" si="337"/>
        <v>1</v>
      </c>
      <c r="AL813" s="55" t="s">
        <v>148</v>
      </c>
      <c r="AM813" s="55" t="s">
        <v>1466</v>
      </c>
      <c r="AN813" s="55">
        <v>10.146000000000001</v>
      </c>
      <c r="AO813" s="55">
        <v>0</v>
      </c>
      <c r="AP813" s="55">
        <f t="shared" si="326"/>
        <v>101.46000000000001</v>
      </c>
      <c r="AQ813" s="55">
        <v>48.17</v>
      </c>
      <c r="AR813" s="55">
        <v>18</v>
      </c>
      <c r="AS813" s="55">
        <v>300</v>
      </c>
      <c r="AT813" s="55" t="s">
        <v>83</v>
      </c>
      <c r="AU813" s="55" t="s">
        <v>109</v>
      </c>
      <c r="AV813" s="55" t="s">
        <v>133</v>
      </c>
      <c r="AW813" s="55" t="s">
        <v>109</v>
      </c>
      <c r="AX813" s="55" t="s">
        <v>86</v>
      </c>
      <c r="AY813" s="55">
        <v>0</v>
      </c>
      <c r="AZ813" s="55">
        <v>30</v>
      </c>
      <c r="BA813" s="55" t="s">
        <v>87</v>
      </c>
      <c r="BB813" s="55" t="s">
        <v>88</v>
      </c>
      <c r="BC813" s="55" t="s">
        <v>89</v>
      </c>
      <c r="BD813" s="55" t="s">
        <v>90</v>
      </c>
      <c r="BE813" s="55" t="s">
        <v>1458</v>
      </c>
      <c r="BF813" s="55">
        <v>101.57</v>
      </c>
      <c r="BG813" s="55">
        <v>0</v>
      </c>
      <c r="BH813" s="55">
        <v>65.849999999999994</v>
      </c>
      <c r="BI813" s="55">
        <v>5</v>
      </c>
      <c r="BJ813" s="55">
        <v>430</v>
      </c>
      <c r="BK813" s="55" t="s">
        <v>91</v>
      </c>
      <c r="BL813" s="55" t="s">
        <v>84</v>
      </c>
      <c r="BM813" s="55">
        <v>1</v>
      </c>
      <c r="BN813" s="55" t="s">
        <v>428</v>
      </c>
      <c r="BO813" s="60" t="s">
        <v>1463</v>
      </c>
      <c r="BP813" s="55" t="s">
        <v>1464</v>
      </c>
      <c r="BQ813" s="55" t="s">
        <v>117</v>
      </c>
      <c r="BR813" s="55" t="s">
        <v>134</v>
      </c>
      <c r="BS813" s="55">
        <v>29.22</v>
      </c>
      <c r="BT813" s="55">
        <v>0.01</v>
      </c>
      <c r="BU813" s="57">
        <v>42552</v>
      </c>
      <c r="BV813" s="57">
        <v>42643</v>
      </c>
      <c r="BW813" s="55" t="s">
        <v>94</v>
      </c>
      <c r="BX813" s="55" t="s">
        <v>95</v>
      </c>
      <c r="BY813" s="55" t="s">
        <v>748</v>
      </c>
      <c r="BZ813" s="55">
        <v>1</v>
      </c>
      <c r="CA813" s="55">
        <v>1</v>
      </c>
      <c r="CB813" s="55" t="s">
        <v>303</v>
      </c>
      <c r="CC813" s="55" t="s">
        <v>314</v>
      </c>
      <c r="CD813" s="55">
        <v>1</v>
      </c>
      <c r="CE813" s="55" t="s">
        <v>1462</v>
      </c>
      <c r="CF813" s="55">
        <v>0</v>
      </c>
      <c r="CG813" s="55" t="s">
        <v>97</v>
      </c>
      <c r="CH813" s="55">
        <v>1</v>
      </c>
      <c r="CI813" s="55" t="s">
        <v>1465</v>
      </c>
      <c r="CJ813" s="55" t="s">
        <v>377</v>
      </c>
      <c r="CK813" s="55">
        <v>179</v>
      </c>
      <c r="CL813" s="55">
        <v>0</v>
      </c>
      <c r="CM813" s="55">
        <v>0</v>
      </c>
      <c r="CN813" s="55" t="s">
        <v>124</v>
      </c>
      <c r="CO813" s="55" t="s">
        <v>97</v>
      </c>
      <c r="CP813" s="55" t="s">
        <v>100</v>
      </c>
      <c r="CQ813" s="55" t="s">
        <v>126</v>
      </c>
      <c r="CR813" s="57">
        <v>46233</v>
      </c>
      <c r="CT813" s="55" t="s">
        <v>1898</v>
      </c>
    </row>
    <row r="814" spans="1:98" s="55" customFormat="1" x14ac:dyDescent="0.35">
      <c r="A814" s="54" t="s">
        <v>1459</v>
      </c>
      <c r="B814" s="54" t="s">
        <v>1891</v>
      </c>
      <c r="C814" s="55" t="s">
        <v>1460</v>
      </c>
      <c r="D814" s="55">
        <v>2022</v>
      </c>
      <c r="E814" s="60" t="s">
        <v>1461</v>
      </c>
      <c r="F814" s="54" t="s">
        <v>998</v>
      </c>
      <c r="G814" s="55" t="s">
        <v>78</v>
      </c>
      <c r="H814" s="55">
        <v>1</v>
      </c>
      <c r="I814" s="55" t="s">
        <v>290</v>
      </c>
      <c r="J814" s="55" t="s">
        <v>79</v>
      </c>
      <c r="K814" s="55">
        <v>81</v>
      </c>
      <c r="L814" s="55" t="s">
        <v>104</v>
      </c>
      <c r="M814" s="55" t="s">
        <v>380</v>
      </c>
      <c r="N814" s="55">
        <v>-2.2800000000000001E-2</v>
      </c>
      <c r="O814" s="55">
        <v>2.7699999999999999E-2</v>
      </c>
      <c r="P814" s="88">
        <f t="shared" si="329"/>
        <v>-0.82310469314079426</v>
      </c>
      <c r="Q814" s="55" t="s">
        <v>312</v>
      </c>
      <c r="R814" s="88">
        <f t="shared" si="330"/>
        <v>-7.7091999999999994E-2</v>
      </c>
      <c r="S814" s="88">
        <f t="shared" si="331"/>
        <v>3.1491999999999999E-2</v>
      </c>
      <c r="T814" s="55">
        <v>1</v>
      </c>
      <c r="U814" s="55" t="s">
        <v>312</v>
      </c>
      <c r="V814" s="55" t="s">
        <v>312</v>
      </c>
      <c r="W814" s="55" t="s">
        <v>312</v>
      </c>
      <c r="X814" s="55" t="str">
        <f t="shared" si="336"/>
        <v>NA</v>
      </c>
      <c r="Y814" s="88" t="s">
        <v>312</v>
      </c>
      <c r="Z814" s="88" t="s">
        <v>312</v>
      </c>
      <c r="AA814" s="88" t="s">
        <v>312</v>
      </c>
      <c r="AB814" s="55" t="s">
        <v>81</v>
      </c>
      <c r="AC814" s="88">
        <f t="shared" si="332"/>
        <v>-0.23132880000000003</v>
      </c>
      <c r="AD814" s="88" cm="1">
        <f t="array" ref="AD814">_xlfn.IFS(
AND(L814="marginal_effect",M814="level"),N814*AN814/BF814,
AND(L814="marginal_effect",M814="sd (Y)"),N814*BI814*AN814/BF814,
AND(L814="marginal_effect",M814="sd (X)"),N814/AQ814*AN814/BF814,
AND(L814="semi_elasticity",M814="level"),N814*AN814,
AND(L814="semi_elasticity",M814="sd (Y)"),N814*AN814*BI814,
AND(L814="semi_elasticity",M814="sd (X)"),N814*AN814/AQ814,
AND(L814="level-log",M814="level"),N814/BF814,
AND(L814="level-log",M814="sd (X)"),N814/BF814/AQ814,
AND(L814="level-log",M814="sd (Y)"),N814/BF814*BI814,
AND(L814="elasticity",M814="level"),N814,
AND(L814="elasticity",M814="sd (X)"),N814/AQ814,
AND(L814="elasticity",M814="sd (Y)"),N814*BI814,
AND(L814="marginal_effect",M814="percent_of_mean"),N814*AN814/BF814/10)</f>
        <v>-0.23132880000000003</v>
      </c>
      <c r="AE814" s="56">
        <f t="shared" si="334"/>
        <v>1</v>
      </c>
      <c r="AF814" s="88">
        <f t="shared" si="333"/>
        <v>0.28104420000000002</v>
      </c>
      <c r="AG814" s="88" cm="1">
        <f t="array" ref="AG814">_xlfn.IFS(
AND(L814="marginal_effect",M814="level"),O813*AN814/BF814,
AND(L814="marginal_effect",M814="sd (Y)"),O813*BI814*AN814/BF814,
AND(L814="marginal_effect",M814="sd (X)"),O813/AQ814*AN814/BF814,
AND(L814="semi_elasticity",M814="level"),O813*AN814,
AND(L814="semi_elasticity",M814="sd (Y)"),O813*AN814*BI814,
AND(L814="semi_elasticity",M814="sd (X)"),O813*AN814/AQ814,
AND(L814="level-log",M814="level"),O813/BF814,
AND(L814="level-log",M814="sd (X)"),O813/BF814/AQ814,
AND(L814="level-log",M814="sd (Y)"),O813/BF814*BI814,
AND(L814="elasticity",M814="level"),O813,
AND(L814="elasticity",M814="sd (X)"),O813/AQ814,
AND(L814="elasticity",M814="sd (Y)"),O813*BI814,
AND(L814="marginal_effect",M814="percent_of_mean"),O813*AN814/BF814/10)</f>
        <v>0.19480320000000001</v>
      </c>
      <c r="AH814" s="56">
        <f t="shared" si="335"/>
        <v>0</v>
      </c>
      <c r="AI814" s="88">
        <f t="shared" si="325"/>
        <v>-0.23132880000000003</v>
      </c>
      <c r="AJ814" s="55">
        <v>0</v>
      </c>
      <c r="AK814" s="55">
        <f t="shared" si="337"/>
        <v>1</v>
      </c>
      <c r="AL814" s="55" t="s">
        <v>148</v>
      </c>
      <c r="AM814" s="55" t="s">
        <v>1466</v>
      </c>
      <c r="AN814" s="55">
        <v>10.146000000000001</v>
      </c>
      <c r="AO814" s="55">
        <v>0</v>
      </c>
      <c r="AP814" s="55">
        <f t="shared" si="326"/>
        <v>101.46000000000001</v>
      </c>
      <c r="AQ814" s="55">
        <v>48.17</v>
      </c>
      <c r="AR814" s="55">
        <v>18</v>
      </c>
      <c r="AS814" s="55">
        <v>300</v>
      </c>
      <c r="AT814" s="55" t="s">
        <v>83</v>
      </c>
      <c r="AU814" s="55" t="s">
        <v>109</v>
      </c>
      <c r="AV814" s="55" t="s">
        <v>133</v>
      </c>
      <c r="AW814" s="55" t="s">
        <v>109</v>
      </c>
      <c r="AX814" s="55" t="s">
        <v>86</v>
      </c>
      <c r="AY814" s="55">
        <v>0</v>
      </c>
      <c r="AZ814" s="55">
        <v>35</v>
      </c>
      <c r="BA814" s="55" t="s">
        <v>87</v>
      </c>
      <c r="BB814" s="55" t="s">
        <v>88</v>
      </c>
      <c r="BC814" s="55" t="s">
        <v>89</v>
      </c>
      <c r="BD814" s="55" t="s">
        <v>90</v>
      </c>
      <c r="BE814" s="55" t="s">
        <v>1458</v>
      </c>
      <c r="BF814" s="55">
        <v>101.57</v>
      </c>
      <c r="BG814" s="55">
        <v>0</v>
      </c>
      <c r="BH814" s="55">
        <v>65.849999999999994</v>
      </c>
      <c r="BI814" s="55">
        <v>5</v>
      </c>
      <c r="BJ814" s="55">
        <v>430</v>
      </c>
      <c r="BK814" s="55" t="s">
        <v>91</v>
      </c>
      <c r="BL814" s="55" t="s">
        <v>84</v>
      </c>
      <c r="BM814" s="55">
        <v>1</v>
      </c>
      <c r="BN814" s="55" t="s">
        <v>428</v>
      </c>
      <c r="BO814" s="60" t="s">
        <v>1463</v>
      </c>
      <c r="BP814" s="55" t="s">
        <v>1464</v>
      </c>
      <c r="BQ814" s="55" t="s">
        <v>117</v>
      </c>
      <c r="BR814" s="55" t="s">
        <v>134</v>
      </c>
      <c r="BS814" s="55">
        <v>29.22</v>
      </c>
      <c r="BT814" s="55">
        <v>0.01</v>
      </c>
      <c r="BU814" s="57">
        <v>42552</v>
      </c>
      <c r="BV814" s="57">
        <v>42643</v>
      </c>
      <c r="BW814" s="55" t="s">
        <v>94</v>
      </c>
      <c r="BX814" s="55" t="s">
        <v>95</v>
      </c>
      <c r="BY814" s="55" t="s">
        <v>748</v>
      </c>
      <c r="BZ814" s="55">
        <v>1</v>
      </c>
      <c r="CA814" s="55">
        <v>1</v>
      </c>
      <c r="CB814" s="55" t="s">
        <v>303</v>
      </c>
      <c r="CC814" s="55" t="s">
        <v>314</v>
      </c>
      <c r="CD814" s="55">
        <v>1</v>
      </c>
      <c r="CE814" s="55" t="s">
        <v>1462</v>
      </c>
      <c r="CF814" s="55">
        <v>0</v>
      </c>
      <c r="CG814" s="55" t="s">
        <v>97</v>
      </c>
      <c r="CH814" s="55">
        <v>1</v>
      </c>
      <c r="CI814" s="55" t="s">
        <v>1465</v>
      </c>
      <c r="CJ814" s="55" t="s">
        <v>377</v>
      </c>
      <c r="CK814" s="55">
        <v>179</v>
      </c>
      <c r="CL814" s="55">
        <v>0</v>
      </c>
      <c r="CM814" s="55">
        <v>0</v>
      </c>
      <c r="CN814" s="55" t="s">
        <v>124</v>
      </c>
      <c r="CO814" s="55" t="s">
        <v>97</v>
      </c>
      <c r="CP814" s="55" t="s">
        <v>100</v>
      </c>
      <c r="CQ814" s="55" t="s">
        <v>126</v>
      </c>
      <c r="CR814" s="57">
        <v>46233</v>
      </c>
      <c r="CT814" s="55" t="s">
        <v>1898</v>
      </c>
    </row>
    <row r="815" spans="1:98" s="55" customFormat="1" x14ac:dyDescent="0.35">
      <c r="A815" s="54" t="s">
        <v>1459</v>
      </c>
      <c r="B815" s="54" t="s">
        <v>1892</v>
      </c>
      <c r="C815" s="55" t="s">
        <v>1460</v>
      </c>
      <c r="D815" s="55">
        <v>2022</v>
      </c>
      <c r="E815" s="60" t="s">
        <v>1461</v>
      </c>
      <c r="F815" s="54" t="s">
        <v>998</v>
      </c>
      <c r="G815" s="55" t="s">
        <v>78</v>
      </c>
      <c r="H815" s="55">
        <v>1</v>
      </c>
      <c r="I815" s="55" t="s">
        <v>290</v>
      </c>
      <c r="J815" s="55" t="s">
        <v>79</v>
      </c>
      <c r="K815" s="55">
        <v>81</v>
      </c>
      <c r="L815" s="55" t="s">
        <v>104</v>
      </c>
      <c r="M815" s="55" t="s">
        <v>380</v>
      </c>
      <c r="N815" s="55">
        <v>-6.8900000000000003E-2</v>
      </c>
      <c r="O815" s="55">
        <v>3.1E-2</v>
      </c>
      <c r="P815" s="88">
        <f t="shared" si="329"/>
        <v>-2.2225806451612904</v>
      </c>
      <c r="Q815" s="55" t="s">
        <v>312</v>
      </c>
      <c r="R815" s="88">
        <f t="shared" si="330"/>
        <v>-0.12966</v>
      </c>
      <c r="S815" s="88">
        <f t="shared" si="331"/>
        <v>-8.1400000000000014E-3</v>
      </c>
      <c r="T815" s="55">
        <v>1</v>
      </c>
      <c r="U815" s="55" t="s">
        <v>312</v>
      </c>
      <c r="V815" s="55" t="s">
        <v>312</v>
      </c>
      <c r="W815" s="55" t="s">
        <v>312</v>
      </c>
      <c r="X815" s="55" t="str">
        <f t="shared" si="336"/>
        <v>NA</v>
      </c>
      <c r="Y815" s="88" t="s">
        <v>312</v>
      </c>
      <c r="Z815" s="88" t="s">
        <v>312</v>
      </c>
      <c r="AA815" s="88" t="s">
        <v>312</v>
      </c>
      <c r="AB815" s="55" t="s">
        <v>81</v>
      </c>
      <c r="AC815" s="88">
        <f t="shared" si="332"/>
        <v>-0.69905940000000011</v>
      </c>
      <c r="AD815" s="88" cm="1">
        <f t="array" ref="AD815">_xlfn.IFS(
AND(L815="marginal_effect",M815="level"),N815*AN815/BF815,
AND(L815="marginal_effect",M815="sd (Y)"),N815*BI815*AN815/BF815,
AND(L815="marginal_effect",M815="sd (X)"),N815/AQ815*AN815/BF815,
AND(L815="semi_elasticity",M815="level"),N815*AN815,
AND(L815="semi_elasticity",M815="sd (Y)"),N815*AN815*BI815,
AND(L815="semi_elasticity",M815="sd (X)"),N815*AN815/AQ815,
AND(L815="level-log",M815="level"),N815/BF815,
AND(L815="level-log",M815="sd (X)"),N815/BF815/AQ815,
AND(L815="level-log",M815="sd (Y)"),N815/BF815*BI815,
AND(L815="elasticity",M815="level"),N815,
AND(L815="elasticity",M815="sd (X)"),N815/AQ815,
AND(L815="elasticity",M815="sd (Y)"),N815*BI815,
AND(L815="marginal_effect",M815="percent_of_mean"),N815*AN815/BF815/10)</f>
        <v>-0.69905940000000011</v>
      </c>
      <c r="AE815" s="56">
        <f t="shared" si="334"/>
        <v>1</v>
      </c>
      <c r="AF815" s="88">
        <f t="shared" si="333"/>
        <v>0.31452600000000003</v>
      </c>
      <c r="AG815" s="88" cm="1">
        <f t="array" ref="AG815">_xlfn.IFS(
AND(L815="marginal_effect",M815="level"),O814*AN815/BF815,
AND(L815="marginal_effect",M815="sd (Y)"),O814*BI815*AN815/BF815,
AND(L815="marginal_effect",M815="sd (X)"),O814/AQ815*AN815/BF815,
AND(L815="semi_elasticity",M815="level"),O814*AN815,
AND(L815="semi_elasticity",M815="sd (Y)"),O814*AN815*BI815,
AND(L815="semi_elasticity",M815="sd (X)"),O814*AN815/AQ815,
AND(L815="level-log",M815="level"),O814/BF815,
AND(L815="level-log",M815="sd (X)"),O814/BF815/AQ815,
AND(L815="level-log",M815="sd (Y)"),O814/BF815*BI815,
AND(L815="elasticity",M815="level"),O814,
AND(L815="elasticity",M815="sd (X)"),O814/AQ815,
AND(L815="elasticity",M815="sd (Y)"),O814*BI815,
AND(L815="marginal_effect",M815="percent_of_mean"),O814*AN815/BF815/10)</f>
        <v>0.28104420000000002</v>
      </c>
      <c r="AH815" s="56">
        <f t="shared" si="335"/>
        <v>0</v>
      </c>
      <c r="AI815" s="88">
        <f t="shared" si="325"/>
        <v>-0.69905940000000011</v>
      </c>
      <c r="AJ815" s="55">
        <v>0</v>
      </c>
      <c r="AK815" s="55">
        <f t="shared" si="337"/>
        <v>1</v>
      </c>
      <c r="AL815" s="55" t="s">
        <v>148</v>
      </c>
      <c r="AM815" s="55" t="s">
        <v>1466</v>
      </c>
      <c r="AN815" s="55">
        <v>10.146000000000001</v>
      </c>
      <c r="AO815" s="55">
        <v>0</v>
      </c>
      <c r="AP815" s="55">
        <f t="shared" si="326"/>
        <v>101.46000000000001</v>
      </c>
      <c r="AQ815" s="55">
        <v>48.17</v>
      </c>
      <c r="AR815" s="55">
        <v>18</v>
      </c>
      <c r="AS815" s="55">
        <v>300</v>
      </c>
      <c r="AT815" s="55" t="s">
        <v>83</v>
      </c>
      <c r="AU815" s="55" t="s">
        <v>109</v>
      </c>
      <c r="AV815" s="55" t="s">
        <v>133</v>
      </c>
      <c r="AW815" s="55" t="s">
        <v>109</v>
      </c>
      <c r="AX815" s="55" t="s">
        <v>86</v>
      </c>
      <c r="AY815" s="55">
        <v>0</v>
      </c>
      <c r="AZ815" s="55">
        <v>40</v>
      </c>
      <c r="BA815" s="55" t="s">
        <v>87</v>
      </c>
      <c r="BB815" s="55" t="s">
        <v>88</v>
      </c>
      <c r="BC815" s="55" t="s">
        <v>89</v>
      </c>
      <c r="BD815" s="55" t="s">
        <v>90</v>
      </c>
      <c r="BE815" s="55" t="s">
        <v>1458</v>
      </c>
      <c r="BF815" s="55">
        <v>101.57</v>
      </c>
      <c r="BG815" s="55">
        <v>0</v>
      </c>
      <c r="BH815" s="55">
        <v>65.849999999999994</v>
      </c>
      <c r="BI815" s="55">
        <v>5</v>
      </c>
      <c r="BJ815" s="55">
        <v>430</v>
      </c>
      <c r="BK815" s="55" t="s">
        <v>91</v>
      </c>
      <c r="BL815" s="55" t="s">
        <v>84</v>
      </c>
      <c r="BM815" s="55">
        <v>1</v>
      </c>
      <c r="BN815" s="55" t="s">
        <v>428</v>
      </c>
      <c r="BO815" s="60" t="s">
        <v>1463</v>
      </c>
      <c r="BP815" s="55" t="s">
        <v>1464</v>
      </c>
      <c r="BQ815" s="55" t="s">
        <v>117</v>
      </c>
      <c r="BR815" s="55" t="s">
        <v>134</v>
      </c>
      <c r="BS815" s="55">
        <v>29.22</v>
      </c>
      <c r="BT815" s="55">
        <v>0.01</v>
      </c>
      <c r="BU815" s="57">
        <v>42552</v>
      </c>
      <c r="BV815" s="57">
        <v>42643</v>
      </c>
      <c r="BW815" s="55" t="s">
        <v>94</v>
      </c>
      <c r="BX815" s="55" t="s">
        <v>95</v>
      </c>
      <c r="BY815" s="55" t="s">
        <v>748</v>
      </c>
      <c r="BZ815" s="55">
        <v>1</v>
      </c>
      <c r="CA815" s="55">
        <v>1</v>
      </c>
      <c r="CB815" s="55" t="s">
        <v>303</v>
      </c>
      <c r="CC815" s="55" t="s">
        <v>314</v>
      </c>
      <c r="CD815" s="55">
        <v>1</v>
      </c>
      <c r="CE815" s="55" t="s">
        <v>1462</v>
      </c>
      <c r="CF815" s="55">
        <v>0</v>
      </c>
      <c r="CG815" s="55" t="s">
        <v>97</v>
      </c>
      <c r="CH815" s="55">
        <v>1</v>
      </c>
      <c r="CI815" s="55" t="s">
        <v>1465</v>
      </c>
      <c r="CJ815" s="55" t="s">
        <v>377</v>
      </c>
      <c r="CK815" s="55">
        <v>179</v>
      </c>
      <c r="CL815" s="55">
        <v>0</v>
      </c>
      <c r="CM815" s="55">
        <v>0</v>
      </c>
      <c r="CN815" s="55" t="s">
        <v>124</v>
      </c>
      <c r="CO815" s="55" t="s">
        <v>97</v>
      </c>
      <c r="CP815" s="55" t="s">
        <v>100</v>
      </c>
      <c r="CQ815" s="55" t="s">
        <v>126</v>
      </c>
      <c r="CR815" s="57">
        <v>46233</v>
      </c>
      <c r="CT815" s="55" t="s">
        <v>1898</v>
      </c>
    </row>
    <row r="816" spans="1:98" s="35" customFormat="1" x14ac:dyDescent="0.35">
      <c r="A816" s="34" t="s">
        <v>1581</v>
      </c>
      <c r="B816" s="34" t="s">
        <v>1590</v>
      </c>
      <c r="C816" s="35" t="s">
        <v>1582</v>
      </c>
      <c r="D816" s="35">
        <v>2022</v>
      </c>
      <c r="E816" s="34" t="s">
        <v>1583</v>
      </c>
      <c r="F816" s="34" t="s">
        <v>1584</v>
      </c>
      <c r="G816" s="35" t="s">
        <v>78</v>
      </c>
      <c r="H816" s="35">
        <v>1</v>
      </c>
      <c r="I816" s="35" t="s">
        <v>390</v>
      </c>
      <c r="J816" s="35" t="s">
        <v>79</v>
      </c>
      <c r="K816" s="35">
        <v>11</v>
      </c>
      <c r="L816" s="35" t="s">
        <v>129</v>
      </c>
      <c r="M816" s="35" t="s">
        <v>380</v>
      </c>
      <c r="N816" s="35">
        <v>803.02599999999995</v>
      </c>
      <c r="O816" s="35">
        <v>426.41500000000002</v>
      </c>
      <c r="P816" s="89">
        <f t="shared" si="329"/>
        <v>1.8832029830095094</v>
      </c>
      <c r="Q816" s="35" t="s">
        <v>312</v>
      </c>
      <c r="R816" s="89">
        <f t="shared" si="330"/>
        <v>-32.747400000000084</v>
      </c>
      <c r="S816" s="89">
        <f t="shared" si="331"/>
        <v>1638.7993999999999</v>
      </c>
      <c r="T816" s="35">
        <v>1</v>
      </c>
      <c r="U816" s="35">
        <v>7859</v>
      </c>
      <c r="V816" s="35" t="s">
        <v>312</v>
      </c>
      <c r="W816" s="35" t="s">
        <v>312</v>
      </c>
      <c r="X816" s="35">
        <f t="shared" si="336"/>
        <v>7859</v>
      </c>
      <c r="Y816" s="89">
        <f>P816/(P816^2 + X816)^(1/2)</f>
        <v>2.1238093148424387E-2</v>
      </c>
      <c r="Z816" s="89">
        <f>((1-Y816^2)/X816)^(1/2)</f>
        <v>1.1277644173271331E-2</v>
      </c>
      <c r="AA816" s="89">
        <f>-Y816</f>
        <v>-2.1238093148424387E-2</v>
      </c>
      <c r="AB816" s="35" t="s">
        <v>81</v>
      </c>
      <c r="AC816" s="89">
        <f t="shared" ref="AC816:AC847" si="338">N816*AN816/BF816</f>
        <v>3.4162949116270672E-2</v>
      </c>
      <c r="AD816" s="89" cm="1">
        <f t="array" ref="AD816">_xlfn.IFS(
AND(L816="marginal_effect",M816="level"),N816*AN816/BF816,
AND(L816="marginal_effect",M816="sd (Y)"),N816*BI816*AN816/BF816,
AND(L816="marginal_effect",M816="sd (X)"),N816/AQ816*AN816/BF816,
AND(L816="semi_elasticity",M816="level"),N816*AN816,
AND(L816="semi_elasticity",M816="sd (Y)"),N816*AN816*BI816,
AND(L816="semi_elasticity",M816="sd (X)"),N816*AN816/AQ816,
AND(L816="level-log",M816="level"),N816/BF816,
AND(L816="level-log",M816="sd (X)"),N816/BF816/AQ816,
AND(L816="level-log",M816="sd (Y)"),N816/BF816*BI816,
AND(L816="elasticity",M816="level"),N816,
AND(L816="elasticity",M816="sd (X)"),N816/AQ816,
AND(L816="elasticity",M816="sd (Y)"),N816*BI816,
AND(L816="marginal_effect",M816="percent_of_mean"),N816*AN816/BF816/10)</f>
        <v>3.4162949116270672E-2</v>
      </c>
      <c r="AE816" s="49">
        <f t="shared" si="334"/>
        <v>1</v>
      </c>
      <c r="AF816" s="89">
        <f>O816*AN816/BF816</f>
        <v>1.8140874576183786E-2</v>
      </c>
      <c r="AG816" s="89" cm="1">
        <f t="array" ref="AG816">_xlfn.IFS(
AND(L816="marginal_effect",M816="level"),O816*AN816/BF816,
AND(L816="marginal_effect",M816="sd (Y)"),O816*BI816*AN816/BF816,
AND(L816="marginal_effect",M816="sd (X)"),O816/AQ816*AN816/BF816,
AND(L816="semi_elasticity",M816="level"),O816*AN816,
AND(L816="semi_elasticity",M816="sd (Y)"),O816*AN816*BI816,
AND(L816="semi_elasticity",M816="sd (X)"),O816*AN816/AQ816,
AND(L816="level-log",M816="level"),O816/BF816,
AND(L816="level-log",M816="sd (X)"),O816/BF816/AQ816,
AND(L816="level-log",M816="sd (Y)"),O816/BF816*BI816,
AND(L816="elasticity",M816="level"),O816,
AND(L816="elasticity",M816="sd (X)"),O816/AQ816,
AND(L816="elasticity",M816="sd (Y)"),O816*BI816,
AND(L816="marginal_effect",M816="percent_of_mean"),O816*AN816/BF816/10)</f>
        <v>1.8140874576183786E-2</v>
      </c>
      <c r="AH816" s="49">
        <f t="shared" si="335"/>
        <v>1</v>
      </c>
      <c r="AI816" s="89">
        <f t="shared" ref="AI816:AI847" si="339">-AC816</f>
        <v>-3.4162949116270672E-2</v>
      </c>
      <c r="AJ816" s="35">
        <v>0</v>
      </c>
      <c r="AK816" s="35">
        <f t="shared" si="337"/>
        <v>1</v>
      </c>
      <c r="AL816" s="35" t="s">
        <v>148</v>
      </c>
      <c r="AM816" s="35" t="s">
        <v>590</v>
      </c>
      <c r="AN816" s="35">
        <v>3.3000000000000002E-2</v>
      </c>
      <c r="AO816" s="35">
        <v>0</v>
      </c>
      <c r="AP816" s="35">
        <f t="shared" ref="AP816:AP847" si="340">AN816</f>
        <v>3.3000000000000002E-2</v>
      </c>
      <c r="AQ816" s="35">
        <v>1.2E-2</v>
      </c>
      <c r="AR816" s="35">
        <v>1.2E-2</v>
      </c>
      <c r="AS816" s="35">
        <v>5.8000000000000003E-2</v>
      </c>
      <c r="AT816" s="35" t="s">
        <v>83</v>
      </c>
      <c r="AU816" s="35" t="s">
        <v>109</v>
      </c>
      <c r="AV816" s="35" t="s">
        <v>133</v>
      </c>
      <c r="AW816" s="35" t="s">
        <v>109</v>
      </c>
      <c r="AX816" s="35" t="s">
        <v>86</v>
      </c>
      <c r="AY816" s="35">
        <v>0</v>
      </c>
      <c r="AZ816" s="35">
        <v>0</v>
      </c>
      <c r="BA816" s="35" t="s">
        <v>734</v>
      </c>
      <c r="BB816" s="35" t="s">
        <v>88</v>
      </c>
      <c r="BC816" s="35" t="s">
        <v>89</v>
      </c>
      <c r="BD816" s="35" t="s">
        <v>134</v>
      </c>
      <c r="BE816" s="35" t="s">
        <v>1585</v>
      </c>
      <c r="BF816" s="35">
        <v>775.69</v>
      </c>
      <c r="BG816" s="35">
        <v>0</v>
      </c>
      <c r="BH816" s="35">
        <v>116.83799999999999</v>
      </c>
      <c r="BI816" s="35">
        <v>464.483</v>
      </c>
      <c r="BJ816" s="35">
        <v>1019.433</v>
      </c>
      <c r="BK816" s="35" t="s">
        <v>91</v>
      </c>
      <c r="BL816" s="35" t="s">
        <v>84</v>
      </c>
      <c r="BM816" s="35">
        <v>1</v>
      </c>
      <c r="BN816" s="35" t="s">
        <v>539</v>
      </c>
      <c r="BO816" s="35" t="s">
        <v>1586</v>
      </c>
      <c r="BP816" s="35" t="s">
        <v>1587</v>
      </c>
      <c r="BQ816" s="35" t="s">
        <v>92</v>
      </c>
      <c r="BR816" s="35" t="s">
        <v>134</v>
      </c>
      <c r="BS816" s="35" t="s">
        <v>312</v>
      </c>
      <c r="BT816" s="35">
        <v>0.248</v>
      </c>
      <c r="BU816" s="35">
        <v>2012</v>
      </c>
      <c r="BV816" s="35">
        <v>2019</v>
      </c>
      <c r="BW816" s="35" t="s">
        <v>1588</v>
      </c>
      <c r="BX816" s="35" t="s">
        <v>95</v>
      </c>
      <c r="BY816" s="35" t="s">
        <v>96</v>
      </c>
      <c r="BZ816" s="35">
        <v>0</v>
      </c>
      <c r="CA816" s="35">
        <v>0</v>
      </c>
      <c r="CB816" s="35" t="s">
        <v>97</v>
      </c>
      <c r="CC816" s="35" t="s">
        <v>719</v>
      </c>
      <c r="CD816" s="35">
        <v>1</v>
      </c>
      <c r="CE816" s="35" t="s">
        <v>1589</v>
      </c>
      <c r="CF816" s="35">
        <v>1</v>
      </c>
      <c r="CG816" s="35" t="s">
        <v>82</v>
      </c>
      <c r="CH816" s="35">
        <v>1</v>
      </c>
      <c r="CI816" s="35" t="s">
        <v>97</v>
      </c>
      <c r="CJ816" s="35" t="s">
        <v>98</v>
      </c>
      <c r="CK816" s="35">
        <v>66</v>
      </c>
      <c r="CL816" s="35">
        <v>1</v>
      </c>
      <c r="CM816" s="35">
        <v>1</v>
      </c>
      <c r="CN816" s="35" t="s">
        <v>99</v>
      </c>
      <c r="CO816" s="35" t="s">
        <v>97</v>
      </c>
      <c r="CP816" s="35" t="s">
        <v>100</v>
      </c>
      <c r="CQ816" s="35" t="s">
        <v>126</v>
      </c>
      <c r="CR816" s="36">
        <v>46233</v>
      </c>
      <c r="CT816" s="35" t="s">
        <v>704</v>
      </c>
    </row>
    <row r="817" spans="1:98" s="35" customFormat="1" x14ac:dyDescent="0.35">
      <c r="A817" s="34" t="s">
        <v>1581</v>
      </c>
      <c r="B817" s="34" t="s">
        <v>1591</v>
      </c>
      <c r="C817" s="35" t="s">
        <v>1582</v>
      </c>
      <c r="D817" s="35">
        <v>2022</v>
      </c>
      <c r="E817" s="34" t="s">
        <v>1583</v>
      </c>
      <c r="F817" s="34" t="s">
        <v>1584</v>
      </c>
      <c r="G817" s="35" t="s">
        <v>78</v>
      </c>
      <c r="H817" s="35">
        <v>1</v>
      </c>
      <c r="I817" s="35" t="s">
        <v>390</v>
      </c>
      <c r="J817" s="35" t="s">
        <v>79</v>
      </c>
      <c r="K817" s="35">
        <v>11</v>
      </c>
      <c r="L817" s="35" t="s">
        <v>129</v>
      </c>
      <c r="M817" s="35" t="s">
        <v>380</v>
      </c>
      <c r="N817" s="35">
        <v>0.92800000000000005</v>
      </c>
      <c r="O817" s="35">
        <v>0.48099999999999998</v>
      </c>
      <c r="P817" s="89">
        <f t="shared" si="329"/>
        <v>1.9293139293139294</v>
      </c>
      <c r="Q817" s="35" t="s">
        <v>312</v>
      </c>
      <c r="R817" s="89">
        <f t="shared" si="330"/>
        <v>-1.4759999999999884E-2</v>
      </c>
      <c r="S817" s="89">
        <f t="shared" si="331"/>
        <v>1.87076</v>
      </c>
      <c r="T817" s="35">
        <v>1</v>
      </c>
      <c r="U817" s="35">
        <v>7859</v>
      </c>
      <c r="V817" s="35" t="s">
        <v>312</v>
      </c>
      <c r="W817" s="35" t="s">
        <v>312</v>
      </c>
      <c r="X817" s="35">
        <f t="shared" si="336"/>
        <v>7859</v>
      </c>
      <c r="Y817" s="89">
        <f>P817/(P817^2 + X817)^(1/2)</f>
        <v>2.1757872752440018E-2</v>
      </c>
      <c r="Z817" s="89">
        <f>((1-Y817^2)/X817)^(1/2)</f>
        <v>1.1277518096900483E-2</v>
      </c>
      <c r="AA817" s="89">
        <f>-Y817</f>
        <v>-2.1757872752440018E-2</v>
      </c>
      <c r="AB817" s="35" t="s">
        <v>81</v>
      </c>
      <c r="AC817" s="89">
        <f t="shared" si="338"/>
        <v>1.2035323389498384E-2</v>
      </c>
      <c r="AD817" s="89" cm="1">
        <f t="array" ref="AD817">_xlfn.IFS(
AND(L817="marginal_effect",M817="level"),N817*AN817/BF817,
AND(L817="marginal_effect",M817="sd (Y)"),N817*BI817*AN817/BF817,
AND(L817="marginal_effect",M817="sd (X)"),N817/AQ817*AN817/BF817,
AND(L817="semi_elasticity",M817="level"),N817*AN817,
AND(L817="semi_elasticity",M817="sd (Y)"),N817*AN817*BI817,
AND(L817="semi_elasticity",M817="sd (X)"),N817*AN817/AQ817,
AND(L817="level-log",M817="level"),N817/BF817,
AND(L817="level-log",M817="sd (X)"),N817/BF817/AQ817,
AND(L817="level-log",M817="sd (Y)"),N817/BF817*BI817,
AND(L817="elasticity",M817="level"),N817,
AND(L817="elasticity",M817="sd (X)"),N817/AQ817,
AND(L817="elasticity",M817="sd (Y)"),N817*BI817,
AND(L817="marginal_effect",M817="percent_of_mean"),N817*AN817/BF817/10)</f>
        <v>1.2035323389498384E-2</v>
      </c>
      <c r="AE817" s="49">
        <f t="shared" si="334"/>
        <v>1</v>
      </c>
      <c r="AF817" s="89">
        <f>O817*AN817/BF817</f>
        <v>6.2381363689102609E-3</v>
      </c>
      <c r="AG817" s="89" cm="1">
        <f t="array" ref="AG817">_xlfn.IFS(
AND(L817="marginal_effect",M817="level"),O817*AN817/BF817,
AND(L817="marginal_effect",M817="sd (Y)"),O817*BI817*AN817/BF817,
AND(L817="marginal_effect",M817="sd (X)"),O817/AQ817*AN817/BF817,
AND(L817="semi_elasticity",M817="level"),O817*AN817,
AND(L817="semi_elasticity",M817="sd (Y)"),O817*AN817*BI817,
AND(L817="semi_elasticity",M817="sd (X)"),O817*AN817/AQ817,
AND(L817="level-log",M817="level"),O817/BF817,
AND(L817="level-log",M817="sd (X)"),O817/BF817/AQ817,
AND(L817="level-log",M817="sd (Y)"),O817/BF817*BI817,
AND(L817="elasticity",M817="level"),O817,
AND(L817="elasticity",M817="sd (X)"),O817/AQ817,
AND(L817="elasticity",M817="sd (Y)"),O817*BI817,
AND(L817="marginal_effect",M817="percent_of_mean"),O817*AN817/BF817/10)</f>
        <v>6.2381363689102609E-3</v>
      </c>
      <c r="AH817" s="49">
        <f t="shared" si="335"/>
        <v>1</v>
      </c>
      <c r="AI817" s="89">
        <f t="shared" si="339"/>
        <v>-1.2035323389498384E-2</v>
      </c>
      <c r="AJ817" s="35">
        <v>0</v>
      </c>
      <c r="AK817" s="35">
        <f t="shared" si="337"/>
        <v>1</v>
      </c>
      <c r="AL817" s="35" t="s">
        <v>82</v>
      </c>
      <c r="AM817" s="35" t="s">
        <v>1333</v>
      </c>
      <c r="AN817" s="35">
        <v>10.06</v>
      </c>
      <c r="AO817" s="35">
        <v>0</v>
      </c>
      <c r="AP817" s="35">
        <f t="shared" si="340"/>
        <v>10.06</v>
      </c>
      <c r="AQ817" s="35">
        <v>4.6970000000000001</v>
      </c>
      <c r="AR817" s="35">
        <v>1.8</v>
      </c>
      <c r="AS817" s="35">
        <v>20.75</v>
      </c>
      <c r="AT817" s="35" t="s">
        <v>83</v>
      </c>
      <c r="AU817" s="35" t="s">
        <v>109</v>
      </c>
      <c r="AV817" s="35" t="s">
        <v>133</v>
      </c>
      <c r="AW817" s="35" t="s">
        <v>109</v>
      </c>
      <c r="AX817" s="35" t="s">
        <v>86</v>
      </c>
      <c r="AY817" s="35">
        <v>0</v>
      </c>
      <c r="AZ817" s="35">
        <v>0</v>
      </c>
      <c r="BA817" s="35" t="s">
        <v>734</v>
      </c>
      <c r="BB817" s="35" t="s">
        <v>88</v>
      </c>
      <c r="BC817" s="35" t="s">
        <v>89</v>
      </c>
      <c r="BD817" s="35" t="s">
        <v>134</v>
      </c>
      <c r="BE817" s="35" t="s">
        <v>1585</v>
      </c>
      <c r="BF817" s="35">
        <v>775.69</v>
      </c>
      <c r="BG817" s="35">
        <v>0</v>
      </c>
      <c r="BH817" s="35">
        <v>116.83799999999999</v>
      </c>
      <c r="BI817" s="35">
        <v>464.483</v>
      </c>
      <c r="BJ817" s="35">
        <v>1019.433</v>
      </c>
      <c r="BK817" s="35" t="s">
        <v>91</v>
      </c>
      <c r="BL817" s="35" t="s">
        <v>84</v>
      </c>
      <c r="BM817" s="35">
        <v>1</v>
      </c>
      <c r="BN817" s="35" t="s">
        <v>539</v>
      </c>
      <c r="BO817" s="35" t="s">
        <v>1586</v>
      </c>
      <c r="BP817" s="35" t="s">
        <v>1587</v>
      </c>
      <c r="BQ817" s="35" t="s">
        <v>92</v>
      </c>
      <c r="BR817" s="35" t="s">
        <v>134</v>
      </c>
      <c r="BS817" s="35" t="s">
        <v>312</v>
      </c>
      <c r="BT817" s="35">
        <v>0.248</v>
      </c>
      <c r="BU817" s="35">
        <v>2012</v>
      </c>
      <c r="BV817" s="35">
        <v>2019</v>
      </c>
      <c r="BW817" s="35" t="s">
        <v>1588</v>
      </c>
      <c r="BX817" s="35" t="s">
        <v>95</v>
      </c>
      <c r="BY817" s="35" t="s">
        <v>96</v>
      </c>
      <c r="BZ817" s="35">
        <v>0</v>
      </c>
      <c r="CA817" s="35">
        <v>0</v>
      </c>
      <c r="CB817" s="35" t="s">
        <v>97</v>
      </c>
      <c r="CC817" s="35" t="s">
        <v>719</v>
      </c>
      <c r="CD817" s="35">
        <v>1</v>
      </c>
      <c r="CE817" s="35" t="s">
        <v>1589</v>
      </c>
      <c r="CF817" s="35">
        <v>1</v>
      </c>
      <c r="CG817" s="35" t="s">
        <v>396</v>
      </c>
      <c r="CH817" s="35">
        <v>1</v>
      </c>
      <c r="CI817" s="35" t="s">
        <v>97</v>
      </c>
      <c r="CJ817" s="35" t="s">
        <v>98</v>
      </c>
      <c r="CK817" s="35">
        <v>66</v>
      </c>
      <c r="CL817" s="35">
        <v>1</v>
      </c>
      <c r="CM817" s="35">
        <v>1</v>
      </c>
      <c r="CN817" s="35" t="s">
        <v>99</v>
      </c>
      <c r="CO817" s="35" t="s">
        <v>97</v>
      </c>
      <c r="CP817" s="35" t="s">
        <v>100</v>
      </c>
      <c r="CQ817" s="35" t="s">
        <v>126</v>
      </c>
      <c r="CR817" s="36">
        <v>46233</v>
      </c>
      <c r="CT817" s="35" t="s">
        <v>704</v>
      </c>
    </row>
    <row r="818" spans="1:98" s="35" customFormat="1" x14ac:dyDescent="0.35">
      <c r="A818" s="34" t="s">
        <v>1581</v>
      </c>
      <c r="B818" s="34" t="s">
        <v>1616</v>
      </c>
      <c r="C818" s="35" t="s">
        <v>1582</v>
      </c>
      <c r="D818" s="35">
        <v>2022</v>
      </c>
      <c r="E818" s="34" t="s">
        <v>1583</v>
      </c>
      <c r="F818" s="34" t="s">
        <v>1584</v>
      </c>
      <c r="G818" s="35" t="s">
        <v>78</v>
      </c>
      <c r="H818" s="35">
        <v>1</v>
      </c>
      <c r="I818" s="35" t="s">
        <v>390</v>
      </c>
      <c r="J818" s="35" t="s">
        <v>79</v>
      </c>
      <c r="K818" s="35">
        <v>11</v>
      </c>
      <c r="L818" s="35" t="s">
        <v>129</v>
      </c>
      <c r="M818" s="35" t="s">
        <v>380</v>
      </c>
      <c r="N818" s="35">
        <f>847.994-97.584-732</f>
        <v>18.410000000000082</v>
      </c>
      <c r="O818" s="35" t="s">
        <v>312</v>
      </c>
      <c r="P818" s="89" t="s">
        <v>312</v>
      </c>
      <c r="Q818" s="35" t="s">
        <v>312</v>
      </c>
      <c r="R818" s="89" t="s">
        <v>312</v>
      </c>
      <c r="S818" s="89" t="s">
        <v>312</v>
      </c>
      <c r="T818" s="35" t="s">
        <v>312</v>
      </c>
      <c r="U818" s="35">
        <v>7859</v>
      </c>
      <c r="V818" s="35" t="s">
        <v>312</v>
      </c>
      <c r="W818" s="35" t="s">
        <v>312</v>
      </c>
      <c r="X818" s="35">
        <f t="shared" si="336"/>
        <v>7859</v>
      </c>
      <c r="Y818" s="89" t="s">
        <v>312</v>
      </c>
      <c r="Z818" s="89" t="s">
        <v>312</v>
      </c>
      <c r="AA818" s="89" t="s">
        <v>312</v>
      </c>
      <c r="AB818" s="35" t="s">
        <v>312</v>
      </c>
      <c r="AC818" s="89">
        <f t="shared" si="338"/>
        <v>7.3748163973828603E-3</v>
      </c>
      <c r="AD818" s="89" cm="1">
        <f t="array" ref="AD818">_xlfn.IFS(
AND(L818="marginal_effect",M818="level"),N818*AN818/BF818,
AND(L818="marginal_effect",M818="sd (Y)"),N818*BI818*AN818/BF818,
AND(L818="marginal_effect",M818="sd (X)"),N818/AQ818*AN818/BF818,
AND(L818="semi_elasticity",M818="level"),N818*AN818,
AND(L818="semi_elasticity",M818="sd (Y)"),N818*AN818*BI818,
AND(L818="semi_elasticity",M818="sd (X)"),N818*AN818/AQ818,
AND(L818="level-log",M818="level"),N818/BF818,
AND(L818="level-log",M818="sd (X)"),N818/BF818/AQ818,
AND(L818="level-log",M818="sd (Y)"),N818/BF818*BI818,
AND(L818="elasticity",M818="level"),N818,
AND(L818="elasticity",M818="sd (X)"),N818/AQ818,
AND(L818="elasticity",M818="sd (Y)"),N818*BI818,
AND(L818="marginal_effect",M818="percent_of_mean"),N818*AN818/BF818/10)</f>
        <v>7.3748163973828603E-3</v>
      </c>
      <c r="AE818" s="49">
        <f t="shared" si="334"/>
        <v>1</v>
      </c>
      <c r="AF818" s="89" t="s">
        <v>312</v>
      </c>
      <c r="AG818" s="89" t="s">
        <v>312</v>
      </c>
      <c r="AH818" s="49" t="s">
        <v>312</v>
      </c>
      <c r="AI818" s="89">
        <f t="shared" si="339"/>
        <v>-7.3748163973828603E-3</v>
      </c>
      <c r="AJ818" s="35">
        <v>0</v>
      </c>
      <c r="AK818" s="35" t="s">
        <v>312</v>
      </c>
      <c r="AL818" s="35" t="s">
        <v>148</v>
      </c>
      <c r="AM818" s="35" t="s">
        <v>590</v>
      </c>
      <c r="AN818" s="35">
        <v>3.3000000000000002E-2</v>
      </c>
      <c r="AO818" s="35">
        <v>1</v>
      </c>
      <c r="AP818" s="35">
        <f t="shared" si="340"/>
        <v>3.3000000000000002E-2</v>
      </c>
      <c r="AQ818" s="35">
        <v>1.2E-2</v>
      </c>
      <c r="AR818" s="35">
        <v>1.2E-2</v>
      </c>
      <c r="AS818" s="35">
        <v>5.8000000000000003E-2</v>
      </c>
      <c r="AT818" s="35" t="s">
        <v>83</v>
      </c>
      <c r="AU818" s="35" t="s">
        <v>109</v>
      </c>
      <c r="AV818" s="35" t="s">
        <v>133</v>
      </c>
      <c r="AW818" s="35" t="s">
        <v>109</v>
      </c>
      <c r="AX818" s="35" t="s">
        <v>86</v>
      </c>
      <c r="AY818" s="35">
        <v>0</v>
      </c>
      <c r="AZ818" s="35">
        <v>0</v>
      </c>
      <c r="BA818" s="35" t="s">
        <v>734</v>
      </c>
      <c r="BB818" s="35" t="s">
        <v>88</v>
      </c>
      <c r="BC818" s="35" t="s">
        <v>89</v>
      </c>
      <c r="BD818" s="35" t="s">
        <v>134</v>
      </c>
      <c r="BE818" s="35" t="s">
        <v>1585</v>
      </c>
      <c r="BF818" s="35">
        <v>82.379000000000005</v>
      </c>
      <c r="BG818" s="35">
        <v>1</v>
      </c>
      <c r="BH818" s="35">
        <v>14.926</v>
      </c>
      <c r="BI818" s="35">
        <v>47.133000000000003</v>
      </c>
      <c r="BJ818" s="35">
        <v>156.46700000000001</v>
      </c>
      <c r="BK818" s="35" t="s">
        <v>91</v>
      </c>
      <c r="BL818" s="35" t="s">
        <v>84</v>
      </c>
      <c r="BM818" s="35">
        <v>1</v>
      </c>
      <c r="BN818" s="35" t="s">
        <v>539</v>
      </c>
      <c r="BO818" s="35" t="s">
        <v>1586</v>
      </c>
      <c r="BP818" s="35" t="s">
        <v>1587</v>
      </c>
      <c r="BQ818" s="35" t="s">
        <v>92</v>
      </c>
      <c r="BR818" s="35" t="s">
        <v>134</v>
      </c>
      <c r="BS818" s="35" t="s">
        <v>312</v>
      </c>
      <c r="BT818" s="35">
        <v>0.248</v>
      </c>
      <c r="BU818" s="35">
        <v>2012</v>
      </c>
      <c r="BV818" s="35">
        <v>2019</v>
      </c>
      <c r="BW818" s="35" t="s">
        <v>1588</v>
      </c>
      <c r="BX818" s="35" t="s">
        <v>95</v>
      </c>
      <c r="BY818" s="35" t="s">
        <v>96</v>
      </c>
      <c r="BZ818" s="35">
        <v>0</v>
      </c>
      <c r="CA818" s="35">
        <v>0</v>
      </c>
      <c r="CB818" s="35" t="s">
        <v>97</v>
      </c>
      <c r="CC818" s="35" t="s">
        <v>719</v>
      </c>
      <c r="CD818" s="35">
        <v>1</v>
      </c>
      <c r="CE818" s="35" t="s">
        <v>1589</v>
      </c>
      <c r="CF818" s="35">
        <v>1</v>
      </c>
      <c r="CG818" s="35" t="s">
        <v>82</v>
      </c>
      <c r="CH818" s="35">
        <v>1</v>
      </c>
      <c r="CI818" s="35" t="s">
        <v>97</v>
      </c>
      <c r="CJ818" s="35" t="s">
        <v>98</v>
      </c>
      <c r="CK818" s="35">
        <v>66</v>
      </c>
      <c r="CL818" s="35">
        <v>0</v>
      </c>
      <c r="CM818" s="35">
        <v>0</v>
      </c>
      <c r="CN818" s="35" t="s">
        <v>99</v>
      </c>
      <c r="CO818" s="35" t="s">
        <v>1664</v>
      </c>
      <c r="CP818" s="35" t="s">
        <v>100</v>
      </c>
      <c r="CQ818" s="35" t="s">
        <v>126</v>
      </c>
      <c r="CR818" s="36">
        <v>46233</v>
      </c>
      <c r="CT818" s="35" t="s">
        <v>457</v>
      </c>
    </row>
    <row r="819" spans="1:98" s="35" customFormat="1" x14ac:dyDescent="0.35">
      <c r="A819" s="34" t="s">
        <v>1581</v>
      </c>
      <c r="B819" s="34" t="s">
        <v>1617</v>
      </c>
      <c r="C819" s="35" t="s">
        <v>1582</v>
      </c>
      <c r="D819" s="35">
        <v>2022</v>
      </c>
      <c r="E819" s="34" t="s">
        <v>1583</v>
      </c>
      <c r="F819" s="34" t="s">
        <v>1584</v>
      </c>
      <c r="G819" s="35" t="s">
        <v>78</v>
      </c>
      <c r="H819" s="35">
        <v>1</v>
      </c>
      <c r="I819" s="35" t="s">
        <v>390</v>
      </c>
      <c r="J819" s="35" t="s">
        <v>79</v>
      </c>
      <c r="K819" s="35">
        <v>11</v>
      </c>
      <c r="L819" s="35" t="s">
        <v>129</v>
      </c>
      <c r="M819" s="35" t="s">
        <v>380</v>
      </c>
      <c r="N819" s="35">
        <f>847.994-732</f>
        <v>115.99400000000003</v>
      </c>
      <c r="O819" s="35" t="s">
        <v>312</v>
      </c>
      <c r="P819" s="89" t="s">
        <v>312</v>
      </c>
      <c r="Q819" s="35" t="s">
        <v>312</v>
      </c>
      <c r="R819" s="89" t="s">
        <v>312</v>
      </c>
      <c r="S819" s="89" t="s">
        <v>312</v>
      </c>
      <c r="T819" s="35" t="s">
        <v>312</v>
      </c>
      <c r="U819" s="35">
        <v>7859</v>
      </c>
      <c r="V819" s="35" t="s">
        <v>312</v>
      </c>
      <c r="W819" s="35" t="s">
        <v>312</v>
      </c>
      <c r="X819" s="35">
        <f t="shared" si="336"/>
        <v>7859</v>
      </c>
      <c r="Y819" s="89" t="s">
        <v>312</v>
      </c>
      <c r="Z819" s="89" t="s">
        <v>312</v>
      </c>
      <c r="AA819" s="89" t="s">
        <v>312</v>
      </c>
      <c r="AB819" s="35" t="s">
        <v>312</v>
      </c>
      <c r="AC819" s="89">
        <f t="shared" si="338"/>
        <v>4.6465749766323949E-2</v>
      </c>
      <c r="AD819" s="89" cm="1">
        <f t="array" ref="AD819">_xlfn.IFS(
AND(L819="marginal_effect",M819="level"),N819*AN819/BF819,
AND(L819="marginal_effect",M819="sd (Y)"),N819*BI819*AN819/BF819,
AND(L819="marginal_effect",M819="sd (X)"),N819/AQ819*AN819/BF819,
AND(L819="semi_elasticity",M819="level"),N819*AN819,
AND(L819="semi_elasticity",M819="sd (Y)"),N819*AN819*BI819,
AND(L819="semi_elasticity",M819="sd (X)"),N819*AN819/AQ819,
AND(L819="level-log",M819="level"),N819/BF819,
AND(L819="level-log",M819="sd (X)"),N819/BF819/AQ819,
AND(L819="level-log",M819="sd (Y)"),N819/BF819*BI819,
AND(L819="elasticity",M819="level"),N819,
AND(L819="elasticity",M819="sd (X)"),N819/AQ819,
AND(L819="elasticity",M819="sd (Y)"),N819*BI819,
AND(L819="marginal_effect",M819="percent_of_mean"),N819*AN819/BF819/10)</f>
        <v>4.6465749766323949E-2</v>
      </c>
      <c r="AE819" s="49">
        <f t="shared" si="334"/>
        <v>1</v>
      </c>
      <c r="AF819" s="89" t="s">
        <v>312</v>
      </c>
      <c r="AG819" s="89" t="s">
        <v>312</v>
      </c>
      <c r="AH819" s="49" t="s">
        <v>312</v>
      </c>
      <c r="AI819" s="89">
        <f t="shared" si="339"/>
        <v>-4.6465749766323949E-2</v>
      </c>
      <c r="AJ819" s="35">
        <v>0</v>
      </c>
      <c r="AK819" s="35" t="s">
        <v>312</v>
      </c>
      <c r="AL819" s="35" t="s">
        <v>148</v>
      </c>
      <c r="AM819" s="35" t="s">
        <v>590</v>
      </c>
      <c r="AN819" s="35">
        <v>3.3000000000000002E-2</v>
      </c>
      <c r="AO819" s="35">
        <v>1</v>
      </c>
      <c r="AP819" s="35">
        <f t="shared" si="340"/>
        <v>3.3000000000000002E-2</v>
      </c>
      <c r="AQ819" s="35">
        <v>1.2E-2</v>
      </c>
      <c r="AR819" s="35">
        <v>1.2E-2</v>
      </c>
      <c r="AS819" s="35">
        <v>5.8000000000000003E-2</v>
      </c>
      <c r="AT819" s="35" t="s">
        <v>83</v>
      </c>
      <c r="AU819" s="35" t="s">
        <v>109</v>
      </c>
      <c r="AV819" s="35" t="s">
        <v>133</v>
      </c>
      <c r="AW819" s="35" t="s">
        <v>109</v>
      </c>
      <c r="AX819" s="35" t="s">
        <v>86</v>
      </c>
      <c r="AY819" s="35">
        <v>0</v>
      </c>
      <c r="AZ819" s="35">
        <v>0</v>
      </c>
      <c r="BA819" s="35" t="s">
        <v>734</v>
      </c>
      <c r="BB819" s="35" t="s">
        <v>88</v>
      </c>
      <c r="BC819" s="35" t="s">
        <v>89</v>
      </c>
      <c r="BD819" s="35" t="s">
        <v>134</v>
      </c>
      <c r="BE819" s="35" t="s">
        <v>1585</v>
      </c>
      <c r="BF819" s="35">
        <v>82.379000000000005</v>
      </c>
      <c r="BG819" s="35">
        <v>1</v>
      </c>
      <c r="BH819" s="35">
        <v>14.926</v>
      </c>
      <c r="BI819" s="35">
        <v>47.133000000000003</v>
      </c>
      <c r="BJ819" s="35">
        <v>156.46700000000001</v>
      </c>
      <c r="BK819" s="35" t="s">
        <v>91</v>
      </c>
      <c r="BL819" s="35" t="s">
        <v>84</v>
      </c>
      <c r="BM819" s="35">
        <v>1</v>
      </c>
      <c r="BN819" s="35" t="s">
        <v>539</v>
      </c>
      <c r="BO819" s="35" t="s">
        <v>1586</v>
      </c>
      <c r="BP819" s="35" t="s">
        <v>1587</v>
      </c>
      <c r="BQ819" s="35" t="s">
        <v>92</v>
      </c>
      <c r="BR819" s="35" t="s">
        <v>134</v>
      </c>
      <c r="BS819" s="35" t="s">
        <v>312</v>
      </c>
      <c r="BT819" s="35">
        <v>0.248</v>
      </c>
      <c r="BU819" s="35">
        <v>2012</v>
      </c>
      <c r="BV819" s="35">
        <v>2019</v>
      </c>
      <c r="BW819" s="35" t="s">
        <v>1588</v>
      </c>
      <c r="BX819" s="35" t="s">
        <v>95</v>
      </c>
      <c r="BY819" s="35" t="s">
        <v>96</v>
      </c>
      <c r="BZ819" s="35">
        <v>0</v>
      </c>
      <c r="CA819" s="35">
        <v>0</v>
      </c>
      <c r="CB819" s="35" t="s">
        <v>97</v>
      </c>
      <c r="CC819" s="35" t="s">
        <v>719</v>
      </c>
      <c r="CD819" s="35">
        <v>1</v>
      </c>
      <c r="CE819" s="35" t="s">
        <v>1589</v>
      </c>
      <c r="CF819" s="35">
        <v>1</v>
      </c>
      <c r="CG819" s="35" t="s">
        <v>82</v>
      </c>
      <c r="CH819" s="35">
        <v>1</v>
      </c>
      <c r="CI819" s="35" t="s">
        <v>97</v>
      </c>
      <c r="CJ819" s="35" t="s">
        <v>98</v>
      </c>
      <c r="CK819" s="35">
        <v>66</v>
      </c>
      <c r="CL819" s="35">
        <v>0</v>
      </c>
      <c r="CM819" s="35">
        <v>0</v>
      </c>
      <c r="CN819" s="35" t="s">
        <v>99</v>
      </c>
      <c r="CO819" s="35" t="s">
        <v>1664</v>
      </c>
      <c r="CP819" s="35" t="s">
        <v>100</v>
      </c>
      <c r="CQ819" s="35" t="s">
        <v>126</v>
      </c>
      <c r="CR819" s="36">
        <v>46233</v>
      </c>
      <c r="CT819" s="35" t="s">
        <v>457</v>
      </c>
    </row>
    <row r="820" spans="1:98" s="35" customFormat="1" x14ac:dyDescent="0.35">
      <c r="A820" s="34" t="s">
        <v>1581</v>
      </c>
      <c r="B820" s="34" t="s">
        <v>1618</v>
      </c>
      <c r="C820" s="35" t="s">
        <v>1582</v>
      </c>
      <c r="D820" s="35">
        <v>2022</v>
      </c>
      <c r="E820" s="34" t="s">
        <v>1583</v>
      </c>
      <c r="F820" s="34" t="s">
        <v>1584</v>
      </c>
      <c r="G820" s="35" t="s">
        <v>78</v>
      </c>
      <c r="H820" s="35">
        <v>1</v>
      </c>
      <c r="I820" s="35" t="s">
        <v>390</v>
      </c>
      <c r="J820" s="35" t="s">
        <v>79</v>
      </c>
      <c r="K820" s="35">
        <v>11</v>
      </c>
      <c r="L820" s="35" t="s">
        <v>129</v>
      </c>
      <c r="M820" s="35" t="s">
        <v>380</v>
      </c>
      <c r="N820" s="35">
        <f>847.994-97.584</f>
        <v>750.41000000000008</v>
      </c>
      <c r="O820" s="35" t="s">
        <v>312</v>
      </c>
      <c r="P820" s="89" t="s">
        <v>312</v>
      </c>
      <c r="Q820" s="35" t="s">
        <v>312</v>
      </c>
      <c r="R820" s="89" t="s">
        <v>312</v>
      </c>
      <c r="S820" s="89" t="s">
        <v>312</v>
      </c>
      <c r="T820" s="35" t="s">
        <v>312</v>
      </c>
      <c r="U820" s="35">
        <v>7859</v>
      </c>
      <c r="V820" s="35" t="s">
        <v>312</v>
      </c>
      <c r="W820" s="35" t="s">
        <v>312</v>
      </c>
      <c r="X820" s="35">
        <f t="shared" si="336"/>
        <v>7859</v>
      </c>
      <c r="Y820" s="89" t="s">
        <v>312</v>
      </c>
      <c r="Z820" s="89" t="s">
        <v>312</v>
      </c>
      <c r="AA820" s="89" t="s">
        <v>312</v>
      </c>
      <c r="AB820" s="35" t="s">
        <v>312</v>
      </c>
      <c r="AC820" s="89">
        <f t="shared" si="338"/>
        <v>0.30060488716784617</v>
      </c>
      <c r="AD820" s="89" cm="1">
        <f t="array" ref="AD820">_xlfn.IFS(
AND(L820="marginal_effect",M820="level"),N820*AN820/BF820,
AND(L820="marginal_effect",M820="sd (Y)"),N820*BI820*AN820/BF820,
AND(L820="marginal_effect",M820="sd (X)"),N820/AQ820*AN820/BF820,
AND(L820="semi_elasticity",M820="level"),N820*AN820,
AND(L820="semi_elasticity",M820="sd (Y)"),N820*AN820*BI820,
AND(L820="semi_elasticity",M820="sd (X)"),N820*AN820/AQ820,
AND(L820="level-log",M820="level"),N820/BF820,
AND(L820="level-log",M820="sd (X)"),N820/BF820/AQ820,
AND(L820="level-log",M820="sd (Y)"),N820/BF820*BI820,
AND(L820="elasticity",M820="level"),N820,
AND(L820="elasticity",M820="sd (X)"),N820/AQ820,
AND(L820="elasticity",M820="sd (Y)"),N820*BI820,
AND(L820="marginal_effect",M820="percent_of_mean"),N820*AN820/BF820/10)</f>
        <v>0.30060488716784617</v>
      </c>
      <c r="AE820" s="49">
        <f t="shared" si="334"/>
        <v>1</v>
      </c>
      <c r="AF820" s="89" t="s">
        <v>312</v>
      </c>
      <c r="AG820" s="89" t="s">
        <v>312</v>
      </c>
      <c r="AH820" s="49" t="s">
        <v>312</v>
      </c>
      <c r="AI820" s="89">
        <f t="shared" si="339"/>
        <v>-0.30060488716784617</v>
      </c>
      <c r="AJ820" s="35">
        <v>0</v>
      </c>
      <c r="AK820" s="35" t="s">
        <v>312</v>
      </c>
      <c r="AL820" s="35" t="s">
        <v>148</v>
      </c>
      <c r="AM820" s="35" t="s">
        <v>590</v>
      </c>
      <c r="AN820" s="35">
        <v>3.3000000000000002E-2</v>
      </c>
      <c r="AO820" s="35">
        <v>1</v>
      </c>
      <c r="AP820" s="35">
        <f t="shared" si="340"/>
        <v>3.3000000000000002E-2</v>
      </c>
      <c r="AQ820" s="35">
        <v>1.2E-2</v>
      </c>
      <c r="AR820" s="35">
        <v>1.2E-2</v>
      </c>
      <c r="AS820" s="35">
        <v>5.8000000000000003E-2</v>
      </c>
      <c r="AT820" s="35" t="s">
        <v>83</v>
      </c>
      <c r="AU820" s="35" t="s">
        <v>109</v>
      </c>
      <c r="AV820" s="35" t="s">
        <v>133</v>
      </c>
      <c r="AW820" s="35" t="s">
        <v>109</v>
      </c>
      <c r="AX820" s="35" t="s">
        <v>86</v>
      </c>
      <c r="AY820" s="35">
        <v>0</v>
      </c>
      <c r="AZ820" s="35">
        <v>0</v>
      </c>
      <c r="BA820" s="35" t="s">
        <v>734</v>
      </c>
      <c r="BB820" s="35" t="s">
        <v>88</v>
      </c>
      <c r="BC820" s="35" t="s">
        <v>89</v>
      </c>
      <c r="BD820" s="35" t="s">
        <v>134</v>
      </c>
      <c r="BE820" s="35" t="s">
        <v>1585</v>
      </c>
      <c r="BF820" s="35">
        <v>82.379000000000005</v>
      </c>
      <c r="BG820" s="35">
        <v>1</v>
      </c>
      <c r="BH820" s="35">
        <v>14.926</v>
      </c>
      <c r="BI820" s="35">
        <v>47.133000000000003</v>
      </c>
      <c r="BJ820" s="35">
        <v>156.46700000000001</v>
      </c>
      <c r="BK820" s="35" t="s">
        <v>91</v>
      </c>
      <c r="BL820" s="35" t="s">
        <v>84</v>
      </c>
      <c r="BM820" s="35">
        <v>1</v>
      </c>
      <c r="BN820" s="35" t="s">
        <v>539</v>
      </c>
      <c r="BO820" s="35" t="s">
        <v>1586</v>
      </c>
      <c r="BP820" s="35" t="s">
        <v>1587</v>
      </c>
      <c r="BQ820" s="35" t="s">
        <v>92</v>
      </c>
      <c r="BR820" s="35" t="s">
        <v>134</v>
      </c>
      <c r="BS820" s="35" t="s">
        <v>312</v>
      </c>
      <c r="BT820" s="35">
        <v>0.248</v>
      </c>
      <c r="BU820" s="35">
        <v>2012</v>
      </c>
      <c r="BV820" s="35">
        <v>2019</v>
      </c>
      <c r="BW820" s="35" t="s">
        <v>1588</v>
      </c>
      <c r="BX820" s="35" t="s">
        <v>95</v>
      </c>
      <c r="BY820" s="35" t="s">
        <v>96</v>
      </c>
      <c r="BZ820" s="35">
        <v>0</v>
      </c>
      <c r="CA820" s="35">
        <v>0</v>
      </c>
      <c r="CB820" s="35" t="s">
        <v>97</v>
      </c>
      <c r="CC820" s="35" t="s">
        <v>719</v>
      </c>
      <c r="CD820" s="35">
        <v>1</v>
      </c>
      <c r="CE820" s="35" t="s">
        <v>1589</v>
      </c>
      <c r="CF820" s="35">
        <v>1</v>
      </c>
      <c r="CG820" s="35" t="s">
        <v>82</v>
      </c>
      <c r="CH820" s="35">
        <v>1</v>
      </c>
      <c r="CI820" s="35" t="s">
        <v>97</v>
      </c>
      <c r="CJ820" s="35" t="s">
        <v>98</v>
      </c>
      <c r="CK820" s="35">
        <v>66</v>
      </c>
      <c r="CL820" s="35">
        <v>0</v>
      </c>
      <c r="CM820" s="35">
        <v>0</v>
      </c>
      <c r="CN820" s="35" t="s">
        <v>99</v>
      </c>
      <c r="CO820" s="35" t="s">
        <v>1664</v>
      </c>
      <c r="CP820" s="35" t="s">
        <v>100</v>
      </c>
      <c r="CQ820" s="35" t="s">
        <v>126</v>
      </c>
      <c r="CR820" s="36">
        <v>46233</v>
      </c>
      <c r="CT820" s="35" t="s">
        <v>457</v>
      </c>
    </row>
    <row r="821" spans="1:98" s="35" customFormat="1" x14ac:dyDescent="0.35">
      <c r="A821" s="34" t="s">
        <v>1581</v>
      </c>
      <c r="B821" s="34" t="s">
        <v>1619</v>
      </c>
      <c r="C821" s="35" t="s">
        <v>1582</v>
      </c>
      <c r="D821" s="35">
        <v>2022</v>
      </c>
      <c r="E821" s="34" t="s">
        <v>1583</v>
      </c>
      <c r="F821" s="34" t="s">
        <v>1584</v>
      </c>
      <c r="G821" s="35" t="s">
        <v>78</v>
      </c>
      <c r="H821" s="35">
        <v>1</v>
      </c>
      <c r="I821" s="35" t="s">
        <v>390</v>
      </c>
      <c r="J821" s="35" t="s">
        <v>79</v>
      </c>
      <c r="K821" s="35">
        <v>11</v>
      </c>
      <c r="L821" s="35" t="s">
        <v>129</v>
      </c>
      <c r="M821" s="35" t="s">
        <v>380</v>
      </c>
      <c r="N821" s="35">
        <v>847.99400000000003</v>
      </c>
      <c r="O821" s="35">
        <v>53.726999999999997</v>
      </c>
      <c r="P821" s="89">
        <f>N821/O821</f>
        <v>15.783386379287883</v>
      </c>
      <c r="Q821" s="35" t="s">
        <v>312</v>
      </c>
      <c r="R821" s="89">
        <f>N821-1.96*O821</f>
        <v>742.68907999999999</v>
      </c>
      <c r="S821" s="89">
        <f>N821+1.96*O821</f>
        <v>953.29892000000007</v>
      </c>
      <c r="T821" s="35">
        <v>1</v>
      </c>
      <c r="U821" s="35">
        <v>7859</v>
      </c>
      <c r="V821" s="35" t="s">
        <v>312</v>
      </c>
      <c r="W821" s="35" t="s">
        <v>312</v>
      </c>
      <c r="X821" s="35">
        <f t="shared" si="336"/>
        <v>7859</v>
      </c>
      <c r="Y821" s="89">
        <f>P821/(P821^2 + X821)^(1/2)</f>
        <v>0.17528317477524635</v>
      </c>
      <c r="Z821" s="89">
        <f>((1-Y821^2)/X821)^(1/2)</f>
        <v>1.1105549250524956E-2</v>
      </c>
      <c r="AA821" s="89">
        <f>-Y821</f>
        <v>-0.17528317477524635</v>
      </c>
      <c r="AB821" s="35" t="s">
        <v>81</v>
      </c>
      <c r="AC821" s="89">
        <f t="shared" si="338"/>
        <v>0.33969582053678726</v>
      </c>
      <c r="AD821" s="89" cm="1">
        <f t="array" ref="AD821">_xlfn.IFS(
AND(L821="marginal_effect",M821="level"),N821*AN821/BF821,
AND(L821="marginal_effect",M821="sd (Y)"),N821*BI821*AN821/BF821,
AND(L821="marginal_effect",M821="sd (X)"),N821/AQ821*AN821/BF821,
AND(L821="semi_elasticity",M821="level"),N821*AN821,
AND(L821="semi_elasticity",M821="sd (Y)"),N821*AN821*BI821,
AND(L821="semi_elasticity",M821="sd (X)"),N821*AN821/AQ821,
AND(L821="level-log",M821="level"),N821/BF821,
AND(L821="level-log",M821="sd (X)"),N821/BF821/AQ821,
AND(L821="level-log",M821="sd (Y)"),N821/BF821*BI821,
AND(L821="elasticity",M821="level"),N821,
AND(L821="elasticity",M821="sd (X)"),N821/AQ821,
AND(L821="elasticity",M821="sd (Y)"),N821*BI821,
AND(L821="marginal_effect",M821="percent_of_mean"),N821*AN821/BF821/10)</f>
        <v>0.33969582053678726</v>
      </c>
      <c r="AE821" s="49">
        <f t="shared" si="334"/>
        <v>1</v>
      </c>
      <c r="AF821" s="89">
        <f>O821*AN821/BF821</f>
        <v>2.1522366137000933E-2</v>
      </c>
      <c r="AG821" s="89" cm="1">
        <f t="array" ref="AG821">_xlfn.IFS(
AND(L821="marginal_effect",M821="level"),O821*AN821/BF821,
AND(L821="marginal_effect",M821="sd (Y)"),O821*BI821*AN821/BF821,
AND(L821="marginal_effect",M821="sd (X)"),O821/AQ821*AN821/BF821,
AND(L821="semi_elasticity",M821="level"),O821*AN821,
AND(L821="semi_elasticity",M821="sd (Y)"),O821*AN821*BI821,
AND(L821="semi_elasticity",M821="sd (X)"),O821*AN821/AQ821,
AND(L821="level-log",M821="level"),O821/BF821,
AND(L821="level-log",M821="sd (X)"),O821/BF821/AQ821,
AND(L821="level-log",M821="sd (Y)"),O821/BF821*BI821,
AND(L821="elasticity",M821="level"),O821,
AND(L821="elasticity",M821="sd (X)"),O821/AQ821,
AND(L821="elasticity",M821="sd (Y)"),O821*BI821,
AND(L821="marginal_effect",M821="percent_of_mean"),O821*AN821/BF821/10)</f>
        <v>2.1522366137000933E-2</v>
      </c>
      <c r="AH821" s="49">
        <f>IF(AF821=AG821,1,0)</f>
        <v>1</v>
      </c>
      <c r="AI821" s="89">
        <f t="shared" si="339"/>
        <v>-0.33969582053678726</v>
      </c>
      <c r="AJ821" s="35">
        <v>0</v>
      </c>
      <c r="AK821" s="35">
        <f>IF(P821=(AC821/AF821),1,0)</f>
        <v>1</v>
      </c>
      <c r="AL821" s="35" t="s">
        <v>148</v>
      </c>
      <c r="AM821" s="35" t="s">
        <v>590</v>
      </c>
      <c r="AN821" s="35">
        <v>3.3000000000000002E-2</v>
      </c>
      <c r="AO821" s="35">
        <v>1</v>
      </c>
      <c r="AP821" s="35">
        <f t="shared" si="340"/>
        <v>3.3000000000000002E-2</v>
      </c>
      <c r="AQ821" s="35">
        <v>1.2E-2</v>
      </c>
      <c r="AR821" s="35">
        <v>1.2E-2</v>
      </c>
      <c r="AS821" s="35">
        <v>5.8000000000000003E-2</v>
      </c>
      <c r="AT821" s="35" t="s">
        <v>83</v>
      </c>
      <c r="AU821" s="35" t="s">
        <v>109</v>
      </c>
      <c r="AV821" s="35" t="s">
        <v>133</v>
      </c>
      <c r="AW821" s="35" t="s">
        <v>109</v>
      </c>
      <c r="AX821" s="35" t="s">
        <v>86</v>
      </c>
      <c r="AY821" s="35">
        <v>0</v>
      </c>
      <c r="AZ821" s="35">
        <v>0</v>
      </c>
      <c r="BA821" s="35" t="s">
        <v>734</v>
      </c>
      <c r="BB821" s="35" t="s">
        <v>88</v>
      </c>
      <c r="BC821" s="35" t="s">
        <v>89</v>
      </c>
      <c r="BD821" s="35" t="s">
        <v>134</v>
      </c>
      <c r="BE821" s="35" t="s">
        <v>1585</v>
      </c>
      <c r="BF821" s="35">
        <v>82.379000000000005</v>
      </c>
      <c r="BG821" s="35">
        <v>1</v>
      </c>
      <c r="BH821" s="35">
        <v>14.926</v>
      </c>
      <c r="BI821" s="35">
        <v>47.133000000000003</v>
      </c>
      <c r="BJ821" s="35">
        <v>156.46700000000001</v>
      </c>
      <c r="BK821" s="35" t="s">
        <v>91</v>
      </c>
      <c r="BL821" s="35" t="s">
        <v>84</v>
      </c>
      <c r="BM821" s="35">
        <v>1</v>
      </c>
      <c r="BN821" s="35" t="s">
        <v>539</v>
      </c>
      <c r="BO821" s="35" t="s">
        <v>1586</v>
      </c>
      <c r="BP821" s="35" t="s">
        <v>1587</v>
      </c>
      <c r="BQ821" s="35" t="s">
        <v>92</v>
      </c>
      <c r="BR821" s="35" t="s">
        <v>134</v>
      </c>
      <c r="BS821" s="35" t="s">
        <v>312</v>
      </c>
      <c r="BT821" s="35">
        <v>0.248</v>
      </c>
      <c r="BU821" s="35">
        <v>2012</v>
      </c>
      <c r="BV821" s="35">
        <v>2019</v>
      </c>
      <c r="BW821" s="35" t="s">
        <v>1588</v>
      </c>
      <c r="BX821" s="35" t="s">
        <v>95</v>
      </c>
      <c r="BY821" s="35" t="s">
        <v>96</v>
      </c>
      <c r="BZ821" s="35">
        <v>0</v>
      </c>
      <c r="CA821" s="35">
        <v>0</v>
      </c>
      <c r="CB821" s="35" t="s">
        <v>97</v>
      </c>
      <c r="CC821" s="35" t="s">
        <v>719</v>
      </c>
      <c r="CD821" s="35">
        <v>1</v>
      </c>
      <c r="CE821" s="35" t="s">
        <v>1589</v>
      </c>
      <c r="CF821" s="35">
        <v>1</v>
      </c>
      <c r="CG821" s="35" t="s">
        <v>82</v>
      </c>
      <c r="CH821" s="35">
        <v>1</v>
      </c>
      <c r="CI821" s="35" t="s">
        <v>97</v>
      </c>
      <c r="CJ821" s="35" t="s">
        <v>98</v>
      </c>
      <c r="CK821" s="35">
        <v>66</v>
      </c>
      <c r="CL821" s="35">
        <v>0</v>
      </c>
      <c r="CM821" s="35">
        <v>0</v>
      </c>
      <c r="CN821" s="35" t="s">
        <v>99</v>
      </c>
      <c r="CO821" s="35" t="s">
        <v>1664</v>
      </c>
      <c r="CP821" s="35" t="s">
        <v>100</v>
      </c>
      <c r="CQ821" s="35" t="s">
        <v>126</v>
      </c>
      <c r="CR821" s="36">
        <v>46233</v>
      </c>
      <c r="CT821" s="35" t="s">
        <v>457</v>
      </c>
    </row>
    <row r="822" spans="1:98" s="35" customFormat="1" x14ac:dyDescent="0.35">
      <c r="A822" s="34" t="s">
        <v>1581</v>
      </c>
      <c r="B822" s="34" t="s">
        <v>1620</v>
      </c>
      <c r="C822" s="35" t="s">
        <v>1582</v>
      </c>
      <c r="D822" s="35">
        <v>2022</v>
      </c>
      <c r="E822" s="34" t="s">
        <v>1583</v>
      </c>
      <c r="F822" s="34" t="s">
        <v>1584</v>
      </c>
      <c r="G822" s="35" t="s">
        <v>78</v>
      </c>
      <c r="H822" s="35">
        <v>1</v>
      </c>
      <c r="I822" s="35" t="s">
        <v>390</v>
      </c>
      <c r="J822" s="35" t="s">
        <v>79</v>
      </c>
      <c r="K822" s="35">
        <v>11</v>
      </c>
      <c r="L822" s="35" t="s">
        <v>129</v>
      </c>
      <c r="M822" s="35" t="s">
        <v>380</v>
      </c>
      <c r="N822" s="35">
        <f>0.91+0.113+0.525</f>
        <v>1.548</v>
      </c>
      <c r="O822" s="35" t="s">
        <v>312</v>
      </c>
      <c r="P822" s="89" t="s">
        <v>312</v>
      </c>
      <c r="Q822" s="35" t="s">
        <v>312</v>
      </c>
      <c r="R822" s="89" t="s">
        <v>312</v>
      </c>
      <c r="S822" s="89" t="s">
        <v>312</v>
      </c>
      <c r="T822" s="35" t="s">
        <v>312</v>
      </c>
      <c r="U822" s="35">
        <v>7859</v>
      </c>
      <c r="V822" s="35" t="s">
        <v>312</v>
      </c>
      <c r="W822" s="35" t="s">
        <v>312</v>
      </c>
      <c r="X822" s="35">
        <f t="shared" si="336"/>
        <v>7859</v>
      </c>
      <c r="Y822" s="89" t="s">
        <v>312</v>
      </c>
      <c r="Z822" s="89" t="s">
        <v>312</v>
      </c>
      <c r="AA822" s="89" t="s">
        <v>312</v>
      </c>
      <c r="AB822" s="35" t="s">
        <v>312</v>
      </c>
      <c r="AC822" s="89">
        <f t="shared" si="338"/>
        <v>0.18903943966302092</v>
      </c>
      <c r="AD822" s="89" cm="1">
        <f t="array" ref="AD822">_xlfn.IFS(
AND(L822="marginal_effect",M822="level"),N822*AN822/BF822,
AND(L822="marginal_effect",M822="sd (Y)"),N822*BI822*AN822/BF822,
AND(L822="marginal_effect",M822="sd (X)"),N822/AQ822*AN822/BF822,
AND(L822="semi_elasticity",M822="level"),N822*AN822,
AND(L822="semi_elasticity",M822="sd (Y)"),N822*AN822*BI822,
AND(L822="semi_elasticity",M822="sd (X)"),N822*AN822/AQ822,
AND(L822="level-log",M822="level"),N822/BF822,
AND(L822="level-log",M822="sd (X)"),N822/BF822/AQ822,
AND(L822="level-log",M822="sd (Y)"),N822/BF822*BI822,
AND(L822="elasticity",M822="level"),N822,
AND(L822="elasticity",M822="sd (X)"),N822/AQ822,
AND(L822="elasticity",M822="sd (Y)"),N822*BI822,
AND(L822="marginal_effect",M822="percent_of_mean"),N822*AN822/BF822/10)</f>
        <v>0.18903943966302092</v>
      </c>
      <c r="AE822" s="49">
        <f t="shared" si="334"/>
        <v>1</v>
      </c>
      <c r="AF822" s="89" t="s">
        <v>312</v>
      </c>
      <c r="AG822" s="89" t="s">
        <v>312</v>
      </c>
      <c r="AH822" s="49" t="s">
        <v>312</v>
      </c>
      <c r="AI822" s="89">
        <f t="shared" si="339"/>
        <v>-0.18903943966302092</v>
      </c>
      <c r="AJ822" s="35">
        <v>0</v>
      </c>
      <c r="AK822" s="35" t="s">
        <v>312</v>
      </c>
      <c r="AL822" s="35" t="s">
        <v>82</v>
      </c>
      <c r="AM822" s="35" t="s">
        <v>1333</v>
      </c>
      <c r="AN822" s="35">
        <v>10.06</v>
      </c>
      <c r="AO822" s="35">
        <v>1</v>
      </c>
      <c r="AP822" s="35">
        <f t="shared" si="340"/>
        <v>10.06</v>
      </c>
      <c r="AQ822" s="35">
        <v>4.6970000000000001</v>
      </c>
      <c r="AR822" s="35">
        <v>1.8</v>
      </c>
      <c r="AS822" s="35">
        <v>20.75</v>
      </c>
      <c r="AT822" s="35" t="s">
        <v>83</v>
      </c>
      <c r="AU822" s="35" t="s">
        <v>109</v>
      </c>
      <c r="AV822" s="35" t="s">
        <v>133</v>
      </c>
      <c r="AW822" s="35" t="s">
        <v>109</v>
      </c>
      <c r="AX822" s="35" t="s">
        <v>86</v>
      </c>
      <c r="AY822" s="35">
        <v>0</v>
      </c>
      <c r="AZ822" s="35">
        <v>0</v>
      </c>
      <c r="BA822" s="35" t="s">
        <v>734</v>
      </c>
      <c r="BB822" s="35" t="s">
        <v>88</v>
      </c>
      <c r="BC822" s="35" t="s">
        <v>89</v>
      </c>
      <c r="BD822" s="35" t="s">
        <v>134</v>
      </c>
      <c r="BE822" s="35" t="s">
        <v>1585</v>
      </c>
      <c r="BF822" s="35">
        <v>82.379000000000005</v>
      </c>
      <c r="BG822" s="35">
        <v>1</v>
      </c>
      <c r="BH822" s="35">
        <v>14.926</v>
      </c>
      <c r="BI822" s="35">
        <v>47.133000000000003</v>
      </c>
      <c r="BJ822" s="35">
        <v>156.46700000000001</v>
      </c>
      <c r="BK822" s="35" t="s">
        <v>91</v>
      </c>
      <c r="BL822" s="35" t="s">
        <v>84</v>
      </c>
      <c r="BM822" s="35">
        <v>1</v>
      </c>
      <c r="BN822" s="35" t="s">
        <v>539</v>
      </c>
      <c r="BO822" s="35" t="s">
        <v>1586</v>
      </c>
      <c r="BP822" s="35" t="s">
        <v>1587</v>
      </c>
      <c r="BQ822" s="35" t="s">
        <v>92</v>
      </c>
      <c r="BR822" s="35" t="s">
        <v>134</v>
      </c>
      <c r="BS822" s="35" t="s">
        <v>312</v>
      </c>
      <c r="BT822" s="35">
        <v>0.248</v>
      </c>
      <c r="BU822" s="35">
        <v>2012</v>
      </c>
      <c r="BV822" s="35">
        <v>2019</v>
      </c>
      <c r="BW822" s="35" t="s">
        <v>1588</v>
      </c>
      <c r="BX822" s="35" t="s">
        <v>95</v>
      </c>
      <c r="BY822" s="35" t="s">
        <v>96</v>
      </c>
      <c r="BZ822" s="35">
        <v>0</v>
      </c>
      <c r="CA822" s="35">
        <v>0</v>
      </c>
      <c r="CB822" s="35" t="s">
        <v>97</v>
      </c>
      <c r="CC822" s="35" t="s">
        <v>719</v>
      </c>
      <c r="CD822" s="35">
        <v>1</v>
      </c>
      <c r="CE822" s="35" t="s">
        <v>1589</v>
      </c>
      <c r="CF822" s="35">
        <v>1</v>
      </c>
      <c r="CG822" s="35" t="s">
        <v>396</v>
      </c>
      <c r="CH822" s="35">
        <v>1</v>
      </c>
      <c r="CI822" s="35" t="s">
        <v>97</v>
      </c>
      <c r="CJ822" s="35" t="s">
        <v>98</v>
      </c>
      <c r="CK822" s="35">
        <v>66</v>
      </c>
      <c r="CL822" s="35">
        <v>0</v>
      </c>
      <c r="CM822" s="35">
        <v>0</v>
      </c>
      <c r="CN822" s="35" t="s">
        <v>99</v>
      </c>
      <c r="CO822" s="35" t="s">
        <v>1664</v>
      </c>
      <c r="CP822" s="35" t="s">
        <v>100</v>
      </c>
      <c r="CQ822" s="35" t="s">
        <v>126</v>
      </c>
      <c r="CR822" s="36">
        <v>46233</v>
      </c>
      <c r="CT822" s="35" t="s">
        <v>457</v>
      </c>
    </row>
    <row r="823" spans="1:98" s="35" customFormat="1" x14ac:dyDescent="0.35">
      <c r="A823" s="34" t="s">
        <v>1581</v>
      </c>
      <c r="B823" s="34" t="s">
        <v>1621</v>
      </c>
      <c r="C823" s="35" t="s">
        <v>1582</v>
      </c>
      <c r="D823" s="35">
        <v>2022</v>
      </c>
      <c r="E823" s="34" t="s">
        <v>1583</v>
      </c>
      <c r="F823" s="34" t="s">
        <v>1584</v>
      </c>
      <c r="G823" s="35" t="s">
        <v>78</v>
      </c>
      <c r="H823" s="35">
        <v>1</v>
      </c>
      <c r="I823" s="35" t="s">
        <v>390</v>
      </c>
      <c r="J823" s="35" t="s">
        <v>79</v>
      </c>
      <c r="K823" s="35">
        <v>11</v>
      </c>
      <c r="L823" s="35" t="s">
        <v>129</v>
      </c>
      <c r="M823" s="35" t="s">
        <v>380</v>
      </c>
      <c r="N823" s="35">
        <f>0.91+0.525</f>
        <v>1.4350000000000001</v>
      </c>
      <c r="O823" s="35" t="s">
        <v>312</v>
      </c>
      <c r="P823" s="89" t="s">
        <v>312</v>
      </c>
      <c r="Q823" s="35" t="s">
        <v>312</v>
      </c>
      <c r="R823" s="89" t="s">
        <v>312</v>
      </c>
      <c r="S823" s="89" t="s">
        <v>312</v>
      </c>
      <c r="T823" s="35" t="s">
        <v>312</v>
      </c>
      <c r="U823" s="35">
        <v>7859</v>
      </c>
      <c r="V823" s="35" t="s">
        <v>312</v>
      </c>
      <c r="W823" s="35" t="s">
        <v>312</v>
      </c>
      <c r="X823" s="35">
        <f t="shared" si="336"/>
        <v>7859</v>
      </c>
      <c r="Y823" s="89" t="s">
        <v>312</v>
      </c>
      <c r="Z823" s="89" t="s">
        <v>312</v>
      </c>
      <c r="AA823" s="89" t="s">
        <v>312</v>
      </c>
      <c r="AB823" s="35" t="s">
        <v>312</v>
      </c>
      <c r="AC823" s="89">
        <f t="shared" si="338"/>
        <v>0.17524004904162468</v>
      </c>
      <c r="AD823" s="89" cm="1">
        <f t="array" ref="AD823">_xlfn.IFS(
AND(L823="marginal_effect",M823="level"),N823*AN823/BF823,
AND(L823="marginal_effect",M823="sd (Y)"),N823*BI823*AN823/BF823,
AND(L823="marginal_effect",M823="sd (X)"),N823/AQ823*AN823/BF823,
AND(L823="semi_elasticity",M823="level"),N823*AN823,
AND(L823="semi_elasticity",M823="sd (Y)"),N823*AN823*BI823,
AND(L823="semi_elasticity",M823="sd (X)"),N823*AN823/AQ823,
AND(L823="level-log",M823="level"),N823/BF823,
AND(L823="level-log",M823="sd (X)"),N823/BF823/AQ823,
AND(L823="level-log",M823="sd (Y)"),N823/BF823*BI823,
AND(L823="elasticity",M823="level"),N823,
AND(L823="elasticity",M823="sd (X)"),N823/AQ823,
AND(L823="elasticity",M823="sd (Y)"),N823*BI823,
AND(L823="marginal_effect",M823="percent_of_mean"),N823*AN823/BF823/10)</f>
        <v>0.17524004904162468</v>
      </c>
      <c r="AE823" s="49">
        <f t="shared" si="334"/>
        <v>1</v>
      </c>
      <c r="AF823" s="89" t="s">
        <v>312</v>
      </c>
      <c r="AG823" s="89" t="s">
        <v>312</v>
      </c>
      <c r="AH823" s="49" t="s">
        <v>312</v>
      </c>
      <c r="AI823" s="89">
        <f t="shared" si="339"/>
        <v>-0.17524004904162468</v>
      </c>
      <c r="AJ823" s="35">
        <v>0</v>
      </c>
      <c r="AK823" s="35" t="s">
        <v>312</v>
      </c>
      <c r="AL823" s="35" t="s">
        <v>82</v>
      </c>
      <c r="AM823" s="35" t="s">
        <v>1333</v>
      </c>
      <c r="AN823" s="35">
        <v>10.06</v>
      </c>
      <c r="AO823" s="35">
        <v>1</v>
      </c>
      <c r="AP823" s="35">
        <f t="shared" si="340"/>
        <v>10.06</v>
      </c>
      <c r="AQ823" s="35">
        <v>4.6970000000000001</v>
      </c>
      <c r="AR823" s="35">
        <v>1.8</v>
      </c>
      <c r="AS823" s="35">
        <v>20.75</v>
      </c>
      <c r="AT823" s="35" t="s">
        <v>83</v>
      </c>
      <c r="AU823" s="35" t="s">
        <v>109</v>
      </c>
      <c r="AV823" s="35" t="s">
        <v>133</v>
      </c>
      <c r="AW823" s="35" t="s">
        <v>109</v>
      </c>
      <c r="AX823" s="35" t="s">
        <v>86</v>
      </c>
      <c r="AY823" s="35">
        <v>0</v>
      </c>
      <c r="AZ823" s="35">
        <v>0</v>
      </c>
      <c r="BA823" s="35" t="s">
        <v>734</v>
      </c>
      <c r="BB823" s="35" t="s">
        <v>88</v>
      </c>
      <c r="BC823" s="35" t="s">
        <v>89</v>
      </c>
      <c r="BD823" s="35" t="s">
        <v>134</v>
      </c>
      <c r="BE823" s="35" t="s">
        <v>1585</v>
      </c>
      <c r="BF823" s="35">
        <v>82.379000000000005</v>
      </c>
      <c r="BG823" s="35">
        <v>1</v>
      </c>
      <c r="BH823" s="35">
        <v>14.926</v>
      </c>
      <c r="BI823" s="35">
        <v>47.133000000000003</v>
      </c>
      <c r="BJ823" s="35">
        <v>156.46700000000001</v>
      </c>
      <c r="BK823" s="35" t="s">
        <v>91</v>
      </c>
      <c r="BL823" s="35" t="s">
        <v>84</v>
      </c>
      <c r="BM823" s="35">
        <v>1</v>
      </c>
      <c r="BN823" s="35" t="s">
        <v>539</v>
      </c>
      <c r="BO823" s="35" t="s">
        <v>1586</v>
      </c>
      <c r="BP823" s="35" t="s">
        <v>1587</v>
      </c>
      <c r="BQ823" s="35" t="s">
        <v>92</v>
      </c>
      <c r="BR823" s="35" t="s">
        <v>134</v>
      </c>
      <c r="BS823" s="35" t="s">
        <v>312</v>
      </c>
      <c r="BT823" s="35">
        <v>0.248</v>
      </c>
      <c r="BU823" s="35">
        <v>2012</v>
      </c>
      <c r="BV823" s="35">
        <v>2019</v>
      </c>
      <c r="BW823" s="35" t="s">
        <v>1588</v>
      </c>
      <c r="BX823" s="35" t="s">
        <v>95</v>
      </c>
      <c r="BY823" s="35" t="s">
        <v>96</v>
      </c>
      <c r="BZ823" s="35">
        <v>0</v>
      </c>
      <c r="CA823" s="35">
        <v>0</v>
      </c>
      <c r="CB823" s="35" t="s">
        <v>97</v>
      </c>
      <c r="CC823" s="35" t="s">
        <v>719</v>
      </c>
      <c r="CD823" s="35">
        <v>1</v>
      </c>
      <c r="CE823" s="35" t="s">
        <v>1589</v>
      </c>
      <c r="CF823" s="35">
        <v>1</v>
      </c>
      <c r="CG823" s="35" t="s">
        <v>396</v>
      </c>
      <c r="CH823" s="35">
        <v>1</v>
      </c>
      <c r="CI823" s="35" t="s">
        <v>97</v>
      </c>
      <c r="CJ823" s="35" t="s">
        <v>98</v>
      </c>
      <c r="CK823" s="35">
        <v>66</v>
      </c>
      <c r="CL823" s="35">
        <v>0</v>
      </c>
      <c r="CM823" s="35">
        <v>0</v>
      </c>
      <c r="CN823" s="35" t="s">
        <v>99</v>
      </c>
      <c r="CO823" s="35" t="s">
        <v>1664</v>
      </c>
      <c r="CP823" s="35" t="s">
        <v>100</v>
      </c>
      <c r="CQ823" s="35" t="s">
        <v>126</v>
      </c>
      <c r="CR823" s="36">
        <v>46233</v>
      </c>
      <c r="CT823" s="35" t="s">
        <v>457</v>
      </c>
    </row>
    <row r="824" spans="1:98" s="35" customFormat="1" x14ac:dyDescent="0.35">
      <c r="A824" s="34" t="s">
        <v>1581</v>
      </c>
      <c r="B824" s="34" t="s">
        <v>1622</v>
      </c>
      <c r="C824" s="35" t="s">
        <v>1582</v>
      </c>
      <c r="D824" s="35">
        <v>2022</v>
      </c>
      <c r="E824" s="34" t="s">
        <v>1583</v>
      </c>
      <c r="F824" s="34" t="s">
        <v>1584</v>
      </c>
      <c r="G824" s="35" t="s">
        <v>78</v>
      </c>
      <c r="H824" s="35">
        <v>1</v>
      </c>
      <c r="I824" s="35" t="s">
        <v>390</v>
      </c>
      <c r="J824" s="35" t="s">
        <v>79</v>
      </c>
      <c r="K824" s="35">
        <v>11</v>
      </c>
      <c r="L824" s="35" t="s">
        <v>129</v>
      </c>
      <c r="M824" s="35" t="s">
        <v>380</v>
      </c>
      <c r="N824" s="35">
        <f>0.91+0.113</f>
        <v>1.0230000000000001</v>
      </c>
      <c r="O824" s="35" t="s">
        <v>312</v>
      </c>
      <c r="P824" s="89" t="s">
        <v>312</v>
      </c>
      <c r="Q824" s="35" t="s">
        <v>312</v>
      </c>
      <c r="R824" s="89" t="s">
        <v>312</v>
      </c>
      <c r="S824" s="89" t="s">
        <v>312</v>
      </c>
      <c r="T824" s="35" t="s">
        <v>312</v>
      </c>
      <c r="U824" s="35">
        <v>7859</v>
      </c>
      <c r="V824" s="35" t="s">
        <v>312</v>
      </c>
      <c r="W824" s="35" t="s">
        <v>312</v>
      </c>
      <c r="X824" s="35">
        <f t="shared" si="336"/>
        <v>7859</v>
      </c>
      <c r="Y824" s="89" t="s">
        <v>312</v>
      </c>
      <c r="Z824" s="89" t="s">
        <v>312</v>
      </c>
      <c r="AA824" s="89" t="s">
        <v>312</v>
      </c>
      <c r="AB824" s="35" t="s">
        <v>312</v>
      </c>
      <c r="AC824" s="89">
        <f t="shared" si="338"/>
        <v>0.1249272265990119</v>
      </c>
      <c r="AD824" s="89" cm="1">
        <f t="array" ref="AD824">_xlfn.IFS(
AND(L824="marginal_effect",M824="level"),N824*AN824/BF824,
AND(L824="marginal_effect",M824="sd (Y)"),N824*BI824*AN824/BF824,
AND(L824="marginal_effect",M824="sd (X)"),N824/AQ824*AN824/BF824,
AND(L824="semi_elasticity",M824="level"),N824*AN824,
AND(L824="semi_elasticity",M824="sd (Y)"),N824*AN824*BI824,
AND(L824="semi_elasticity",M824="sd (X)"),N824*AN824/AQ824,
AND(L824="level-log",M824="level"),N824/BF824,
AND(L824="level-log",M824="sd (X)"),N824/BF824/AQ824,
AND(L824="level-log",M824="sd (Y)"),N824/BF824*BI824,
AND(L824="elasticity",M824="level"),N824,
AND(L824="elasticity",M824="sd (X)"),N824/AQ824,
AND(L824="elasticity",M824="sd (Y)"),N824*BI824,
AND(L824="marginal_effect",M824="percent_of_mean"),N824*AN824/BF824/10)</f>
        <v>0.1249272265990119</v>
      </c>
      <c r="AE824" s="49">
        <f t="shared" si="334"/>
        <v>1</v>
      </c>
      <c r="AF824" s="89" t="s">
        <v>312</v>
      </c>
      <c r="AG824" s="89" t="s">
        <v>312</v>
      </c>
      <c r="AH824" s="49" t="s">
        <v>312</v>
      </c>
      <c r="AI824" s="89">
        <f t="shared" si="339"/>
        <v>-0.1249272265990119</v>
      </c>
      <c r="AJ824" s="35">
        <v>0</v>
      </c>
      <c r="AK824" s="35" t="s">
        <v>312</v>
      </c>
      <c r="AL824" s="35" t="s">
        <v>82</v>
      </c>
      <c r="AM824" s="35" t="s">
        <v>1333</v>
      </c>
      <c r="AN824" s="35">
        <v>10.06</v>
      </c>
      <c r="AO824" s="35">
        <v>1</v>
      </c>
      <c r="AP824" s="35">
        <f t="shared" si="340"/>
        <v>10.06</v>
      </c>
      <c r="AQ824" s="35">
        <v>4.6970000000000001</v>
      </c>
      <c r="AR824" s="35">
        <v>1.8</v>
      </c>
      <c r="AS824" s="35">
        <v>20.75</v>
      </c>
      <c r="AT824" s="35" t="s">
        <v>83</v>
      </c>
      <c r="AU824" s="35" t="s">
        <v>109</v>
      </c>
      <c r="AV824" s="35" t="s">
        <v>133</v>
      </c>
      <c r="AW824" s="35" t="s">
        <v>109</v>
      </c>
      <c r="AX824" s="35" t="s">
        <v>86</v>
      </c>
      <c r="AY824" s="35">
        <v>0</v>
      </c>
      <c r="AZ824" s="35">
        <v>0</v>
      </c>
      <c r="BA824" s="35" t="s">
        <v>734</v>
      </c>
      <c r="BB824" s="35" t="s">
        <v>88</v>
      </c>
      <c r="BC824" s="35" t="s">
        <v>89</v>
      </c>
      <c r="BD824" s="35" t="s">
        <v>134</v>
      </c>
      <c r="BE824" s="35" t="s">
        <v>1585</v>
      </c>
      <c r="BF824" s="35">
        <v>82.379000000000005</v>
      </c>
      <c r="BG824" s="35">
        <v>1</v>
      </c>
      <c r="BH824" s="35">
        <v>14.926</v>
      </c>
      <c r="BI824" s="35">
        <v>47.133000000000003</v>
      </c>
      <c r="BJ824" s="35">
        <v>156.46700000000001</v>
      </c>
      <c r="BK824" s="35" t="s">
        <v>91</v>
      </c>
      <c r="BL824" s="35" t="s">
        <v>84</v>
      </c>
      <c r="BM824" s="35">
        <v>1</v>
      </c>
      <c r="BN824" s="35" t="s">
        <v>539</v>
      </c>
      <c r="BO824" s="35" t="s">
        <v>1586</v>
      </c>
      <c r="BP824" s="35" t="s">
        <v>1587</v>
      </c>
      <c r="BQ824" s="35" t="s">
        <v>92</v>
      </c>
      <c r="BR824" s="35" t="s">
        <v>134</v>
      </c>
      <c r="BS824" s="35" t="s">
        <v>312</v>
      </c>
      <c r="BT824" s="35">
        <v>0.248</v>
      </c>
      <c r="BU824" s="35">
        <v>2012</v>
      </c>
      <c r="BV824" s="35">
        <v>2019</v>
      </c>
      <c r="BW824" s="35" t="s">
        <v>1588</v>
      </c>
      <c r="BX824" s="35" t="s">
        <v>95</v>
      </c>
      <c r="BY824" s="35" t="s">
        <v>96</v>
      </c>
      <c r="BZ824" s="35">
        <v>0</v>
      </c>
      <c r="CA824" s="35">
        <v>0</v>
      </c>
      <c r="CB824" s="35" t="s">
        <v>97</v>
      </c>
      <c r="CC824" s="35" t="s">
        <v>719</v>
      </c>
      <c r="CD824" s="35">
        <v>1</v>
      </c>
      <c r="CE824" s="35" t="s">
        <v>1589</v>
      </c>
      <c r="CF824" s="35">
        <v>1</v>
      </c>
      <c r="CG824" s="35" t="s">
        <v>396</v>
      </c>
      <c r="CH824" s="35">
        <v>1</v>
      </c>
      <c r="CI824" s="35" t="s">
        <v>97</v>
      </c>
      <c r="CJ824" s="35" t="s">
        <v>98</v>
      </c>
      <c r="CK824" s="35">
        <v>66</v>
      </c>
      <c r="CL824" s="35">
        <v>0</v>
      </c>
      <c r="CM824" s="35">
        <v>0</v>
      </c>
      <c r="CN824" s="35" t="s">
        <v>99</v>
      </c>
      <c r="CO824" s="35" t="s">
        <v>1664</v>
      </c>
      <c r="CP824" s="35" t="s">
        <v>100</v>
      </c>
      <c r="CQ824" s="35" t="s">
        <v>126</v>
      </c>
      <c r="CR824" s="36">
        <v>46233</v>
      </c>
      <c r="CT824" s="35" t="s">
        <v>457</v>
      </c>
    </row>
    <row r="825" spans="1:98" s="35" customFormat="1" x14ac:dyDescent="0.35">
      <c r="A825" s="34" t="s">
        <v>1581</v>
      </c>
      <c r="B825" s="34" t="s">
        <v>1623</v>
      </c>
      <c r="C825" s="35" t="s">
        <v>1582</v>
      </c>
      <c r="D825" s="35">
        <v>2022</v>
      </c>
      <c r="E825" s="34" t="s">
        <v>1583</v>
      </c>
      <c r="F825" s="34" t="s">
        <v>1584</v>
      </c>
      <c r="G825" s="35" t="s">
        <v>78</v>
      </c>
      <c r="H825" s="35">
        <v>1</v>
      </c>
      <c r="I825" s="35" t="s">
        <v>390</v>
      </c>
      <c r="J825" s="35" t="s">
        <v>79</v>
      </c>
      <c r="K825" s="35">
        <v>11</v>
      </c>
      <c r="L825" s="35" t="s">
        <v>129</v>
      </c>
      <c r="M825" s="35" t="s">
        <v>380</v>
      </c>
      <c r="N825" s="35">
        <v>-8.1000000000000003E-2</v>
      </c>
      <c r="O825" s="35">
        <v>5.7000000000000002E-2</v>
      </c>
      <c r="P825" s="89">
        <f>N825/O825</f>
        <v>-1.4210526315789473</v>
      </c>
      <c r="Q825" s="35" t="s">
        <v>312</v>
      </c>
      <c r="R825" s="89">
        <f>N825-1.96*O825</f>
        <v>-0.19272</v>
      </c>
      <c r="S825" s="89">
        <f>N825+1.96*O825</f>
        <v>3.0719999999999997E-2</v>
      </c>
      <c r="T825" s="35">
        <v>1</v>
      </c>
      <c r="U825" s="35">
        <v>7859</v>
      </c>
      <c r="V825" s="35" t="s">
        <v>312</v>
      </c>
      <c r="W825" s="35" t="s">
        <v>312</v>
      </c>
      <c r="X825" s="35">
        <f t="shared" si="336"/>
        <v>7859</v>
      </c>
      <c r="Y825" s="89">
        <f>P825/(P825^2 + X825)^(1/2)</f>
        <v>-1.6027682453366249E-2</v>
      </c>
      <c r="Z825" s="89">
        <f>((1-Y825^2)/X825)^(1/2)</f>
        <v>1.1278739504220694E-2</v>
      </c>
      <c r="AA825" s="89">
        <f>-Y825</f>
        <v>1.6027682453366249E-2</v>
      </c>
      <c r="AB825" s="35" t="s">
        <v>81</v>
      </c>
      <c r="AC825" s="89">
        <f t="shared" si="338"/>
        <v>-9.8915985870185359E-3</v>
      </c>
      <c r="AD825" s="89" cm="1">
        <f t="array" ref="AD825">_xlfn.IFS(
AND(L825="marginal_effect",M825="level"),N825*AN825/BF825,
AND(L825="marginal_effect",M825="sd (Y)"),N825*BI825*AN825/BF825,
AND(L825="marginal_effect",M825="sd (X)"),N825/AQ825*AN825/BF825,
AND(L825="semi_elasticity",M825="level"),N825*AN825,
AND(L825="semi_elasticity",M825="sd (Y)"),N825*AN825*BI825,
AND(L825="semi_elasticity",M825="sd (X)"),N825*AN825/AQ825,
AND(L825="level-log",M825="level"),N825/BF825,
AND(L825="level-log",M825="sd (X)"),N825/BF825/AQ825,
AND(L825="level-log",M825="sd (Y)"),N825/BF825*BI825,
AND(L825="elasticity",M825="level"),N825,
AND(L825="elasticity",M825="sd (X)"),N825/AQ825,
AND(L825="elasticity",M825="sd (Y)"),N825*BI825,
AND(L825="marginal_effect",M825="percent_of_mean"),N825*AN825/BF825/10)</f>
        <v>-9.8915985870185359E-3</v>
      </c>
      <c r="AE825" s="49">
        <f t="shared" si="334"/>
        <v>1</v>
      </c>
      <c r="AF825" s="89">
        <f>O825*AN825/BF825</f>
        <v>6.9607545612352661E-3</v>
      </c>
      <c r="AG825" s="89" cm="1">
        <f t="array" ref="AG825">_xlfn.IFS(
AND(L825="marginal_effect",M825="level"),O825*AN825/BF825,
AND(L825="marginal_effect",M825="sd (Y)"),O825*BI825*AN825/BF825,
AND(L825="marginal_effect",M825="sd (X)"),O825/AQ825*AN825/BF825,
AND(L825="semi_elasticity",M825="level"),O825*AN825,
AND(L825="semi_elasticity",M825="sd (Y)"),O825*AN825*BI825,
AND(L825="semi_elasticity",M825="sd (X)"),O825*AN825/AQ825,
AND(L825="level-log",M825="level"),O825/BF825,
AND(L825="level-log",M825="sd (X)"),O825/BF825/AQ825,
AND(L825="level-log",M825="sd (Y)"),O825/BF825*BI825,
AND(L825="elasticity",M825="level"),O825,
AND(L825="elasticity",M825="sd (X)"),O825/AQ825,
AND(L825="elasticity",M825="sd (Y)"),O825*BI825,
AND(L825="marginal_effect",M825="percent_of_mean"),O825*AN825/BF825/10)</f>
        <v>6.9607545612352661E-3</v>
      </c>
      <c r="AH825" s="49">
        <f>IF(AF825=AG825,1,0)</f>
        <v>1</v>
      </c>
      <c r="AI825" s="89">
        <f t="shared" si="339"/>
        <v>9.8915985870185359E-3</v>
      </c>
      <c r="AJ825" s="35">
        <v>0</v>
      </c>
      <c r="AK825" s="35">
        <f>IF(P825=(AC825/AF825),1,0)</f>
        <v>1</v>
      </c>
      <c r="AL825" s="35" t="s">
        <v>82</v>
      </c>
      <c r="AM825" s="35" t="s">
        <v>1333</v>
      </c>
      <c r="AN825" s="35">
        <v>10.06</v>
      </c>
      <c r="AO825" s="35">
        <v>1</v>
      </c>
      <c r="AP825" s="35">
        <f t="shared" si="340"/>
        <v>10.06</v>
      </c>
      <c r="AQ825" s="35">
        <v>4.6970000000000001</v>
      </c>
      <c r="AR825" s="35">
        <v>1.8</v>
      </c>
      <c r="AS825" s="35">
        <v>20.75</v>
      </c>
      <c r="AT825" s="35" t="s">
        <v>83</v>
      </c>
      <c r="AU825" s="35" t="s">
        <v>109</v>
      </c>
      <c r="AV825" s="35" t="s">
        <v>133</v>
      </c>
      <c r="AW825" s="35" t="s">
        <v>109</v>
      </c>
      <c r="AX825" s="35" t="s">
        <v>86</v>
      </c>
      <c r="AY825" s="35">
        <v>0</v>
      </c>
      <c r="AZ825" s="35">
        <v>0</v>
      </c>
      <c r="BA825" s="35" t="s">
        <v>734</v>
      </c>
      <c r="BB825" s="35" t="s">
        <v>88</v>
      </c>
      <c r="BC825" s="35" t="s">
        <v>89</v>
      </c>
      <c r="BD825" s="35" t="s">
        <v>134</v>
      </c>
      <c r="BE825" s="35" t="s">
        <v>1585</v>
      </c>
      <c r="BF825" s="35">
        <v>82.379000000000005</v>
      </c>
      <c r="BG825" s="35">
        <v>1</v>
      </c>
      <c r="BH825" s="35">
        <v>14.926</v>
      </c>
      <c r="BI825" s="35">
        <v>47.133000000000003</v>
      </c>
      <c r="BJ825" s="35">
        <v>156.46700000000001</v>
      </c>
      <c r="BK825" s="35" t="s">
        <v>91</v>
      </c>
      <c r="BL825" s="35" t="s">
        <v>84</v>
      </c>
      <c r="BM825" s="35">
        <v>1</v>
      </c>
      <c r="BN825" s="35" t="s">
        <v>539</v>
      </c>
      <c r="BO825" s="35" t="s">
        <v>1586</v>
      </c>
      <c r="BP825" s="35" t="s">
        <v>1587</v>
      </c>
      <c r="BQ825" s="35" t="s">
        <v>92</v>
      </c>
      <c r="BR825" s="35" t="s">
        <v>134</v>
      </c>
      <c r="BS825" s="35" t="s">
        <v>312</v>
      </c>
      <c r="BT825" s="35">
        <v>0.248</v>
      </c>
      <c r="BU825" s="35">
        <v>2012</v>
      </c>
      <c r="BV825" s="35">
        <v>2019</v>
      </c>
      <c r="BW825" s="35" t="s">
        <v>1588</v>
      </c>
      <c r="BX825" s="35" t="s">
        <v>95</v>
      </c>
      <c r="BY825" s="35" t="s">
        <v>96</v>
      </c>
      <c r="BZ825" s="35">
        <v>0</v>
      </c>
      <c r="CA825" s="35">
        <v>0</v>
      </c>
      <c r="CB825" s="35" t="s">
        <v>97</v>
      </c>
      <c r="CC825" s="35" t="s">
        <v>719</v>
      </c>
      <c r="CD825" s="35">
        <v>1</v>
      </c>
      <c r="CE825" s="35" t="s">
        <v>1589</v>
      </c>
      <c r="CF825" s="35">
        <v>1</v>
      </c>
      <c r="CG825" s="35" t="s">
        <v>396</v>
      </c>
      <c r="CH825" s="35">
        <v>1</v>
      </c>
      <c r="CI825" s="35" t="s">
        <v>97</v>
      </c>
      <c r="CJ825" s="35" t="s">
        <v>98</v>
      </c>
      <c r="CK825" s="35">
        <v>66</v>
      </c>
      <c r="CL825" s="35">
        <v>0</v>
      </c>
      <c r="CM825" s="35">
        <v>0</v>
      </c>
      <c r="CN825" s="35" t="s">
        <v>99</v>
      </c>
      <c r="CO825" s="35" t="s">
        <v>1664</v>
      </c>
      <c r="CP825" s="35" t="s">
        <v>100</v>
      </c>
      <c r="CQ825" s="35" t="s">
        <v>126</v>
      </c>
      <c r="CR825" s="36">
        <v>46233</v>
      </c>
      <c r="CT825" s="35" t="s">
        <v>457</v>
      </c>
    </row>
    <row r="826" spans="1:98" s="35" customFormat="1" x14ac:dyDescent="0.35">
      <c r="A826" s="34" t="s">
        <v>1581</v>
      </c>
      <c r="B826" s="34" t="s">
        <v>1592</v>
      </c>
      <c r="C826" s="35" t="s">
        <v>1582</v>
      </c>
      <c r="D826" s="35">
        <v>2022</v>
      </c>
      <c r="E826" s="34" t="s">
        <v>1583</v>
      </c>
      <c r="F826" s="34" t="s">
        <v>1584</v>
      </c>
      <c r="G826" s="35" t="s">
        <v>78</v>
      </c>
      <c r="H826" s="35">
        <v>1</v>
      </c>
      <c r="I826" s="35" t="s">
        <v>390</v>
      </c>
      <c r="J826" s="35" t="s">
        <v>79</v>
      </c>
      <c r="K826" s="35">
        <v>11</v>
      </c>
      <c r="L826" s="35" t="s">
        <v>129</v>
      </c>
      <c r="M826" s="35" t="s">
        <v>380</v>
      </c>
      <c r="N826" s="35">
        <f>650.482-36.083+36.901</f>
        <v>651.29999999999995</v>
      </c>
      <c r="O826" s="35" t="s">
        <v>312</v>
      </c>
      <c r="P826" s="89" t="s">
        <v>312</v>
      </c>
      <c r="Q826" s="35" t="s">
        <v>312</v>
      </c>
      <c r="R826" s="89" t="s">
        <v>312</v>
      </c>
      <c r="S826" s="89" t="s">
        <v>312</v>
      </c>
      <c r="T826" s="35" t="s">
        <v>312</v>
      </c>
      <c r="U826" s="35">
        <v>7859</v>
      </c>
      <c r="V826" s="35" t="s">
        <v>312</v>
      </c>
      <c r="W826" s="35" t="s">
        <v>312</v>
      </c>
      <c r="X826" s="35">
        <f t="shared" si="336"/>
        <v>7859</v>
      </c>
      <c r="Y826" s="89" t="s">
        <v>312</v>
      </c>
      <c r="Z826" s="89" t="s">
        <v>312</v>
      </c>
      <c r="AA826" s="89" t="s">
        <v>312</v>
      </c>
      <c r="AB826" s="35" t="s">
        <v>312</v>
      </c>
      <c r="AC826" s="89">
        <f t="shared" si="338"/>
        <v>0.26090265723060485</v>
      </c>
      <c r="AD826" s="89" cm="1">
        <f t="array" ref="AD826">_xlfn.IFS(
AND(L826="marginal_effect",M826="level"),N826*AN826/BF826,
AND(L826="marginal_effect",M826="sd (Y)"),N826*BI826*AN826/BF826,
AND(L826="marginal_effect",M826="sd (X)"),N826/AQ826*AN826/BF826,
AND(L826="semi_elasticity",M826="level"),N826*AN826,
AND(L826="semi_elasticity",M826="sd (Y)"),N826*AN826*BI826,
AND(L826="semi_elasticity",M826="sd (X)"),N826*AN826/AQ826,
AND(L826="level-log",M826="level"),N826/BF826,
AND(L826="level-log",M826="sd (X)"),N826/BF826/AQ826,
AND(L826="level-log",M826="sd (Y)"),N826/BF826*BI826,
AND(L826="elasticity",M826="level"),N826,
AND(L826="elasticity",M826="sd (X)"),N826/AQ826,
AND(L826="elasticity",M826="sd (Y)"),N826*BI826,
AND(L826="marginal_effect",M826="percent_of_mean"),N826*AN826/BF826/10)</f>
        <v>0.26090265723060485</v>
      </c>
      <c r="AE826" s="49">
        <f t="shared" si="334"/>
        <v>1</v>
      </c>
      <c r="AF826" s="89" t="s">
        <v>312</v>
      </c>
      <c r="AG826" s="89" t="s">
        <v>312</v>
      </c>
      <c r="AH826" s="49" t="s">
        <v>312</v>
      </c>
      <c r="AI826" s="89">
        <f t="shared" si="339"/>
        <v>-0.26090265723060485</v>
      </c>
      <c r="AJ826" s="35">
        <v>0</v>
      </c>
      <c r="AK826" s="35" t="s">
        <v>312</v>
      </c>
      <c r="AL826" s="35" t="s">
        <v>148</v>
      </c>
      <c r="AM826" s="35" t="s">
        <v>590</v>
      </c>
      <c r="AN826" s="35">
        <v>3.3000000000000002E-2</v>
      </c>
      <c r="AO826" s="35">
        <v>1</v>
      </c>
      <c r="AP826" s="35">
        <f t="shared" si="340"/>
        <v>3.3000000000000002E-2</v>
      </c>
      <c r="AQ826" s="35">
        <v>1.2E-2</v>
      </c>
      <c r="AR826" s="35">
        <v>1.2E-2</v>
      </c>
      <c r="AS826" s="35">
        <v>5.8000000000000003E-2</v>
      </c>
      <c r="AT826" s="35" t="s">
        <v>83</v>
      </c>
      <c r="AU826" s="35" t="s">
        <v>109</v>
      </c>
      <c r="AV826" s="35" t="s">
        <v>133</v>
      </c>
      <c r="AW826" s="35" t="s">
        <v>109</v>
      </c>
      <c r="AX826" s="35" t="s">
        <v>86</v>
      </c>
      <c r="AY826" s="35">
        <v>0</v>
      </c>
      <c r="AZ826" s="35">
        <v>0</v>
      </c>
      <c r="BA826" s="35" t="s">
        <v>734</v>
      </c>
      <c r="BB826" s="35" t="s">
        <v>88</v>
      </c>
      <c r="BC826" s="35" t="s">
        <v>89</v>
      </c>
      <c r="BD826" s="35" t="s">
        <v>134</v>
      </c>
      <c r="BE826" s="35" t="s">
        <v>1585</v>
      </c>
      <c r="BF826" s="35">
        <v>82.379000000000005</v>
      </c>
      <c r="BG826" s="35">
        <v>1</v>
      </c>
      <c r="BH826" s="35">
        <v>14.926</v>
      </c>
      <c r="BI826" s="35">
        <v>47.133000000000003</v>
      </c>
      <c r="BJ826" s="35">
        <v>156.46700000000001</v>
      </c>
      <c r="BK826" s="35" t="s">
        <v>91</v>
      </c>
      <c r="BL826" s="35" t="s">
        <v>84</v>
      </c>
      <c r="BM826" s="35">
        <v>1</v>
      </c>
      <c r="BN826" s="35" t="s">
        <v>539</v>
      </c>
      <c r="BO826" s="35" t="s">
        <v>1586</v>
      </c>
      <c r="BP826" s="35" t="s">
        <v>1587</v>
      </c>
      <c r="BQ826" s="35" t="s">
        <v>92</v>
      </c>
      <c r="BR826" s="35" t="s">
        <v>134</v>
      </c>
      <c r="BS826" s="35" t="s">
        <v>312</v>
      </c>
      <c r="BT826" s="35">
        <v>0.248</v>
      </c>
      <c r="BU826" s="35">
        <v>2012</v>
      </c>
      <c r="BV826" s="35">
        <v>2019</v>
      </c>
      <c r="BW826" s="35" t="s">
        <v>1588</v>
      </c>
      <c r="BX826" s="35" t="s">
        <v>95</v>
      </c>
      <c r="BY826" s="35" t="s">
        <v>96</v>
      </c>
      <c r="BZ826" s="35">
        <v>0</v>
      </c>
      <c r="CA826" s="35">
        <v>0</v>
      </c>
      <c r="CB826" s="35" t="s">
        <v>97</v>
      </c>
      <c r="CC826" s="35" t="s">
        <v>719</v>
      </c>
      <c r="CD826" s="35">
        <v>1</v>
      </c>
      <c r="CE826" s="35" t="s">
        <v>1589</v>
      </c>
      <c r="CF826" s="35">
        <v>1</v>
      </c>
      <c r="CG826" s="35" t="s">
        <v>82</v>
      </c>
      <c r="CH826" s="35">
        <v>1</v>
      </c>
      <c r="CI826" s="35" t="s">
        <v>97</v>
      </c>
      <c r="CJ826" s="35" t="s">
        <v>98</v>
      </c>
      <c r="CK826" s="35">
        <v>66</v>
      </c>
      <c r="CL826" s="35">
        <v>0</v>
      </c>
      <c r="CM826" s="35">
        <v>0</v>
      </c>
      <c r="CN826" s="35" t="s">
        <v>99</v>
      </c>
      <c r="CO826" s="35" t="s">
        <v>1664</v>
      </c>
      <c r="CP826" s="35" t="s">
        <v>100</v>
      </c>
      <c r="CQ826" s="35" t="s">
        <v>126</v>
      </c>
      <c r="CR826" s="36">
        <v>46233</v>
      </c>
      <c r="CT826" s="35" t="s">
        <v>661</v>
      </c>
    </row>
    <row r="827" spans="1:98" s="35" customFormat="1" x14ac:dyDescent="0.35">
      <c r="A827" s="34" t="s">
        <v>1581</v>
      </c>
      <c r="B827" s="34" t="s">
        <v>1593</v>
      </c>
      <c r="C827" s="35" t="s">
        <v>1582</v>
      </c>
      <c r="D827" s="35">
        <v>2022</v>
      </c>
      <c r="E827" s="34" t="s">
        <v>1583</v>
      </c>
      <c r="F827" s="34" t="s">
        <v>1584</v>
      </c>
      <c r="G827" s="35" t="s">
        <v>78</v>
      </c>
      <c r="H827" s="35">
        <v>1</v>
      </c>
      <c r="I827" s="35" t="s">
        <v>390</v>
      </c>
      <c r="J827" s="35" t="s">
        <v>79</v>
      </c>
      <c r="K827" s="35">
        <v>11</v>
      </c>
      <c r="L827" s="35" t="s">
        <v>129</v>
      </c>
      <c r="M827" s="35" t="s">
        <v>380</v>
      </c>
      <c r="N827" s="35">
        <f>650.482+36.901</f>
        <v>687.38299999999992</v>
      </c>
      <c r="O827" s="35" t="s">
        <v>312</v>
      </c>
      <c r="P827" s="89" t="s">
        <v>312</v>
      </c>
      <c r="Q827" s="35" t="s">
        <v>312</v>
      </c>
      <c r="R827" s="89" t="s">
        <v>312</v>
      </c>
      <c r="S827" s="89" t="s">
        <v>312</v>
      </c>
      <c r="T827" s="35" t="s">
        <v>312</v>
      </c>
      <c r="U827" s="35">
        <v>7859</v>
      </c>
      <c r="V827" s="35" t="s">
        <v>312</v>
      </c>
      <c r="W827" s="35" t="s">
        <v>312</v>
      </c>
      <c r="X827" s="35">
        <f t="shared" si="336"/>
        <v>7859</v>
      </c>
      <c r="Y827" s="89" t="s">
        <v>312</v>
      </c>
      <c r="Z827" s="89" t="s">
        <v>312</v>
      </c>
      <c r="AA827" s="89" t="s">
        <v>312</v>
      </c>
      <c r="AB827" s="35" t="s">
        <v>312</v>
      </c>
      <c r="AC827" s="89">
        <f t="shared" si="338"/>
        <v>0.27535705701695817</v>
      </c>
      <c r="AD827" s="89" cm="1">
        <f t="array" ref="AD827">_xlfn.IFS(
AND(L827="marginal_effect",M827="level"),N827*AN827/BF827,
AND(L827="marginal_effect",M827="sd (Y)"),N827*BI827*AN827/BF827,
AND(L827="marginal_effect",M827="sd (X)"),N827/AQ827*AN827/BF827,
AND(L827="semi_elasticity",M827="level"),N827*AN827,
AND(L827="semi_elasticity",M827="sd (Y)"),N827*AN827*BI827,
AND(L827="semi_elasticity",M827="sd (X)"),N827*AN827/AQ827,
AND(L827="level-log",M827="level"),N827/BF827,
AND(L827="level-log",M827="sd (X)"),N827/BF827/AQ827,
AND(L827="level-log",M827="sd (Y)"),N827/BF827*BI827,
AND(L827="elasticity",M827="level"),N827,
AND(L827="elasticity",M827="sd (X)"),N827/AQ827,
AND(L827="elasticity",M827="sd (Y)"),N827*BI827,
AND(L827="marginal_effect",M827="percent_of_mean"),N827*AN827/BF827/10)</f>
        <v>0.27535705701695817</v>
      </c>
      <c r="AE827" s="49">
        <f t="shared" si="334"/>
        <v>1</v>
      </c>
      <c r="AF827" s="89" t="s">
        <v>312</v>
      </c>
      <c r="AG827" s="89" t="s">
        <v>312</v>
      </c>
      <c r="AH827" s="49" t="s">
        <v>312</v>
      </c>
      <c r="AI827" s="89">
        <f t="shared" si="339"/>
        <v>-0.27535705701695817</v>
      </c>
      <c r="AJ827" s="35">
        <v>0</v>
      </c>
      <c r="AK827" s="35" t="s">
        <v>312</v>
      </c>
      <c r="AL827" s="35" t="s">
        <v>148</v>
      </c>
      <c r="AM827" s="35" t="s">
        <v>590</v>
      </c>
      <c r="AN827" s="35">
        <v>3.3000000000000002E-2</v>
      </c>
      <c r="AO827" s="35">
        <v>1</v>
      </c>
      <c r="AP827" s="35">
        <f t="shared" si="340"/>
        <v>3.3000000000000002E-2</v>
      </c>
      <c r="AQ827" s="35">
        <v>1.2E-2</v>
      </c>
      <c r="AR827" s="35">
        <v>1.2E-2</v>
      </c>
      <c r="AS827" s="35">
        <v>5.8000000000000003E-2</v>
      </c>
      <c r="AT827" s="35" t="s">
        <v>83</v>
      </c>
      <c r="AU827" s="35" t="s">
        <v>109</v>
      </c>
      <c r="AV827" s="35" t="s">
        <v>133</v>
      </c>
      <c r="AW827" s="35" t="s">
        <v>109</v>
      </c>
      <c r="AX827" s="35" t="s">
        <v>86</v>
      </c>
      <c r="AY827" s="35">
        <v>0</v>
      </c>
      <c r="AZ827" s="35">
        <v>0</v>
      </c>
      <c r="BA827" s="35" t="s">
        <v>734</v>
      </c>
      <c r="BB827" s="35" t="s">
        <v>88</v>
      </c>
      <c r="BC827" s="35" t="s">
        <v>89</v>
      </c>
      <c r="BD827" s="35" t="s">
        <v>134</v>
      </c>
      <c r="BE827" s="35" t="s">
        <v>1585</v>
      </c>
      <c r="BF827" s="35">
        <v>82.379000000000005</v>
      </c>
      <c r="BG827" s="35">
        <v>1</v>
      </c>
      <c r="BH827" s="35">
        <v>14.926</v>
      </c>
      <c r="BI827" s="35">
        <v>47.133000000000003</v>
      </c>
      <c r="BJ827" s="35">
        <v>156.46700000000001</v>
      </c>
      <c r="BK827" s="35" t="s">
        <v>91</v>
      </c>
      <c r="BL827" s="35" t="s">
        <v>84</v>
      </c>
      <c r="BM827" s="35">
        <v>1</v>
      </c>
      <c r="BN827" s="35" t="s">
        <v>539</v>
      </c>
      <c r="BO827" s="35" t="s">
        <v>1586</v>
      </c>
      <c r="BP827" s="35" t="s">
        <v>1587</v>
      </c>
      <c r="BQ827" s="35" t="s">
        <v>92</v>
      </c>
      <c r="BR827" s="35" t="s">
        <v>134</v>
      </c>
      <c r="BS827" s="35" t="s">
        <v>312</v>
      </c>
      <c r="BT827" s="35">
        <v>0.248</v>
      </c>
      <c r="BU827" s="35">
        <v>2012</v>
      </c>
      <c r="BV827" s="35">
        <v>2019</v>
      </c>
      <c r="BW827" s="35" t="s">
        <v>1588</v>
      </c>
      <c r="BX827" s="35" t="s">
        <v>95</v>
      </c>
      <c r="BY827" s="35" t="s">
        <v>96</v>
      </c>
      <c r="BZ827" s="35">
        <v>0</v>
      </c>
      <c r="CA827" s="35">
        <v>0</v>
      </c>
      <c r="CB827" s="35" t="s">
        <v>97</v>
      </c>
      <c r="CC827" s="35" t="s">
        <v>719</v>
      </c>
      <c r="CD827" s="35">
        <v>1</v>
      </c>
      <c r="CE827" s="35" t="s">
        <v>1589</v>
      </c>
      <c r="CF827" s="35">
        <v>1</v>
      </c>
      <c r="CG827" s="35" t="s">
        <v>82</v>
      </c>
      <c r="CH827" s="35">
        <v>1</v>
      </c>
      <c r="CI827" s="35" t="s">
        <v>97</v>
      </c>
      <c r="CJ827" s="35" t="s">
        <v>98</v>
      </c>
      <c r="CK827" s="35">
        <v>66</v>
      </c>
      <c r="CL827" s="35">
        <v>0</v>
      </c>
      <c r="CM827" s="35">
        <v>0</v>
      </c>
      <c r="CN827" s="35" t="s">
        <v>99</v>
      </c>
      <c r="CO827" s="35" t="s">
        <v>1664</v>
      </c>
      <c r="CP827" s="35" t="s">
        <v>100</v>
      </c>
      <c r="CQ827" s="35" t="s">
        <v>126</v>
      </c>
      <c r="CR827" s="36">
        <v>46233</v>
      </c>
      <c r="CT827" s="35" t="s">
        <v>661</v>
      </c>
    </row>
    <row r="828" spans="1:98" s="35" customFormat="1" x14ac:dyDescent="0.35">
      <c r="A828" s="34" t="s">
        <v>1581</v>
      </c>
      <c r="B828" s="34" t="s">
        <v>1594</v>
      </c>
      <c r="C828" s="35" t="s">
        <v>1582</v>
      </c>
      <c r="D828" s="35">
        <v>2022</v>
      </c>
      <c r="E828" s="34" t="s">
        <v>1583</v>
      </c>
      <c r="F828" s="34" t="s">
        <v>1584</v>
      </c>
      <c r="G828" s="35" t="s">
        <v>78</v>
      </c>
      <c r="H828" s="35">
        <v>1</v>
      </c>
      <c r="I828" s="35" t="s">
        <v>390</v>
      </c>
      <c r="J828" s="35" t="s">
        <v>79</v>
      </c>
      <c r="K828" s="35">
        <v>11</v>
      </c>
      <c r="L828" s="35" t="s">
        <v>129</v>
      </c>
      <c r="M828" s="35" t="s">
        <v>380</v>
      </c>
      <c r="N828" s="35">
        <f>650.482-36.083</f>
        <v>614.399</v>
      </c>
      <c r="O828" s="35" t="s">
        <v>312</v>
      </c>
      <c r="P828" s="89" t="s">
        <v>312</v>
      </c>
      <c r="Q828" s="35" t="s">
        <v>312</v>
      </c>
      <c r="R828" s="89" t="s">
        <v>312</v>
      </c>
      <c r="S828" s="89" t="s">
        <v>312</v>
      </c>
      <c r="T828" s="35" t="s">
        <v>312</v>
      </c>
      <c r="U828" s="35">
        <v>7859</v>
      </c>
      <c r="V828" s="35" t="s">
        <v>312</v>
      </c>
      <c r="W828" s="35" t="s">
        <v>312</v>
      </c>
      <c r="X828" s="35">
        <f t="shared" si="336"/>
        <v>7859</v>
      </c>
      <c r="Y828" s="89" t="s">
        <v>312</v>
      </c>
      <c r="Z828" s="89" t="s">
        <v>312</v>
      </c>
      <c r="AA828" s="89" t="s">
        <v>312</v>
      </c>
      <c r="AB828" s="35" t="s">
        <v>312</v>
      </c>
      <c r="AC828" s="89">
        <f t="shared" si="338"/>
        <v>0.24612057684604083</v>
      </c>
      <c r="AD828" s="89" cm="1">
        <f t="array" ref="AD828">_xlfn.IFS(
AND(L828="marginal_effect",M828="level"),N828*AN828/BF828,
AND(L828="marginal_effect",M828="sd (Y)"),N828*BI828*AN828/BF828,
AND(L828="marginal_effect",M828="sd (X)"),N828/AQ828*AN828/BF828,
AND(L828="semi_elasticity",M828="level"),N828*AN828,
AND(L828="semi_elasticity",M828="sd (Y)"),N828*AN828*BI828,
AND(L828="semi_elasticity",M828="sd (X)"),N828*AN828/AQ828,
AND(L828="level-log",M828="level"),N828/BF828,
AND(L828="level-log",M828="sd (X)"),N828/BF828/AQ828,
AND(L828="level-log",M828="sd (Y)"),N828/BF828*BI828,
AND(L828="elasticity",M828="level"),N828,
AND(L828="elasticity",M828="sd (X)"),N828/AQ828,
AND(L828="elasticity",M828="sd (Y)"),N828*BI828,
AND(L828="marginal_effect",M828="percent_of_mean"),N828*AN828/BF828/10)</f>
        <v>0.24612057684604083</v>
      </c>
      <c r="AE828" s="49">
        <f t="shared" si="334"/>
        <v>1</v>
      </c>
      <c r="AF828" s="89" t="s">
        <v>312</v>
      </c>
      <c r="AG828" s="89" t="s">
        <v>312</v>
      </c>
      <c r="AH828" s="49" t="s">
        <v>312</v>
      </c>
      <c r="AI828" s="89">
        <f t="shared" si="339"/>
        <v>-0.24612057684604083</v>
      </c>
      <c r="AJ828" s="35">
        <v>0</v>
      </c>
      <c r="AK828" s="35" t="s">
        <v>312</v>
      </c>
      <c r="AL828" s="35" t="s">
        <v>148</v>
      </c>
      <c r="AM828" s="35" t="s">
        <v>590</v>
      </c>
      <c r="AN828" s="35">
        <v>3.3000000000000002E-2</v>
      </c>
      <c r="AO828" s="35">
        <v>1</v>
      </c>
      <c r="AP828" s="35">
        <f t="shared" si="340"/>
        <v>3.3000000000000002E-2</v>
      </c>
      <c r="AQ828" s="35">
        <v>1.2E-2</v>
      </c>
      <c r="AR828" s="35">
        <v>1.2E-2</v>
      </c>
      <c r="AS828" s="35">
        <v>5.8000000000000003E-2</v>
      </c>
      <c r="AT828" s="35" t="s">
        <v>83</v>
      </c>
      <c r="AU828" s="35" t="s">
        <v>109</v>
      </c>
      <c r="AV828" s="35" t="s">
        <v>133</v>
      </c>
      <c r="AW828" s="35" t="s">
        <v>109</v>
      </c>
      <c r="AX828" s="35" t="s">
        <v>86</v>
      </c>
      <c r="AY828" s="35">
        <v>0</v>
      </c>
      <c r="AZ828" s="35">
        <v>0</v>
      </c>
      <c r="BA828" s="35" t="s">
        <v>734</v>
      </c>
      <c r="BB828" s="35" t="s">
        <v>88</v>
      </c>
      <c r="BC828" s="35" t="s">
        <v>89</v>
      </c>
      <c r="BD828" s="35" t="s">
        <v>134</v>
      </c>
      <c r="BE828" s="35" t="s">
        <v>1585</v>
      </c>
      <c r="BF828" s="35">
        <v>82.379000000000005</v>
      </c>
      <c r="BG828" s="35">
        <v>1</v>
      </c>
      <c r="BH828" s="35">
        <v>14.926</v>
      </c>
      <c r="BI828" s="35">
        <v>47.133000000000003</v>
      </c>
      <c r="BJ828" s="35">
        <v>156.46700000000001</v>
      </c>
      <c r="BK828" s="35" t="s">
        <v>91</v>
      </c>
      <c r="BL828" s="35" t="s">
        <v>84</v>
      </c>
      <c r="BM828" s="35">
        <v>1</v>
      </c>
      <c r="BN828" s="35" t="s">
        <v>539</v>
      </c>
      <c r="BO828" s="35" t="s">
        <v>1586</v>
      </c>
      <c r="BP828" s="35" t="s">
        <v>1587</v>
      </c>
      <c r="BQ828" s="35" t="s">
        <v>92</v>
      </c>
      <c r="BR828" s="35" t="s">
        <v>134</v>
      </c>
      <c r="BS828" s="35" t="s">
        <v>312</v>
      </c>
      <c r="BT828" s="35">
        <v>0.248</v>
      </c>
      <c r="BU828" s="35">
        <v>2012</v>
      </c>
      <c r="BV828" s="35">
        <v>2019</v>
      </c>
      <c r="BW828" s="35" t="s">
        <v>1588</v>
      </c>
      <c r="BX828" s="35" t="s">
        <v>95</v>
      </c>
      <c r="BY828" s="35" t="s">
        <v>96</v>
      </c>
      <c r="BZ828" s="35">
        <v>0</v>
      </c>
      <c r="CA828" s="35">
        <v>0</v>
      </c>
      <c r="CB828" s="35" t="s">
        <v>97</v>
      </c>
      <c r="CC828" s="35" t="s">
        <v>719</v>
      </c>
      <c r="CD828" s="35">
        <v>1</v>
      </c>
      <c r="CE828" s="35" t="s">
        <v>1589</v>
      </c>
      <c r="CF828" s="35">
        <v>1</v>
      </c>
      <c r="CG828" s="35" t="s">
        <v>82</v>
      </c>
      <c r="CH828" s="35">
        <v>1</v>
      </c>
      <c r="CI828" s="35" t="s">
        <v>97</v>
      </c>
      <c r="CJ828" s="35" t="s">
        <v>98</v>
      </c>
      <c r="CK828" s="35">
        <v>66</v>
      </c>
      <c r="CL828" s="35">
        <v>0</v>
      </c>
      <c r="CM828" s="35">
        <v>0</v>
      </c>
      <c r="CN828" s="35" t="s">
        <v>99</v>
      </c>
      <c r="CO828" s="35" t="s">
        <v>1664</v>
      </c>
      <c r="CP828" s="35" t="s">
        <v>100</v>
      </c>
      <c r="CQ828" s="35" t="s">
        <v>126</v>
      </c>
      <c r="CR828" s="36">
        <v>46233</v>
      </c>
      <c r="CT828" s="35" t="s">
        <v>661</v>
      </c>
    </row>
    <row r="829" spans="1:98" s="35" customFormat="1" x14ac:dyDescent="0.35">
      <c r="A829" s="34" t="s">
        <v>1581</v>
      </c>
      <c r="B829" s="34" t="s">
        <v>1595</v>
      </c>
      <c r="C829" s="35" t="s">
        <v>1582</v>
      </c>
      <c r="D829" s="35">
        <v>2022</v>
      </c>
      <c r="E829" s="34" t="s">
        <v>1583</v>
      </c>
      <c r="F829" s="34" t="s">
        <v>1584</v>
      </c>
      <c r="G829" s="35" t="s">
        <v>78</v>
      </c>
      <c r="H829" s="35">
        <v>1</v>
      </c>
      <c r="I829" s="35" t="s">
        <v>390</v>
      </c>
      <c r="J829" s="35" t="s">
        <v>79</v>
      </c>
      <c r="K829" s="35">
        <v>11</v>
      </c>
      <c r="L829" s="35" t="s">
        <v>129</v>
      </c>
      <c r="M829" s="35" t="s">
        <v>380</v>
      </c>
      <c r="N829" s="35">
        <v>650.48199999999997</v>
      </c>
      <c r="O829" s="35">
        <v>53.726999999999997</v>
      </c>
      <c r="P829" s="89">
        <f>N829/O829</f>
        <v>12.107171440802576</v>
      </c>
      <c r="Q829" s="35" t="s">
        <v>312</v>
      </c>
      <c r="R829" s="89">
        <f>N829-1.96*O829</f>
        <v>545.17707999999993</v>
      </c>
      <c r="S829" s="89">
        <f>N829+1.96*O829</f>
        <v>755.78692000000001</v>
      </c>
      <c r="T829" s="35">
        <v>1</v>
      </c>
      <c r="U829" s="35">
        <v>7859</v>
      </c>
      <c r="V829" s="35" t="s">
        <v>312</v>
      </c>
      <c r="W829" s="35" t="s">
        <v>312</v>
      </c>
      <c r="X829" s="35">
        <f t="shared" si="336"/>
        <v>7859</v>
      </c>
      <c r="Y829" s="89">
        <f>P829/(P829^2 + X829)^(1/2)</f>
        <v>0.1353150784390853</v>
      </c>
      <c r="Z829" s="89">
        <f>((1-Y829^2)/X829)^(1/2)</f>
        <v>1.1176440269364464E-2</v>
      </c>
      <c r="AA829" s="89">
        <f>-Y829</f>
        <v>-0.1353150784390853</v>
      </c>
      <c r="AB829" s="35" t="s">
        <v>81</v>
      </c>
      <c r="AC829" s="89">
        <f t="shared" si="338"/>
        <v>0.26057497663239415</v>
      </c>
      <c r="AD829" s="89" cm="1">
        <f t="array" ref="AD829">_xlfn.IFS(
AND(L829="marginal_effect",M829="level"),N829*AN829/BF829,
AND(L829="marginal_effect",M829="sd (Y)"),N829*BI829*AN829/BF829,
AND(L829="marginal_effect",M829="sd (X)"),N829/AQ829*AN829/BF829,
AND(L829="semi_elasticity",M829="level"),N829*AN829,
AND(L829="semi_elasticity",M829="sd (Y)"),N829*AN829*BI829,
AND(L829="semi_elasticity",M829="sd (X)"),N829*AN829/AQ829,
AND(L829="level-log",M829="level"),N829/BF829,
AND(L829="level-log",M829="sd (X)"),N829/BF829/AQ829,
AND(L829="level-log",M829="sd (Y)"),N829/BF829*BI829,
AND(L829="elasticity",M829="level"),N829,
AND(L829="elasticity",M829="sd (X)"),N829/AQ829,
AND(L829="elasticity",M829="sd (Y)"),N829*BI829,
AND(L829="marginal_effect",M829="percent_of_mean"),N829*AN829/BF829/10)</f>
        <v>0.26057497663239415</v>
      </c>
      <c r="AE829" s="49">
        <f t="shared" si="334"/>
        <v>1</v>
      </c>
      <c r="AF829" s="89">
        <f>O829*AN829/BF829</f>
        <v>2.1522366137000933E-2</v>
      </c>
      <c r="AG829" s="89" cm="1">
        <f t="array" ref="AG829">_xlfn.IFS(
AND(L829="marginal_effect",M829="level"),O829*AN829/BF829,
AND(L829="marginal_effect",M829="sd (Y)"),O829*BI829*AN829/BF829,
AND(L829="marginal_effect",M829="sd (X)"),O829/AQ829*AN829/BF829,
AND(L829="semi_elasticity",M829="level"),O829*AN829,
AND(L829="semi_elasticity",M829="sd (Y)"),O829*AN829*BI829,
AND(L829="semi_elasticity",M829="sd (X)"),O829*AN829/AQ829,
AND(L829="level-log",M829="level"),O829/BF829,
AND(L829="level-log",M829="sd (X)"),O829/BF829/AQ829,
AND(L829="level-log",M829="sd (Y)"),O829/BF829*BI829,
AND(L829="elasticity",M829="level"),O829,
AND(L829="elasticity",M829="sd (X)"),O829/AQ829,
AND(L829="elasticity",M829="sd (Y)"),O829*BI829,
AND(L829="marginal_effect",M829="percent_of_mean"),O829*AN829/BF829/10)</f>
        <v>2.1522366137000933E-2</v>
      </c>
      <c r="AH829" s="49">
        <f>IF(AF829=AG829,1,0)</f>
        <v>1</v>
      </c>
      <c r="AI829" s="89">
        <f t="shared" si="339"/>
        <v>-0.26057497663239415</v>
      </c>
      <c r="AJ829" s="35">
        <v>0</v>
      </c>
      <c r="AK829" s="35">
        <f>IF(P829=(AC829/AF829),1,0)</f>
        <v>1</v>
      </c>
      <c r="AL829" s="35" t="s">
        <v>148</v>
      </c>
      <c r="AM829" s="35" t="s">
        <v>590</v>
      </c>
      <c r="AN829" s="35">
        <v>3.3000000000000002E-2</v>
      </c>
      <c r="AO829" s="35">
        <v>1</v>
      </c>
      <c r="AP829" s="35">
        <f t="shared" si="340"/>
        <v>3.3000000000000002E-2</v>
      </c>
      <c r="AQ829" s="35">
        <v>1.2E-2</v>
      </c>
      <c r="AR829" s="35">
        <v>1.2E-2</v>
      </c>
      <c r="AS829" s="35">
        <v>5.8000000000000003E-2</v>
      </c>
      <c r="AT829" s="35" t="s">
        <v>83</v>
      </c>
      <c r="AU829" s="35" t="s">
        <v>109</v>
      </c>
      <c r="AV829" s="35" t="s">
        <v>133</v>
      </c>
      <c r="AW829" s="35" t="s">
        <v>109</v>
      </c>
      <c r="AX829" s="35" t="s">
        <v>86</v>
      </c>
      <c r="AY829" s="35">
        <v>0</v>
      </c>
      <c r="AZ829" s="35">
        <v>0</v>
      </c>
      <c r="BA829" s="35" t="s">
        <v>734</v>
      </c>
      <c r="BB829" s="35" t="s">
        <v>88</v>
      </c>
      <c r="BC829" s="35" t="s">
        <v>89</v>
      </c>
      <c r="BD829" s="35" t="s">
        <v>134</v>
      </c>
      <c r="BE829" s="35" t="s">
        <v>1585</v>
      </c>
      <c r="BF829" s="35">
        <v>82.379000000000005</v>
      </c>
      <c r="BG829" s="35">
        <v>1</v>
      </c>
      <c r="BH829" s="35">
        <v>14.926</v>
      </c>
      <c r="BI829" s="35">
        <v>47.133000000000003</v>
      </c>
      <c r="BJ829" s="35">
        <v>156.46700000000001</v>
      </c>
      <c r="BK829" s="35" t="s">
        <v>91</v>
      </c>
      <c r="BL829" s="35" t="s">
        <v>84</v>
      </c>
      <c r="BM829" s="35">
        <v>1</v>
      </c>
      <c r="BN829" s="35" t="s">
        <v>539</v>
      </c>
      <c r="BO829" s="35" t="s">
        <v>1586</v>
      </c>
      <c r="BP829" s="35" t="s">
        <v>1587</v>
      </c>
      <c r="BQ829" s="35" t="s">
        <v>92</v>
      </c>
      <c r="BR829" s="35" t="s">
        <v>134</v>
      </c>
      <c r="BS829" s="35" t="s">
        <v>312</v>
      </c>
      <c r="BT829" s="35">
        <v>0.248</v>
      </c>
      <c r="BU829" s="35">
        <v>2012</v>
      </c>
      <c r="BV829" s="35">
        <v>2019</v>
      </c>
      <c r="BW829" s="35" t="s">
        <v>1588</v>
      </c>
      <c r="BX829" s="35" t="s">
        <v>95</v>
      </c>
      <c r="BY829" s="35" t="s">
        <v>96</v>
      </c>
      <c r="BZ829" s="35">
        <v>0</v>
      </c>
      <c r="CA829" s="35">
        <v>0</v>
      </c>
      <c r="CB829" s="35" t="s">
        <v>97</v>
      </c>
      <c r="CC829" s="35" t="s">
        <v>719</v>
      </c>
      <c r="CD829" s="35">
        <v>1</v>
      </c>
      <c r="CE829" s="35" t="s">
        <v>1589</v>
      </c>
      <c r="CF829" s="35">
        <v>1</v>
      </c>
      <c r="CG829" s="35" t="s">
        <v>82</v>
      </c>
      <c r="CH829" s="35">
        <v>1</v>
      </c>
      <c r="CI829" s="35" t="s">
        <v>97</v>
      </c>
      <c r="CJ829" s="35" t="s">
        <v>98</v>
      </c>
      <c r="CK829" s="35">
        <v>66</v>
      </c>
      <c r="CL829" s="35">
        <v>0</v>
      </c>
      <c r="CM829" s="35">
        <v>0</v>
      </c>
      <c r="CN829" s="35" t="s">
        <v>99</v>
      </c>
      <c r="CO829" s="35" t="s">
        <v>1664</v>
      </c>
      <c r="CP829" s="35" t="s">
        <v>100</v>
      </c>
      <c r="CQ829" s="35" t="s">
        <v>126</v>
      </c>
      <c r="CR829" s="36">
        <v>46233</v>
      </c>
      <c r="CT829" s="35" t="s">
        <v>661</v>
      </c>
    </row>
    <row r="830" spans="1:98" s="35" customFormat="1" x14ac:dyDescent="0.35">
      <c r="A830" s="34" t="s">
        <v>1581</v>
      </c>
      <c r="B830" s="34" t="s">
        <v>1597</v>
      </c>
      <c r="C830" s="35" t="s">
        <v>1582</v>
      </c>
      <c r="D830" s="35">
        <v>2022</v>
      </c>
      <c r="E830" s="34" t="s">
        <v>1583</v>
      </c>
      <c r="F830" s="34" t="s">
        <v>1584</v>
      </c>
      <c r="G830" s="35" t="s">
        <v>78</v>
      </c>
      <c r="H830" s="35">
        <v>1</v>
      </c>
      <c r="I830" s="35" t="s">
        <v>390</v>
      </c>
      <c r="J830" s="35" t="s">
        <v>79</v>
      </c>
      <c r="K830" s="35">
        <v>11</v>
      </c>
      <c r="L830" s="35" t="s">
        <v>129</v>
      </c>
      <c r="M830" s="35" t="s">
        <v>380</v>
      </c>
      <c r="N830" s="35">
        <f>-0.081-0.007-0.143</f>
        <v>-0.23099999999999998</v>
      </c>
      <c r="O830" s="35" t="s">
        <v>312</v>
      </c>
      <c r="P830" s="89" t="s">
        <v>312</v>
      </c>
      <c r="Q830" s="35" t="s">
        <v>312</v>
      </c>
      <c r="R830" s="89" t="s">
        <v>312</v>
      </c>
      <c r="S830" s="89" t="s">
        <v>312</v>
      </c>
      <c r="T830" s="35" t="s">
        <v>312</v>
      </c>
      <c r="U830" s="35">
        <v>7859</v>
      </c>
      <c r="V830" s="35" t="s">
        <v>312</v>
      </c>
      <c r="W830" s="35" t="s">
        <v>312</v>
      </c>
      <c r="X830" s="35">
        <f t="shared" si="336"/>
        <v>7859</v>
      </c>
      <c r="Y830" s="89" t="s">
        <v>312</v>
      </c>
      <c r="Z830" s="89" t="s">
        <v>312</v>
      </c>
      <c r="AA830" s="89" t="s">
        <v>312</v>
      </c>
      <c r="AB830" s="35" t="s">
        <v>312</v>
      </c>
      <c r="AC830" s="89">
        <f t="shared" si="338"/>
        <v>-2.8209373748163971E-2</v>
      </c>
      <c r="AD830" s="89" cm="1">
        <f t="array" ref="AD830">_xlfn.IFS(
AND(L830="marginal_effect",M830="level"),N830*AN830/BF830,
AND(L830="marginal_effect",M830="sd (Y)"),N830*BI830*AN830/BF830,
AND(L830="marginal_effect",M830="sd (X)"),N830/AQ830*AN830/BF830,
AND(L830="semi_elasticity",M830="level"),N830*AN830,
AND(L830="semi_elasticity",M830="sd (Y)"),N830*AN830*BI830,
AND(L830="semi_elasticity",M830="sd (X)"),N830*AN830/AQ830,
AND(L830="level-log",M830="level"),N830/BF830,
AND(L830="level-log",M830="sd (X)"),N830/BF830/AQ830,
AND(L830="level-log",M830="sd (Y)"),N830/BF830*BI830,
AND(L830="elasticity",M830="level"),N830,
AND(L830="elasticity",M830="sd (X)"),N830/AQ830,
AND(L830="elasticity",M830="sd (Y)"),N830*BI830,
AND(L830="marginal_effect",M830="percent_of_mean"),N830*AN830/BF830/10)</f>
        <v>-2.8209373748163971E-2</v>
      </c>
      <c r="AE830" s="49">
        <f t="shared" si="334"/>
        <v>1</v>
      </c>
      <c r="AF830" s="89" t="s">
        <v>312</v>
      </c>
      <c r="AG830" s="89" t="s">
        <v>312</v>
      </c>
      <c r="AH830" s="49" t="s">
        <v>312</v>
      </c>
      <c r="AI830" s="89">
        <f t="shared" si="339"/>
        <v>2.8209373748163971E-2</v>
      </c>
      <c r="AJ830" s="35">
        <v>0</v>
      </c>
      <c r="AK830" s="35" t="s">
        <v>312</v>
      </c>
      <c r="AL830" s="35" t="s">
        <v>82</v>
      </c>
      <c r="AM830" s="35" t="s">
        <v>1333</v>
      </c>
      <c r="AN830" s="35">
        <v>10.06</v>
      </c>
      <c r="AO830" s="35">
        <v>1</v>
      </c>
      <c r="AP830" s="35">
        <f t="shared" si="340"/>
        <v>10.06</v>
      </c>
      <c r="AQ830" s="35">
        <v>4.6970000000000001</v>
      </c>
      <c r="AR830" s="35">
        <v>1.8</v>
      </c>
      <c r="AS830" s="35">
        <v>20.75</v>
      </c>
      <c r="AT830" s="35" t="s">
        <v>83</v>
      </c>
      <c r="AU830" s="35" t="s">
        <v>109</v>
      </c>
      <c r="AV830" s="35" t="s">
        <v>133</v>
      </c>
      <c r="AW830" s="35" t="s">
        <v>109</v>
      </c>
      <c r="AX830" s="35" t="s">
        <v>86</v>
      </c>
      <c r="AY830" s="35">
        <v>0</v>
      </c>
      <c r="AZ830" s="35">
        <v>0</v>
      </c>
      <c r="BA830" s="35" t="s">
        <v>734</v>
      </c>
      <c r="BB830" s="35" t="s">
        <v>88</v>
      </c>
      <c r="BC830" s="35" t="s">
        <v>89</v>
      </c>
      <c r="BD830" s="35" t="s">
        <v>134</v>
      </c>
      <c r="BE830" s="35" t="s">
        <v>1585</v>
      </c>
      <c r="BF830" s="35">
        <v>82.379000000000005</v>
      </c>
      <c r="BG830" s="35">
        <v>1</v>
      </c>
      <c r="BH830" s="35">
        <v>14.926</v>
      </c>
      <c r="BI830" s="35">
        <v>47.133000000000003</v>
      </c>
      <c r="BJ830" s="35">
        <v>156.46700000000001</v>
      </c>
      <c r="BK830" s="35" t="s">
        <v>91</v>
      </c>
      <c r="BL830" s="35" t="s">
        <v>84</v>
      </c>
      <c r="BM830" s="35">
        <v>1</v>
      </c>
      <c r="BN830" s="35" t="s">
        <v>539</v>
      </c>
      <c r="BO830" s="35" t="s">
        <v>1586</v>
      </c>
      <c r="BP830" s="35" t="s">
        <v>1587</v>
      </c>
      <c r="BQ830" s="35" t="s">
        <v>92</v>
      </c>
      <c r="BR830" s="35" t="s">
        <v>134</v>
      </c>
      <c r="BS830" s="35" t="s">
        <v>312</v>
      </c>
      <c r="BT830" s="35">
        <v>0.248</v>
      </c>
      <c r="BU830" s="35">
        <v>2012</v>
      </c>
      <c r="BV830" s="35">
        <v>2019</v>
      </c>
      <c r="BW830" s="35" t="s">
        <v>1588</v>
      </c>
      <c r="BX830" s="35" t="s">
        <v>95</v>
      </c>
      <c r="BY830" s="35" t="s">
        <v>96</v>
      </c>
      <c r="BZ830" s="35">
        <v>0</v>
      </c>
      <c r="CA830" s="35">
        <v>0</v>
      </c>
      <c r="CB830" s="35" t="s">
        <v>97</v>
      </c>
      <c r="CC830" s="35" t="s">
        <v>719</v>
      </c>
      <c r="CD830" s="35">
        <v>1</v>
      </c>
      <c r="CE830" s="35" t="s">
        <v>1589</v>
      </c>
      <c r="CF830" s="35">
        <v>1</v>
      </c>
      <c r="CG830" s="35" t="s">
        <v>396</v>
      </c>
      <c r="CH830" s="35">
        <v>1</v>
      </c>
      <c r="CI830" s="35" t="s">
        <v>97</v>
      </c>
      <c r="CJ830" s="35" t="s">
        <v>98</v>
      </c>
      <c r="CK830" s="35">
        <v>66</v>
      </c>
      <c r="CL830" s="35">
        <v>0</v>
      </c>
      <c r="CM830" s="35">
        <v>0</v>
      </c>
      <c r="CN830" s="35" t="s">
        <v>99</v>
      </c>
      <c r="CO830" s="35" t="s">
        <v>1664</v>
      </c>
      <c r="CP830" s="35" t="s">
        <v>100</v>
      </c>
      <c r="CQ830" s="35" t="s">
        <v>126</v>
      </c>
      <c r="CR830" s="36">
        <v>46233</v>
      </c>
      <c r="CT830" s="35" t="s">
        <v>661</v>
      </c>
    </row>
    <row r="831" spans="1:98" s="35" customFormat="1" x14ac:dyDescent="0.35">
      <c r="A831" s="34" t="s">
        <v>1581</v>
      </c>
      <c r="B831" s="34" t="s">
        <v>1598</v>
      </c>
      <c r="C831" s="35" t="s">
        <v>1582</v>
      </c>
      <c r="D831" s="35">
        <v>2022</v>
      </c>
      <c r="E831" s="34" t="s">
        <v>1583</v>
      </c>
      <c r="F831" s="34" t="s">
        <v>1584</v>
      </c>
      <c r="G831" s="35" t="s">
        <v>78</v>
      </c>
      <c r="H831" s="35">
        <v>1</v>
      </c>
      <c r="I831" s="35" t="s">
        <v>390</v>
      </c>
      <c r="J831" s="35" t="s">
        <v>79</v>
      </c>
      <c r="K831" s="35">
        <v>11</v>
      </c>
      <c r="L831" s="35" t="s">
        <v>129</v>
      </c>
      <c r="M831" s="35" t="s">
        <v>380</v>
      </c>
      <c r="N831" s="35">
        <f>-0.081-0.143</f>
        <v>-0.22399999999999998</v>
      </c>
      <c r="O831" s="35" t="s">
        <v>312</v>
      </c>
      <c r="P831" s="89" t="s">
        <v>312</v>
      </c>
      <c r="Q831" s="35" t="s">
        <v>312</v>
      </c>
      <c r="R831" s="89" t="s">
        <v>312</v>
      </c>
      <c r="S831" s="89" t="s">
        <v>312</v>
      </c>
      <c r="T831" s="35" t="s">
        <v>312</v>
      </c>
      <c r="U831" s="35">
        <v>7859</v>
      </c>
      <c r="V831" s="35" t="s">
        <v>312</v>
      </c>
      <c r="W831" s="35" t="s">
        <v>312</v>
      </c>
      <c r="X831" s="35">
        <f t="shared" si="336"/>
        <v>7859</v>
      </c>
      <c r="Y831" s="89" t="s">
        <v>312</v>
      </c>
      <c r="Z831" s="89" t="s">
        <v>312</v>
      </c>
      <c r="AA831" s="89" t="s">
        <v>312</v>
      </c>
      <c r="AB831" s="35" t="s">
        <v>312</v>
      </c>
      <c r="AC831" s="89">
        <f t="shared" si="338"/>
        <v>-2.735454424064385E-2</v>
      </c>
      <c r="AD831" s="89" cm="1">
        <f t="array" ref="AD831">_xlfn.IFS(
AND(L831="marginal_effect",M831="level"),N831*AN831/BF831,
AND(L831="marginal_effect",M831="sd (Y)"),N831*BI831*AN831/BF831,
AND(L831="marginal_effect",M831="sd (X)"),N831/AQ831*AN831/BF831,
AND(L831="semi_elasticity",M831="level"),N831*AN831,
AND(L831="semi_elasticity",M831="sd (Y)"),N831*AN831*BI831,
AND(L831="semi_elasticity",M831="sd (X)"),N831*AN831/AQ831,
AND(L831="level-log",M831="level"),N831/BF831,
AND(L831="level-log",M831="sd (X)"),N831/BF831/AQ831,
AND(L831="level-log",M831="sd (Y)"),N831/BF831*BI831,
AND(L831="elasticity",M831="level"),N831,
AND(L831="elasticity",M831="sd (X)"),N831/AQ831,
AND(L831="elasticity",M831="sd (Y)"),N831*BI831,
AND(L831="marginal_effect",M831="percent_of_mean"),N831*AN831/BF831/10)</f>
        <v>-2.735454424064385E-2</v>
      </c>
      <c r="AE831" s="49">
        <f t="shared" si="334"/>
        <v>1</v>
      </c>
      <c r="AF831" s="89" t="s">
        <v>312</v>
      </c>
      <c r="AG831" s="89" t="s">
        <v>312</v>
      </c>
      <c r="AH831" s="49" t="s">
        <v>312</v>
      </c>
      <c r="AI831" s="89">
        <f t="shared" si="339"/>
        <v>2.735454424064385E-2</v>
      </c>
      <c r="AJ831" s="35">
        <v>0</v>
      </c>
      <c r="AK831" s="35" t="s">
        <v>312</v>
      </c>
      <c r="AL831" s="35" t="s">
        <v>82</v>
      </c>
      <c r="AM831" s="35" t="s">
        <v>1333</v>
      </c>
      <c r="AN831" s="35">
        <v>10.06</v>
      </c>
      <c r="AO831" s="35">
        <v>1</v>
      </c>
      <c r="AP831" s="35">
        <f t="shared" si="340"/>
        <v>10.06</v>
      </c>
      <c r="AQ831" s="35">
        <v>4.6970000000000001</v>
      </c>
      <c r="AR831" s="35">
        <v>1.8</v>
      </c>
      <c r="AS831" s="35">
        <v>20.75</v>
      </c>
      <c r="AT831" s="35" t="s">
        <v>83</v>
      </c>
      <c r="AU831" s="35" t="s">
        <v>109</v>
      </c>
      <c r="AV831" s="35" t="s">
        <v>133</v>
      </c>
      <c r="AW831" s="35" t="s">
        <v>109</v>
      </c>
      <c r="AX831" s="35" t="s">
        <v>86</v>
      </c>
      <c r="AY831" s="35">
        <v>0</v>
      </c>
      <c r="AZ831" s="35">
        <v>0</v>
      </c>
      <c r="BA831" s="35" t="s">
        <v>734</v>
      </c>
      <c r="BB831" s="35" t="s">
        <v>88</v>
      </c>
      <c r="BC831" s="35" t="s">
        <v>89</v>
      </c>
      <c r="BD831" s="35" t="s">
        <v>134</v>
      </c>
      <c r="BE831" s="35" t="s">
        <v>1585</v>
      </c>
      <c r="BF831" s="35">
        <v>82.379000000000005</v>
      </c>
      <c r="BG831" s="35">
        <v>1</v>
      </c>
      <c r="BH831" s="35">
        <v>14.926</v>
      </c>
      <c r="BI831" s="35">
        <v>47.133000000000003</v>
      </c>
      <c r="BJ831" s="35">
        <v>156.46700000000001</v>
      </c>
      <c r="BK831" s="35" t="s">
        <v>91</v>
      </c>
      <c r="BL831" s="35" t="s">
        <v>84</v>
      </c>
      <c r="BM831" s="35">
        <v>1</v>
      </c>
      <c r="BN831" s="35" t="s">
        <v>539</v>
      </c>
      <c r="BO831" s="35" t="s">
        <v>1586</v>
      </c>
      <c r="BP831" s="35" t="s">
        <v>1587</v>
      </c>
      <c r="BQ831" s="35" t="s">
        <v>92</v>
      </c>
      <c r="BR831" s="35" t="s">
        <v>134</v>
      </c>
      <c r="BS831" s="35" t="s">
        <v>312</v>
      </c>
      <c r="BT831" s="35">
        <v>0.248</v>
      </c>
      <c r="BU831" s="35">
        <v>2012</v>
      </c>
      <c r="BV831" s="35">
        <v>2019</v>
      </c>
      <c r="BW831" s="35" t="s">
        <v>1588</v>
      </c>
      <c r="BX831" s="35" t="s">
        <v>95</v>
      </c>
      <c r="BY831" s="35" t="s">
        <v>96</v>
      </c>
      <c r="BZ831" s="35">
        <v>0</v>
      </c>
      <c r="CA831" s="35">
        <v>0</v>
      </c>
      <c r="CB831" s="35" t="s">
        <v>97</v>
      </c>
      <c r="CC831" s="35" t="s">
        <v>719</v>
      </c>
      <c r="CD831" s="35">
        <v>1</v>
      </c>
      <c r="CE831" s="35" t="s">
        <v>1589</v>
      </c>
      <c r="CF831" s="35">
        <v>1</v>
      </c>
      <c r="CG831" s="35" t="s">
        <v>396</v>
      </c>
      <c r="CH831" s="35">
        <v>1</v>
      </c>
      <c r="CI831" s="35" t="s">
        <v>97</v>
      </c>
      <c r="CJ831" s="35" t="s">
        <v>98</v>
      </c>
      <c r="CK831" s="35">
        <v>66</v>
      </c>
      <c r="CL831" s="35">
        <v>0</v>
      </c>
      <c r="CM831" s="35">
        <v>0</v>
      </c>
      <c r="CN831" s="35" t="s">
        <v>99</v>
      </c>
      <c r="CO831" s="35" t="s">
        <v>1664</v>
      </c>
      <c r="CP831" s="35" t="s">
        <v>100</v>
      </c>
      <c r="CQ831" s="35" t="s">
        <v>126</v>
      </c>
      <c r="CR831" s="36">
        <v>46233</v>
      </c>
      <c r="CT831" s="35" t="s">
        <v>661</v>
      </c>
    </row>
    <row r="832" spans="1:98" s="35" customFormat="1" x14ac:dyDescent="0.35">
      <c r="A832" s="34" t="s">
        <v>1581</v>
      </c>
      <c r="B832" s="34" t="s">
        <v>1596</v>
      </c>
      <c r="C832" s="35" t="s">
        <v>1582</v>
      </c>
      <c r="D832" s="35">
        <v>2022</v>
      </c>
      <c r="E832" s="34" t="s">
        <v>1583</v>
      </c>
      <c r="F832" s="34" t="s">
        <v>1584</v>
      </c>
      <c r="G832" s="35" t="s">
        <v>78</v>
      </c>
      <c r="H832" s="35">
        <v>1</v>
      </c>
      <c r="I832" s="35" t="s">
        <v>390</v>
      </c>
      <c r="J832" s="35" t="s">
        <v>79</v>
      </c>
      <c r="K832" s="35">
        <v>11</v>
      </c>
      <c r="L832" s="35" t="s">
        <v>129</v>
      </c>
      <c r="M832" s="35" t="s">
        <v>380</v>
      </c>
      <c r="N832" s="35">
        <f>-0.081-0.007</f>
        <v>-8.8000000000000009E-2</v>
      </c>
      <c r="O832" s="35" t="s">
        <v>312</v>
      </c>
      <c r="P832" s="89" t="s">
        <v>312</v>
      </c>
      <c r="Q832" s="35" t="s">
        <v>312</v>
      </c>
      <c r="R832" s="89" t="s">
        <v>312</v>
      </c>
      <c r="S832" s="89" t="s">
        <v>312</v>
      </c>
      <c r="T832" s="35" t="s">
        <v>312</v>
      </c>
      <c r="U832" s="35">
        <v>7859</v>
      </c>
      <c r="V832" s="35" t="s">
        <v>312</v>
      </c>
      <c r="W832" s="35" t="s">
        <v>312</v>
      </c>
      <c r="X832" s="35">
        <f t="shared" si="336"/>
        <v>7859</v>
      </c>
      <c r="Y832" s="89" t="s">
        <v>312</v>
      </c>
      <c r="Z832" s="89" t="s">
        <v>312</v>
      </c>
      <c r="AA832" s="89" t="s">
        <v>312</v>
      </c>
      <c r="AB832" s="35" t="s">
        <v>312</v>
      </c>
      <c r="AC832" s="89">
        <f t="shared" si="338"/>
        <v>-1.0746428094538659E-2</v>
      </c>
      <c r="AD832" s="89" cm="1">
        <f t="array" ref="AD832">_xlfn.IFS(
AND(L832="marginal_effect",M832="level"),N832*AN832/BF832,
AND(L832="marginal_effect",M832="sd (Y)"),N832*BI832*AN832/BF832,
AND(L832="marginal_effect",M832="sd (X)"),N832/AQ832*AN832/BF832,
AND(L832="semi_elasticity",M832="level"),N832*AN832,
AND(L832="semi_elasticity",M832="sd (Y)"),N832*AN832*BI832,
AND(L832="semi_elasticity",M832="sd (X)"),N832*AN832/AQ832,
AND(L832="level-log",M832="level"),N832/BF832,
AND(L832="level-log",M832="sd (X)"),N832/BF832/AQ832,
AND(L832="level-log",M832="sd (Y)"),N832/BF832*BI832,
AND(L832="elasticity",M832="level"),N832,
AND(L832="elasticity",M832="sd (X)"),N832/AQ832,
AND(L832="elasticity",M832="sd (Y)"),N832*BI832,
AND(L832="marginal_effect",M832="percent_of_mean"),N832*AN832/BF832/10)</f>
        <v>-1.0746428094538659E-2</v>
      </c>
      <c r="AE832" s="49">
        <f t="shared" ref="AE832:AE863" si="341">IF(AC832=AD832,1,0)</f>
        <v>1</v>
      </c>
      <c r="AF832" s="89" t="s">
        <v>312</v>
      </c>
      <c r="AG832" s="89" t="s">
        <v>312</v>
      </c>
      <c r="AH832" s="49" t="s">
        <v>312</v>
      </c>
      <c r="AI832" s="89">
        <f t="shared" si="339"/>
        <v>1.0746428094538659E-2</v>
      </c>
      <c r="AJ832" s="35">
        <v>0</v>
      </c>
      <c r="AK832" s="35" t="s">
        <v>312</v>
      </c>
      <c r="AL832" s="35" t="s">
        <v>82</v>
      </c>
      <c r="AM832" s="35" t="s">
        <v>1333</v>
      </c>
      <c r="AN832" s="35">
        <v>10.06</v>
      </c>
      <c r="AO832" s="35">
        <v>1</v>
      </c>
      <c r="AP832" s="35">
        <f t="shared" si="340"/>
        <v>10.06</v>
      </c>
      <c r="AQ832" s="35">
        <v>4.6970000000000001</v>
      </c>
      <c r="AR832" s="35">
        <v>1.8</v>
      </c>
      <c r="AS832" s="35">
        <v>20.75</v>
      </c>
      <c r="AT832" s="35" t="s">
        <v>83</v>
      </c>
      <c r="AU832" s="35" t="s">
        <v>109</v>
      </c>
      <c r="AV832" s="35" t="s">
        <v>133</v>
      </c>
      <c r="AW832" s="35" t="s">
        <v>109</v>
      </c>
      <c r="AX832" s="35" t="s">
        <v>86</v>
      </c>
      <c r="AY832" s="35">
        <v>0</v>
      </c>
      <c r="AZ832" s="35">
        <v>0</v>
      </c>
      <c r="BA832" s="35" t="s">
        <v>734</v>
      </c>
      <c r="BB832" s="35" t="s">
        <v>88</v>
      </c>
      <c r="BC832" s="35" t="s">
        <v>89</v>
      </c>
      <c r="BD832" s="35" t="s">
        <v>134</v>
      </c>
      <c r="BE832" s="35" t="s">
        <v>1585</v>
      </c>
      <c r="BF832" s="35">
        <v>82.379000000000005</v>
      </c>
      <c r="BG832" s="35">
        <v>1</v>
      </c>
      <c r="BH832" s="35">
        <v>14.926</v>
      </c>
      <c r="BI832" s="35">
        <v>47.133000000000003</v>
      </c>
      <c r="BJ832" s="35">
        <v>156.46700000000001</v>
      </c>
      <c r="BK832" s="35" t="s">
        <v>91</v>
      </c>
      <c r="BL832" s="35" t="s">
        <v>84</v>
      </c>
      <c r="BM832" s="35">
        <v>1</v>
      </c>
      <c r="BN832" s="35" t="s">
        <v>539</v>
      </c>
      <c r="BO832" s="35" t="s">
        <v>1586</v>
      </c>
      <c r="BP832" s="35" t="s">
        <v>1587</v>
      </c>
      <c r="BQ832" s="35" t="s">
        <v>92</v>
      </c>
      <c r="BR832" s="35" t="s">
        <v>134</v>
      </c>
      <c r="BS832" s="35" t="s">
        <v>312</v>
      </c>
      <c r="BT832" s="35">
        <v>0.248</v>
      </c>
      <c r="BU832" s="35">
        <v>2012</v>
      </c>
      <c r="BV832" s="35">
        <v>2019</v>
      </c>
      <c r="BW832" s="35" t="s">
        <v>1588</v>
      </c>
      <c r="BX832" s="35" t="s">
        <v>95</v>
      </c>
      <c r="BY832" s="35" t="s">
        <v>96</v>
      </c>
      <c r="BZ832" s="35">
        <v>0</v>
      </c>
      <c r="CA832" s="35">
        <v>0</v>
      </c>
      <c r="CB832" s="35" t="s">
        <v>97</v>
      </c>
      <c r="CC832" s="35" t="s">
        <v>719</v>
      </c>
      <c r="CD832" s="35">
        <v>1</v>
      </c>
      <c r="CE832" s="35" t="s">
        <v>1589</v>
      </c>
      <c r="CF832" s="35">
        <v>1</v>
      </c>
      <c r="CG832" s="35" t="s">
        <v>396</v>
      </c>
      <c r="CH832" s="35">
        <v>1</v>
      </c>
      <c r="CI832" s="35" t="s">
        <v>97</v>
      </c>
      <c r="CJ832" s="35" t="s">
        <v>98</v>
      </c>
      <c r="CK832" s="35">
        <v>66</v>
      </c>
      <c r="CL832" s="35">
        <v>0</v>
      </c>
      <c r="CM832" s="35">
        <v>0</v>
      </c>
      <c r="CN832" s="35" t="s">
        <v>99</v>
      </c>
      <c r="CO832" s="35" t="s">
        <v>1664</v>
      </c>
      <c r="CP832" s="35" t="s">
        <v>100</v>
      </c>
      <c r="CQ832" s="35" t="s">
        <v>126</v>
      </c>
      <c r="CR832" s="36">
        <v>46233</v>
      </c>
      <c r="CT832" s="35" t="s">
        <v>661</v>
      </c>
    </row>
    <row r="833" spans="1:98" s="35" customFormat="1" x14ac:dyDescent="0.35">
      <c r="A833" s="34" t="s">
        <v>1581</v>
      </c>
      <c r="B833" s="34" t="s">
        <v>1599</v>
      </c>
      <c r="C833" s="35" t="s">
        <v>1582</v>
      </c>
      <c r="D833" s="35">
        <v>2022</v>
      </c>
      <c r="E833" s="34" t="s">
        <v>1583</v>
      </c>
      <c r="F833" s="34" t="s">
        <v>1584</v>
      </c>
      <c r="G833" s="35" t="s">
        <v>78</v>
      </c>
      <c r="H833" s="35">
        <v>1</v>
      </c>
      <c r="I833" s="35" t="s">
        <v>390</v>
      </c>
      <c r="J833" s="35" t="s">
        <v>79</v>
      </c>
      <c r="K833" s="35">
        <v>11</v>
      </c>
      <c r="L833" s="35" t="s">
        <v>129</v>
      </c>
      <c r="M833" s="35" t="s">
        <v>380</v>
      </c>
      <c r="N833" s="35">
        <v>-8.1000000000000003E-2</v>
      </c>
      <c r="O833" s="35">
        <v>5.7000000000000002E-2</v>
      </c>
      <c r="P833" s="89">
        <f>N833/O833</f>
        <v>-1.4210526315789473</v>
      </c>
      <c r="Q833" s="35" t="s">
        <v>312</v>
      </c>
      <c r="R833" s="89">
        <f>N833-1.96*O833</f>
        <v>-0.19272</v>
      </c>
      <c r="S833" s="89">
        <f>N833+1.96*O833</f>
        <v>3.0719999999999997E-2</v>
      </c>
      <c r="T833" s="35">
        <v>1</v>
      </c>
      <c r="U833" s="35">
        <v>7859</v>
      </c>
      <c r="V833" s="35" t="s">
        <v>312</v>
      </c>
      <c r="W833" s="35" t="s">
        <v>312</v>
      </c>
      <c r="X833" s="35">
        <f t="shared" si="336"/>
        <v>7859</v>
      </c>
      <c r="Y833" s="89">
        <f>P833/(P833^2 + X833)^(1/2)</f>
        <v>-1.6027682453366249E-2</v>
      </c>
      <c r="Z833" s="89">
        <f>((1-Y833^2)/X833)^(1/2)</f>
        <v>1.1278739504220694E-2</v>
      </c>
      <c r="AA833" s="89">
        <f>-Y833</f>
        <v>1.6027682453366249E-2</v>
      </c>
      <c r="AB833" s="35" t="s">
        <v>81</v>
      </c>
      <c r="AC833" s="89">
        <f t="shared" si="338"/>
        <v>-9.8915985870185359E-3</v>
      </c>
      <c r="AD833" s="89" cm="1">
        <f t="array" ref="AD833">_xlfn.IFS(
AND(L833="marginal_effect",M833="level"),N833*AN833/BF833,
AND(L833="marginal_effect",M833="sd (Y)"),N833*BI833*AN833/BF833,
AND(L833="marginal_effect",M833="sd (X)"),N833/AQ833*AN833/BF833,
AND(L833="semi_elasticity",M833="level"),N833*AN833,
AND(L833="semi_elasticity",M833="sd (Y)"),N833*AN833*BI833,
AND(L833="semi_elasticity",M833="sd (X)"),N833*AN833/AQ833,
AND(L833="level-log",M833="level"),N833/BF833,
AND(L833="level-log",M833="sd (X)"),N833/BF833/AQ833,
AND(L833="level-log",M833="sd (Y)"),N833/BF833*BI833,
AND(L833="elasticity",M833="level"),N833,
AND(L833="elasticity",M833="sd (X)"),N833/AQ833,
AND(L833="elasticity",M833="sd (Y)"),N833*BI833,
AND(L833="marginal_effect",M833="percent_of_mean"),N833*AN833/BF833/10)</f>
        <v>-9.8915985870185359E-3</v>
      </c>
      <c r="AE833" s="49">
        <f t="shared" si="341"/>
        <v>1</v>
      </c>
      <c r="AF833" s="89">
        <f>O833*AN833/BF833</f>
        <v>6.9607545612352661E-3</v>
      </c>
      <c r="AG833" s="89" cm="1">
        <f t="array" ref="AG833">_xlfn.IFS(
AND(L833="marginal_effect",M833="level"),O833*AN833/BF833,
AND(L833="marginal_effect",M833="sd (Y)"),O833*BI833*AN833/BF833,
AND(L833="marginal_effect",M833="sd (X)"),O833/AQ833*AN833/BF833,
AND(L833="semi_elasticity",M833="level"),O833*AN833,
AND(L833="semi_elasticity",M833="sd (Y)"),O833*AN833*BI833,
AND(L833="semi_elasticity",M833="sd (X)"),O833*AN833/AQ833,
AND(L833="level-log",M833="level"),O833/BF833,
AND(L833="level-log",M833="sd (X)"),O833/BF833/AQ833,
AND(L833="level-log",M833="sd (Y)"),O833/BF833*BI833,
AND(L833="elasticity",M833="level"),O833,
AND(L833="elasticity",M833="sd (X)"),O833/AQ833,
AND(L833="elasticity",M833="sd (Y)"),O833*BI833,
AND(L833="marginal_effect",M833="percent_of_mean"),O833*AN833/BF833/10)</f>
        <v>6.9607545612352661E-3</v>
      </c>
      <c r="AH833" s="49">
        <f>IF(AF833=AG833,1,0)</f>
        <v>1</v>
      </c>
      <c r="AI833" s="89">
        <f t="shared" si="339"/>
        <v>9.8915985870185359E-3</v>
      </c>
      <c r="AJ833" s="35">
        <v>0</v>
      </c>
      <c r="AK833" s="35">
        <f>IF(P833=(AC833/AF833),1,0)</f>
        <v>1</v>
      </c>
      <c r="AL833" s="35" t="s">
        <v>82</v>
      </c>
      <c r="AM833" s="35" t="s">
        <v>1333</v>
      </c>
      <c r="AN833" s="35">
        <v>10.06</v>
      </c>
      <c r="AO833" s="35">
        <v>1</v>
      </c>
      <c r="AP833" s="35">
        <f t="shared" si="340"/>
        <v>10.06</v>
      </c>
      <c r="AQ833" s="35">
        <v>4.6970000000000001</v>
      </c>
      <c r="AR833" s="35">
        <v>1.8</v>
      </c>
      <c r="AS833" s="35">
        <v>20.75</v>
      </c>
      <c r="AT833" s="35" t="s">
        <v>83</v>
      </c>
      <c r="AU833" s="35" t="s">
        <v>109</v>
      </c>
      <c r="AV833" s="35" t="s">
        <v>133</v>
      </c>
      <c r="AW833" s="35" t="s">
        <v>109</v>
      </c>
      <c r="AX833" s="35" t="s">
        <v>86</v>
      </c>
      <c r="AY833" s="35">
        <v>0</v>
      </c>
      <c r="AZ833" s="35">
        <v>0</v>
      </c>
      <c r="BA833" s="35" t="s">
        <v>734</v>
      </c>
      <c r="BB833" s="35" t="s">
        <v>88</v>
      </c>
      <c r="BC833" s="35" t="s">
        <v>89</v>
      </c>
      <c r="BD833" s="35" t="s">
        <v>134</v>
      </c>
      <c r="BE833" s="35" t="s">
        <v>1585</v>
      </c>
      <c r="BF833" s="35">
        <v>82.379000000000005</v>
      </c>
      <c r="BG833" s="35">
        <v>1</v>
      </c>
      <c r="BH833" s="35">
        <v>14.926</v>
      </c>
      <c r="BI833" s="35">
        <v>47.133000000000003</v>
      </c>
      <c r="BJ833" s="35">
        <v>156.46700000000001</v>
      </c>
      <c r="BK833" s="35" t="s">
        <v>91</v>
      </c>
      <c r="BL833" s="35" t="s">
        <v>84</v>
      </c>
      <c r="BM833" s="35">
        <v>1</v>
      </c>
      <c r="BN833" s="35" t="s">
        <v>539</v>
      </c>
      <c r="BO833" s="35" t="s">
        <v>1586</v>
      </c>
      <c r="BP833" s="35" t="s">
        <v>1587</v>
      </c>
      <c r="BQ833" s="35" t="s">
        <v>92</v>
      </c>
      <c r="BR833" s="35" t="s">
        <v>134</v>
      </c>
      <c r="BS833" s="35" t="s">
        <v>312</v>
      </c>
      <c r="BT833" s="35">
        <v>0.248</v>
      </c>
      <c r="BU833" s="35">
        <v>2012</v>
      </c>
      <c r="BV833" s="35">
        <v>2019</v>
      </c>
      <c r="BW833" s="35" t="s">
        <v>1588</v>
      </c>
      <c r="BX833" s="35" t="s">
        <v>95</v>
      </c>
      <c r="BY833" s="35" t="s">
        <v>96</v>
      </c>
      <c r="BZ833" s="35">
        <v>0</v>
      </c>
      <c r="CA833" s="35">
        <v>0</v>
      </c>
      <c r="CB833" s="35" t="s">
        <v>97</v>
      </c>
      <c r="CC833" s="35" t="s">
        <v>719</v>
      </c>
      <c r="CD833" s="35">
        <v>1</v>
      </c>
      <c r="CE833" s="35" t="s">
        <v>1589</v>
      </c>
      <c r="CF833" s="35">
        <v>1</v>
      </c>
      <c r="CG833" s="35" t="s">
        <v>396</v>
      </c>
      <c r="CH833" s="35">
        <v>1</v>
      </c>
      <c r="CI833" s="35" t="s">
        <v>97</v>
      </c>
      <c r="CJ833" s="35" t="s">
        <v>98</v>
      </c>
      <c r="CK833" s="35">
        <v>66</v>
      </c>
      <c r="CL833" s="35">
        <v>0</v>
      </c>
      <c r="CM833" s="35">
        <v>0</v>
      </c>
      <c r="CN833" s="35" t="s">
        <v>99</v>
      </c>
      <c r="CO833" s="35" t="s">
        <v>1664</v>
      </c>
      <c r="CP833" s="35" t="s">
        <v>100</v>
      </c>
      <c r="CQ833" s="35" t="s">
        <v>126</v>
      </c>
      <c r="CR833" s="36">
        <v>46233</v>
      </c>
      <c r="CT833" s="35" t="s">
        <v>661</v>
      </c>
    </row>
    <row r="834" spans="1:98" s="35" customFormat="1" x14ac:dyDescent="0.35">
      <c r="A834" s="34" t="s">
        <v>1581</v>
      </c>
      <c r="B834" s="34" t="s">
        <v>1600</v>
      </c>
      <c r="C834" s="35" t="s">
        <v>1582</v>
      </c>
      <c r="D834" s="35">
        <v>2022</v>
      </c>
      <c r="E834" s="34" t="s">
        <v>1583</v>
      </c>
      <c r="F834" s="34" t="s">
        <v>1584</v>
      </c>
      <c r="G834" s="35" t="s">
        <v>78</v>
      </c>
      <c r="H834" s="35">
        <v>1</v>
      </c>
      <c r="I834" s="35" t="s">
        <v>390</v>
      </c>
      <c r="J834" s="35" t="s">
        <v>79</v>
      </c>
      <c r="K834" s="35">
        <v>11</v>
      </c>
      <c r="L834" s="35" t="s">
        <v>129</v>
      </c>
      <c r="M834" s="35" t="s">
        <v>380</v>
      </c>
      <c r="N834" s="35">
        <f>141.068+57.917-306.641</f>
        <v>-107.65600000000001</v>
      </c>
      <c r="O834" s="35" t="s">
        <v>312</v>
      </c>
      <c r="P834" s="89" t="s">
        <v>312</v>
      </c>
      <c r="Q834" s="35" t="s">
        <v>312</v>
      </c>
      <c r="R834" s="89" t="s">
        <v>312</v>
      </c>
      <c r="S834" s="89" t="s">
        <v>312</v>
      </c>
      <c r="T834" s="35" t="s">
        <v>312</v>
      </c>
      <c r="U834" s="35">
        <v>7859</v>
      </c>
      <c r="V834" s="35" t="s">
        <v>312</v>
      </c>
      <c r="W834" s="35" t="s">
        <v>312</v>
      </c>
      <c r="X834" s="35">
        <f t="shared" si="336"/>
        <v>7859</v>
      </c>
      <c r="Y834" s="89" t="s">
        <v>312</v>
      </c>
      <c r="Z834" s="89" t="s">
        <v>312</v>
      </c>
      <c r="AA834" s="89" t="s">
        <v>312</v>
      </c>
      <c r="AB834" s="35" t="s">
        <v>312</v>
      </c>
      <c r="AC834" s="89">
        <f t="shared" si="338"/>
        <v>-9.6520463387598093E-3</v>
      </c>
      <c r="AD834" s="89" cm="1">
        <f t="array" ref="AD834">_xlfn.IFS(
AND(L834="marginal_effect",M834="level"),N834*AN834/BF834,
AND(L834="marginal_effect",M834="sd (Y)"),N834*BI834*AN834/BF834,
AND(L834="marginal_effect",M834="sd (X)"),N834/AQ834*AN834/BF834,
AND(L834="semi_elasticity",M834="level"),N834*AN834,
AND(L834="semi_elasticity",M834="sd (Y)"),N834*AN834*BI834,
AND(L834="semi_elasticity",M834="sd (X)"),N834*AN834/AQ834,
AND(L834="level-log",M834="level"),N834/BF834,
AND(L834="level-log",M834="sd (X)"),N834/BF834/AQ834,
AND(L834="level-log",M834="sd (Y)"),N834/BF834*BI834,
AND(L834="elasticity",M834="level"),N834,
AND(L834="elasticity",M834="sd (X)"),N834/AQ834,
AND(L834="elasticity",M834="sd (Y)"),N834*BI834,
AND(L834="marginal_effect",M834="percent_of_mean"),N834*AN834/BF834/10)</f>
        <v>-9.6520463387598093E-3</v>
      </c>
      <c r="AE834" s="49">
        <f t="shared" si="341"/>
        <v>1</v>
      </c>
      <c r="AF834" s="89" t="s">
        <v>312</v>
      </c>
      <c r="AG834" s="89" t="s">
        <v>312</v>
      </c>
      <c r="AH834" s="49" t="s">
        <v>312</v>
      </c>
      <c r="AI834" s="89">
        <f t="shared" si="339"/>
        <v>9.6520463387598093E-3</v>
      </c>
      <c r="AJ834" s="35">
        <v>0</v>
      </c>
      <c r="AK834" s="35" t="s">
        <v>312</v>
      </c>
      <c r="AL834" s="35" t="s">
        <v>148</v>
      </c>
      <c r="AM834" s="35" t="s">
        <v>590</v>
      </c>
      <c r="AN834" s="35">
        <v>3.3000000000000002E-2</v>
      </c>
      <c r="AO834" s="35">
        <v>1</v>
      </c>
      <c r="AP834" s="35">
        <f t="shared" si="340"/>
        <v>3.3000000000000002E-2</v>
      </c>
      <c r="AQ834" s="35">
        <v>1.2E-2</v>
      </c>
      <c r="AR834" s="35">
        <v>1.2E-2</v>
      </c>
      <c r="AS834" s="35">
        <v>5.8000000000000003E-2</v>
      </c>
      <c r="AT834" s="35" t="s">
        <v>83</v>
      </c>
      <c r="AU834" s="35" t="s">
        <v>109</v>
      </c>
      <c r="AV834" s="35" t="s">
        <v>133</v>
      </c>
      <c r="AW834" s="35" t="s">
        <v>109</v>
      </c>
      <c r="AX834" s="35" t="s">
        <v>86</v>
      </c>
      <c r="AY834" s="35">
        <v>0</v>
      </c>
      <c r="AZ834" s="35">
        <v>0</v>
      </c>
      <c r="BA834" s="35" t="s">
        <v>734</v>
      </c>
      <c r="BB834" s="35" t="s">
        <v>88</v>
      </c>
      <c r="BC834" s="35" t="s">
        <v>89</v>
      </c>
      <c r="BD834" s="35" t="s">
        <v>134</v>
      </c>
      <c r="BE834" s="35" t="s">
        <v>1585</v>
      </c>
      <c r="BF834" s="35">
        <v>368.072</v>
      </c>
      <c r="BG834" s="35">
        <v>1</v>
      </c>
      <c r="BH834" s="35">
        <v>46.688000000000002</v>
      </c>
      <c r="BI834" s="35">
        <v>244.63300000000001</v>
      </c>
      <c r="BJ834" s="35">
        <v>541.45000000000005</v>
      </c>
      <c r="BK834" s="35" t="s">
        <v>91</v>
      </c>
      <c r="BL834" s="35" t="s">
        <v>84</v>
      </c>
      <c r="BM834" s="35">
        <v>1</v>
      </c>
      <c r="BN834" s="35" t="s">
        <v>539</v>
      </c>
      <c r="BO834" s="35" t="s">
        <v>1586</v>
      </c>
      <c r="BP834" s="35" t="s">
        <v>1587</v>
      </c>
      <c r="BQ834" s="35" t="s">
        <v>92</v>
      </c>
      <c r="BR834" s="35" t="s">
        <v>134</v>
      </c>
      <c r="BS834" s="35" t="s">
        <v>312</v>
      </c>
      <c r="BT834" s="35">
        <v>0.248</v>
      </c>
      <c r="BU834" s="35">
        <v>2012</v>
      </c>
      <c r="BV834" s="35">
        <v>2019</v>
      </c>
      <c r="BW834" s="35" t="s">
        <v>1588</v>
      </c>
      <c r="BX834" s="35" t="s">
        <v>95</v>
      </c>
      <c r="BY834" s="35" t="s">
        <v>96</v>
      </c>
      <c r="BZ834" s="35">
        <v>0</v>
      </c>
      <c r="CA834" s="35">
        <v>0</v>
      </c>
      <c r="CB834" s="35" t="s">
        <v>97</v>
      </c>
      <c r="CC834" s="35" t="s">
        <v>719</v>
      </c>
      <c r="CD834" s="35">
        <v>1</v>
      </c>
      <c r="CE834" s="35" t="s">
        <v>1589</v>
      </c>
      <c r="CF834" s="35">
        <v>1</v>
      </c>
      <c r="CG834" s="35" t="s">
        <v>82</v>
      </c>
      <c r="CH834" s="35">
        <v>1</v>
      </c>
      <c r="CI834" s="35" t="s">
        <v>97</v>
      </c>
      <c r="CJ834" s="35" t="s">
        <v>98</v>
      </c>
      <c r="CK834" s="35">
        <v>66</v>
      </c>
      <c r="CL834" s="35">
        <v>0</v>
      </c>
      <c r="CM834" s="35">
        <v>0</v>
      </c>
      <c r="CN834" s="35" t="s">
        <v>99</v>
      </c>
      <c r="CO834" s="35" t="s">
        <v>1664</v>
      </c>
      <c r="CP834" s="35" t="s">
        <v>100</v>
      </c>
      <c r="CQ834" s="35" t="s">
        <v>126</v>
      </c>
      <c r="CR834" s="36">
        <v>46233</v>
      </c>
      <c r="CT834" s="35" t="s">
        <v>1205</v>
      </c>
    </row>
    <row r="835" spans="1:98" s="35" customFormat="1" x14ac:dyDescent="0.35">
      <c r="A835" s="34" t="s">
        <v>1581</v>
      </c>
      <c r="B835" s="34" t="s">
        <v>1603</v>
      </c>
      <c r="C835" s="35" t="s">
        <v>1582</v>
      </c>
      <c r="D835" s="35">
        <v>2022</v>
      </c>
      <c r="E835" s="34" t="s">
        <v>1583</v>
      </c>
      <c r="F835" s="34" t="s">
        <v>1584</v>
      </c>
      <c r="G835" s="35" t="s">
        <v>78</v>
      </c>
      <c r="H835" s="35">
        <v>1</v>
      </c>
      <c r="I835" s="35" t="s">
        <v>390</v>
      </c>
      <c r="J835" s="35" t="s">
        <v>79</v>
      </c>
      <c r="K835" s="35">
        <v>11</v>
      </c>
      <c r="L835" s="35" t="s">
        <v>129</v>
      </c>
      <c r="M835" s="35" t="s">
        <v>380</v>
      </c>
      <c r="N835" s="35">
        <f>141.068-306.641</f>
        <v>-165.57300000000001</v>
      </c>
      <c r="O835" s="35" t="s">
        <v>312</v>
      </c>
      <c r="P835" s="89" t="s">
        <v>312</v>
      </c>
      <c r="Q835" s="35" t="s">
        <v>312</v>
      </c>
      <c r="R835" s="89" t="s">
        <v>312</v>
      </c>
      <c r="S835" s="89" t="s">
        <v>312</v>
      </c>
      <c r="T835" s="35" t="s">
        <v>312</v>
      </c>
      <c r="U835" s="35">
        <v>7859</v>
      </c>
      <c r="V835" s="35" t="s">
        <v>312</v>
      </c>
      <c r="W835" s="35" t="s">
        <v>312</v>
      </c>
      <c r="X835" s="35">
        <f t="shared" si="336"/>
        <v>7859</v>
      </c>
      <c r="Y835" s="89" t="s">
        <v>312</v>
      </c>
      <c r="Z835" s="89" t="s">
        <v>312</v>
      </c>
      <c r="AA835" s="89" t="s">
        <v>312</v>
      </c>
      <c r="AB835" s="35" t="s">
        <v>312</v>
      </c>
      <c r="AC835" s="89">
        <f t="shared" si="338"/>
        <v>-1.484467441152818E-2</v>
      </c>
      <c r="AD835" s="89" cm="1">
        <f t="array" ref="AD835">_xlfn.IFS(
AND(L835="marginal_effect",M835="level"),N835*AN835/BF835,
AND(L835="marginal_effect",M835="sd (Y)"),N835*BI835*AN835/BF835,
AND(L835="marginal_effect",M835="sd (X)"),N835/AQ835*AN835/BF835,
AND(L835="semi_elasticity",M835="level"),N835*AN835,
AND(L835="semi_elasticity",M835="sd (Y)"),N835*AN835*BI835,
AND(L835="semi_elasticity",M835="sd (X)"),N835*AN835/AQ835,
AND(L835="level-log",M835="level"),N835/BF835,
AND(L835="level-log",M835="sd (X)"),N835/BF835/AQ835,
AND(L835="level-log",M835="sd (Y)"),N835/BF835*BI835,
AND(L835="elasticity",M835="level"),N835,
AND(L835="elasticity",M835="sd (X)"),N835/AQ835,
AND(L835="elasticity",M835="sd (Y)"),N835*BI835,
AND(L835="marginal_effect",M835="percent_of_mean"),N835*AN835/BF835/10)</f>
        <v>-1.484467441152818E-2</v>
      </c>
      <c r="AE835" s="49">
        <f t="shared" si="341"/>
        <v>1</v>
      </c>
      <c r="AF835" s="89" t="s">
        <v>312</v>
      </c>
      <c r="AG835" s="89" t="s">
        <v>312</v>
      </c>
      <c r="AH835" s="49" t="s">
        <v>312</v>
      </c>
      <c r="AI835" s="89">
        <f t="shared" si="339"/>
        <v>1.484467441152818E-2</v>
      </c>
      <c r="AJ835" s="35">
        <v>0</v>
      </c>
      <c r="AK835" s="35" t="s">
        <v>312</v>
      </c>
      <c r="AL835" s="35" t="s">
        <v>148</v>
      </c>
      <c r="AM835" s="35" t="s">
        <v>590</v>
      </c>
      <c r="AN835" s="35">
        <v>3.3000000000000002E-2</v>
      </c>
      <c r="AO835" s="35">
        <v>1</v>
      </c>
      <c r="AP835" s="35">
        <f t="shared" si="340"/>
        <v>3.3000000000000002E-2</v>
      </c>
      <c r="AQ835" s="35">
        <v>1.2E-2</v>
      </c>
      <c r="AR835" s="35">
        <v>1.2E-2</v>
      </c>
      <c r="AS835" s="35">
        <v>5.8000000000000003E-2</v>
      </c>
      <c r="AT835" s="35" t="s">
        <v>83</v>
      </c>
      <c r="AU835" s="35" t="s">
        <v>109</v>
      </c>
      <c r="AV835" s="35" t="s">
        <v>133</v>
      </c>
      <c r="AW835" s="35" t="s">
        <v>109</v>
      </c>
      <c r="AX835" s="35" t="s">
        <v>86</v>
      </c>
      <c r="AY835" s="35">
        <v>0</v>
      </c>
      <c r="AZ835" s="35">
        <v>0</v>
      </c>
      <c r="BA835" s="35" t="s">
        <v>734</v>
      </c>
      <c r="BB835" s="35" t="s">
        <v>88</v>
      </c>
      <c r="BC835" s="35" t="s">
        <v>89</v>
      </c>
      <c r="BD835" s="35" t="s">
        <v>134</v>
      </c>
      <c r="BE835" s="35" t="s">
        <v>1585</v>
      </c>
      <c r="BF835" s="35">
        <v>368.072</v>
      </c>
      <c r="BG835" s="35">
        <v>1</v>
      </c>
      <c r="BH835" s="35">
        <v>46.688000000000002</v>
      </c>
      <c r="BI835" s="35">
        <v>244.63300000000001</v>
      </c>
      <c r="BJ835" s="35">
        <v>541.45000000000005</v>
      </c>
      <c r="BK835" s="35" t="s">
        <v>91</v>
      </c>
      <c r="BL835" s="35" t="s">
        <v>84</v>
      </c>
      <c r="BM835" s="35">
        <v>1</v>
      </c>
      <c r="BN835" s="35" t="s">
        <v>539</v>
      </c>
      <c r="BO835" s="35" t="s">
        <v>1586</v>
      </c>
      <c r="BP835" s="35" t="s">
        <v>1587</v>
      </c>
      <c r="BQ835" s="35" t="s">
        <v>92</v>
      </c>
      <c r="BR835" s="35" t="s">
        <v>134</v>
      </c>
      <c r="BS835" s="35" t="s">
        <v>312</v>
      </c>
      <c r="BT835" s="35">
        <v>0.248</v>
      </c>
      <c r="BU835" s="35">
        <v>2012</v>
      </c>
      <c r="BV835" s="35">
        <v>2019</v>
      </c>
      <c r="BW835" s="35" t="s">
        <v>1588</v>
      </c>
      <c r="BX835" s="35" t="s">
        <v>95</v>
      </c>
      <c r="BY835" s="35" t="s">
        <v>96</v>
      </c>
      <c r="BZ835" s="35">
        <v>0</v>
      </c>
      <c r="CA835" s="35">
        <v>0</v>
      </c>
      <c r="CB835" s="35" t="s">
        <v>97</v>
      </c>
      <c r="CC835" s="35" t="s">
        <v>719</v>
      </c>
      <c r="CD835" s="35">
        <v>1</v>
      </c>
      <c r="CE835" s="35" t="s">
        <v>1589</v>
      </c>
      <c r="CF835" s="35">
        <v>1</v>
      </c>
      <c r="CG835" s="35" t="s">
        <v>82</v>
      </c>
      <c r="CH835" s="35">
        <v>1</v>
      </c>
      <c r="CI835" s="35" t="s">
        <v>97</v>
      </c>
      <c r="CJ835" s="35" t="s">
        <v>98</v>
      </c>
      <c r="CK835" s="35">
        <v>66</v>
      </c>
      <c r="CL835" s="35">
        <v>0</v>
      </c>
      <c r="CM835" s="35">
        <v>0</v>
      </c>
      <c r="CN835" s="35" t="s">
        <v>99</v>
      </c>
      <c r="CO835" s="35" t="s">
        <v>1664</v>
      </c>
      <c r="CP835" s="35" t="s">
        <v>100</v>
      </c>
      <c r="CQ835" s="35" t="s">
        <v>126</v>
      </c>
      <c r="CR835" s="36">
        <v>46233</v>
      </c>
      <c r="CT835" s="35" t="s">
        <v>1205</v>
      </c>
    </row>
    <row r="836" spans="1:98" s="35" customFormat="1" x14ac:dyDescent="0.35">
      <c r="A836" s="34" t="s">
        <v>1581</v>
      </c>
      <c r="B836" s="34" t="s">
        <v>1602</v>
      </c>
      <c r="C836" s="35" t="s">
        <v>1582</v>
      </c>
      <c r="D836" s="35">
        <v>2022</v>
      </c>
      <c r="E836" s="34" t="s">
        <v>1583</v>
      </c>
      <c r="F836" s="34" t="s">
        <v>1584</v>
      </c>
      <c r="G836" s="35" t="s">
        <v>78</v>
      </c>
      <c r="H836" s="35">
        <v>1</v>
      </c>
      <c r="I836" s="35" t="s">
        <v>390</v>
      </c>
      <c r="J836" s="35" t="s">
        <v>79</v>
      </c>
      <c r="K836" s="35">
        <v>11</v>
      </c>
      <c r="L836" s="35" t="s">
        <v>129</v>
      </c>
      <c r="M836" s="35" t="s">
        <v>380</v>
      </c>
      <c r="N836" s="35">
        <f>141.068+57.917</f>
        <v>198.98500000000001</v>
      </c>
      <c r="O836" s="35" t="s">
        <v>312</v>
      </c>
      <c r="P836" s="89" t="s">
        <v>312</v>
      </c>
      <c r="Q836" s="35" t="s">
        <v>312</v>
      </c>
      <c r="R836" s="89" t="s">
        <v>312</v>
      </c>
      <c r="S836" s="89" t="s">
        <v>312</v>
      </c>
      <c r="T836" s="35" t="s">
        <v>312</v>
      </c>
      <c r="U836" s="35">
        <v>7859</v>
      </c>
      <c r="V836" s="35" t="s">
        <v>312</v>
      </c>
      <c r="W836" s="35" t="s">
        <v>312</v>
      </c>
      <c r="X836" s="35">
        <f t="shared" ref="X836:X867" si="342">U836</f>
        <v>7859</v>
      </c>
      <c r="Y836" s="89" t="s">
        <v>312</v>
      </c>
      <c r="Z836" s="89" t="s">
        <v>312</v>
      </c>
      <c r="AA836" s="89" t="s">
        <v>312</v>
      </c>
      <c r="AB836" s="35" t="s">
        <v>312</v>
      </c>
      <c r="AC836" s="89">
        <f t="shared" si="338"/>
        <v>1.7840273098741553E-2</v>
      </c>
      <c r="AD836" s="89" cm="1">
        <f t="array" ref="AD836">_xlfn.IFS(
AND(L836="marginal_effect",M836="level"),N836*AN836/BF836,
AND(L836="marginal_effect",M836="sd (Y)"),N836*BI836*AN836/BF836,
AND(L836="marginal_effect",M836="sd (X)"),N836/AQ836*AN836/BF836,
AND(L836="semi_elasticity",M836="level"),N836*AN836,
AND(L836="semi_elasticity",M836="sd (Y)"),N836*AN836*BI836,
AND(L836="semi_elasticity",M836="sd (X)"),N836*AN836/AQ836,
AND(L836="level-log",M836="level"),N836/BF836,
AND(L836="level-log",M836="sd (X)"),N836/BF836/AQ836,
AND(L836="level-log",M836="sd (Y)"),N836/BF836*BI836,
AND(L836="elasticity",M836="level"),N836,
AND(L836="elasticity",M836="sd (X)"),N836/AQ836,
AND(L836="elasticity",M836="sd (Y)"),N836*BI836,
AND(L836="marginal_effect",M836="percent_of_mean"),N836*AN836/BF836/10)</f>
        <v>1.7840273098741553E-2</v>
      </c>
      <c r="AE836" s="49">
        <f t="shared" si="341"/>
        <v>1</v>
      </c>
      <c r="AF836" s="89" t="s">
        <v>312</v>
      </c>
      <c r="AG836" s="89" t="s">
        <v>312</v>
      </c>
      <c r="AH836" s="49" t="s">
        <v>312</v>
      </c>
      <c r="AI836" s="89">
        <f t="shared" si="339"/>
        <v>-1.7840273098741553E-2</v>
      </c>
      <c r="AJ836" s="35">
        <v>0</v>
      </c>
      <c r="AK836" s="35" t="s">
        <v>312</v>
      </c>
      <c r="AL836" s="35" t="s">
        <v>148</v>
      </c>
      <c r="AM836" s="35" t="s">
        <v>590</v>
      </c>
      <c r="AN836" s="35">
        <v>3.3000000000000002E-2</v>
      </c>
      <c r="AO836" s="35">
        <v>1</v>
      </c>
      <c r="AP836" s="35">
        <f t="shared" si="340"/>
        <v>3.3000000000000002E-2</v>
      </c>
      <c r="AQ836" s="35">
        <v>1.2E-2</v>
      </c>
      <c r="AR836" s="35">
        <v>1.2E-2</v>
      </c>
      <c r="AS836" s="35">
        <v>5.8000000000000003E-2</v>
      </c>
      <c r="AT836" s="35" t="s">
        <v>83</v>
      </c>
      <c r="AU836" s="35" t="s">
        <v>109</v>
      </c>
      <c r="AV836" s="35" t="s">
        <v>133</v>
      </c>
      <c r="AW836" s="35" t="s">
        <v>109</v>
      </c>
      <c r="AX836" s="35" t="s">
        <v>86</v>
      </c>
      <c r="AY836" s="35">
        <v>0</v>
      </c>
      <c r="AZ836" s="35">
        <v>0</v>
      </c>
      <c r="BA836" s="35" t="s">
        <v>734</v>
      </c>
      <c r="BB836" s="35" t="s">
        <v>88</v>
      </c>
      <c r="BC836" s="35" t="s">
        <v>89</v>
      </c>
      <c r="BD836" s="35" t="s">
        <v>134</v>
      </c>
      <c r="BE836" s="35" t="s">
        <v>1585</v>
      </c>
      <c r="BF836" s="35">
        <v>368.072</v>
      </c>
      <c r="BG836" s="35">
        <v>1</v>
      </c>
      <c r="BH836" s="35">
        <v>46.688000000000002</v>
      </c>
      <c r="BI836" s="35">
        <v>244.63300000000001</v>
      </c>
      <c r="BJ836" s="35">
        <v>541.45000000000005</v>
      </c>
      <c r="BK836" s="35" t="s">
        <v>91</v>
      </c>
      <c r="BL836" s="35" t="s">
        <v>84</v>
      </c>
      <c r="BM836" s="35">
        <v>1</v>
      </c>
      <c r="BN836" s="35" t="s">
        <v>539</v>
      </c>
      <c r="BO836" s="35" t="s">
        <v>1586</v>
      </c>
      <c r="BP836" s="35" t="s">
        <v>1587</v>
      </c>
      <c r="BQ836" s="35" t="s">
        <v>92</v>
      </c>
      <c r="BR836" s="35" t="s">
        <v>134</v>
      </c>
      <c r="BS836" s="35" t="s">
        <v>312</v>
      </c>
      <c r="BT836" s="35">
        <v>0.248</v>
      </c>
      <c r="BU836" s="35">
        <v>2012</v>
      </c>
      <c r="BV836" s="35">
        <v>2019</v>
      </c>
      <c r="BW836" s="35" t="s">
        <v>1588</v>
      </c>
      <c r="BX836" s="35" t="s">
        <v>95</v>
      </c>
      <c r="BY836" s="35" t="s">
        <v>96</v>
      </c>
      <c r="BZ836" s="35">
        <v>0</v>
      </c>
      <c r="CA836" s="35">
        <v>0</v>
      </c>
      <c r="CB836" s="35" t="s">
        <v>97</v>
      </c>
      <c r="CC836" s="35" t="s">
        <v>719</v>
      </c>
      <c r="CD836" s="35">
        <v>1</v>
      </c>
      <c r="CE836" s="35" t="s">
        <v>1589</v>
      </c>
      <c r="CF836" s="35">
        <v>1</v>
      </c>
      <c r="CG836" s="35" t="s">
        <v>82</v>
      </c>
      <c r="CH836" s="35">
        <v>1</v>
      </c>
      <c r="CI836" s="35" t="s">
        <v>97</v>
      </c>
      <c r="CJ836" s="35" t="s">
        <v>98</v>
      </c>
      <c r="CK836" s="35">
        <v>66</v>
      </c>
      <c r="CL836" s="35">
        <v>0</v>
      </c>
      <c r="CM836" s="35">
        <v>0</v>
      </c>
      <c r="CN836" s="35" t="s">
        <v>99</v>
      </c>
      <c r="CO836" s="35" t="s">
        <v>1664</v>
      </c>
      <c r="CP836" s="35" t="s">
        <v>100</v>
      </c>
      <c r="CQ836" s="35" t="s">
        <v>126</v>
      </c>
      <c r="CR836" s="36">
        <v>46233</v>
      </c>
      <c r="CT836" s="35" t="s">
        <v>1205</v>
      </c>
    </row>
    <row r="837" spans="1:98" s="35" customFormat="1" x14ac:dyDescent="0.35">
      <c r="A837" s="34" t="s">
        <v>1581</v>
      </c>
      <c r="B837" s="34" t="s">
        <v>1601</v>
      </c>
      <c r="C837" s="35" t="s">
        <v>1582</v>
      </c>
      <c r="D837" s="35">
        <v>2022</v>
      </c>
      <c r="E837" s="34" t="s">
        <v>1583</v>
      </c>
      <c r="F837" s="34" t="s">
        <v>1584</v>
      </c>
      <c r="G837" s="35" t="s">
        <v>78</v>
      </c>
      <c r="H837" s="35">
        <v>1</v>
      </c>
      <c r="I837" s="35" t="s">
        <v>390</v>
      </c>
      <c r="J837" s="35" t="s">
        <v>79</v>
      </c>
      <c r="K837" s="35">
        <v>11</v>
      </c>
      <c r="L837" s="35" t="s">
        <v>129</v>
      </c>
      <c r="M837" s="35" t="s">
        <v>380</v>
      </c>
      <c r="N837" s="35">
        <v>141.06800000000001</v>
      </c>
      <c r="O837" s="35">
        <v>179.76400000000001</v>
      </c>
      <c r="P837" s="89">
        <f>N837/O837</f>
        <v>0.7847399924345253</v>
      </c>
      <c r="Q837" s="35" t="s">
        <v>312</v>
      </c>
      <c r="R837" s="89">
        <f>N837-1.96*O837</f>
        <v>-211.26944</v>
      </c>
      <c r="S837" s="89">
        <f>N837+1.96*O837</f>
        <v>493.40544</v>
      </c>
      <c r="T837" s="35">
        <v>1</v>
      </c>
      <c r="U837" s="35">
        <v>7859</v>
      </c>
      <c r="V837" s="35" t="s">
        <v>312</v>
      </c>
      <c r="W837" s="35" t="s">
        <v>312</v>
      </c>
      <c r="X837" s="35">
        <f t="shared" si="342"/>
        <v>7859</v>
      </c>
      <c r="Y837" s="89">
        <f>P837/(P837^2 + X837)^(1/2)</f>
        <v>8.8516682148153565E-3</v>
      </c>
      <c r="Z837" s="89">
        <f>((1-Y837^2)/X837)^(1/2)</f>
        <v>1.1279746540449057E-2</v>
      </c>
      <c r="AA837" s="89">
        <f>-Y837</f>
        <v>-8.8516682148153565E-3</v>
      </c>
      <c r="AB837" s="35" t="s">
        <v>81</v>
      </c>
      <c r="AC837" s="89">
        <f t="shared" si="338"/>
        <v>1.2647645025973181E-2</v>
      </c>
      <c r="AD837" s="89" cm="1">
        <f t="array" ref="AD837">_xlfn.IFS(
AND(L837="marginal_effect",M837="level"),N837*AN837/BF837,
AND(L837="marginal_effect",M837="sd (Y)"),N837*BI837*AN837/BF837,
AND(L837="marginal_effect",M837="sd (X)"),N837/AQ837*AN837/BF837,
AND(L837="semi_elasticity",M837="level"),N837*AN837,
AND(L837="semi_elasticity",M837="sd (Y)"),N837*AN837*BI837,
AND(L837="semi_elasticity",M837="sd (X)"),N837*AN837/AQ837,
AND(L837="level-log",M837="level"),N837/BF837,
AND(L837="level-log",M837="sd (X)"),N837/BF837/AQ837,
AND(L837="level-log",M837="sd (Y)"),N837/BF837*BI837,
AND(L837="elasticity",M837="level"),N837,
AND(L837="elasticity",M837="sd (X)"),N837/AQ837,
AND(L837="elasticity",M837="sd (Y)"),N837*BI837,
AND(L837="marginal_effect",M837="percent_of_mean"),N837*AN837/BF837/10)</f>
        <v>1.2647645025973181E-2</v>
      </c>
      <c r="AE837" s="49">
        <f t="shared" si="341"/>
        <v>1</v>
      </c>
      <c r="AF837" s="89">
        <f>O837*AN837/BF837</f>
        <v>1.611698798061249E-2</v>
      </c>
      <c r="AG837" s="89" cm="1">
        <f t="array" ref="AG837">_xlfn.IFS(
AND(L837="marginal_effect",M837="level"),O837*AN837/BF837,
AND(L837="marginal_effect",M837="sd (Y)"),O837*BI837*AN837/BF837,
AND(L837="marginal_effect",M837="sd (X)"),O837/AQ837*AN837/BF837,
AND(L837="semi_elasticity",M837="level"),O837*AN837,
AND(L837="semi_elasticity",M837="sd (Y)"),O837*AN837*BI837,
AND(L837="semi_elasticity",M837="sd (X)"),O837*AN837/AQ837,
AND(L837="level-log",M837="level"),O837/BF837,
AND(L837="level-log",M837="sd (X)"),O837/BF837/AQ837,
AND(L837="level-log",M837="sd (Y)"),O837/BF837*BI837,
AND(L837="elasticity",M837="level"),O837,
AND(L837="elasticity",M837="sd (X)"),O837/AQ837,
AND(L837="elasticity",M837="sd (Y)"),O837*BI837,
AND(L837="marginal_effect",M837="percent_of_mean"),O837*AN837/BF837/10)</f>
        <v>1.611698798061249E-2</v>
      </c>
      <c r="AH837" s="49">
        <f>IF(AF837=AG837,1,0)</f>
        <v>1</v>
      </c>
      <c r="AI837" s="89">
        <f t="shared" si="339"/>
        <v>-1.2647645025973181E-2</v>
      </c>
      <c r="AJ837" s="35">
        <v>0</v>
      </c>
      <c r="AK837" s="35">
        <f>IF(P837=(AC837/AF837),1,0)</f>
        <v>1</v>
      </c>
      <c r="AL837" s="35" t="s">
        <v>148</v>
      </c>
      <c r="AM837" s="35" t="s">
        <v>590</v>
      </c>
      <c r="AN837" s="35">
        <v>3.3000000000000002E-2</v>
      </c>
      <c r="AO837" s="35">
        <v>1</v>
      </c>
      <c r="AP837" s="35">
        <f t="shared" si="340"/>
        <v>3.3000000000000002E-2</v>
      </c>
      <c r="AQ837" s="35">
        <v>1.2E-2</v>
      </c>
      <c r="AR837" s="35">
        <v>1.2E-2</v>
      </c>
      <c r="AS837" s="35">
        <v>5.8000000000000003E-2</v>
      </c>
      <c r="AT837" s="35" t="s">
        <v>83</v>
      </c>
      <c r="AU837" s="35" t="s">
        <v>109</v>
      </c>
      <c r="AV837" s="35" t="s">
        <v>133</v>
      </c>
      <c r="AW837" s="35" t="s">
        <v>109</v>
      </c>
      <c r="AX837" s="35" t="s">
        <v>86</v>
      </c>
      <c r="AY837" s="35">
        <v>0</v>
      </c>
      <c r="AZ837" s="35">
        <v>0</v>
      </c>
      <c r="BA837" s="35" t="s">
        <v>734</v>
      </c>
      <c r="BB837" s="35" t="s">
        <v>88</v>
      </c>
      <c r="BC837" s="35" t="s">
        <v>89</v>
      </c>
      <c r="BD837" s="35" t="s">
        <v>134</v>
      </c>
      <c r="BE837" s="35" t="s">
        <v>1585</v>
      </c>
      <c r="BF837" s="35">
        <v>368.072</v>
      </c>
      <c r="BG837" s="35">
        <v>1</v>
      </c>
      <c r="BH837" s="35">
        <v>46.688000000000002</v>
      </c>
      <c r="BI837" s="35">
        <v>244.63300000000001</v>
      </c>
      <c r="BJ837" s="35">
        <v>541.45000000000005</v>
      </c>
      <c r="BK837" s="35" t="s">
        <v>91</v>
      </c>
      <c r="BL837" s="35" t="s">
        <v>84</v>
      </c>
      <c r="BM837" s="35">
        <v>1</v>
      </c>
      <c r="BN837" s="35" t="s">
        <v>539</v>
      </c>
      <c r="BO837" s="35" t="s">
        <v>1586</v>
      </c>
      <c r="BP837" s="35" t="s">
        <v>1587</v>
      </c>
      <c r="BQ837" s="35" t="s">
        <v>92</v>
      </c>
      <c r="BR837" s="35" t="s">
        <v>134</v>
      </c>
      <c r="BS837" s="35" t="s">
        <v>312</v>
      </c>
      <c r="BT837" s="35">
        <v>0.248</v>
      </c>
      <c r="BU837" s="35">
        <v>2012</v>
      </c>
      <c r="BV837" s="35">
        <v>2019</v>
      </c>
      <c r="BW837" s="35" t="s">
        <v>1588</v>
      </c>
      <c r="BX837" s="35" t="s">
        <v>95</v>
      </c>
      <c r="BY837" s="35" t="s">
        <v>96</v>
      </c>
      <c r="BZ837" s="35">
        <v>0</v>
      </c>
      <c r="CA837" s="35">
        <v>0</v>
      </c>
      <c r="CB837" s="35" t="s">
        <v>97</v>
      </c>
      <c r="CC837" s="35" t="s">
        <v>719</v>
      </c>
      <c r="CD837" s="35">
        <v>1</v>
      </c>
      <c r="CE837" s="35" t="s">
        <v>1589</v>
      </c>
      <c r="CF837" s="35">
        <v>1</v>
      </c>
      <c r="CG837" s="35" t="s">
        <v>82</v>
      </c>
      <c r="CH837" s="35">
        <v>1</v>
      </c>
      <c r="CI837" s="35" t="s">
        <v>97</v>
      </c>
      <c r="CJ837" s="35" t="s">
        <v>98</v>
      </c>
      <c r="CK837" s="35">
        <v>66</v>
      </c>
      <c r="CL837" s="35">
        <v>0</v>
      </c>
      <c r="CM837" s="35">
        <v>0</v>
      </c>
      <c r="CN837" s="35" t="s">
        <v>99</v>
      </c>
      <c r="CO837" s="35" t="s">
        <v>1664</v>
      </c>
      <c r="CP837" s="35" t="s">
        <v>100</v>
      </c>
      <c r="CQ837" s="35" t="s">
        <v>126</v>
      </c>
      <c r="CR837" s="36">
        <v>46233</v>
      </c>
      <c r="CT837" s="35" t="s">
        <v>1205</v>
      </c>
    </row>
    <row r="838" spans="1:98" s="35" customFormat="1" x14ac:dyDescent="0.35">
      <c r="A838" s="34" t="s">
        <v>1581</v>
      </c>
      <c r="B838" s="34" t="s">
        <v>1604</v>
      </c>
      <c r="C838" s="35" t="s">
        <v>1582</v>
      </c>
      <c r="D838" s="35">
        <v>2022</v>
      </c>
      <c r="E838" s="34" t="s">
        <v>1583</v>
      </c>
      <c r="F838" s="34" t="s">
        <v>1584</v>
      </c>
      <c r="G838" s="35" t="s">
        <v>78</v>
      </c>
      <c r="H838" s="35">
        <v>1</v>
      </c>
      <c r="I838" s="35" t="s">
        <v>390</v>
      </c>
      <c r="J838" s="35" t="s">
        <v>79</v>
      </c>
      <c r="K838" s="35">
        <v>11</v>
      </c>
      <c r="L838" s="35" t="s">
        <v>129</v>
      </c>
      <c r="M838" s="35" t="s">
        <v>380</v>
      </c>
      <c r="N838" s="35">
        <f>0.733-0.172+0.988</f>
        <v>1.5489999999999999</v>
      </c>
      <c r="O838" s="35" t="s">
        <v>312</v>
      </c>
      <c r="P838" s="89" t="s">
        <v>312</v>
      </c>
      <c r="Q838" s="35" t="s">
        <v>312</v>
      </c>
      <c r="R838" s="89" t="s">
        <v>312</v>
      </c>
      <c r="S838" s="89" t="s">
        <v>312</v>
      </c>
      <c r="T838" s="35" t="s">
        <v>312</v>
      </c>
      <c r="U838" s="35">
        <v>7859</v>
      </c>
      <c r="V838" s="35" t="s">
        <v>312</v>
      </c>
      <c r="W838" s="35" t="s">
        <v>312</v>
      </c>
      <c r="X838" s="35">
        <f t="shared" si="342"/>
        <v>7859</v>
      </c>
      <c r="Y838" s="89" t="s">
        <v>312</v>
      </c>
      <c r="Z838" s="89" t="s">
        <v>312</v>
      </c>
      <c r="AA838" s="89" t="s">
        <v>312</v>
      </c>
      <c r="AB838" s="35" t="s">
        <v>312</v>
      </c>
      <c r="AC838" s="89">
        <f t="shared" si="338"/>
        <v>4.2336662392140671E-2</v>
      </c>
      <c r="AD838" s="89" cm="1">
        <f t="array" ref="AD838">_xlfn.IFS(
AND(L838="marginal_effect",M838="level"),N838*AN838/BF838,
AND(L838="marginal_effect",M838="sd (Y)"),N838*BI838*AN838/BF838,
AND(L838="marginal_effect",M838="sd (X)"),N838/AQ838*AN838/BF838,
AND(L838="semi_elasticity",M838="level"),N838*AN838,
AND(L838="semi_elasticity",M838="sd (Y)"),N838*AN838*BI838,
AND(L838="semi_elasticity",M838="sd (X)"),N838*AN838/AQ838,
AND(L838="level-log",M838="level"),N838/BF838,
AND(L838="level-log",M838="sd (X)"),N838/BF838/AQ838,
AND(L838="level-log",M838="sd (Y)"),N838/BF838*BI838,
AND(L838="elasticity",M838="level"),N838,
AND(L838="elasticity",M838="sd (X)"),N838/AQ838,
AND(L838="elasticity",M838="sd (Y)"),N838*BI838,
AND(L838="marginal_effect",M838="percent_of_mean"),N838*AN838/BF838/10)</f>
        <v>4.2336662392140671E-2</v>
      </c>
      <c r="AE838" s="49">
        <f t="shared" si="341"/>
        <v>1</v>
      </c>
      <c r="AF838" s="89" t="s">
        <v>312</v>
      </c>
      <c r="AG838" s="89" t="s">
        <v>312</v>
      </c>
      <c r="AH838" s="49" t="s">
        <v>312</v>
      </c>
      <c r="AI838" s="89">
        <f t="shared" si="339"/>
        <v>-4.2336662392140671E-2</v>
      </c>
      <c r="AJ838" s="35">
        <v>0</v>
      </c>
      <c r="AK838" s="35" t="s">
        <v>312</v>
      </c>
      <c r="AL838" s="35" t="s">
        <v>82</v>
      </c>
      <c r="AM838" s="35" t="s">
        <v>1333</v>
      </c>
      <c r="AN838" s="35">
        <v>10.06</v>
      </c>
      <c r="AO838" s="35">
        <v>1</v>
      </c>
      <c r="AP838" s="35">
        <f t="shared" si="340"/>
        <v>10.06</v>
      </c>
      <c r="AQ838" s="35">
        <v>4.6970000000000001</v>
      </c>
      <c r="AR838" s="35">
        <v>1.8</v>
      </c>
      <c r="AS838" s="35">
        <v>20.75</v>
      </c>
      <c r="AT838" s="35" t="s">
        <v>83</v>
      </c>
      <c r="AU838" s="35" t="s">
        <v>109</v>
      </c>
      <c r="AV838" s="35" t="s">
        <v>133</v>
      </c>
      <c r="AW838" s="35" t="s">
        <v>109</v>
      </c>
      <c r="AX838" s="35" t="s">
        <v>86</v>
      </c>
      <c r="AY838" s="35">
        <v>0</v>
      </c>
      <c r="AZ838" s="35">
        <v>0</v>
      </c>
      <c r="BA838" s="35" t="s">
        <v>734</v>
      </c>
      <c r="BB838" s="35" t="s">
        <v>88</v>
      </c>
      <c r="BC838" s="35" t="s">
        <v>89</v>
      </c>
      <c r="BD838" s="35" t="s">
        <v>134</v>
      </c>
      <c r="BE838" s="35" t="s">
        <v>1585</v>
      </c>
      <c r="BF838" s="35">
        <v>368.072</v>
      </c>
      <c r="BG838" s="35">
        <v>1</v>
      </c>
      <c r="BH838" s="35">
        <v>46.688000000000002</v>
      </c>
      <c r="BI838" s="35">
        <v>244.63300000000001</v>
      </c>
      <c r="BJ838" s="35">
        <v>541.45000000000005</v>
      </c>
      <c r="BK838" s="35" t="s">
        <v>91</v>
      </c>
      <c r="BL838" s="35" t="s">
        <v>84</v>
      </c>
      <c r="BM838" s="35">
        <v>1</v>
      </c>
      <c r="BN838" s="35" t="s">
        <v>539</v>
      </c>
      <c r="BO838" s="35" t="s">
        <v>1586</v>
      </c>
      <c r="BP838" s="35" t="s">
        <v>1587</v>
      </c>
      <c r="BQ838" s="35" t="s">
        <v>92</v>
      </c>
      <c r="BR838" s="35" t="s">
        <v>134</v>
      </c>
      <c r="BS838" s="35" t="s">
        <v>312</v>
      </c>
      <c r="BT838" s="35">
        <v>0.248</v>
      </c>
      <c r="BU838" s="35">
        <v>2012</v>
      </c>
      <c r="BV838" s="35">
        <v>2019</v>
      </c>
      <c r="BW838" s="35" t="s">
        <v>1588</v>
      </c>
      <c r="BX838" s="35" t="s">
        <v>95</v>
      </c>
      <c r="BY838" s="35" t="s">
        <v>96</v>
      </c>
      <c r="BZ838" s="35">
        <v>0</v>
      </c>
      <c r="CA838" s="35">
        <v>0</v>
      </c>
      <c r="CB838" s="35" t="s">
        <v>97</v>
      </c>
      <c r="CC838" s="35" t="s">
        <v>719</v>
      </c>
      <c r="CD838" s="35">
        <v>1</v>
      </c>
      <c r="CE838" s="35" t="s">
        <v>1589</v>
      </c>
      <c r="CF838" s="35">
        <v>1</v>
      </c>
      <c r="CG838" s="35" t="s">
        <v>396</v>
      </c>
      <c r="CH838" s="35">
        <v>1</v>
      </c>
      <c r="CI838" s="35" t="s">
        <v>97</v>
      </c>
      <c r="CJ838" s="35" t="s">
        <v>98</v>
      </c>
      <c r="CK838" s="35">
        <v>66</v>
      </c>
      <c r="CL838" s="35">
        <v>0</v>
      </c>
      <c r="CM838" s="35">
        <v>0</v>
      </c>
      <c r="CN838" s="35" t="s">
        <v>99</v>
      </c>
      <c r="CO838" s="35" t="s">
        <v>1664</v>
      </c>
      <c r="CP838" s="35" t="s">
        <v>100</v>
      </c>
      <c r="CQ838" s="35" t="s">
        <v>126</v>
      </c>
      <c r="CR838" s="36">
        <v>46233</v>
      </c>
      <c r="CT838" s="35" t="s">
        <v>1205</v>
      </c>
    </row>
    <row r="839" spans="1:98" s="35" customFormat="1" x14ac:dyDescent="0.35">
      <c r="A839" s="34" t="s">
        <v>1581</v>
      </c>
      <c r="B839" s="34" t="s">
        <v>1605</v>
      </c>
      <c r="C839" s="35" t="s">
        <v>1582</v>
      </c>
      <c r="D839" s="35">
        <v>2022</v>
      </c>
      <c r="E839" s="34" t="s">
        <v>1583</v>
      </c>
      <c r="F839" s="34" t="s">
        <v>1584</v>
      </c>
      <c r="G839" s="35" t="s">
        <v>78</v>
      </c>
      <c r="H839" s="35">
        <v>1</v>
      </c>
      <c r="I839" s="35" t="s">
        <v>390</v>
      </c>
      <c r="J839" s="35" t="s">
        <v>79</v>
      </c>
      <c r="K839" s="35">
        <v>11</v>
      </c>
      <c r="L839" s="35" t="s">
        <v>129</v>
      </c>
      <c r="M839" s="35" t="s">
        <v>380</v>
      </c>
      <c r="N839" s="35">
        <f>0.733+0.988</f>
        <v>1.7210000000000001</v>
      </c>
      <c r="O839" s="35" t="s">
        <v>312</v>
      </c>
      <c r="P839" s="89" t="s">
        <v>312</v>
      </c>
      <c r="Q839" s="35" t="s">
        <v>312</v>
      </c>
      <c r="R839" s="89" t="s">
        <v>312</v>
      </c>
      <c r="S839" s="89" t="s">
        <v>312</v>
      </c>
      <c r="T839" s="35" t="s">
        <v>312</v>
      </c>
      <c r="U839" s="35">
        <v>7859</v>
      </c>
      <c r="V839" s="35" t="s">
        <v>312</v>
      </c>
      <c r="W839" s="35" t="s">
        <v>312</v>
      </c>
      <c r="X839" s="35">
        <f t="shared" si="342"/>
        <v>7859</v>
      </c>
      <c r="Y839" s="89" t="s">
        <v>312</v>
      </c>
      <c r="Z839" s="89" t="s">
        <v>312</v>
      </c>
      <c r="AA839" s="89" t="s">
        <v>312</v>
      </c>
      <c r="AB839" s="35" t="s">
        <v>312</v>
      </c>
      <c r="AC839" s="89">
        <f t="shared" si="338"/>
        <v>4.7037699145819303E-2</v>
      </c>
      <c r="AD839" s="89" cm="1">
        <f t="array" ref="AD839">_xlfn.IFS(
AND(L839="marginal_effect",M839="level"),N839*AN839/BF839,
AND(L839="marginal_effect",M839="sd (Y)"),N839*BI839*AN839/BF839,
AND(L839="marginal_effect",M839="sd (X)"),N839/AQ839*AN839/BF839,
AND(L839="semi_elasticity",M839="level"),N839*AN839,
AND(L839="semi_elasticity",M839="sd (Y)"),N839*AN839*BI839,
AND(L839="semi_elasticity",M839="sd (X)"),N839*AN839/AQ839,
AND(L839="level-log",M839="level"),N839/BF839,
AND(L839="level-log",M839="sd (X)"),N839/BF839/AQ839,
AND(L839="level-log",M839="sd (Y)"),N839/BF839*BI839,
AND(L839="elasticity",M839="level"),N839,
AND(L839="elasticity",M839="sd (X)"),N839/AQ839,
AND(L839="elasticity",M839="sd (Y)"),N839*BI839,
AND(L839="marginal_effect",M839="percent_of_mean"),N839*AN839/BF839/10)</f>
        <v>4.7037699145819303E-2</v>
      </c>
      <c r="AE839" s="49">
        <f t="shared" si="341"/>
        <v>1</v>
      </c>
      <c r="AF839" s="89" t="s">
        <v>312</v>
      </c>
      <c r="AG839" s="89" t="s">
        <v>312</v>
      </c>
      <c r="AH839" s="49" t="s">
        <v>312</v>
      </c>
      <c r="AI839" s="89">
        <f t="shared" si="339"/>
        <v>-4.7037699145819303E-2</v>
      </c>
      <c r="AJ839" s="35">
        <v>0</v>
      </c>
      <c r="AK839" s="35" t="s">
        <v>312</v>
      </c>
      <c r="AL839" s="35" t="s">
        <v>82</v>
      </c>
      <c r="AM839" s="35" t="s">
        <v>1333</v>
      </c>
      <c r="AN839" s="35">
        <v>10.06</v>
      </c>
      <c r="AO839" s="35">
        <v>1</v>
      </c>
      <c r="AP839" s="35">
        <f t="shared" si="340"/>
        <v>10.06</v>
      </c>
      <c r="AQ839" s="35">
        <v>4.6970000000000001</v>
      </c>
      <c r="AR839" s="35">
        <v>1.8</v>
      </c>
      <c r="AS839" s="35">
        <v>20.75</v>
      </c>
      <c r="AT839" s="35" t="s">
        <v>83</v>
      </c>
      <c r="AU839" s="35" t="s">
        <v>109</v>
      </c>
      <c r="AV839" s="35" t="s">
        <v>133</v>
      </c>
      <c r="AW839" s="35" t="s">
        <v>109</v>
      </c>
      <c r="AX839" s="35" t="s">
        <v>86</v>
      </c>
      <c r="AY839" s="35">
        <v>0</v>
      </c>
      <c r="AZ839" s="35">
        <v>0</v>
      </c>
      <c r="BA839" s="35" t="s">
        <v>734</v>
      </c>
      <c r="BB839" s="35" t="s">
        <v>88</v>
      </c>
      <c r="BC839" s="35" t="s">
        <v>89</v>
      </c>
      <c r="BD839" s="35" t="s">
        <v>134</v>
      </c>
      <c r="BE839" s="35" t="s">
        <v>1585</v>
      </c>
      <c r="BF839" s="35">
        <v>368.072</v>
      </c>
      <c r="BG839" s="35">
        <v>1</v>
      </c>
      <c r="BH839" s="35">
        <v>46.688000000000002</v>
      </c>
      <c r="BI839" s="35">
        <v>244.63300000000001</v>
      </c>
      <c r="BJ839" s="35">
        <v>541.45000000000005</v>
      </c>
      <c r="BK839" s="35" t="s">
        <v>91</v>
      </c>
      <c r="BL839" s="35" t="s">
        <v>84</v>
      </c>
      <c r="BM839" s="35">
        <v>1</v>
      </c>
      <c r="BN839" s="35" t="s">
        <v>539</v>
      </c>
      <c r="BO839" s="35" t="s">
        <v>1586</v>
      </c>
      <c r="BP839" s="35" t="s">
        <v>1587</v>
      </c>
      <c r="BQ839" s="35" t="s">
        <v>92</v>
      </c>
      <c r="BR839" s="35" t="s">
        <v>134</v>
      </c>
      <c r="BS839" s="35" t="s">
        <v>312</v>
      </c>
      <c r="BT839" s="35">
        <v>0.248</v>
      </c>
      <c r="BU839" s="35">
        <v>2012</v>
      </c>
      <c r="BV839" s="35">
        <v>2019</v>
      </c>
      <c r="BW839" s="35" t="s">
        <v>1588</v>
      </c>
      <c r="BX839" s="35" t="s">
        <v>95</v>
      </c>
      <c r="BY839" s="35" t="s">
        <v>96</v>
      </c>
      <c r="BZ839" s="35">
        <v>0</v>
      </c>
      <c r="CA839" s="35">
        <v>0</v>
      </c>
      <c r="CB839" s="35" t="s">
        <v>97</v>
      </c>
      <c r="CC839" s="35" t="s">
        <v>719</v>
      </c>
      <c r="CD839" s="35">
        <v>1</v>
      </c>
      <c r="CE839" s="35" t="s">
        <v>1589</v>
      </c>
      <c r="CF839" s="35">
        <v>1</v>
      </c>
      <c r="CG839" s="35" t="s">
        <v>396</v>
      </c>
      <c r="CH839" s="35">
        <v>1</v>
      </c>
      <c r="CI839" s="35" t="s">
        <v>97</v>
      </c>
      <c r="CJ839" s="35" t="s">
        <v>98</v>
      </c>
      <c r="CK839" s="35">
        <v>66</v>
      </c>
      <c r="CL839" s="35">
        <v>0</v>
      </c>
      <c r="CM839" s="35">
        <v>0</v>
      </c>
      <c r="CN839" s="35" t="s">
        <v>99</v>
      </c>
      <c r="CO839" s="35" t="s">
        <v>1664</v>
      </c>
      <c r="CP839" s="35" t="s">
        <v>100</v>
      </c>
      <c r="CQ839" s="35" t="s">
        <v>126</v>
      </c>
      <c r="CR839" s="36">
        <v>46233</v>
      </c>
      <c r="CT839" s="35" t="s">
        <v>1205</v>
      </c>
    </row>
    <row r="840" spans="1:98" s="35" customFormat="1" x14ac:dyDescent="0.35">
      <c r="A840" s="34" t="s">
        <v>1581</v>
      </c>
      <c r="B840" s="34" t="s">
        <v>1606</v>
      </c>
      <c r="C840" s="35" t="s">
        <v>1582</v>
      </c>
      <c r="D840" s="35">
        <v>2022</v>
      </c>
      <c r="E840" s="34" t="s">
        <v>1583</v>
      </c>
      <c r="F840" s="34" t="s">
        <v>1584</v>
      </c>
      <c r="G840" s="35" t="s">
        <v>78</v>
      </c>
      <c r="H840" s="35">
        <v>1</v>
      </c>
      <c r="I840" s="35" t="s">
        <v>390</v>
      </c>
      <c r="J840" s="35" t="s">
        <v>79</v>
      </c>
      <c r="K840" s="35">
        <v>11</v>
      </c>
      <c r="L840" s="35" t="s">
        <v>129</v>
      </c>
      <c r="M840" s="35" t="s">
        <v>380</v>
      </c>
      <c r="N840" s="35">
        <f>0.733-0.172</f>
        <v>0.56099999999999994</v>
      </c>
      <c r="O840" s="35" t="s">
        <v>312</v>
      </c>
      <c r="P840" s="89" t="s">
        <v>312</v>
      </c>
      <c r="Q840" s="35" t="s">
        <v>312</v>
      </c>
      <c r="R840" s="89" t="s">
        <v>312</v>
      </c>
      <c r="S840" s="89" t="s">
        <v>312</v>
      </c>
      <c r="T840" s="35" t="s">
        <v>312</v>
      </c>
      <c r="U840" s="35">
        <v>7859</v>
      </c>
      <c r="V840" s="35" t="s">
        <v>312</v>
      </c>
      <c r="W840" s="35" t="s">
        <v>312</v>
      </c>
      <c r="X840" s="35">
        <f t="shared" si="342"/>
        <v>7859</v>
      </c>
      <c r="Y840" s="89" t="s">
        <v>312</v>
      </c>
      <c r="Z840" s="89" t="s">
        <v>312</v>
      </c>
      <c r="AA840" s="89" t="s">
        <v>312</v>
      </c>
      <c r="AB840" s="35" t="s">
        <v>312</v>
      </c>
      <c r="AC840" s="89">
        <f t="shared" si="338"/>
        <v>1.5333032667521571E-2</v>
      </c>
      <c r="AD840" s="89" cm="1">
        <f t="array" ref="AD840">_xlfn.IFS(
AND(L840="marginal_effect",M840="level"),N840*AN840/BF840,
AND(L840="marginal_effect",M840="sd (Y)"),N840*BI840*AN840/BF840,
AND(L840="marginal_effect",M840="sd (X)"),N840/AQ840*AN840/BF840,
AND(L840="semi_elasticity",M840="level"),N840*AN840,
AND(L840="semi_elasticity",M840="sd (Y)"),N840*AN840*BI840,
AND(L840="semi_elasticity",M840="sd (X)"),N840*AN840/AQ840,
AND(L840="level-log",M840="level"),N840/BF840,
AND(L840="level-log",M840="sd (X)"),N840/BF840/AQ840,
AND(L840="level-log",M840="sd (Y)"),N840/BF840*BI840,
AND(L840="elasticity",M840="level"),N840,
AND(L840="elasticity",M840="sd (X)"),N840/AQ840,
AND(L840="elasticity",M840="sd (Y)"),N840*BI840,
AND(L840="marginal_effect",M840="percent_of_mean"),N840*AN840/BF840/10)</f>
        <v>1.5333032667521571E-2</v>
      </c>
      <c r="AE840" s="49">
        <f t="shared" si="341"/>
        <v>1</v>
      </c>
      <c r="AF840" s="89" t="s">
        <v>312</v>
      </c>
      <c r="AG840" s="89" t="s">
        <v>312</v>
      </c>
      <c r="AH840" s="49" t="s">
        <v>312</v>
      </c>
      <c r="AI840" s="89">
        <f t="shared" si="339"/>
        <v>-1.5333032667521571E-2</v>
      </c>
      <c r="AJ840" s="35">
        <v>0</v>
      </c>
      <c r="AK840" s="35" t="s">
        <v>312</v>
      </c>
      <c r="AL840" s="35" t="s">
        <v>82</v>
      </c>
      <c r="AM840" s="35" t="s">
        <v>1333</v>
      </c>
      <c r="AN840" s="35">
        <v>10.06</v>
      </c>
      <c r="AO840" s="35">
        <v>1</v>
      </c>
      <c r="AP840" s="35">
        <f t="shared" si="340"/>
        <v>10.06</v>
      </c>
      <c r="AQ840" s="35">
        <v>4.6970000000000001</v>
      </c>
      <c r="AR840" s="35">
        <v>1.8</v>
      </c>
      <c r="AS840" s="35">
        <v>20.75</v>
      </c>
      <c r="AT840" s="35" t="s">
        <v>83</v>
      </c>
      <c r="AU840" s="35" t="s">
        <v>109</v>
      </c>
      <c r="AV840" s="35" t="s">
        <v>133</v>
      </c>
      <c r="AW840" s="35" t="s">
        <v>109</v>
      </c>
      <c r="AX840" s="35" t="s">
        <v>86</v>
      </c>
      <c r="AY840" s="35">
        <v>0</v>
      </c>
      <c r="AZ840" s="35">
        <v>0</v>
      </c>
      <c r="BA840" s="35" t="s">
        <v>734</v>
      </c>
      <c r="BB840" s="35" t="s">
        <v>88</v>
      </c>
      <c r="BC840" s="35" t="s">
        <v>89</v>
      </c>
      <c r="BD840" s="35" t="s">
        <v>134</v>
      </c>
      <c r="BE840" s="35" t="s">
        <v>1585</v>
      </c>
      <c r="BF840" s="35">
        <v>368.072</v>
      </c>
      <c r="BG840" s="35">
        <v>1</v>
      </c>
      <c r="BH840" s="35">
        <v>46.688000000000002</v>
      </c>
      <c r="BI840" s="35">
        <v>244.63300000000001</v>
      </c>
      <c r="BJ840" s="35">
        <v>541.45000000000005</v>
      </c>
      <c r="BK840" s="35" t="s">
        <v>91</v>
      </c>
      <c r="BL840" s="35" t="s">
        <v>84</v>
      </c>
      <c r="BM840" s="35">
        <v>1</v>
      </c>
      <c r="BN840" s="35" t="s">
        <v>539</v>
      </c>
      <c r="BO840" s="35" t="s">
        <v>1586</v>
      </c>
      <c r="BP840" s="35" t="s">
        <v>1587</v>
      </c>
      <c r="BQ840" s="35" t="s">
        <v>92</v>
      </c>
      <c r="BR840" s="35" t="s">
        <v>134</v>
      </c>
      <c r="BS840" s="35" t="s">
        <v>312</v>
      </c>
      <c r="BT840" s="35">
        <v>0.248</v>
      </c>
      <c r="BU840" s="35">
        <v>2012</v>
      </c>
      <c r="BV840" s="35">
        <v>2019</v>
      </c>
      <c r="BW840" s="35" t="s">
        <v>1588</v>
      </c>
      <c r="BX840" s="35" t="s">
        <v>95</v>
      </c>
      <c r="BY840" s="35" t="s">
        <v>96</v>
      </c>
      <c r="BZ840" s="35">
        <v>0</v>
      </c>
      <c r="CA840" s="35">
        <v>0</v>
      </c>
      <c r="CB840" s="35" t="s">
        <v>97</v>
      </c>
      <c r="CC840" s="35" t="s">
        <v>719</v>
      </c>
      <c r="CD840" s="35">
        <v>1</v>
      </c>
      <c r="CE840" s="35" t="s">
        <v>1589</v>
      </c>
      <c r="CF840" s="35">
        <v>1</v>
      </c>
      <c r="CG840" s="35" t="s">
        <v>396</v>
      </c>
      <c r="CH840" s="35">
        <v>1</v>
      </c>
      <c r="CI840" s="35" t="s">
        <v>97</v>
      </c>
      <c r="CJ840" s="35" t="s">
        <v>98</v>
      </c>
      <c r="CK840" s="35">
        <v>66</v>
      </c>
      <c r="CL840" s="35">
        <v>0</v>
      </c>
      <c r="CM840" s="35">
        <v>0</v>
      </c>
      <c r="CN840" s="35" t="s">
        <v>99</v>
      </c>
      <c r="CO840" s="35" t="s">
        <v>1664</v>
      </c>
      <c r="CP840" s="35" t="s">
        <v>100</v>
      </c>
      <c r="CQ840" s="35" t="s">
        <v>126</v>
      </c>
      <c r="CR840" s="36">
        <v>46233</v>
      </c>
      <c r="CT840" s="35" t="s">
        <v>1205</v>
      </c>
    </row>
    <row r="841" spans="1:98" s="35" customFormat="1" x14ac:dyDescent="0.35">
      <c r="A841" s="34" t="s">
        <v>1581</v>
      </c>
      <c r="B841" s="34" t="s">
        <v>1607</v>
      </c>
      <c r="C841" s="35" t="s">
        <v>1582</v>
      </c>
      <c r="D841" s="35">
        <v>2022</v>
      </c>
      <c r="E841" s="34" t="s">
        <v>1583</v>
      </c>
      <c r="F841" s="34" t="s">
        <v>1584</v>
      </c>
      <c r="G841" s="35" t="s">
        <v>78</v>
      </c>
      <c r="H841" s="35">
        <v>1</v>
      </c>
      <c r="I841" s="35" t="s">
        <v>390</v>
      </c>
      <c r="J841" s="35" t="s">
        <v>79</v>
      </c>
      <c r="K841" s="35">
        <v>11</v>
      </c>
      <c r="L841" s="35" t="s">
        <v>129</v>
      </c>
      <c r="M841" s="35" t="s">
        <v>380</v>
      </c>
      <c r="N841" s="35">
        <v>0.73299999999999998</v>
      </c>
      <c r="O841" s="35">
        <v>0.19700000000000001</v>
      </c>
      <c r="P841" s="89">
        <f>N841/O841</f>
        <v>3.7208121827411165</v>
      </c>
      <c r="Q841" s="35" t="s">
        <v>312</v>
      </c>
      <c r="R841" s="89">
        <f>N841-1.96*O841</f>
        <v>0.34687999999999997</v>
      </c>
      <c r="S841" s="89">
        <f>N841+1.96*O841</f>
        <v>1.1191200000000001</v>
      </c>
      <c r="T841" s="35">
        <v>1</v>
      </c>
      <c r="U841" s="35">
        <v>7859</v>
      </c>
      <c r="V841" s="35" t="s">
        <v>312</v>
      </c>
      <c r="W841" s="35" t="s">
        <v>312</v>
      </c>
      <c r="X841" s="35">
        <f t="shared" si="342"/>
        <v>7859</v>
      </c>
      <c r="Y841" s="89">
        <f>P841/(P841^2 + X841)^(1/2)</f>
        <v>4.1934542882672558E-2</v>
      </c>
      <c r="Z841" s="89">
        <f>((1-Y841^2)/X841)^(1/2)</f>
        <v>1.1270265958917456E-2</v>
      </c>
      <c r="AA841" s="89">
        <f>-Y841</f>
        <v>-4.1934542882672558E-2</v>
      </c>
      <c r="AB841" s="35" t="s">
        <v>81</v>
      </c>
      <c r="AC841" s="89">
        <f t="shared" si="338"/>
        <v>2.0034069421200201E-2</v>
      </c>
      <c r="AD841" s="89" cm="1">
        <f t="array" ref="AD841">_xlfn.IFS(
AND(L841="marginal_effect",M841="level"),N841*AN841/BF841,
AND(L841="marginal_effect",M841="sd (Y)"),N841*BI841*AN841/BF841,
AND(L841="marginal_effect",M841="sd (X)"),N841/AQ841*AN841/BF841,
AND(L841="semi_elasticity",M841="level"),N841*AN841,
AND(L841="semi_elasticity",M841="sd (Y)"),N841*AN841*BI841,
AND(L841="semi_elasticity",M841="sd (X)"),N841*AN841/AQ841,
AND(L841="level-log",M841="level"),N841/BF841,
AND(L841="level-log",M841="sd (X)"),N841/BF841/AQ841,
AND(L841="level-log",M841="sd (Y)"),N841/BF841*BI841,
AND(L841="elasticity",M841="level"),N841,
AND(L841="elasticity",M841="sd (X)"),N841/AQ841,
AND(L841="elasticity",M841="sd (Y)"),N841*BI841,
AND(L841="marginal_effect",M841="percent_of_mean"),N841*AN841/BF841/10)</f>
        <v>2.0034069421200201E-2</v>
      </c>
      <c r="AE841" s="49">
        <f t="shared" si="341"/>
        <v>1</v>
      </c>
      <c r="AF841" s="89">
        <f>O841*AN841/BF841</f>
        <v>5.3843269795040101E-3</v>
      </c>
      <c r="AG841" s="89" cm="1">
        <f t="array" ref="AG841">_xlfn.IFS(
AND(L841="marginal_effect",M841="level"),O841*AN841/BF841,
AND(L841="marginal_effect",M841="sd (Y)"),O841*BI841*AN841/BF841,
AND(L841="marginal_effect",M841="sd (X)"),O841/AQ841*AN841/BF841,
AND(L841="semi_elasticity",M841="level"),O841*AN841,
AND(L841="semi_elasticity",M841="sd (Y)"),O841*AN841*BI841,
AND(L841="semi_elasticity",M841="sd (X)"),O841*AN841/AQ841,
AND(L841="level-log",M841="level"),O841/BF841,
AND(L841="level-log",M841="sd (X)"),O841/BF841/AQ841,
AND(L841="level-log",M841="sd (Y)"),O841/BF841*BI841,
AND(L841="elasticity",M841="level"),O841,
AND(L841="elasticity",M841="sd (X)"),O841/AQ841,
AND(L841="elasticity",M841="sd (Y)"),O841*BI841,
AND(L841="marginal_effect",M841="percent_of_mean"),O841*AN841/BF841/10)</f>
        <v>5.3843269795040101E-3</v>
      </c>
      <c r="AH841" s="49">
        <f>IF(AF841=AG841,1,0)</f>
        <v>1</v>
      </c>
      <c r="AI841" s="89">
        <f t="shared" si="339"/>
        <v>-2.0034069421200201E-2</v>
      </c>
      <c r="AJ841" s="35">
        <v>0</v>
      </c>
      <c r="AK841" s="35">
        <f>IF(P841=(AC841/AF841),1,0)</f>
        <v>1</v>
      </c>
      <c r="AL841" s="35" t="s">
        <v>82</v>
      </c>
      <c r="AM841" s="35" t="s">
        <v>1333</v>
      </c>
      <c r="AN841" s="35">
        <v>10.06</v>
      </c>
      <c r="AO841" s="35">
        <v>1</v>
      </c>
      <c r="AP841" s="35">
        <f t="shared" si="340"/>
        <v>10.06</v>
      </c>
      <c r="AQ841" s="35">
        <v>4.6970000000000001</v>
      </c>
      <c r="AR841" s="35">
        <v>1.8</v>
      </c>
      <c r="AS841" s="35">
        <v>20.75</v>
      </c>
      <c r="AT841" s="35" t="s">
        <v>83</v>
      </c>
      <c r="AU841" s="35" t="s">
        <v>109</v>
      </c>
      <c r="AV841" s="35" t="s">
        <v>133</v>
      </c>
      <c r="AW841" s="35" t="s">
        <v>109</v>
      </c>
      <c r="AX841" s="35" t="s">
        <v>86</v>
      </c>
      <c r="AY841" s="35">
        <v>0</v>
      </c>
      <c r="AZ841" s="35">
        <v>0</v>
      </c>
      <c r="BA841" s="35" t="s">
        <v>734</v>
      </c>
      <c r="BB841" s="35" t="s">
        <v>88</v>
      </c>
      <c r="BC841" s="35" t="s">
        <v>89</v>
      </c>
      <c r="BD841" s="35" t="s">
        <v>134</v>
      </c>
      <c r="BE841" s="35" t="s">
        <v>1585</v>
      </c>
      <c r="BF841" s="35">
        <v>368.072</v>
      </c>
      <c r="BG841" s="35">
        <v>1</v>
      </c>
      <c r="BH841" s="35">
        <v>46.688000000000002</v>
      </c>
      <c r="BI841" s="35">
        <v>244.63300000000001</v>
      </c>
      <c r="BJ841" s="35">
        <v>541.45000000000005</v>
      </c>
      <c r="BK841" s="35" t="s">
        <v>91</v>
      </c>
      <c r="BL841" s="35" t="s">
        <v>84</v>
      </c>
      <c r="BM841" s="35">
        <v>1</v>
      </c>
      <c r="BN841" s="35" t="s">
        <v>539</v>
      </c>
      <c r="BO841" s="35" t="s">
        <v>1586</v>
      </c>
      <c r="BP841" s="35" t="s">
        <v>1587</v>
      </c>
      <c r="BQ841" s="35" t="s">
        <v>92</v>
      </c>
      <c r="BR841" s="35" t="s">
        <v>134</v>
      </c>
      <c r="BS841" s="35" t="s">
        <v>312</v>
      </c>
      <c r="BT841" s="35">
        <v>0.248</v>
      </c>
      <c r="BU841" s="35">
        <v>2012</v>
      </c>
      <c r="BV841" s="35">
        <v>2019</v>
      </c>
      <c r="BW841" s="35" t="s">
        <v>1588</v>
      </c>
      <c r="BX841" s="35" t="s">
        <v>95</v>
      </c>
      <c r="BY841" s="35" t="s">
        <v>96</v>
      </c>
      <c r="BZ841" s="35">
        <v>0</v>
      </c>
      <c r="CA841" s="35">
        <v>0</v>
      </c>
      <c r="CB841" s="35" t="s">
        <v>97</v>
      </c>
      <c r="CC841" s="35" t="s">
        <v>719</v>
      </c>
      <c r="CD841" s="35">
        <v>1</v>
      </c>
      <c r="CE841" s="35" t="s">
        <v>1589</v>
      </c>
      <c r="CF841" s="35">
        <v>1</v>
      </c>
      <c r="CG841" s="35" t="s">
        <v>396</v>
      </c>
      <c r="CH841" s="35">
        <v>1</v>
      </c>
      <c r="CI841" s="35" t="s">
        <v>97</v>
      </c>
      <c r="CJ841" s="35" t="s">
        <v>98</v>
      </c>
      <c r="CK841" s="35">
        <v>66</v>
      </c>
      <c r="CL841" s="35">
        <v>0</v>
      </c>
      <c r="CM841" s="35">
        <v>0</v>
      </c>
      <c r="CN841" s="35" t="s">
        <v>99</v>
      </c>
      <c r="CO841" s="35" t="s">
        <v>1664</v>
      </c>
      <c r="CP841" s="35" t="s">
        <v>100</v>
      </c>
      <c r="CQ841" s="35" t="s">
        <v>126</v>
      </c>
      <c r="CR841" s="36">
        <v>46233</v>
      </c>
      <c r="CT841" s="35" t="s">
        <v>1205</v>
      </c>
    </row>
    <row r="842" spans="1:98" s="35" customFormat="1" x14ac:dyDescent="0.35">
      <c r="A842" s="34" t="s">
        <v>1581</v>
      </c>
      <c r="B842" s="34" t="s">
        <v>1608</v>
      </c>
      <c r="C842" s="35" t="s">
        <v>1582</v>
      </c>
      <c r="D842" s="35">
        <v>2022</v>
      </c>
      <c r="E842" s="34" t="s">
        <v>1583</v>
      </c>
      <c r="F842" s="34" t="s">
        <v>1584</v>
      </c>
      <c r="G842" s="35" t="s">
        <v>78</v>
      </c>
      <c r="H842" s="35">
        <v>1</v>
      </c>
      <c r="I842" s="35" t="s">
        <v>390</v>
      </c>
      <c r="J842" s="35" t="s">
        <v>79</v>
      </c>
      <c r="K842" s="35">
        <v>11</v>
      </c>
      <c r="L842" s="35" t="s">
        <v>129</v>
      </c>
      <c r="M842" s="35" t="s">
        <v>380</v>
      </c>
      <c r="N842" s="35">
        <f>330.782-117.068-394.973</f>
        <v>-181.25900000000001</v>
      </c>
      <c r="O842" s="35" t="s">
        <v>312</v>
      </c>
      <c r="P842" s="89" t="s">
        <v>312</v>
      </c>
      <c r="Q842" s="35" t="s">
        <v>312</v>
      </c>
      <c r="R842" s="89" t="s">
        <v>312</v>
      </c>
      <c r="S842" s="89" t="s">
        <v>312</v>
      </c>
      <c r="T842" s="35" t="s">
        <v>312</v>
      </c>
      <c r="U842" s="35">
        <v>7859</v>
      </c>
      <c r="V842" s="35" t="s">
        <v>312</v>
      </c>
      <c r="W842" s="35" t="s">
        <v>312</v>
      </c>
      <c r="X842" s="35">
        <f t="shared" si="342"/>
        <v>7859</v>
      </c>
      <c r="Y842" s="89" t="s">
        <v>312</v>
      </c>
      <c r="Z842" s="89" t="s">
        <v>312</v>
      </c>
      <c r="AA842" s="89" t="s">
        <v>312</v>
      </c>
      <c r="AB842" s="35" t="s">
        <v>312</v>
      </c>
      <c r="AC842" s="89">
        <f t="shared" si="338"/>
        <v>-1.9345986907641957E-2</v>
      </c>
      <c r="AD842" s="89" cm="1">
        <f t="array" ref="AD842">_xlfn.IFS(
AND(L842="marginal_effect",M842="level"),N842*AN842/BF842,
AND(L842="marginal_effect",M842="sd (Y)"),N842*BI842*AN842/BF842,
AND(L842="marginal_effect",M842="sd (X)"),N842/AQ842*AN842/BF842,
AND(L842="semi_elasticity",M842="level"),N842*AN842,
AND(L842="semi_elasticity",M842="sd (Y)"),N842*AN842*BI842,
AND(L842="semi_elasticity",M842="sd (X)"),N842*AN842/AQ842,
AND(L842="level-log",M842="level"),N842/BF842,
AND(L842="level-log",M842="sd (X)"),N842/BF842/AQ842,
AND(L842="level-log",M842="sd (Y)"),N842/BF842*BI842,
AND(L842="elasticity",M842="level"),N842,
AND(L842="elasticity",M842="sd (X)"),N842/AQ842,
AND(L842="elasticity",M842="sd (Y)"),N842*BI842,
AND(L842="marginal_effect",M842="percent_of_mean"),N842*AN842/BF842/10)</f>
        <v>-1.9345986907641957E-2</v>
      </c>
      <c r="AE842" s="49">
        <f t="shared" si="341"/>
        <v>1</v>
      </c>
      <c r="AF842" s="89" t="s">
        <v>312</v>
      </c>
      <c r="AG842" s="89" t="s">
        <v>312</v>
      </c>
      <c r="AH842" s="49" t="s">
        <v>312</v>
      </c>
      <c r="AI842" s="89">
        <f t="shared" si="339"/>
        <v>1.9345986907641957E-2</v>
      </c>
      <c r="AJ842" s="35">
        <v>0</v>
      </c>
      <c r="AK842" s="35" t="s">
        <v>312</v>
      </c>
      <c r="AL842" s="35" t="s">
        <v>148</v>
      </c>
      <c r="AM842" s="35" t="s">
        <v>590</v>
      </c>
      <c r="AN842" s="35">
        <v>3.3000000000000002E-2</v>
      </c>
      <c r="AO842" s="35">
        <v>1</v>
      </c>
      <c r="AP842" s="35">
        <f t="shared" si="340"/>
        <v>3.3000000000000002E-2</v>
      </c>
      <c r="AQ842" s="35">
        <v>1.2E-2</v>
      </c>
      <c r="AR842" s="35">
        <v>1.2E-2</v>
      </c>
      <c r="AS842" s="35">
        <v>5.8000000000000003E-2</v>
      </c>
      <c r="AT842" s="35" t="s">
        <v>83</v>
      </c>
      <c r="AU842" s="35" t="s">
        <v>109</v>
      </c>
      <c r="AV842" s="35" t="s">
        <v>133</v>
      </c>
      <c r="AW842" s="35" t="s">
        <v>109</v>
      </c>
      <c r="AX842" s="35" t="s">
        <v>86</v>
      </c>
      <c r="AY842" s="35">
        <v>0</v>
      </c>
      <c r="AZ842" s="35">
        <v>0</v>
      </c>
      <c r="BA842" s="35" t="s">
        <v>734</v>
      </c>
      <c r="BB842" s="35" t="s">
        <v>88</v>
      </c>
      <c r="BC842" s="35" t="s">
        <v>89</v>
      </c>
      <c r="BD842" s="35" t="s">
        <v>134</v>
      </c>
      <c r="BE842" s="35" t="s">
        <v>1585</v>
      </c>
      <c r="BF842" s="35">
        <v>309.18799999999999</v>
      </c>
      <c r="BG842" s="35">
        <v>1</v>
      </c>
      <c r="BH842" s="35">
        <v>63.716000000000001</v>
      </c>
      <c r="BI842" s="35">
        <v>160.28299999999999</v>
      </c>
      <c r="BJ842" s="35">
        <v>810.11699999999996</v>
      </c>
      <c r="BK842" s="35" t="s">
        <v>91</v>
      </c>
      <c r="BL842" s="35" t="s">
        <v>84</v>
      </c>
      <c r="BM842" s="35">
        <v>1</v>
      </c>
      <c r="BN842" s="35" t="s">
        <v>539</v>
      </c>
      <c r="BO842" s="35" t="s">
        <v>1586</v>
      </c>
      <c r="BP842" s="35" t="s">
        <v>1587</v>
      </c>
      <c r="BQ842" s="35" t="s">
        <v>92</v>
      </c>
      <c r="BR842" s="35" t="s">
        <v>134</v>
      </c>
      <c r="BS842" s="35" t="s">
        <v>312</v>
      </c>
      <c r="BT842" s="35">
        <v>0.248</v>
      </c>
      <c r="BU842" s="35">
        <v>2012</v>
      </c>
      <c r="BV842" s="35">
        <v>2019</v>
      </c>
      <c r="BW842" s="35" t="s">
        <v>1588</v>
      </c>
      <c r="BX842" s="35" t="s">
        <v>95</v>
      </c>
      <c r="BY842" s="35" t="s">
        <v>96</v>
      </c>
      <c r="BZ842" s="35">
        <v>0</v>
      </c>
      <c r="CA842" s="35">
        <v>0</v>
      </c>
      <c r="CB842" s="35" t="s">
        <v>97</v>
      </c>
      <c r="CC842" s="35" t="s">
        <v>719</v>
      </c>
      <c r="CD842" s="35">
        <v>1</v>
      </c>
      <c r="CE842" s="35" t="s">
        <v>1589</v>
      </c>
      <c r="CF842" s="35">
        <v>1</v>
      </c>
      <c r="CG842" s="35" t="s">
        <v>82</v>
      </c>
      <c r="CH842" s="35">
        <v>1</v>
      </c>
      <c r="CI842" s="35" t="s">
        <v>97</v>
      </c>
      <c r="CJ842" s="35" t="s">
        <v>98</v>
      </c>
      <c r="CK842" s="35">
        <v>66</v>
      </c>
      <c r="CL842" s="35">
        <v>0</v>
      </c>
      <c r="CM842" s="35">
        <v>0</v>
      </c>
      <c r="CN842" s="35" t="s">
        <v>99</v>
      </c>
      <c r="CO842" s="35" t="s">
        <v>1664</v>
      </c>
      <c r="CP842" s="35" t="s">
        <v>100</v>
      </c>
      <c r="CQ842" s="35" t="s">
        <v>126</v>
      </c>
      <c r="CR842" s="36">
        <v>46233</v>
      </c>
      <c r="CT842" s="35" t="s">
        <v>1206</v>
      </c>
    </row>
    <row r="843" spans="1:98" s="35" customFormat="1" x14ac:dyDescent="0.35">
      <c r="A843" s="34" t="s">
        <v>1581</v>
      </c>
      <c r="B843" s="34" t="s">
        <v>1609</v>
      </c>
      <c r="C843" s="35" t="s">
        <v>1582</v>
      </c>
      <c r="D843" s="35">
        <v>2022</v>
      </c>
      <c r="E843" s="34" t="s">
        <v>1583</v>
      </c>
      <c r="F843" s="34" t="s">
        <v>1584</v>
      </c>
      <c r="G843" s="35" t="s">
        <v>78</v>
      </c>
      <c r="H843" s="35">
        <v>1</v>
      </c>
      <c r="I843" s="35" t="s">
        <v>390</v>
      </c>
      <c r="J843" s="35" t="s">
        <v>79</v>
      </c>
      <c r="K843" s="35">
        <v>11</v>
      </c>
      <c r="L843" s="35" t="s">
        <v>129</v>
      </c>
      <c r="M843" s="35" t="s">
        <v>380</v>
      </c>
      <c r="N843" s="35">
        <f>330.782-394.973</f>
        <v>-64.191000000000031</v>
      </c>
      <c r="O843" s="35" t="s">
        <v>312</v>
      </c>
      <c r="P843" s="89" t="s">
        <v>312</v>
      </c>
      <c r="Q843" s="35" t="s">
        <v>312</v>
      </c>
      <c r="R843" s="89" t="s">
        <v>312</v>
      </c>
      <c r="S843" s="89" t="s">
        <v>312</v>
      </c>
      <c r="T843" s="35" t="s">
        <v>312</v>
      </c>
      <c r="U843" s="35">
        <v>7859</v>
      </c>
      <c r="V843" s="35" t="s">
        <v>312</v>
      </c>
      <c r="W843" s="35" t="s">
        <v>312</v>
      </c>
      <c r="X843" s="35">
        <f t="shared" si="342"/>
        <v>7859</v>
      </c>
      <c r="Y843" s="89" t="s">
        <v>312</v>
      </c>
      <c r="Z843" s="89" t="s">
        <v>312</v>
      </c>
      <c r="AA843" s="89" t="s">
        <v>312</v>
      </c>
      <c r="AB843" s="35" t="s">
        <v>312</v>
      </c>
      <c r="AC843" s="89">
        <f t="shared" si="338"/>
        <v>-6.851181158389074E-3</v>
      </c>
      <c r="AD843" s="89" cm="1">
        <f t="array" ref="AD843">_xlfn.IFS(
AND(L843="marginal_effect",M843="level"),N843*AN843/BF843,
AND(L843="marginal_effect",M843="sd (Y)"),N843*BI843*AN843/BF843,
AND(L843="marginal_effect",M843="sd (X)"),N843/AQ843*AN843/BF843,
AND(L843="semi_elasticity",M843="level"),N843*AN843,
AND(L843="semi_elasticity",M843="sd (Y)"),N843*AN843*BI843,
AND(L843="semi_elasticity",M843="sd (X)"),N843*AN843/AQ843,
AND(L843="level-log",M843="level"),N843/BF843,
AND(L843="level-log",M843="sd (X)"),N843/BF843/AQ843,
AND(L843="level-log",M843="sd (Y)"),N843/BF843*BI843,
AND(L843="elasticity",M843="level"),N843,
AND(L843="elasticity",M843="sd (X)"),N843/AQ843,
AND(L843="elasticity",M843="sd (Y)"),N843*BI843,
AND(L843="marginal_effect",M843="percent_of_mean"),N843*AN843/BF843/10)</f>
        <v>-6.851181158389074E-3</v>
      </c>
      <c r="AE843" s="49">
        <f t="shared" si="341"/>
        <v>1</v>
      </c>
      <c r="AF843" s="89" t="s">
        <v>312</v>
      </c>
      <c r="AG843" s="89" t="s">
        <v>312</v>
      </c>
      <c r="AH843" s="49" t="s">
        <v>312</v>
      </c>
      <c r="AI843" s="89">
        <f t="shared" si="339"/>
        <v>6.851181158389074E-3</v>
      </c>
      <c r="AJ843" s="35">
        <v>0</v>
      </c>
      <c r="AK843" s="35" t="s">
        <v>312</v>
      </c>
      <c r="AL843" s="35" t="s">
        <v>148</v>
      </c>
      <c r="AM843" s="35" t="s">
        <v>590</v>
      </c>
      <c r="AN843" s="35">
        <v>3.3000000000000002E-2</v>
      </c>
      <c r="AO843" s="35">
        <v>1</v>
      </c>
      <c r="AP843" s="35">
        <f t="shared" si="340"/>
        <v>3.3000000000000002E-2</v>
      </c>
      <c r="AQ843" s="35">
        <v>1.2E-2</v>
      </c>
      <c r="AR843" s="35">
        <v>1.2E-2</v>
      </c>
      <c r="AS843" s="35">
        <v>5.8000000000000003E-2</v>
      </c>
      <c r="AT843" s="35" t="s">
        <v>83</v>
      </c>
      <c r="AU843" s="35" t="s">
        <v>109</v>
      </c>
      <c r="AV843" s="35" t="s">
        <v>133</v>
      </c>
      <c r="AW843" s="35" t="s">
        <v>109</v>
      </c>
      <c r="AX843" s="35" t="s">
        <v>86</v>
      </c>
      <c r="AY843" s="35">
        <v>0</v>
      </c>
      <c r="AZ843" s="35">
        <v>0</v>
      </c>
      <c r="BA843" s="35" t="s">
        <v>734</v>
      </c>
      <c r="BB843" s="35" t="s">
        <v>88</v>
      </c>
      <c r="BC843" s="35" t="s">
        <v>89</v>
      </c>
      <c r="BD843" s="35" t="s">
        <v>134</v>
      </c>
      <c r="BE843" s="35" t="s">
        <v>1585</v>
      </c>
      <c r="BF843" s="35">
        <v>309.18799999999999</v>
      </c>
      <c r="BG843" s="35">
        <v>1</v>
      </c>
      <c r="BH843" s="35">
        <v>63.716000000000001</v>
      </c>
      <c r="BI843" s="35">
        <v>160.28299999999999</v>
      </c>
      <c r="BJ843" s="35">
        <v>810.11699999999996</v>
      </c>
      <c r="BK843" s="35" t="s">
        <v>91</v>
      </c>
      <c r="BL843" s="35" t="s">
        <v>84</v>
      </c>
      <c r="BM843" s="35">
        <v>1</v>
      </c>
      <c r="BN843" s="35" t="s">
        <v>539</v>
      </c>
      <c r="BO843" s="35" t="s">
        <v>1586</v>
      </c>
      <c r="BP843" s="35" t="s">
        <v>1587</v>
      </c>
      <c r="BQ843" s="35" t="s">
        <v>92</v>
      </c>
      <c r="BR843" s="35" t="s">
        <v>134</v>
      </c>
      <c r="BS843" s="35" t="s">
        <v>312</v>
      </c>
      <c r="BT843" s="35">
        <v>0.248</v>
      </c>
      <c r="BU843" s="35">
        <v>2012</v>
      </c>
      <c r="BV843" s="35">
        <v>2019</v>
      </c>
      <c r="BW843" s="35" t="s">
        <v>1588</v>
      </c>
      <c r="BX843" s="35" t="s">
        <v>95</v>
      </c>
      <c r="BY843" s="35" t="s">
        <v>96</v>
      </c>
      <c r="BZ843" s="35">
        <v>0</v>
      </c>
      <c r="CA843" s="35">
        <v>0</v>
      </c>
      <c r="CB843" s="35" t="s">
        <v>97</v>
      </c>
      <c r="CC843" s="35" t="s">
        <v>719</v>
      </c>
      <c r="CD843" s="35">
        <v>1</v>
      </c>
      <c r="CE843" s="35" t="s">
        <v>1589</v>
      </c>
      <c r="CF843" s="35">
        <v>1</v>
      </c>
      <c r="CG843" s="35" t="s">
        <v>82</v>
      </c>
      <c r="CH843" s="35">
        <v>1</v>
      </c>
      <c r="CI843" s="35" t="s">
        <v>97</v>
      </c>
      <c r="CJ843" s="35" t="s">
        <v>98</v>
      </c>
      <c r="CK843" s="35">
        <v>66</v>
      </c>
      <c r="CL843" s="35">
        <v>0</v>
      </c>
      <c r="CM843" s="35">
        <v>0</v>
      </c>
      <c r="CN843" s="35" t="s">
        <v>99</v>
      </c>
      <c r="CO843" s="35" t="s">
        <v>1664</v>
      </c>
      <c r="CP843" s="35" t="s">
        <v>100</v>
      </c>
      <c r="CQ843" s="35" t="s">
        <v>126</v>
      </c>
      <c r="CR843" s="36">
        <v>46233</v>
      </c>
      <c r="CT843" s="35" t="s">
        <v>1206</v>
      </c>
    </row>
    <row r="844" spans="1:98" s="35" customFormat="1" x14ac:dyDescent="0.35">
      <c r="A844" s="34" t="s">
        <v>1581</v>
      </c>
      <c r="B844" s="34" t="s">
        <v>1610</v>
      </c>
      <c r="C844" s="35" t="s">
        <v>1582</v>
      </c>
      <c r="D844" s="35">
        <v>2022</v>
      </c>
      <c r="E844" s="34" t="s">
        <v>1583</v>
      </c>
      <c r="F844" s="34" t="s">
        <v>1584</v>
      </c>
      <c r="G844" s="35" t="s">
        <v>78</v>
      </c>
      <c r="H844" s="35">
        <v>1</v>
      </c>
      <c r="I844" s="35" t="s">
        <v>390</v>
      </c>
      <c r="J844" s="35" t="s">
        <v>79</v>
      </c>
      <c r="K844" s="35">
        <v>11</v>
      </c>
      <c r="L844" s="35" t="s">
        <v>129</v>
      </c>
      <c r="M844" s="35" t="s">
        <v>380</v>
      </c>
      <c r="N844" s="35">
        <f>330.782-117.068</f>
        <v>213.714</v>
      </c>
      <c r="O844" s="35" t="s">
        <v>312</v>
      </c>
      <c r="P844" s="89" t="s">
        <v>312</v>
      </c>
      <c r="Q844" s="35" t="s">
        <v>312</v>
      </c>
      <c r="R844" s="89" t="s">
        <v>312</v>
      </c>
      <c r="S844" s="89" t="s">
        <v>312</v>
      </c>
      <c r="T844" s="35" t="s">
        <v>312</v>
      </c>
      <c r="U844" s="35">
        <v>7859</v>
      </c>
      <c r="V844" s="35" t="s">
        <v>312</v>
      </c>
      <c r="W844" s="35" t="s">
        <v>312</v>
      </c>
      <c r="X844" s="35">
        <f t="shared" si="342"/>
        <v>7859</v>
      </c>
      <c r="Y844" s="89" t="s">
        <v>312</v>
      </c>
      <c r="Z844" s="89" t="s">
        <v>312</v>
      </c>
      <c r="AA844" s="89" t="s">
        <v>312</v>
      </c>
      <c r="AB844" s="35" t="s">
        <v>312</v>
      </c>
      <c r="AC844" s="89">
        <f t="shared" si="338"/>
        <v>2.2809947345951331E-2</v>
      </c>
      <c r="AD844" s="89" cm="1">
        <f t="array" ref="AD844">_xlfn.IFS(
AND(L844="marginal_effect",M844="level"),N844*AN844/BF844,
AND(L844="marginal_effect",M844="sd (Y)"),N844*BI844*AN844/BF844,
AND(L844="marginal_effect",M844="sd (X)"),N844/AQ844*AN844/BF844,
AND(L844="semi_elasticity",M844="level"),N844*AN844,
AND(L844="semi_elasticity",M844="sd (Y)"),N844*AN844*BI844,
AND(L844="semi_elasticity",M844="sd (X)"),N844*AN844/AQ844,
AND(L844="level-log",M844="level"),N844/BF844,
AND(L844="level-log",M844="sd (X)"),N844/BF844/AQ844,
AND(L844="level-log",M844="sd (Y)"),N844/BF844*BI844,
AND(L844="elasticity",M844="level"),N844,
AND(L844="elasticity",M844="sd (X)"),N844/AQ844,
AND(L844="elasticity",M844="sd (Y)"),N844*BI844,
AND(L844="marginal_effect",M844="percent_of_mean"),N844*AN844/BF844/10)</f>
        <v>2.2809947345951331E-2</v>
      </c>
      <c r="AE844" s="49">
        <f t="shared" si="341"/>
        <v>1</v>
      </c>
      <c r="AF844" s="89" t="s">
        <v>312</v>
      </c>
      <c r="AG844" s="89" t="s">
        <v>312</v>
      </c>
      <c r="AH844" s="49" t="s">
        <v>312</v>
      </c>
      <c r="AI844" s="89">
        <f t="shared" si="339"/>
        <v>-2.2809947345951331E-2</v>
      </c>
      <c r="AJ844" s="35">
        <v>0</v>
      </c>
      <c r="AK844" s="35" t="s">
        <v>312</v>
      </c>
      <c r="AL844" s="35" t="s">
        <v>148</v>
      </c>
      <c r="AM844" s="35" t="s">
        <v>590</v>
      </c>
      <c r="AN844" s="35">
        <v>3.3000000000000002E-2</v>
      </c>
      <c r="AO844" s="35">
        <v>1</v>
      </c>
      <c r="AP844" s="35">
        <f t="shared" si="340"/>
        <v>3.3000000000000002E-2</v>
      </c>
      <c r="AQ844" s="35">
        <v>1.2E-2</v>
      </c>
      <c r="AR844" s="35">
        <v>1.2E-2</v>
      </c>
      <c r="AS844" s="35">
        <v>5.8000000000000003E-2</v>
      </c>
      <c r="AT844" s="35" t="s">
        <v>83</v>
      </c>
      <c r="AU844" s="35" t="s">
        <v>109</v>
      </c>
      <c r="AV844" s="35" t="s">
        <v>133</v>
      </c>
      <c r="AW844" s="35" t="s">
        <v>109</v>
      </c>
      <c r="AX844" s="35" t="s">
        <v>86</v>
      </c>
      <c r="AY844" s="35">
        <v>0</v>
      </c>
      <c r="AZ844" s="35">
        <v>0</v>
      </c>
      <c r="BA844" s="35" t="s">
        <v>734</v>
      </c>
      <c r="BB844" s="35" t="s">
        <v>88</v>
      </c>
      <c r="BC844" s="35" t="s">
        <v>89</v>
      </c>
      <c r="BD844" s="35" t="s">
        <v>134</v>
      </c>
      <c r="BE844" s="35" t="s">
        <v>1585</v>
      </c>
      <c r="BF844" s="35">
        <v>309.18799999999999</v>
      </c>
      <c r="BG844" s="35">
        <v>1</v>
      </c>
      <c r="BH844" s="35">
        <v>63.716000000000001</v>
      </c>
      <c r="BI844" s="35">
        <v>160.28299999999999</v>
      </c>
      <c r="BJ844" s="35">
        <v>810.11699999999996</v>
      </c>
      <c r="BK844" s="35" t="s">
        <v>91</v>
      </c>
      <c r="BL844" s="35" t="s">
        <v>84</v>
      </c>
      <c r="BM844" s="35">
        <v>1</v>
      </c>
      <c r="BN844" s="35" t="s">
        <v>539</v>
      </c>
      <c r="BO844" s="35" t="s">
        <v>1586</v>
      </c>
      <c r="BP844" s="35" t="s">
        <v>1587</v>
      </c>
      <c r="BQ844" s="35" t="s">
        <v>92</v>
      </c>
      <c r="BR844" s="35" t="s">
        <v>134</v>
      </c>
      <c r="BS844" s="35" t="s">
        <v>312</v>
      </c>
      <c r="BT844" s="35">
        <v>0.248</v>
      </c>
      <c r="BU844" s="35">
        <v>2012</v>
      </c>
      <c r="BV844" s="35">
        <v>2019</v>
      </c>
      <c r="BW844" s="35" t="s">
        <v>1588</v>
      </c>
      <c r="BX844" s="35" t="s">
        <v>95</v>
      </c>
      <c r="BY844" s="35" t="s">
        <v>96</v>
      </c>
      <c r="BZ844" s="35">
        <v>0</v>
      </c>
      <c r="CA844" s="35">
        <v>0</v>
      </c>
      <c r="CB844" s="35" t="s">
        <v>97</v>
      </c>
      <c r="CC844" s="35" t="s">
        <v>719</v>
      </c>
      <c r="CD844" s="35">
        <v>1</v>
      </c>
      <c r="CE844" s="35" t="s">
        <v>1589</v>
      </c>
      <c r="CF844" s="35">
        <v>1</v>
      </c>
      <c r="CG844" s="35" t="s">
        <v>82</v>
      </c>
      <c r="CH844" s="35">
        <v>1</v>
      </c>
      <c r="CI844" s="35" t="s">
        <v>97</v>
      </c>
      <c r="CJ844" s="35" t="s">
        <v>98</v>
      </c>
      <c r="CK844" s="35">
        <v>66</v>
      </c>
      <c r="CL844" s="35">
        <v>0</v>
      </c>
      <c r="CM844" s="35">
        <v>0</v>
      </c>
      <c r="CN844" s="35" t="s">
        <v>99</v>
      </c>
      <c r="CO844" s="35" t="s">
        <v>1664</v>
      </c>
      <c r="CP844" s="35" t="s">
        <v>100</v>
      </c>
      <c r="CQ844" s="35" t="s">
        <v>126</v>
      </c>
      <c r="CR844" s="36">
        <v>46233</v>
      </c>
      <c r="CT844" s="35" t="s">
        <v>1206</v>
      </c>
    </row>
    <row r="845" spans="1:98" s="35" customFormat="1" x14ac:dyDescent="0.35">
      <c r="A845" s="34" t="s">
        <v>1581</v>
      </c>
      <c r="B845" s="34" t="s">
        <v>1611</v>
      </c>
      <c r="C845" s="35" t="s">
        <v>1582</v>
      </c>
      <c r="D845" s="35">
        <v>2022</v>
      </c>
      <c r="E845" s="34" t="s">
        <v>1583</v>
      </c>
      <c r="F845" s="34" t="s">
        <v>1584</v>
      </c>
      <c r="G845" s="35" t="s">
        <v>78</v>
      </c>
      <c r="H845" s="35">
        <v>1</v>
      </c>
      <c r="I845" s="35" t="s">
        <v>390</v>
      </c>
      <c r="J845" s="35" t="s">
        <v>79</v>
      </c>
      <c r="K845" s="35">
        <v>11</v>
      </c>
      <c r="L845" s="35" t="s">
        <v>129</v>
      </c>
      <c r="M845" s="35" t="s">
        <v>380</v>
      </c>
      <c r="N845" s="35">
        <v>330.78199999999998</v>
      </c>
      <c r="O845" s="35">
        <v>308.464</v>
      </c>
      <c r="P845" s="89">
        <f>N845/O845</f>
        <v>1.0723520410809688</v>
      </c>
      <c r="Q845" s="35" t="s">
        <v>312</v>
      </c>
      <c r="R845" s="89">
        <f>N845-1.96*O845</f>
        <v>-273.80743999999999</v>
      </c>
      <c r="S845" s="89">
        <f>N845+1.96*O845</f>
        <v>935.37143999999989</v>
      </c>
      <c r="T845" s="35">
        <v>1</v>
      </c>
      <c r="U845" s="35">
        <v>7859</v>
      </c>
      <c r="V845" s="35" t="s">
        <v>312</v>
      </c>
      <c r="W845" s="35" t="s">
        <v>312</v>
      </c>
      <c r="X845" s="35">
        <f t="shared" si="342"/>
        <v>7859</v>
      </c>
      <c r="Y845" s="89">
        <f>P845/(P845^2 + X845)^(1/2)</f>
        <v>1.2095448242602138E-2</v>
      </c>
      <c r="Z845" s="89">
        <f>((1-Y845^2)/X845)^(1/2)</f>
        <v>1.1279363286714594E-2</v>
      </c>
      <c r="AA845" s="89">
        <f>-Y845</f>
        <v>-1.2095448242602138E-2</v>
      </c>
      <c r="AB845" s="35" t="s">
        <v>81</v>
      </c>
      <c r="AC845" s="89">
        <f t="shared" si="338"/>
        <v>3.5304753095204214E-2</v>
      </c>
      <c r="AD845" s="89" cm="1">
        <f t="array" ref="AD845">_xlfn.IFS(
AND(L845="marginal_effect",M845="level"),N845*AN845/BF845,
AND(L845="marginal_effect",M845="sd (Y)"),N845*BI845*AN845/BF845,
AND(L845="marginal_effect",M845="sd (X)"),N845/AQ845*AN845/BF845,
AND(L845="semi_elasticity",M845="level"),N845*AN845,
AND(L845="semi_elasticity",M845="sd (Y)"),N845*AN845*BI845,
AND(L845="semi_elasticity",M845="sd (X)"),N845*AN845/AQ845,
AND(L845="level-log",M845="level"),N845/BF845,
AND(L845="level-log",M845="sd (X)"),N845/BF845/AQ845,
AND(L845="level-log",M845="sd (Y)"),N845/BF845*BI845,
AND(L845="elasticity",M845="level"),N845,
AND(L845="elasticity",M845="sd (X)"),N845/AQ845,
AND(L845="elasticity",M845="sd (Y)"),N845*BI845,
AND(L845="marginal_effect",M845="percent_of_mean"),N845*AN845/BF845/10)</f>
        <v>3.5304753095204214E-2</v>
      </c>
      <c r="AE845" s="49">
        <f t="shared" si="341"/>
        <v>1</v>
      </c>
      <c r="AF845" s="89">
        <f>O845*AN845/BF845</f>
        <v>3.2922726625871646E-2</v>
      </c>
      <c r="AG845" s="89" cm="1">
        <f t="array" ref="AG845">_xlfn.IFS(
AND(L845="marginal_effect",M845="level"),O845*AN845/BF845,
AND(L845="marginal_effect",M845="sd (Y)"),O845*BI845*AN845/BF845,
AND(L845="marginal_effect",M845="sd (X)"),O845/AQ845*AN845/BF845,
AND(L845="semi_elasticity",M845="level"),O845*AN845,
AND(L845="semi_elasticity",M845="sd (Y)"),O845*AN845*BI845,
AND(L845="semi_elasticity",M845="sd (X)"),O845*AN845/AQ845,
AND(L845="level-log",M845="level"),O845/BF845,
AND(L845="level-log",M845="sd (X)"),O845/BF845/AQ845,
AND(L845="level-log",M845="sd (Y)"),O845/BF845*BI845,
AND(L845="elasticity",M845="level"),O845,
AND(L845="elasticity",M845="sd (X)"),O845/AQ845,
AND(L845="elasticity",M845="sd (Y)"),O845*BI845,
AND(L845="marginal_effect",M845="percent_of_mean"),O845*AN845/BF845/10)</f>
        <v>3.2922726625871646E-2</v>
      </c>
      <c r="AH845" s="49">
        <f>IF(AF845=AG845,1,0)</f>
        <v>1</v>
      </c>
      <c r="AI845" s="89">
        <f t="shared" si="339"/>
        <v>-3.5304753095204214E-2</v>
      </c>
      <c r="AJ845" s="35">
        <v>0</v>
      </c>
      <c r="AK845" s="35">
        <f>IF(P845=(AC845/AF845),1,0)</f>
        <v>1</v>
      </c>
      <c r="AL845" s="35" t="s">
        <v>148</v>
      </c>
      <c r="AM845" s="35" t="s">
        <v>590</v>
      </c>
      <c r="AN845" s="35">
        <v>3.3000000000000002E-2</v>
      </c>
      <c r="AO845" s="35">
        <v>1</v>
      </c>
      <c r="AP845" s="35">
        <f t="shared" si="340"/>
        <v>3.3000000000000002E-2</v>
      </c>
      <c r="AQ845" s="35">
        <v>1.2E-2</v>
      </c>
      <c r="AR845" s="35">
        <v>1.2E-2</v>
      </c>
      <c r="AS845" s="35">
        <v>5.8000000000000003E-2</v>
      </c>
      <c r="AT845" s="35" t="s">
        <v>83</v>
      </c>
      <c r="AU845" s="35" t="s">
        <v>109</v>
      </c>
      <c r="AV845" s="35" t="s">
        <v>133</v>
      </c>
      <c r="AW845" s="35" t="s">
        <v>109</v>
      </c>
      <c r="AX845" s="35" t="s">
        <v>86</v>
      </c>
      <c r="AY845" s="35">
        <v>0</v>
      </c>
      <c r="AZ845" s="35">
        <v>0</v>
      </c>
      <c r="BA845" s="35" t="s">
        <v>734</v>
      </c>
      <c r="BB845" s="35" t="s">
        <v>88</v>
      </c>
      <c r="BC845" s="35" t="s">
        <v>89</v>
      </c>
      <c r="BD845" s="35" t="s">
        <v>134</v>
      </c>
      <c r="BE845" s="35" t="s">
        <v>1585</v>
      </c>
      <c r="BF845" s="35">
        <v>309.18799999999999</v>
      </c>
      <c r="BG845" s="35">
        <v>1</v>
      </c>
      <c r="BH845" s="35">
        <v>63.716000000000001</v>
      </c>
      <c r="BI845" s="35">
        <v>160.28299999999999</v>
      </c>
      <c r="BJ845" s="35">
        <v>810.11699999999996</v>
      </c>
      <c r="BK845" s="35" t="s">
        <v>91</v>
      </c>
      <c r="BL845" s="35" t="s">
        <v>84</v>
      </c>
      <c r="BM845" s="35">
        <v>1</v>
      </c>
      <c r="BN845" s="35" t="s">
        <v>539</v>
      </c>
      <c r="BO845" s="35" t="s">
        <v>1586</v>
      </c>
      <c r="BP845" s="35" t="s">
        <v>1587</v>
      </c>
      <c r="BQ845" s="35" t="s">
        <v>92</v>
      </c>
      <c r="BR845" s="35" t="s">
        <v>134</v>
      </c>
      <c r="BS845" s="35" t="s">
        <v>312</v>
      </c>
      <c r="BT845" s="35">
        <v>0.248</v>
      </c>
      <c r="BU845" s="35">
        <v>2012</v>
      </c>
      <c r="BV845" s="35">
        <v>2019</v>
      </c>
      <c r="BW845" s="35" t="s">
        <v>1588</v>
      </c>
      <c r="BX845" s="35" t="s">
        <v>95</v>
      </c>
      <c r="BY845" s="35" t="s">
        <v>96</v>
      </c>
      <c r="BZ845" s="35">
        <v>0</v>
      </c>
      <c r="CA845" s="35">
        <v>0</v>
      </c>
      <c r="CB845" s="35" t="s">
        <v>97</v>
      </c>
      <c r="CC845" s="35" t="s">
        <v>719</v>
      </c>
      <c r="CD845" s="35">
        <v>1</v>
      </c>
      <c r="CE845" s="35" t="s">
        <v>1589</v>
      </c>
      <c r="CF845" s="35" t="s">
        <v>1665</v>
      </c>
      <c r="CG845" s="35" t="s">
        <v>82</v>
      </c>
      <c r="CH845" s="35">
        <v>1</v>
      </c>
      <c r="CI845" s="35" t="s">
        <v>97</v>
      </c>
      <c r="CJ845" s="35" t="s">
        <v>98</v>
      </c>
      <c r="CK845" s="35">
        <v>66</v>
      </c>
      <c r="CL845" s="35">
        <v>0</v>
      </c>
      <c r="CM845" s="35">
        <v>0</v>
      </c>
      <c r="CN845" s="35" t="s">
        <v>99</v>
      </c>
      <c r="CO845" s="35" t="s">
        <v>1664</v>
      </c>
      <c r="CP845" s="35" t="s">
        <v>100</v>
      </c>
      <c r="CQ845" s="35" t="s">
        <v>126</v>
      </c>
      <c r="CR845" s="36">
        <v>46233</v>
      </c>
      <c r="CT845" s="35" t="s">
        <v>1206</v>
      </c>
    </row>
    <row r="846" spans="1:98" s="35" customFormat="1" x14ac:dyDescent="0.35">
      <c r="A846" s="34" t="s">
        <v>1581</v>
      </c>
      <c r="B846" s="34" t="s">
        <v>1612</v>
      </c>
      <c r="C846" s="35" t="s">
        <v>1582</v>
      </c>
      <c r="D846" s="35">
        <v>2022</v>
      </c>
      <c r="E846" s="34" t="s">
        <v>1583</v>
      </c>
      <c r="F846" s="34" t="s">
        <v>1584</v>
      </c>
      <c r="G846" s="35" t="s">
        <v>78</v>
      </c>
      <c r="H846" s="35">
        <v>1</v>
      </c>
      <c r="I846" s="35" t="s">
        <v>390</v>
      </c>
      <c r="J846" s="35" t="s">
        <v>79</v>
      </c>
      <c r="K846" s="35">
        <v>11</v>
      </c>
      <c r="L846" s="35" t="s">
        <v>129</v>
      </c>
      <c r="M846" s="35" t="s">
        <v>380</v>
      </c>
      <c r="N846" s="35">
        <f>-0.139+0.203+0.006</f>
        <v>7.0000000000000007E-2</v>
      </c>
      <c r="O846" s="35" t="s">
        <v>312</v>
      </c>
      <c r="P846" s="89" t="s">
        <v>312</v>
      </c>
      <c r="Q846" s="35" t="s">
        <v>312</v>
      </c>
      <c r="R846" s="89" t="s">
        <v>312</v>
      </c>
      <c r="S846" s="89" t="s">
        <v>312</v>
      </c>
      <c r="T846" s="35" t="s">
        <v>312</v>
      </c>
      <c r="U846" s="35">
        <v>7859</v>
      </c>
      <c r="V846" s="35" t="s">
        <v>312</v>
      </c>
      <c r="W846" s="35" t="s">
        <v>312</v>
      </c>
      <c r="X846" s="35">
        <f t="shared" si="342"/>
        <v>7859</v>
      </c>
      <c r="Y846" s="89" t="s">
        <v>312</v>
      </c>
      <c r="Z846" s="89" t="s">
        <v>312</v>
      </c>
      <c r="AA846" s="89" t="s">
        <v>312</v>
      </c>
      <c r="AB846" s="35" t="s">
        <v>312</v>
      </c>
      <c r="AC846" s="89">
        <f t="shared" si="338"/>
        <v>2.2775786899879688E-3</v>
      </c>
      <c r="AD846" s="89" cm="1">
        <f t="array" ref="AD846">_xlfn.IFS(
AND(L846="marginal_effect",M846="level"),N846*AN846/BF846,
AND(L846="marginal_effect",M846="sd (Y)"),N846*BI846*AN846/BF846,
AND(L846="marginal_effect",M846="sd (X)"),N846/AQ846*AN846/BF846,
AND(L846="semi_elasticity",M846="level"),N846*AN846,
AND(L846="semi_elasticity",M846="sd (Y)"),N846*AN846*BI846,
AND(L846="semi_elasticity",M846="sd (X)"),N846*AN846/AQ846,
AND(L846="level-log",M846="level"),N846/BF846,
AND(L846="level-log",M846="sd (X)"),N846/BF846/AQ846,
AND(L846="level-log",M846="sd (Y)"),N846/BF846*BI846,
AND(L846="elasticity",M846="level"),N846,
AND(L846="elasticity",M846="sd (X)"),N846/AQ846,
AND(L846="elasticity",M846="sd (Y)"),N846*BI846,
AND(L846="marginal_effect",M846="percent_of_mean"),N846*AN846/BF846/10)</f>
        <v>2.2775786899879688E-3</v>
      </c>
      <c r="AE846" s="49">
        <f t="shared" si="341"/>
        <v>1</v>
      </c>
      <c r="AF846" s="89" t="s">
        <v>312</v>
      </c>
      <c r="AG846" s="89" t="s">
        <v>312</v>
      </c>
      <c r="AH846" s="49" t="s">
        <v>312</v>
      </c>
      <c r="AI846" s="89">
        <f t="shared" si="339"/>
        <v>-2.2775786899879688E-3</v>
      </c>
      <c r="AJ846" s="35">
        <v>0</v>
      </c>
      <c r="AK846" s="35" t="s">
        <v>312</v>
      </c>
      <c r="AL846" s="35" t="s">
        <v>82</v>
      </c>
      <c r="AM846" s="35" t="s">
        <v>1333</v>
      </c>
      <c r="AN846" s="35">
        <v>10.06</v>
      </c>
      <c r="AO846" s="35">
        <v>1</v>
      </c>
      <c r="AP846" s="35">
        <f t="shared" si="340"/>
        <v>10.06</v>
      </c>
      <c r="AQ846" s="35">
        <v>4.6970000000000001</v>
      </c>
      <c r="AR846" s="35">
        <v>1.8</v>
      </c>
      <c r="AS846" s="35">
        <v>20.75</v>
      </c>
      <c r="AT846" s="35" t="s">
        <v>83</v>
      </c>
      <c r="AU846" s="35" t="s">
        <v>109</v>
      </c>
      <c r="AV846" s="35" t="s">
        <v>133</v>
      </c>
      <c r="AW846" s="35" t="s">
        <v>109</v>
      </c>
      <c r="AX846" s="35" t="s">
        <v>86</v>
      </c>
      <c r="AY846" s="35">
        <v>0</v>
      </c>
      <c r="AZ846" s="35">
        <v>0</v>
      </c>
      <c r="BA846" s="35" t="s">
        <v>734</v>
      </c>
      <c r="BB846" s="35" t="s">
        <v>88</v>
      </c>
      <c r="BC846" s="35" t="s">
        <v>89</v>
      </c>
      <c r="BD846" s="35" t="s">
        <v>134</v>
      </c>
      <c r="BE846" s="35" t="s">
        <v>1585</v>
      </c>
      <c r="BF846" s="35">
        <v>309.18799999999999</v>
      </c>
      <c r="BG846" s="35">
        <v>1</v>
      </c>
      <c r="BH846" s="35">
        <v>63.716000000000001</v>
      </c>
      <c r="BI846" s="35">
        <v>160.28299999999999</v>
      </c>
      <c r="BJ846" s="35">
        <v>810.11699999999996</v>
      </c>
      <c r="BK846" s="35" t="s">
        <v>91</v>
      </c>
      <c r="BL846" s="35" t="s">
        <v>84</v>
      </c>
      <c r="BM846" s="35">
        <v>1</v>
      </c>
      <c r="BN846" s="35" t="s">
        <v>539</v>
      </c>
      <c r="BO846" s="35" t="s">
        <v>1586</v>
      </c>
      <c r="BP846" s="35" t="s">
        <v>1587</v>
      </c>
      <c r="BQ846" s="35" t="s">
        <v>92</v>
      </c>
      <c r="BR846" s="35" t="s">
        <v>134</v>
      </c>
      <c r="BS846" s="35" t="s">
        <v>312</v>
      </c>
      <c r="BT846" s="35">
        <v>0.248</v>
      </c>
      <c r="BU846" s="35">
        <v>2012</v>
      </c>
      <c r="BV846" s="35">
        <v>2019</v>
      </c>
      <c r="BW846" s="35" t="s">
        <v>1588</v>
      </c>
      <c r="BX846" s="35" t="s">
        <v>95</v>
      </c>
      <c r="BY846" s="35" t="s">
        <v>96</v>
      </c>
      <c r="BZ846" s="35">
        <v>0</v>
      </c>
      <c r="CA846" s="35">
        <v>0</v>
      </c>
      <c r="CB846" s="35" t="s">
        <v>97</v>
      </c>
      <c r="CC846" s="35" t="s">
        <v>719</v>
      </c>
      <c r="CD846" s="35">
        <v>1</v>
      </c>
      <c r="CE846" s="35" t="s">
        <v>1589</v>
      </c>
      <c r="CF846" s="35">
        <v>1</v>
      </c>
      <c r="CG846" s="35" t="s">
        <v>396</v>
      </c>
      <c r="CH846" s="35">
        <v>1</v>
      </c>
      <c r="CI846" s="35" t="s">
        <v>97</v>
      </c>
      <c r="CJ846" s="35" t="s">
        <v>98</v>
      </c>
      <c r="CK846" s="35">
        <v>66</v>
      </c>
      <c r="CL846" s="35">
        <v>0</v>
      </c>
      <c r="CM846" s="35">
        <v>0</v>
      </c>
      <c r="CN846" s="35" t="s">
        <v>99</v>
      </c>
      <c r="CO846" s="35" t="s">
        <v>1664</v>
      </c>
      <c r="CP846" s="35" t="s">
        <v>100</v>
      </c>
      <c r="CQ846" s="35" t="s">
        <v>126</v>
      </c>
      <c r="CR846" s="36">
        <v>46233</v>
      </c>
      <c r="CT846" s="35" t="s">
        <v>1206</v>
      </c>
    </row>
    <row r="847" spans="1:98" s="35" customFormat="1" x14ac:dyDescent="0.35">
      <c r="A847" s="34" t="s">
        <v>1581</v>
      </c>
      <c r="B847" s="34" t="s">
        <v>1613</v>
      </c>
      <c r="C847" s="35" t="s">
        <v>1582</v>
      </c>
      <c r="D847" s="35">
        <v>2022</v>
      </c>
      <c r="E847" s="34" t="s">
        <v>1583</v>
      </c>
      <c r="F847" s="34" t="s">
        <v>1584</v>
      </c>
      <c r="G847" s="35" t="s">
        <v>78</v>
      </c>
      <c r="H847" s="35">
        <v>1</v>
      </c>
      <c r="I847" s="35" t="s">
        <v>390</v>
      </c>
      <c r="J847" s="35" t="s">
        <v>79</v>
      </c>
      <c r="K847" s="35">
        <v>11</v>
      </c>
      <c r="L847" s="35" t="s">
        <v>129</v>
      </c>
      <c r="M847" s="35" t="s">
        <v>380</v>
      </c>
      <c r="N847" s="35">
        <f>-0.139+0.006</f>
        <v>-0.13300000000000001</v>
      </c>
      <c r="O847" s="35" t="s">
        <v>312</v>
      </c>
      <c r="P847" s="89" t="s">
        <v>312</v>
      </c>
      <c r="Q847" s="35" t="s">
        <v>312</v>
      </c>
      <c r="R847" s="89" t="s">
        <v>312</v>
      </c>
      <c r="S847" s="89" t="s">
        <v>312</v>
      </c>
      <c r="T847" s="35" t="s">
        <v>312</v>
      </c>
      <c r="U847" s="35">
        <v>7859</v>
      </c>
      <c r="V847" s="35" t="s">
        <v>312</v>
      </c>
      <c r="W847" s="35" t="s">
        <v>312</v>
      </c>
      <c r="X847" s="35">
        <f t="shared" si="342"/>
        <v>7859</v>
      </c>
      <c r="Y847" s="89" t="s">
        <v>312</v>
      </c>
      <c r="Z847" s="89" t="s">
        <v>312</v>
      </c>
      <c r="AA847" s="89" t="s">
        <v>312</v>
      </c>
      <c r="AB847" s="35" t="s">
        <v>312</v>
      </c>
      <c r="AC847" s="89">
        <f t="shared" si="338"/>
        <v>-4.3273995109771408E-3</v>
      </c>
      <c r="AD847" s="89" cm="1">
        <f t="array" ref="AD847">_xlfn.IFS(
AND(L847="marginal_effect",M847="level"),N847*AN847/BF847,
AND(L847="marginal_effect",M847="sd (Y)"),N847*BI847*AN847/BF847,
AND(L847="marginal_effect",M847="sd (X)"),N847/AQ847*AN847/BF847,
AND(L847="semi_elasticity",M847="level"),N847*AN847,
AND(L847="semi_elasticity",M847="sd (Y)"),N847*AN847*BI847,
AND(L847="semi_elasticity",M847="sd (X)"),N847*AN847/AQ847,
AND(L847="level-log",M847="level"),N847/BF847,
AND(L847="level-log",M847="sd (X)"),N847/BF847/AQ847,
AND(L847="level-log",M847="sd (Y)"),N847/BF847*BI847,
AND(L847="elasticity",M847="level"),N847,
AND(L847="elasticity",M847="sd (X)"),N847/AQ847,
AND(L847="elasticity",M847="sd (Y)"),N847*BI847,
AND(L847="marginal_effect",M847="percent_of_mean"),N847*AN847/BF847/10)</f>
        <v>-4.3273995109771408E-3</v>
      </c>
      <c r="AE847" s="49">
        <f t="shared" si="341"/>
        <v>1</v>
      </c>
      <c r="AF847" s="89" t="s">
        <v>312</v>
      </c>
      <c r="AG847" s="89" t="s">
        <v>312</v>
      </c>
      <c r="AH847" s="49" t="s">
        <v>312</v>
      </c>
      <c r="AI847" s="89">
        <f t="shared" si="339"/>
        <v>4.3273995109771408E-3</v>
      </c>
      <c r="AJ847" s="35">
        <v>0</v>
      </c>
      <c r="AK847" s="35" t="s">
        <v>312</v>
      </c>
      <c r="AL847" s="35" t="s">
        <v>82</v>
      </c>
      <c r="AM847" s="35" t="s">
        <v>1333</v>
      </c>
      <c r="AN847" s="35">
        <v>10.06</v>
      </c>
      <c r="AO847" s="35">
        <v>1</v>
      </c>
      <c r="AP847" s="35">
        <f t="shared" si="340"/>
        <v>10.06</v>
      </c>
      <c r="AQ847" s="35">
        <v>4.6970000000000001</v>
      </c>
      <c r="AR847" s="35">
        <v>1.8</v>
      </c>
      <c r="AS847" s="35">
        <v>20.75</v>
      </c>
      <c r="AT847" s="35" t="s">
        <v>83</v>
      </c>
      <c r="AU847" s="35" t="s">
        <v>109</v>
      </c>
      <c r="AV847" s="35" t="s">
        <v>133</v>
      </c>
      <c r="AW847" s="35" t="s">
        <v>109</v>
      </c>
      <c r="AX847" s="35" t="s">
        <v>86</v>
      </c>
      <c r="AY847" s="35">
        <v>0</v>
      </c>
      <c r="AZ847" s="35">
        <v>0</v>
      </c>
      <c r="BA847" s="35" t="s">
        <v>734</v>
      </c>
      <c r="BB847" s="35" t="s">
        <v>88</v>
      </c>
      <c r="BC847" s="35" t="s">
        <v>89</v>
      </c>
      <c r="BD847" s="35" t="s">
        <v>134</v>
      </c>
      <c r="BE847" s="35" t="s">
        <v>1585</v>
      </c>
      <c r="BF847" s="35">
        <v>309.18799999999999</v>
      </c>
      <c r="BG847" s="35">
        <v>1</v>
      </c>
      <c r="BH847" s="35">
        <v>63.716000000000001</v>
      </c>
      <c r="BI847" s="35">
        <v>160.28299999999999</v>
      </c>
      <c r="BJ847" s="35">
        <v>810.11699999999996</v>
      </c>
      <c r="BK847" s="35" t="s">
        <v>91</v>
      </c>
      <c r="BL847" s="35" t="s">
        <v>84</v>
      </c>
      <c r="BM847" s="35">
        <v>1</v>
      </c>
      <c r="BN847" s="35" t="s">
        <v>539</v>
      </c>
      <c r="BO847" s="35" t="s">
        <v>1586</v>
      </c>
      <c r="BP847" s="35" t="s">
        <v>1587</v>
      </c>
      <c r="BQ847" s="35" t="s">
        <v>92</v>
      </c>
      <c r="BR847" s="35" t="s">
        <v>134</v>
      </c>
      <c r="BS847" s="35" t="s">
        <v>312</v>
      </c>
      <c r="BT847" s="35">
        <v>0.248</v>
      </c>
      <c r="BU847" s="35">
        <v>2012</v>
      </c>
      <c r="BV847" s="35">
        <v>2019</v>
      </c>
      <c r="BW847" s="35" t="s">
        <v>1588</v>
      </c>
      <c r="BX847" s="35" t="s">
        <v>95</v>
      </c>
      <c r="BY847" s="35" t="s">
        <v>96</v>
      </c>
      <c r="BZ847" s="35">
        <v>0</v>
      </c>
      <c r="CA847" s="35">
        <v>0</v>
      </c>
      <c r="CB847" s="35" t="s">
        <v>97</v>
      </c>
      <c r="CC847" s="35" t="s">
        <v>719</v>
      </c>
      <c r="CD847" s="35">
        <v>1</v>
      </c>
      <c r="CE847" s="35" t="s">
        <v>1589</v>
      </c>
      <c r="CF847" s="35">
        <v>1</v>
      </c>
      <c r="CG847" s="35" t="s">
        <v>396</v>
      </c>
      <c r="CH847" s="35">
        <v>1</v>
      </c>
      <c r="CI847" s="35" t="s">
        <v>97</v>
      </c>
      <c r="CJ847" s="35" t="s">
        <v>98</v>
      </c>
      <c r="CK847" s="35">
        <v>66</v>
      </c>
      <c r="CL847" s="35">
        <v>0</v>
      </c>
      <c r="CM847" s="35">
        <v>0</v>
      </c>
      <c r="CN847" s="35" t="s">
        <v>99</v>
      </c>
      <c r="CO847" s="35" t="s">
        <v>1664</v>
      </c>
      <c r="CP847" s="35" t="s">
        <v>100</v>
      </c>
      <c r="CQ847" s="35" t="s">
        <v>126</v>
      </c>
      <c r="CR847" s="36">
        <v>46233</v>
      </c>
      <c r="CT847" s="35" t="s">
        <v>1206</v>
      </c>
    </row>
    <row r="848" spans="1:98" s="35" customFormat="1" x14ac:dyDescent="0.35">
      <c r="A848" s="34" t="s">
        <v>1581</v>
      </c>
      <c r="B848" s="34" t="s">
        <v>1614</v>
      </c>
      <c r="C848" s="35" t="s">
        <v>1582</v>
      </c>
      <c r="D848" s="35">
        <v>2022</v>
      </c>
      <c r="E848" s="34" t="s">
        <v>1583</v>
      </c>
      <c r="F848" s="34" t="s">
        <v>1584</v>
      </c>
      <c r="G848" s="35" t="s">
        <v>78</v>
      </c>
      <c r="H848" s="35">
        <v>1</v>
      </c>
      <c r="I848" s="35" t="s">
        <v>390</v>
      </c>
      <c r="J848" s="35" t="s">
        <v>79</v>
      </c>
      <c r="K848" s="35">
        <v>11</v>
      </c>
      <c r="L848" s="35" t="s">
        <v>129</v>
      </c>
      <c r="M848" s="35" t="s">
        <v>380</v>
      </c>
      <c r="N848" s="35">
        <f>-0.139+0.203</f>
        <v>6.4000000000000001E-2</v>
      </c>
      <c r="O848" s="35" t="s">
        <v>312</v>
      </c>
      <c r="P848" s="89" t="s">
        <v>312</v>
      </c>
      <c r="Q848" s="35" t="s">
        <v>312</v>
      </c>
      <c r="R848" s="89" t="s">
        <v>312</v>
      </c>
      <c r="S848" s="89" t="s">
        <v>312</v>
      </c>
      <c r="T848" s="35" t="s">
        <v>312</v>
      </c>
      <c r="U848" s="35">
        <v>7859</v>
      </c>
      <c r="V848" s="35" t="s">
        <v>312</v>
      </c>
      <c r="W848" s="35" t="s">
        <v>312</v>
      </c>
      <c r="X848" s="35">
        <f t="shared" si="342"/>
        <v>7859</v>
      </c>
      <c r="Y848" s="89" t="s">
        <v>312</v>
      </c>
      <c r="Z848" s="89" t="s">
        <v>312</v>
      </c>
      <c r="AA848" s="89" t="s">
        <v>312</v>
      </c>
      <c r="AB848" s="35" t="s">
        <v>312</v>
      </c>
      <c r="AC848" s="89">
        <f t="shared" ref="AC848:AC881" si="343">N848*AN848/BF848</f>
        <v>2.0823576594175717E-3</v>
      </c>
      <c r="AD848" s="89" cm="1">
        <f t="array" ref="AD848">_xlfn.IFS(
AND(L848="marginal_effect",M848="level"),N848*AN848/BF848,
AND(L848="marginal_effect",M848="sd (Y)"),N848*BI848*AN848/BF848,
AND(L848="marginal_effect",M848="sd (X)"),N848/AQ848*AN848/BF848,
AND(L848="semi_elasticity",M848="level"),N848*AN848,
AND(L848="semi_elasticity",M848="sd (Y)"),N848*AN848*BI848,
AND(L848="semi_elasticity",M848="sd (X)"),N848*AN848/AQ848,
AND(L848="level-log",M848="level"),N848/BF848,
AND(L848="level-log",M848="sd (X)"),N848/BF848/AQ848,
AND(L848="level-log",M848="sd (Y)"),N848/BF848*BI848,
AND(L848="elasticity",M848="level"),N848,
AND(L848="elasticity",M848="sd (X)"),N848/AQ848,
AND(L848="elasticity",M848="sd (Y)"),N848*BI848,
AND(L848="marginal_effect",M848="percent_of_mean"),N848*AN848/BF848/10)</f>
        <v>2.0823576594175717E-3</v>
      </c>
      <c r="AE848" s="49">
        <f t="shared" si="341"/>
        <v>1</v>
      </c>
      <c r="AF848" s="89" t="s">
        <v>312</v>
      </c>
      <c r="AG848" s="89" t="s">
        <v>312</v>
      </c>
      <c r="AH848" s="49" t="s">
        <v>312</v>
      </c>
      <c r="AI848" s="89">
        <f t="shared" ref="AI848:AI881" si="344">-AC848</f>
        <v>-2.0823576594175717E-3</v>
      </c>
      <c r="AJ848" s="35">
        <v>0</v>
      </c>
      <c r="AK848" s="35" t="s">
        <v>312</v>
      </c>
      <c r="AL848" s="35" t="s">
        <v>82</v>
      </c>
      <c r="AM848" s="35" t="s">
        <v>1333</v>
      </c>
      <c r="AN848" s="35">
        <v>10.06</v>
      </c>
      <c r="AO848" s="35">
        <v>1</v>
      </c>
      <c r="AP848" s="35">
        <f t="shared" ref="AP848:AP879" si="345">AN848</f>
        <v>10.06</v>
      </c>
      <c r="AQ848" s="35">
        <v>4.6970000000000001</v>
      </c>
      <c r="AR848" s="35">
        <v>1.8</v>
      </c>
      <c r="AS848" s="35">
        <v>20.75</v>
      </c>
      <c r="AT848" s="35" t="s">
        <v>83</v>
      </c>
      <c r="AU848" s="35" t="s">
        <v>109</v>
      </c>
      <c r="AV848" s="35" t="s">
        <v>133</v>
      </c>
      <c r="AW848" s="35" t="s">
        <v>109</v>
      </c>
      <c r="AX848" s="35" t="s">
        <v>86</v>
      </c>
      <c r="AY848" s="35">
        <v>0</v>
      </c>
      <c r="AZ848" s="35">
        <v>0</v>
      </c>
      <c r="BA848" s="35" t="s">
        <v>734</v>
      </c>
      <c r="BB848" s="35" t="s">
        <v>88</v>
      </c>
      <c r="BC848" s="35" t="s">
        <v>89</v>
      </c>
      <c r="BD848" s="35" t="s">
        <v>134</v>
      </c>
      <c r="BE848" s="35" t="s">
        <v>1585</v>
      </c>
      <c r="BF848" s="35">
        <v>309.18799999999999</v>
      </c>
      <c r="BG848" s="35">
        <v>1</v>
      </c>
      <c r="BH848" s="35">
        <v>63.716000000000001</v>
      </c>
      <c r="BI848" s="35">
        <v>160.28299999999999</v>
      </c>
      <c r="BJ848" s="35">
        <v>810.11699999999996</v>
      </c>
      <c r="BK848" s="35" t="s">
        <v>91</v>
      </c>
      <c r="BL848" s="35" t="s">
        <v>84</v>
      </c>
      <c r="BM848" s="35">
        <v>1</v>
      </c>
      <c r="BN848" s="35" t="s">
        <v>539</v>
      </c>
      <c r="BO848" s="35" t="s">
        <v>1586</v>
      </c>
      <c r="BP848" s="35" t="s">
        <v>1587</v>
      </c>
      <c r="BQ848" s="35" t="s">
        <v>92</v>
      </c>
      <c r="BR848" s="35" t="s">
        <v>134</v>
      </c>
      <c r="BS848" s="35" t="s">
        <v>312</v>
      </c>
      <c r="BT848" s="35">
        <v>0.248</v>
      </c>
      <c r="BU848" s="35">
        <v>2012</v>
      </c>
      <c r="BV848" s="35">
        <v>2019</v>
      </c>
      <c r="BW848" s="35" t="s">
        <v>1588</v>
      </c>
      <c r="BX848" s="35" t="s">
        <v>95</v>
      </c>
      <c r="BY848" s="35" t="s">
        <v>96</v>
      </c>
      <c r="BZ848" s="35">
        <v>0</v>
      </c>
      <c r="CA848" s="35">
        <v>0</v>
      </c>
      <c r="CB848" s="35" t="s">
        <v>97</v>
      </c>
      <c r="CC848" s="35" t="s">
        <v>719</v>
      </c>
      <c r="CD848" s="35">
        <v>1</v>
      </c>
      <c r="CE848" s="35" t="s">
        <v>1589</v>
      </c>
      <c r="CF848" s="35">
        <v>1</v>
      </c>
      <c r="CG848" s="35" t="s">
        <v>396</v>
      </c>
      <c r="CH848" s="35">
        <v>1</v>
      </c>
      <c r="CI848" s="35" t="s">
        <v>97</v>
      </c>
      <c r="CJ848" s="35" t="s">
        <v>98</v>
      </c>
      <c r="CK848" s="35">
        <v>66</v>
      </c>
      <c r="CL848" s="35">
        <v>0</v>
      </c>
      <c r="CM848" s="35">
        <v>0</v>
      </c>
      <c r="CN848" s="35" t="s">
        <v>99</v>
      </c>
      <c r="CO848" s="35" t="s">
        <v>1664</v>
      </c>
      <c r="CP848" s="35" t="s">
        <v>100</v>
      </c>
      <c r="CQ848" s="35" t="s">
        <v>126</v>
      </c>
      <c r="CR848" s="36">
        <v>46233</v>
      </c>
      <c r="CT848" s="35" t="s">
        <v>1206</v>
      </c>
    </row>
    <row r="849" spans="1:98" s="35" customFormat="1" x14ac:dyDescent="0.35">
      <c r="A849" s="34" t="s">
        <v>1581</v>
      </c>
      <c r="B849" s="34" t="s">
        <v>1615</v>
      </c>
      <c r="C849" s="35" t="s">
        <v>1582</v>
      </c>
      <c r="D849" s="35">
        <v>2022</v>
      </c>
      <c r="E849" s="34" t="s">
        <v>1583</v>
      </c>
      <c r="F849" s="34" t="s">
        <v>1584</v>
      </c>
      <c r="G849" s="35" t="s">
        <v>78</v>
      </c>
      <c r="H849" s="35">
        <v>1</v>
      </c>
      <c r="I849" s="35" t="s">
        <v>390</v>
      </c>
      <c r="J849" s="35" t="s">
        <v>79</v>
      </c>
      <c r="K849" s="35">
        <v>11</v>
      </c>
      <c r="L849" s="35" t="s">
        <v>129</v>
      </c>
      <c r="M849" s="35" t="s">
        <v>380</v>
      </c>
      <c r="N849" s="35">
        <v>-0.13900000000000001</v>
      </c>
      <c r="O849" s="35">
        <v>0.34599999999999997</v>
      </c>
      <c r="P849" s="89">
        <f>N849/O849</f>
        <v>-0.40173410404624282</v>
      </c>
      <c r="Q849" s="35" t="s">
        <v>312</v>
      </c>
      <c r="R849" s="89">
        <f>N849-1.96*O849</f>
        <v>-0.81716</v>
      </c>
      <c r="S849" s="89">
        <f>N849+1.96*O849</f>
        <v>0.53915999999999997</v>
      </c>
      <c r="T849" s="35">
        <v>1</v>
      </c>
      <c r="U849" s="35">
        <v>7859</v>
      </c>
      <c r="V849" s="35" t="s">
        <v>312</v>
      </c>
      <c r="W849" s="35" t="s">
        <v>312</v>
      </c>
      <c r="X849" s="35">
        <f t="shared" si="342"/>
        <v>7859</v>
      </c>
      <c r="Y849" s="89">
        <f>P849/(P849^2 + X849)^(1/2)</f>
        <v>-4.5315898757190146E-3</v>
      </c>
      <c r="Z849" s="89">
        <f>((1-Y849^2)/X849)^(1/2)</f>
        <v>1.1280072640278986E-2</v>
      </c>
      <c r="AA849" s="89">
        <f>-Y849</f>
        <v>4.5315898757190146E-3</v>
      </c>
      <c r="AB849" s="35" t="s">
        <v>81</v>
      </c>
      <c r="AC849" s="89">
        <f t="shared" si="343"/>
        <v>-4.5226205415475383E-3</v>
      </c>
      <c r="AD849" s="89" cm="1">
        <f t="array" ref="AD849">_xlfn.IFS(
AND(L849="marginal_effect",M849="level"),N849*AN849/BF849,
AND(L849="marginal_effect",M849="sd (Y)"),N849*BI849*AN849/BF849,
AND(L849="marginal_effect",M849="sd (X)"),N849/AQ849*AN849/BF849,
AND(L849="semi_elasticity",M849="level"),N849*AN849,
AND(L849="semi_elasticity",M849="sd (Y)"),N849*AN849*BI849,
AND(L849="semi_elasticity",M849="sd (X)"),N849*AN849/AQ849,
AND(L849="level-log",M849="level"),N849/BF849,
AND(L849="level-log",M849="sd (X)"),N849/BF849/AQ849,
AND(L849="level-log",M849="sd (Y)"),N849/BF849*BI849,
AND(L849="elasticity",M849="level"),N849,
AND(L849="elasticity",M849="sd (X)"),N849/AQ849,
AND(L849="elasticity",M849="sd (Y)"),N849*BI849,
AND(L849="marginal_effect",M849="percent_of_mean"),N849*AN849/BF849/10)</f>
        <v>-4.5226205415475383E-3</v>
      </c>
      <c r="AE849" s="49">
        <f t="shared" si="341"/>
        <v>1</v>
      </c>
      <c r="AF849" s="89">
        <f>O849*AN849/BF849</f>
        <v>1.1257746096226245E-2</v>
      </c>
      <c r="AG849" s="89" cm="1">
        <f t="array" ref="AG849">_xlfn.IFS(
AND(L849="marginal_effect",M849="level"),O849*AN849/BF849,
AND(L849="marginal_effect",M849="sd (Y)"),O849*BI849*AN849/BF849,
AND(L849="marginal_effect",M849="sd (X)"),O849/AQ849*AN849/BF849,
AND(L849="semi_elasticity",M849="level"),O849*AN849,
AND(L849="semi_elasticity",M849="sd (Y)"),O849*AN849*BI849,
AND(L849="semi_elasticity",M849="sd (X)"),O849*AN849/AQ849,
AND(L849="level-log",M849="level"),O849/BF849,
AND(L849="level-log",M849="sd (X)"),O849/BF849/AQ849,
AND(L849="level-log",M849="sd (Y)"),O849/BF849*BI849,
AND(L849="elasticity",M849="level"),O849,
AND(L849="elasticity",M849="sd (X)"),O849/AQ849,
AND(L849="elasticity",M849="sd (Y)"),O849*BI849,
AND(L849="marginal_effect",M849="percent_of_mean"),O849*AN849/BF849/10)</f>
        <v>1.1257746096226245E-2</v>
      </c>
      <c r="AH849" s="49">
        <f>IF(AF849=AG849,1,0)</f>
        <v>1</v>
      </c>
      <c r="AI849" s="89">
        <f t="shared" si="344"/>
        <v>4.5226205415475383E-3</v>
      </c>
      <c r="AJ849" s="35">
        <v>0</v>
      </c>
      <c r="AK849" s="35">
        <f>IF(P849=(AC849/AF849),1,0)</f>
        <v>1</v>
      </c>
      <c r="AL849" s="35" t="s">
        <v>82</v>
      </c>
      <c r="AM849" s="35" t="s">
        <v>1333</v>
      </c>
      <c r="AN849" s="35">
        <v>10.06</v>
      </c>
      <c r="AO849" s="35">
        <v>1</v>
      </c>
      <c r="AP849" s="35">
        <f t="shared" si="345"/>
        <v>10.06</v>
      </c>
      <c r="AQ849" s="35">
        <v>4.6970000000000001</v>
      </c>
      <c r="AR849" s="35">
        <v>1.8</v>
      </c>
      <c r="AS849" s="35">
        <v>20.75</v>
      </c>
      <c r="AT849" s="35" t="s">
        <v>83</v>
      </c>
      <c r="AU849" s="35" t="s">
        <v>109</v>
      </c>
      <c r="AV849" s="35" t="s">
        <v>133</v>
      </c>
      <c r="AW849" s="35" t="s">
        <v>109</v>
      </c>
      <c r="AX849" s="35" t="s">
        <v>86</v>
      </c>
      <c r="AY849" s="35">
        <v>0</v>
      </c>
      <c r="AZ849" s="35">
        <v>0</v>
      </c>
      <c r="BA849" s="35" t="s">
        <v>734</v>
      </c>
      <c r="BB849" s="35" t="s">
        <v>88</v>
      </c>
      <c r="BC849" s="35" t="s">
        <v>89</v>
      </c>
      <c r="BD849" s="35" t="s">
        <v>134</v>
      </c>
      <c r="BE849" s="35" t="s">
        <v>1585</v>
      </c>
      <c r="BF849" s="35">
        <v>309.18799999999999</v>
      </c>
      <c r="BG849" s="35">
        <v>1</v>
      </c>
      <c r="BH849" s="35">
        <v>63.716000000000001</v>
      </c>
      <c r="BI849" s="35">
        <v>160.28299999999999</v>
      </c>
      <c r="BJ849" s="35">
        <v>810.11699999999996</v>
      </c>
      <c r="BK849" s="35" t="s">
        <v>91</v>
      </c>
      <c r="BL849" s="35" t="s">
        <v>84</v>
      </c>
      <c r="BM849" s="35">
        <v>1</v>
      </c>
      <c r="BN849" s="35" t="s">
        <v>539</v>
      </c>
      <c r="BO849" s="35" t="s">
        <v>1586</v>
      </c>
      <c r="BP849" s="35" t="s">
        <v>1587</v>
      </c>
      <c r="BQ849" s="35" t="s">
        <v>92</v>
      </c>
      <c r="BR849" s="35" t="s">
        <v>134</v>
      </c>
      <c r="BS849" s="35" t="s">
        <v>312</v>
      </c>
      <c r="BT849" s="35">
        <v>0.248</v>
      </c>
      <c r="BU849" s="35">
        <v>2012</v>
      </c>
      <c r="BV849" s="35">
        <v>2019</v>
      </c>
      <c r="BW849" s="35" t="s">
        <v>1588</v>
      </c>
      <c r="BX849" s="35" t="s">
        <v>95</v>
      </c>
      <c r="BY849" s="35" t="s">
        <v>96</v>
      </c>
      <c r="BZ849" s="35">
        <v>0</v>
      </c>
      <c r="CA849" s="35">
        <v>0</v>
      </c>
      <c r="CB849" s="35" t="s">
        <v>97</v>
      </c>
      <c r="CC849" s="35" t="s">
        <v>719</v>
      </c>
      <c r="CD849" s="35">
        <v>1</v>
      </c>
      <c r="CE849" s="35" t="s">
        <v>1589</v>
      </c>
      <c r="CF849" s="35">
        <v>1</v>
      </c>
      <c r="CG849" s="35" t="s">
        <v>396</v>
      </c>
      <c r="CH849" s="35">
        <v>1</v>
      </c>
      <c r="CI849" s="35" t="s">
        <v>97</v>
      </c>
      <c r="CJ849" s="35" t="s">
        <v>98</v>
      </c>
      <c r="CK849" s="35">
        <v>66</v>
      </c>
      <c r="CL849" s="35">
        <v>0</v>
      </c>
      <c r="CM849" s="35">
        <v>0</v>
      </c>
      <c r="CN849" s="35" t="s">
        <v>99</v>
      </c>
      <c r="CO849" s="35" t="s">
        <v>1664</v>
      </c>
      <c r="CP849" s="35" t="s">
        <v>100</v>
      </c>
      <c r="CQ849" s="35" t="s">
        <v>126</v>
      </c>
      <c r="CR849" s="36">
        <v>46233</v>
      </c>
      <c r="CT849" s="35" t="s">
        <v>1206</v>
      </c>
    </row>
    <row r="850" spans="1:98" s="35" customFormat="1" x14ac:dyDescent="0.35">
      <c r="A850" s="34" t="s">
        <v>1581</v>
      </c>
      <c r="B850" s="34" t="s">
        <v>1625</v>
      </c>
      <c r="C850" s="35" t="s">
        <v>1582</v>
      </c>
      <c r="D850" s="35">
        <v>2022</v>
      </c>
      <c r="E850" s="34" t="s">
        <v>1583</v>
      </c>
      <c r="F850" s="34" t="s">
        <v>1584</v>
      </c>
      <c r="G850" s="35" t="s">
        <v>78</v>
      </c>
      <c r="H850" s="35">
        <v>1</v>
      </c>
      <c r="I850" s="35" t="s">
        <v>390</v>
      </c>
      <c r="J850" s="35" t="s">
        <v>79</v>
      </c>
      <c r="K850" s="35">
        <v>11</v>
      </c>
      <c r="L850" s="35" t="s">
        <v>129</v>
      </c>
      <c r="M850" s="35" t="s">
        <v>380</v>
      </c>
      <c r="N850" s="35">
        <f>907.441-120.849-790.062</f>
        <v>-3.4700000000000273</v>
      </c>
      <c r="O850" s="35" t="s">
        <v>312</v>
      </c>
      <c r="P850" s="89" t="s">
        <v>312</v>
      </c>
      <c r="Q850" s="35" t="s">
        <v>312</v>
      </c>
      <c r="R850" s="89" t="s">
        <v>312</v>
      </c>
      <c r="S850" s="89" t="s">
        <v>312</v>
      </c>
      <c r="T850" s="35" t="s">
        <v>312</v>
      </c>
      <c r="U850" s="35">
        <v>7859</v>
      </c>
      <c r="V850" s="35" t="s">
        <v>312</v>
      </c>
      <c r="W850" s="35" t="s">
        <v>312</v>
      </c>
      <c r="X850" s="35">
        <f t="shared" si="342"/>
        <v>7859</v>
      </c>
      <c r="Y850" s="89" t="s">
        <v>312</v>
      </c>
      <c r="Z850" s="89" t="s">
        <v>312</v>
      </c>
      <c r="AA850" s="89" t="s">
        <v>312</v>
      </c>
      <c r="AB850" s="35" t="s">
        <v>312</v>
      </c>
      <c r="AC850" s="89">
        <f t="shared" si="343"/>
        <v>-1.3900387234610872E-3</v>
      </c>
      <c r="AD850" s="89" cm="1">
        <f t="array" ref="AD850">_xlfn.IFS(
AND(L850="marginal_effect",M850="level"),N850*AN850/BF850,
AND(L850="marginal_effect",M850="sd (Y)"),N850*BI850*AN850/BF850,
AND(L850="marginal_effect",M850="sd (X)"),N850/AQ850*AN850/BF850,
AND(L850="semi_elasticity",M850="level"),N850*AN850,
AND(L850="semi_elasticity",M850="sd (Y)"),N850*AN850*BI850,
AND(L850="semi_elasticity",M850="sd (X)"),N850*AN850/AQ850,
AND(L850="level-log",M850="level"),N850/BF850,
AND(L850="level-log",M850="sd (X)"),N850/BF850/AQ850,
AND(L850="level-log",M850="sd (Y)"),N850/BF850*BI850,
AND(L850="elasticity",M850="level"),N850,
AND(L850="elasticity",M850="sd (X)"),N850/AQ850,
AND(L850="elasticity",M850="sd (Y)"),N850*BI850,
AND(L850="marginal_effect",M850="percent_of_mean"),N850*AN850/BF850/10)</f>
        <v>-1.3900387234610872E-3</v>
      </c>
      <c r="AE850" s="49">
        <f t="shared" si="341"/>
        <v>1</v>
      </c>
      <c r="AF850" s="89" t="s">
        <v>312</v>
      </c>
      <c r="AG850" s="89" t="s">
        <v>312</v>
      </c>
      <c r="AH850" s="49" t="s">
        <v>312</v>
      </c>
      <c r="AI850" s="89">
        <f t="shared" si="344"/>
        <v>1.3900387234610872E-3</v>
      </c>
      <c r="AJ850" s="35">
        <v>0</v>
      </c>
      <c r="AK850" s="35" t="s">
        <v>312</v>
      </c>
      <c r="AL850" s="35" t="s">
        <v>148</v>
      </c>
      <c r="AM850" s="35" t="s">
        <v>590</v>
      </c>
      <c r="AN850" s="35">
        <v>3.3000000000000002E-2</v>
      </c>
      <c r="AO850" s="35">
        <v>1</v>
      </c>
      <c r="AP850" s="35">
        <f t="shared" si="345"/>
        <v>3.3000000000000002E-2</v>
      </c>
      <c r="AQ850" s="35">
        <v>1.2E-2</v>
      </c>
      <c r="AR850" s="35">
        <v>1.2E-2</v>
      </c>
      <c r="AS850" s="35">
        <v>5.8000000000000003E-2</v>
      </c>
      <c r="AT850" s="35" t="s">
        <v>83</v>
      </c>
      <c r="AU850" s="35" t="s">
        <v>109</v>
      </c>
      <c r="AV850" s="35" t="s">
        <v>133</v>
      </c>
      <c r="AW850" s="35" t="s">
        <v>109</v>
      </c>
      <c r="AX850" s="35" t="s">
        <v>86</v>
      </c>
      <c r="AY850" s="35">
        <v>0</v>
      </c>
      <c r="AZ850" s="35">
        <v>0</v>
      </c>
      <c r="BA850" s="35" t="s">
        <v>734</v>
      </c>
      <c r="BB850" s="35" t="s">
        <v>88</v>
      </c>
      <c r="BC850" s="35" t="s">
        <v>89</v>
      </c>
      <c r="BD850" s="35" t="s">
        <v>134</v>
      </c>
      <c r="BE850" s="35" t="s">
        <v>1585</v>
      </c>
      <c r="BF850" s="35">
        <v>82.379000000000005</v>
      </c>
      <c r="BG850" s="35">
        <v>1</v>
      </c>
      <c r="BH850" s="35">
        <v>14.926</v>
      </c>
      <c r="BI850" s="35">
        <v>47.133000000000003</v>
      </c>
      <c r="BJ850" s="35">
        <v>156.46700000000001</v>
      </c>
      <c r="BK850" s="35" t="s">
        <v>91</v>
      </c>
      <c r="BL850" s="35" t="s">
        <v>84</v>
      </c>
      <c r="BM850" s="35">
        <v>1</v>
      </c>
      <c r="BN850" s="35" t="s">
        <v>539</v>
      </c>
      <c r="BO850" s="35" t="s">
        <v>1586</v>
      </c>
      <c r="BP850" s="35" t="s">
        <v>1587</v>
      </c>
      <c r="BQ850" s="35" t="s">
        <v>92</v>
      </c>
      <c r="BR850" s="35" t="s">
        <v>134</v>
      </c>
      <c r="BS850" s="35" t="s">
        <v>312</v>
      </c>
      <c r="BT850" s="35">
        <v>0.248</v>
      </c>
      <c r="BU850" s="35">
        <v>2012</v>
      </c>
      <c r="BV850" s="35">
        <v>2019</v>
      </c>
      <c r="BW850" s="35" t="s">
        <v>1588</v>
      </c>
      <c r="BX850" s="35" t="s">
        <v>95</v>
      </c>
      <c r="BY850" s="35" t="s">
        <v>96</v>
      </c>
      <c r="BZ850" s="35">
        <v>0</v>
      </c>
      <c r="CA850" s="35">
        <v>0</v>
      </c>
      <c r="CB850" s="35" t="s">
        <v>97</v>
      </c>
      <c r="CC850" s="35" t="s">
        <v>719</v>
      </c>
      <c r="CD850" s="35">
        <v>1</v>
      </c>
      <c r="CE850" s="35" t="s">
        <v>1589</v>
      </c>
      <c r="CF850" s="35">
        <v>0</v>
      </c>
      <c r="CG850" s="35" t="s">
        <v>97</v>
      </c>
      <c r="CH850" s="35">
        <v>1</v>
      </c>
      <c r="CI850" s="35" t="s">
        <v>97</v>
      </c>
      <c r="CJ850" s="35" t="s">
        <v>98</v>
      </c>
      <c r="CK850" s="35">
        <v>66</v>
      </c>
      <c r="CL850" s="35">
        <v>0</v>
      </c>
      <c r="CM850" s="35">
        <v>0</v>
      </c>
      <c r="CN850" s="35" t="s">
        <v>99</v>
      </c>
      <c r="CO850" s="35" t="s">
        <v>1664</v>
      </c>
      <c r="CP850" s="35" t="s">
        <v>100</v>
      </c>
      <c r="CQ850" s="35" t="s">
        <v>126</v>
      </c>
      <c r="CR850" s="36">
        <v>46234</v>
      </c>
      <c r="CT850" s="35" t="s">
        <v>1656</v>
      </c>
    </row>
    <row r="851" spans="1:98" s="35" customFormat="1" x14ac:dyDescent="0.35">
      <c r="A851" s="34" t="s">
        <v>1581</v>
      </c>
      <c r="B851" s="34" t="s">
        <v>1624</v>
      </c>
      <c r="C851" s="35" t="s">
        <v>1582</v>
      </c>
      <c r="D851" s="35">
        <v>2022</v>
      </c>
      <c r="E851" s="34" t="s">
        <v>1583</v>
      </c>
      <c r="F851" s="34" t="s">
        <v>1584</v>
      </c>
      <c r="G851" s="35" t="s">
        <v>78</v>
      </c>
      <c r="H851" s="35">
        <v>1</v>
      </c>
      <c r="I851" s="35" t="s">
        <v>390</v>
      </c>
      <c r="J851" s="35" t="s">
        <v>79</v>
      </c>
      <c r="K851" s="35">
        <v>11</v>
      </c>
      <c r="L851" s="35" t="s">
        <v>129</v>
      </c>
      <c r="M851" s="35" t="s">
        <v>380</v>
      </c>
      <c r="N851" s="35">
        <f>907.441-790.062</f>
        <v>117.37900000000002</v>
      </c>
      <c r="O851" s="35" t="s">
        <v>312</v>
      </c>
      <c r="P851" s="89" t="s">
        <v>312</v>
      </c>
      <c r="Q851" s="35" t="s">
        <v>312</v>
      </c>
      <c r="R851" s="89" t="s">
        <v>312</v>
      </c>
      <c r="S851" s="89" t="s">
        <v>312</v>
      </c>
      <c r="T851" s="35" t="s">
        <v>312</v>
      </c>
      <c r="U851" s="35">
        <v>7859</v>
      </c>
      <c r="V851" s="35" t="s">
        <v>312</v>
      </c>
      <c r="W851" s="35" t="s">
        <v>312</v>
      </c>
      <c r="X851" s="35">
        <f t="shared" si="342"/>
        <v>7859</v>
      </c>
      <c r="Y851" s="89" t="s">
        <v>312</v>
      </c>
      <c r="Z851" s="89" t="s">
        <v>312</v>
      </c>
      <c r="AA851" s="89" t="s">
        <v>312</v>
      </c>
      <c r="AB851" s="35" t="s">
        <v>312</v>
      </c>
      <c r="AC851" s="89">
        <f t="shared" si="343"/>
        <v>4.7020563493123259E-2</v>
      </c>
      <c r="AD851" s="89" cm="1">
        <f t="array" ref="AD851">_xlfn.IFS(
AND(L851="marginal_effect",M851="level"),N851*AN851/BF851,
AND(L851="marginal_effect",M851="sd (Y)"),N851*BI851*AN851/BF851,
AND(L851="marginal_effect",M851="sd (X)"),N851/AQ851*AN851/BF851,
AND(L851="semi_elasticity",M851="level"),N851*AN851,
AND(L851="semi_elasticity",M851="sd (Y)"),N851*AN851*BI851,
AND(L851="semi_elasticity",M851="sd (X)"),N851*AN851/AQ851,
AND(L851="level-log",M851="level"),N851/BF851,
AND(L851="level-log",M851="sd (X)"),N851/BF851/AQ851,
AND(L851="level-log",M851="sd (Y)"),N851/BF851*BI851,
AND(L851="elasticity",M851="level"),N851,
AND(L851="elasticity",M851="sd (X)"),N851/AQ851,
AND(L851="elasticity",M851="sd (Y)"),N851*BI851,
AND(L851="marginal_effect",M851="percent_of_mean"),N851*AN851/BF851/10)</f>
        <v>4.7020563493123259E-2</v>
      </c>
      <c r="AE851" s="49">
        <f t="shared" si="341"/>
        <v>1</v>
      </c>
      <c r="AF851" s="89" t="s">
        <v>312</v>
      </c>
      <c r="AG851" s="89" t="s">
        <v>312</v>
      </c>
      <c r="AH851" s="49" t="s">
        <v>312</v>
      </c>
      <c r="AI851" s="89">
        <f t="shared" si="344"/>
        <v>-4.7020563493123259E-2</v>
      </c>
      <c r="AJ851" s="35">
        <v>0</v>
      </c>
      <c r="AK851" s="35" t="s">
        <v>312</v>
      </c>
      <c r="AL851" s="35" t="s">
        <v>148</v>
      </c>
      <c r="AM851" s="35" t="s">
        <v>590</v>
      </c>
      <c r="AN851" s="35">
        <v>3.3000000000000002E-2</v>
      </c>
      <c r="AO851" s="35">
        <v>1</v>
      </c>
      <c r="AP851" s="35">
        <f t="shared" si="345"/>
        <v>3.3000000000000002E-2</v>
      </c>
      <c r="AQ851" s="35">
        <v>1.2E-2</v>
      </c>
      <c r="AR851" s="35">
        <v>1.2E-2</v>
      </c>
      <c r="AS851" s="35">
        <v>5.8000000000000003E-2</v>
      </c>
      <c r="AT851" s="35" t="s">
        <v>83</v>
      </c>
      <c r="AU851" s="35" t="s">
        <v>109</v>
      </c>
      <c r="AV851" s="35" t="s">
        <v>133</v>
      </c>
      <c r="AW851" s="35" t="s">
        <v>109</v>
      </c>
      <c r="AX851" s="35" t="s">
        <v>86</v>
      </c>
      <c r="AY851" s="35">
        <v>0</v>
      </c>
      <c r="AZ851" s="35">
        <v>0</v>
      </c>
      <c r="BA851" s="35" t="s">
        <v>734</v>
      </c>
      <c r="BB851" s="35" t="s">
        <v>88</v>
      </c>
      <c r="BC851" s="35" t="s">
        <v>89</v>
      </c>
      <c r="BD851" s="35" t="s">
        <v>134</v>
      </c>
      <c r="BE851" s="35" t="s">
        <v>1585</v>
      </c>
      <c r="BF851" s="35">
        <v>82.379000000000005</v>
      </c>
      <c r="BG851" s="35">
        <v>1</v>
      </c>
      <c r="BH851" s="35">
        <v>14.926</v>
      </c>
      <c r="BI851" s="35">
        <v>47.133000000000003</v>
      </c>
      <c r="BJ851" s="35">
        <v>156.46700000000001</v>
      </c>
      <c r="BK851" s="35" t="s">
        <v>91</v>
      </c>
      <c r="BL851" s="35" t="s">
        <v>84</v>
      </c>
      <c r="BM851" s="35">
        <v>1</v>
      </c>
      <c r="BN851" s="35" t="s">
        <v>539</v>
      </c>
      <c r="BO851" s="35" t="s">
        <v>1586</v>
      </c>
      <c r="BP851" s="35" t="s">
        <v>1587</v>
      </c>
      <c r="BQ851" s="35" t="s">
        <v>92</v>
      </c>
      <c r="BR851" s="35" t="s">
        <v>134</v>
      </c>
      <c r="BS851" s="35" t="s">
        <v>312</v>
      </c>
      <c r="BT851" s="35">
        <v>0.248</v>
      </c>
      <c r="BU851" s="35">
        <v>2012</v>
      </c>
      <c r="BV851" s="35">
        <v>2019</v>
      </c>
      <c r="BW851" s="35" t="s">
        <v>1588</v>
      </c>
      <c r="BX851" s="35" t="s">
        <v>95</v>
      </c>
      <c r="BY851" s="35" t="s">
        <v>96</v>
      </c>
      <c r="BZ851" s="35">
        <v>0</v>
      </c>
      <c r="CA851" s="35">
        <v>0</v>
      </c>
      <c r="CB851" s="35" t="s">
        <v>97</v>
      </c>
      <c r="CC851" s="35" t="s">
        <v>719</v>
      </c>
      <c r="CD851" s="35">
        <v>1</v>
      </c>
      <c r="CE851" s="35" t="s">
        <v>1589</v>
      </c>
      <c r="CF851" s="35">
        <v>0</v>
      </c>
      <c r="CG851" s="35" t="s">
        <v>97</v>
      </c>
      <c r="CH851" s="35">
        <v>1</v>
      </c>
      <c r="CI851" s="35" t="s">
        <v>97</v>
      </c>
      <c r="CJ851" s="35" t="s">
        <v>98</v>
      </c>
      <c r="CK851" s="35">
        <v>66</v>
      </c>
      <c r="CL851" s="35">
        <v>0</v>
      </c>
      <c r="CM851" s="35">
        <v>0</v>
      </c>
      <c r="CN851" s="35" t="s">
        <v>99</v>
      </c>
      <c r="CO851" s="35" t="s">
        <v>1664</v>
      </c>
      <c r="CP851" s="35" t="s">
        <v>100</v>
      </c>
      <c r="CQ851" s="35" t="s">
        <v>126</v>
      </c>
      <c r="CR851" s="36">
        <v>46234</v>
      </c>
      <c r="CT851" s="35" t="s">
        <v>1656</v>
      </c>
    </row>
    <row r="852" spans="1:98" s="35" customFormat="1" x14ac:dyDescent="0.35">
      <c r="A852" s="34" t="s">
        <v>1581</v>
      </c>
      <c r="B852" s="34" t="s">
        <v>1626</v>
      </c>
      <c r="C852" s="35" t="s">
        <v>1582</v>
      </c>
      <c r="D852" s="35">
        <v>2022</v>
      </c>
      <c r="E852" s="34" t="s">
        <v>1583</v>
      </c>
      <c r="F852" s="34" t="s">
        <v>1584</v>
      </c>
      <c r="G852" s="35" t="s">
        <v>78</v>
      </c>
      <c r="H852" s="35">
        <v>1</v>
      </c>
      <c r="I852" s="35" t="s">
        <v>390</v>
      </c>
      <c r="J852" s="35" t="s">
        <v>79</v>
      </c>
      <c r="K852" s="35">
        <v>11</v>
      </c>
      <c r="L852" s="35" t="s">
        <v>129</v>
      </c>
      <c r="M852" s="35" t="s">
        <v>380</v>
      </c>
      <c r="N852" s="35">
        <f>907.441-120.849</f>
        <v>786.59199999999998</v>
      </c>
      <c r="O852" s="35" t="s">
        <v>312</v>
      </c>
      <c r="P852" s="89" t="s">
        <v>312</v>
      </c>
      <c r="Q852" s="35" t="s">
        <v>312</v>
      </c>
      <c r="R852" s="89" t="s">
        <v>312</v>
      </c>
      <c r="S852" s="89" t="s">
        <v>312</v>
      </c>
      <c r="T852" s="35" t="s">
        <v>312</v>
      </c>
      <c r="U852" s="35">
        <v>7859</v>
      </c>
      <c r="V852" s="35" t="s">
        <v>312</v>
      </c>
      <c r="W852" s="35" t="s">
        <v>312</v>
      </c>
      <c r="X852" s="35">
        <f t="shared" si="342"/>
        <v>7859</v>
      </c>
      <c r="Y852" s="89" t="s">
        <v>312</v>
      </c>
      <c r="Z852" s="89" t="s">
        <v>312</v>
      </c>
      <c r="AA852" s="89" t="s">
        <v>312</v>
      </c>
      <c r="AB852" s="35" t="s">
        <v>312</v>
      </c>
      <c r="AC852" s="89">
        <f t="shared" si="343"/>
        <v>0.31509894511950859</v>
      </c>
      <c r="AD852" s="89" cm="1">
        <f t="array" ref="AD852">_xlfn.IFS(
AND(L852="marginal_effect",M852="level"),N852*AN852/BF852,
AND(L852="marginal_effect",M852="sd (Y)"),N852*BI852*AN852/BF852,
AND(L852="marginal_effect",M852="sd (X)"),N852/AQ852*AN852/BF852,
AND(L852="semi_elasticity",M852="level"),N852*AN852,
AND(L852="semi_elasticity",M852="sd (Y)"),N852*AN852*BI852,
AND(L852="semi_elasticity",M852="sd (X)"),N852*AN852/AQ852,
AND(L852="level-log",M852="level"),N852/BF852,
AND(L852="level-log",M852="sd (X)"),N852/BF852/AQ852,
AND(L852="level-log",M852="sd (Y)"),N852/BF852*BI852,
AND(L852="elasticity",M852="level"),N852,
AND(L852="elasticity",M852="sd (X)"),N852/AQ852,
AND(L852="elasticity",M852="sd (Y)"),N852*BI852,
AND(L852="marginal_effect",M852="percent_of_mean"),N852*AN852/BF852/10)</f>
        <v>0.31509894511950859</v>
      </c>
      <c r="AE852" s="49">
        <f t="shared" si="341"/>
        <v>1</v>
      </c>
      <c r="AF852" s="89" t="s">
        <v>312</v>
      </c>
      <c r="AG852" s="89" t="s">
        <v>312</v>
      </c>
      <c r="AH852" s="49" t="s">
        <v>312</v>
      </c>
      <c r="AI852" s="89">
        <f t="shared" si="344"/>
        <v>-0.31509894511950859</v>
      </c>
      <c r="AJ852" s="35">
        <v>0</v>
      </c>
      <c r="AK852" s="35" t="s">
        <v>312</v>
      </c>
      <c r="AL852" s="35" t="s">
        <v>148</v>
      </c>
      <c r="AM852" s="35" t="s">
        <v>590</v>
      </c>
      <c r="AN852" s="35">
        <v>3.3000000000000002E-2</v>
      </c>
      <c r="AO852" s="35">
        <v>1</v>
      </c>
      <c r="AP852" s="35">
        <f t="shared" si="345"/>
        <v>3.3000000000000002E-2</v>
      </c>
      <c r="AQ852" s="35">
        <v>1.2E-2</v>
      </c>
      <c r="AR852" s="35">
        <v>1.2E-2</v>
      </c>
      <c r="AS852" s="35">
        <v>5.8000000000000003E-2</v>
      </c>
      <c r="AT852" s="35" t="s">
        <v>83</v>
      </c>
      <c r="AU852" s="35" t="s">
        <v>109</v>
      </c>
      <c r="AV852" s="35" t="s">
        <v>133</v>
      </c>
      <c r="AW852" s="35" t="s">
        <v>109</v>
      </c>
      <c r="AX852" s="35" t="s">
        <v>86</v>
      </c>
      <c r="AY852" s="35">
        <v>0</v>
      </c>
      <c r="AZ852" s="35">
        <v>0</v>
      </c>
      <c r="BA852" s="35" t="s">
        <v>734</v>
      </c>
      <c r="BB852" s="35" t="s">
        <v>88</v>
      </c>
      <c r="BC852" s="35" t="s">
        <v>89</v>
      </c>
      <c r="BD852" s="35" t="s">
        <v>134</v>
      </c>
      <c r="BE852" s="35" t="s">
        <v>1585</v>
      </c>
      <c r="BF852" s="35">
        <v>82.379000000000005</v>
      </c>
      <c r="BG852" s="35">
        <v>1</v>
      </c>
      <c r="BH852" s="35">
        <v>14.926</v>
      </c>
      <c r="BI852" s="35">
        <v>47.133000000000003</v>
      </c>
      <c r="BJ852" s="35">
        <v>156.46700000000001</v>
      </c>
      <c r="BK852" s="35" t="s">
        <v>91</v>
      </c>
      <c r="BL852" s="35" t="s">
        <v>84</v>
      </c>
      <c r="BM852" s="35">
        <v>1</v>
      </c>
      <c r="BN852" s="35" t="s">
        <v>539</v>
      </c>
      <c r="BO852" s="35" t="s">
        <v>1586</v>
      </c>
      <c r="BP852" s="35" t="s">
        <v>1587</v>
      </c>
      <c r="BQ852" s="35" t="s">
        <v>92</v>
      </c>
      <c r="BR852" s="35" t="s">
        <v>134</v>
      </c>
      <c r="BS852" s="35" t="s">
        <v>312</v>
      </c>
      <c r="BT852" s="35">
        <v>0.248</v>
      </c>
      <c r="BU852" s="35">
        <v>2012</v>
      </c>
      <c r="BV852" s="35">
        <v>2019</v>
      </c>
      <c r="BW852" s="35" t="s">
        <v>1588</v>
      </c>
      <c r="BX852" s="35" t="s">
        <v>95</v>
      </c>
      <c r="BY852" s="35" t="s">
        <v>96</v>
      </c>
      <c r="BZ852" s="35">
        <v>0</v>
      </c>
      <c r="CA852" s="35">
        <v>0</v>
      </c>
      <c r="CB852" s="35" t="s">
        <v>97</v>
      </c>
      <c r="CC852" s="35" t="s">
        <v>719</v>
      </c>
      <c r="CD852" s="35">
        <v>1</v>
      </c>
      <c r="CE852" s="35" t="s">
        <v>1589</v>
      </c>
      <c r="CF852" s="35">
        <v>0</v>
      </c>
      <c r="CG852" s="35" t="s">
        <v>97</v>
      </c>
      <c r="CH852" s="35">
        <v>1</v>
      </c>
      <c r="CI852" s="35" t="s">
        <v>97</v>
      </c>
      <c r="CJ852" s="35" t="s">
        <v>98</v>
      </c>
      <c r="CK852" s="35">
        <v>66</v>
      </c>
      <c r="CL852" s="35">
        <v>0</v>
      </c>
      <c r="CM852" s="35">
        <v>0</v>
      </c>
      <c r="CN852" s="35" t="s">
        <v>99</v>
      </c>
      <c r="CO852" s="35" t="s">
        <v>1664</v>
      </c>
      <c r="CP852" s="35" t="s">
        <v>100</v>
      </c>
      <c r="CQ852" s="35" t="s">
        <v>126</v>
      </c>
      <c r="CR852" s="36">
        <v>46234</v>
      </c>
      <c r="CT852" s="35" t="s">
        <v>1656</v>
      </c>
    </row>
    <row r="853" spans="1:98" s="35" customFormat="1" x14ac:dyDescent="0.35">
      <c r="A853" s="34" t="s">
        <v>1581</v>
      </c>
      <c r="B853" s="34" t="s">
        <v>1627</v>
      </c>
      <c r="C853" s="35" t="s">
        <v>1582</v>
      </c>
      <c r="D853" s="35">
        <v>2022</v>
      </c>
      <c r="E853" s="34" t="s">
        <v>1583</v>
      </c>
      <c r="F853" s="34" t="s">
        <v>1584</v>
      </c>
      <c r="G853" s="35" t="s">
        <v>78</v>
      </c>
      <c r="H853" s="35">
        <v>1</v>
      </c>
      <c r="I853" s="35" t="s">
        <v>390</v>
      </c>
      <c r="J853" s="35" t="s">
        <v>79</v>
      </c>
      <c r="K853" s="35">
        <v>11</v>
      </c>
      <c r="L853" s="35" t="s">
        <v>129</v>
      </c>
      <c r="M853" s="35" t="s">
        <v>380</v>
      </c>
      <c r="N853" s="35">
        <v>907.44100000000003</v>
      </c>
      <c r="O853" s="35">
        <v>425.41300000000001</v>
      </c>
      <c r="P853" s="89">
        <f>N853/O853</f>
        <v>2.1330824398878265</v>
      </c>
      <c r="Q853" s="35" t="s">
        <v>312</v>
      </c>
      <c r="R853" s="89">
        <f>N853-1.96*O853</f>
        <v>73.631520000000023</v>
      </c>
      <c r="S853" s="89">
        <f>N853+1.96*O853</f>
        <v>1741.2504800000002</v>
      </c>
      <c r="T853" s="35">
        <v>1</v>
      </c>
      <c r="U853" s="35">
        <v>7859</v>
      </c>
      <c r="V853" s="35" t="s">
        <v>312</v>
      </c>
      <c r="W853" s="35" t="s">
        <v>312</v>
      </c>
      <c r="X853" s="35">
        <f t="shared" si="342"/>
        <v>7859</v>
      </c>
      <c r="Y853" s="89">
        <f>P853/(P853^2 + X853)^(1/2)</f>
        <v>2.4054609615071488E-2</v>
      </c>
      <c r="Z853" s="89">
        <f>((1-Y853^2)/X853)^(1/2)</f>
        <v>1.1276924494459042E-2</v>
      </c>
      <c r="AA853" s="89">
        <f>-Y853</f>
        <v>-2.4054609615071488E-2</v>
      </c>
      <c r="AB853" s="35" t="s">
        <v>81</v>
      </c>
      <c r="AC853" s="89">
        <f t="shared" si="343"/>
        <v>0.36350954733609298</v>
      </c>
      <c r="AD853" s="89" cm="1">
        <f t="array" ref="AD853">_xlfn.IFS(
AND(L853="marginal_effect",M853="level"),N853*AN853/BF853,
AND(L853="marginal_effect",M853="sd (Y)"),N853*BI853*AN853/BF853,
AND(L853="marginal_effect",M853="sd (X)"),N853/AQ853*AN853/BF853,
AND(L853="semi_elasticity",M853="level"),N853*AN853,
AND(L853="semi_elasticity",M853="sd (Y)"),N853*AN853*BI853,
AND(L853="semi_elasticity",M853="sd (X)"),N853*AN853/AQ853,
AND(L853="level-log",M853="level"),N853/BF853,
AND(L853="level-log",M853="sd (X)"),N853/BF853/AQ853,
AND(L853="level-log",M853="sd (Y)"),N853/BF853*BI853,
AND(L853="elasticity",M853="level"),N853,
AND(L853="elasticity",M853="sd (X)"),N853/AQ853,
AND(L853="elasticity",M853="sd (Y)"),N853*BI853,
AND(L853="marginal_effect",M853="percent_of_mean"),N853*AN853/BF853/10)</f>
        <v>0.36350954733609298</v>
      </c>
      <c r="AE853" s="49">
        <f t="shared" si="341"/>
        <v>1</v>
      </c>
      <c r="AF853" s="89">
        <f>O853*AN853/BF853</f>
        <v>0.17041514220857257</v>
      </c>
      <c r="AG853" s="89" cm="1">
        <f t="array" ref="AG853">_xlfn.IFS(
AND(L853="marginal_effect",M853="level"),O853*AN853/BF853,
AND(L853="marginal_effect",M853="sd (Y)"),O853*BI853*AN853/BF853,
AND(L853="marginal_effect",M853="sd (X)"),O853/AQ853*AN853/BF853,
AND(L853="semi_elasticity",M853="level"),O853*AN853,
AND(L853="semi_elasticity",M853="sd (Y)"),O853*AN853*BI853,
AND(L853="semi_elasticity",M853="sd (X)"),O853*AN853/AQ853,
AND(L853="level-log",M853="level"),O853/BF853,
AND(L853="level-log",M853="sd (X)"),O853/BF853/AQ853,
AND(L853="level-log",M853="sd (Y)"),O853/BF853*BI853,
AND(L853="elasticity",M853="level"),O853,
AND(L853="elasticity",M853="sd (X)"),O853/AQ853,
AND(L853="elasticity",M853="sd (Y)"),O853*BI853,
AND(L853="marginal_effect",M853="percent_of_mean"),O853*AN853/BF853/10)</f>
        <v>0.17041514220857257</v>
      </c>
      <c r="AH853" s="49">
        <f>IF(AF853=AG853,1,0)</f>
        <v>1</v>
      </c>
      <c r="AI853" s="89">
        <f t="shared" si="344"/>
        <v>-0.36350954733609298</v>
      </c>
      <c r="AJ853" s="35">
        <v>0</v>
      </c>
      <c r="AK853" s="35">
        <f>IF(P853=(AC853/AF853),1,0)</f>
        <v>1</v>
      </c>
      <c r="AL853" s="35" t="s">
        <v>148</v>
      </c>
      <c r="AM853" s="35" t="s">
        <v>590</v>
      </c>
      <c r="AN853" s="35">
        <v>3.3000000000000002E-2</v>
      </c>
      <c r="AO853" s="35">
        <v>1</v>
      </c>
      <c r="AP853" s="35">
        <f t="shared" si="345"/>
        <v>3.3000000000000002E-2</v>
      </c>
      <c r="AQ853" s="35">
        <v>1.2E-2</v>
      </c>
      <c r="AR853" s="35">
        <v>1.2E-2</v>
      </c>
      <c r="AS853" s="35">
        <v>5.8000000000000003E-2</v>
      </c>
      <c r="AT853" s="35" t="s">
        <v>83</v>
      </c>
      <c r="AU853" s="35" t="s">
        <v>109</v>
      </c>
      <c r="AV853" s="35" t="s">
        <v>133</v>
      </c>
      <c r="AW853" s="35" t="s">
        <v>109</v>
      </c>
      <c r="AX853" s="35" t="s">
        <v>86</v>
      </c>
      <c r="AY853" s="35">
        <v>0</v>
      </c>
      <c r="AZ853" s="35">
        <v>0</v>
      </c>
      <c r="BA853" s="35" t="s">
        <v>734</v>
      </c>
      <c r="BB853" s="35" t="s">
        <v>88</v>
      </c>
      <c r="BC853" s="35" t="s">
        <v>89</v>
      </c>
      <c r="BD853" s="35" t="s">
        <v>134</v>
      </c>
      <c r="BE853" s="35" t="s">
        <v>1585</v>
      </c>
      <c r="BF853" s="35">
        <v>82.379000000000005</v>
      </c>
      <c r="BG853" s="35">
        <v>1</v>
      </c>
      <c r="BH853" s="35">
        <v>14.926</v>
      </c>
      <c r="BI853" s="35">
        <v>47.133000000000003</v>
      </c>
      <c r="BJ853" s="35">
        <v>156.46700000000001</v>
      </c>
      <c r="BK853" s="35" t="s">
        <v>91</v>
      </c>
      <c r="BL853" s="35" t="s">
        <v>84</v>
      </c>
      <c r="BM853" s="35">
        <v>1</v>
      </c>
      <c r="BN853" s="35" t="s">
        <v>539</v>
      </c>
      <c r="BO853" s="35" t="s">
        <v>1586</v>
      </c>
      <c r="BP853" s="35" t="s">
        <v>1587</v>
      </c>
      <c r="BQ853" s="35" t="s">
        <v>92</v>
      </c>
      <c r="BR853" s="35" t="s">
        <v>134</v>
      </c>
      <c r="BS853" s="35" t="s">
        <v>312</v>
      </c>
      <c r="BT853" s="35">
        <v>0.248</v>
      </c>
      <c r="BU853" s="35">
        <v>2012</v>
      </c>
      <c r="BV853" s="35">
        <v>2019</v>
      </c>
      <c r="BW853" s="35" t="s">
        <v>1588</v>
      </c>
      <c r="BX853" s="35" t="s">
        <v>95</v>
      </c>
      <c r="BY853" s="35" t="s">
        <v>96</v>
      </c>
      <c r="BZ853" s="35">
        <v>0</v>
      </c>
      <c r="CA853" s="35">
        <v>0</v>
      </c>
      <c r="CB853" s="35" t="s">
        <v>97</v>
      </c>
      <c r="CC853" s="35" t="s">
        <v>719</v>
      </c>
      <c r="CD853" s="35">
        <v>1</v>
      </c>
      <c r="CE853" s="35" t="s">
        <v>1589</v>
      </c>
      <c r="CF853" s="35">
        <v>0</v>
      </c>
      <c r="CG853" s="35" t="s">
        <v>97</v>
      </c>
      <c r="CH853" s="35">
        <v>1</v>
      </c>
      <c r="CI853" s="35" t="s">
        <v>97</v>
      </c>
      <c r="CJ853" s="35" t="s">
        <v>98</v>
      </c>
      <c r="CK853" s="35">
        <v>66</v>
      </c>
      <c r="CL853" s="35">
        <v>0</v>
      </c>
      <c r="CM853" s="35">
        <v>0</v>
      </c>
      <c r="CN853" s="35" t="s">
        <v>99</v>
      </c>
      <c r="CO853" s="35" t="s">
        <v>1664</v>
      </c>
      <c r="CP853" s="35" t="s">
        <v>100</v>
      </c>
      <c r="CQ853" s="35" t="s">
        <v>126</v>
      </c>
      <c r="CR853" s="36">
        <v>46234</v>
      </c>
      <c r="CT853" s="35" t="s">
        <v>1656</v>
      </c>
    </row>
    <row r="854" spans="1:98" s="35" customFormat="1" x14ac:dyDescent="0.35">
      <c r="A854" s="34" t="s">
        <v>1581</v>
      </c>
      <c r="B854" s="34" t="s">
        <v>1628</v>
      </c>
      <c r="C854" s="35" t="s">
        <v>1582</v>
      </c>
      <c r="D854" s="35">
        <v>2022</v>
      </c>
      <c r="E854" s="34" t="s">
        <v>1583</v>
      </c>
      <c r="F854" s="34" t="s">
        <v>1584</v>
      </c>
      <c r="G854" s="35" t="s">
        <v>78</v>
      </c>
      <c r="H854" s="35">
        <v>1</v>
      </c>
      <c r="I854" s="35" t="s">
        <v>390</v>
      </c>
      <c r="J854" s="35" t="s">
        <v>79</v>
      </c>
      <c r="K854" s="35">
        <v>11</v>
      </c>
      <c r="L854" s="35" t="s">
        <v>129</v>
      </c>
      <c r="M854" s="35" t="s">
        <v>380</v>
      </c>
      <c r="N854" s="35">
        <f>0.91+0.254+1.1198</f>
        <v>2.2838000000000003</v>
      </c>
      <c r="O854" s="35" t="s">
        <v>312</v>
      </c>
      <c r="P854" s="89" t="s">
        <v>312</v>
      </c>
      <c r="Q854" s="35" t="s">
        <v>312</v>
      </c>
      <c r="R854" s="89" t="s">
        <v>312</v>
      </c>
      <c r="S854" s="89" t="s">
        <v>312</v>
      </c>
      <c r="T854" s="35" t="s">
        <v>312</v>
      </c>
      <c r="U854" s="35">
        <v>7859</v>
      </c>
      <c r="V854" s="35" t="s">
        <v>312</v>
      </c>
      <c r="W854" s="35" t="s">
        <v>312</v>
      </c>
      <c r="X854" s="35">
        <f t="shared" si="342"/>
        <v>7859</v>
      </c>
      <c r="Y854" s="89" t="s">
        <v>312</v>
      </c>
      <c r="Z854" s="89" t="s">
        <v>312</v>
      </c>
      <c r="AA854" s="89" t="s">
        <v>312</v>
      </c>
      <c r="AB854" s="35" t="s">
        <v>312</v>
      </c>
      <c r="AC854" s="89">
        <f t="shared" si="343"/>
        <v>0.27889423275349307</v>
      </c>
      <c r="AD854" s="89" cm="1">
        <f t="array" ref="AD854">_xlfn.IFS(
AND(L854="marginal_effect",M854="level"),N854*AN854/BF854,
AND(L854="marginal_effect",M854="sd (Y)"),N854*BI854*AN854/BF854,
AND(L854="marginal_effect",M854="sd (X)"),N854/AQ854*AN854/BF854,
AND(L854="semi_elasticity",M854="level"),N854*AN854,
AND(L854="semi_elasticity",M854="sd (Y)"),N854*AN854*BI854,
AND(L854="semi_elasticity",M854="sd (X)"),N854*AN854/AQ854,
AND(L854="level-log",M854="level"),N854/BF854,
AND(L854="level-log",M854="sd (X)"),N854/BF854/AQ854,
AND(L854="level-log",M854="sd (Y)"),N854/BF854*BI854,
AND(L854="elasticity",M854="level"),N854,
AND(L854="elasticity",M854="sd (X)"),N854/AQ854,
AND(L854="elasticity",M854="sd (Y)"),N854*BI854,
AND(L854="marginal_effect",M854="percent_of_mean"),N854*AN854/BF854/10)</f>
        <v>0.27889423275349307</v>
      </c>
      <c r="AE854" s="49">
        <f t="shared" si="341"/>
        <v>1</v>
      </c>
      <c r="AF854" s="89" t="s">
        <v>312</v>
      </c>
      <c r="AG854" s="89" t="s">
        <v>312</v>
      </c>
      <c r="AH854" s="49" t="s">
        <v>312</v>
      </c>
      <c r="AI854" s="89">
        <f t="shared" si="344"/>
        <v>-0.27889423275349307</v>
      </c>
      <c r="AJ854" s="35">
        <v>0</v>
      </c>
      <c r="AK854" s="35" t="s">
        <v>312</v>
      </c>
      <c r="AL854" s="35" t="s">
        <v>82</v>
      </c>
      <c r="AM854" s="35" t="s">
        <v>1333</v>
      </c>
      <c r="AN854" s="35">
        <v>10.06</v>
      </c>
      <c r="AO854" s="35">
        <v>1</v>
      </c>
      <c r="AP854" s="35">
        <f t="shared" si="345"/>
        <v>10.06</v>
      </c>
      <c r="AQ854" s="35">
        <v>4.6970000000000001</v>
      </c>
      <c r="AR854" s="35">
        <v>1.8</v>
      </c>
      <c r="AS854" s="35">
        <v>20.75</v>
      </c>
      <c r="AT854" s="35" t="s">
        <v>83</v>
      </c>
      <c r="AU854" s="35" t="s">
        <v>109</v>
      </c>
      <c r="AV854" s="35" t="s">
        <v>133</v>
      </c>
      <c r="AW854" s="35" t="s">
        <v>109</v>
      </c>
      <c r="AX854" s="35" t="s">
        <v>86</v>
      </c>
      <c r="AY854" s="35">
        <v>0</v>
      </c>
      <c r="AZ854" s="35">
        <v>0</v>
      </c>
      <c r="BA854" s="35" t="s">
        <v>734</v>
      </c>
      <c r="BB854" s="35" t="s">
        <v>88</v>
      </c>
      <c r="BC854" s="35" t="s">
        <v>89</v>
      </c>
      <c r="BD854" s="35" t="s">
        <v>134</v>
      </c>
      <c r="BE854" s="35" t="s">
        <v>1585</v>
      </c>
      <c r="BF854" s="35">
        <v>82.379000000000005</v>
      </c>
      <c r="BG854" s="35">
        <v>1</v>
      </c>
      <c r="BH854" s="35">
        <v>14.926</v>
      </c>
      <c r="BI854" s="35">
        <v>47.133000000000003</v>
      </c>
      <c r="BJ854" s="35">
        <v>156.46700000000001</v>
      </c>
      <c r="BK854" s="35" t="s">
        <v>91</v>
      </c>
      <c r="BL854" s="35" t="s">
        <v>84</v>
      </c>
      <c r="BM854" s="35">
        <v>1</v>
      </c>
      <c r="BN854" s="35" t="s">
        <v>539</v>
      </c>
      <c r="BO854" s="35" t="s">
        <v>1586</v>
      </c>
      <c r="BP854" s="35" t="s">
        <v>1587</v>
      </c>
      <c r="BQ854" s="35" t="s">
        <v>92</v>
      </c>
      <c r="BR854" s="35" t="s">
        <v>134</v>
      </c>
      <c r="BS854" s="35" t="s">
        <v>312</v>
      </c>
      <c r="BT854" s="35">
        <v>0.248</v>
      </c>
      <c r="BU854" s="35">
        <v>2012</v>
      </c>
      <c r="BV854" s="35">
        <v>2019</v>
      </c>
      <c r="BW854" s="35" t="s">
        <v>1588</v>
      </c>
      <c r="BX854" s="35" t="s">
        <v>95</v>
      </c>
      <c r="BY854" s="35" t="s">
        <v>96</v>
      </c>
      <c r="BZ854" s="35">
        <v>0</v>
      </c>
      <c r="CA854" s="35">
        <v>0</v>
      </c>
      <c r="CB854" s="35" t="s">
        <v>97</v>
      </c>
      <c r="CC854" s="35" t="s">
        <v>719</v>
      </c>
      <c r="CD854" s="35">
        <v>1</v>
      </c>
      <c r="CE854" s="35" t="s">
        <v>1589</v>
      </c>
      <c r="CF854" s="35">
        <v>0</v>
      </c>
      <c r="CG854" s="35" t="s">
        <v>97</v>
      </c>
      <c r="CH854" s="35">
        <v>1</v>
      </c>
      <c r="CI854" s="35" t="s">
        <v>97</v>
      </c>
      <c r="CJ854" s="35" t="s">
        <v>98</v>
      </c>
      <c r="CK854" s="35">
        <v>66</v>
      </c>
      <c r="CL854" s="35">
        <v>0</v>
      </c>
      <c r="CM854" s="35">
        <v>0</v>
      </c>
      <c r="CN854" s="35" t="s">
        <v>99</v>
      </c>
      <c r="CO854" s="35" t="s">
        <v>1664</v>
      </c>
      <c r="CP854" s="35" t="s">
        <v>100</v>
      </c>
      <c r="CQ854" s="35" t="s">
        <v>126</v>
      </c>
      <c r="CR854" s="36">
        <v>46234</v>
      </c>
      <c r="CT854" s="35" t="s">
        <v>1659</v>
      </c>
    </row>
    <row r="855" spans="1:98" s="35" customFormat="1" x14ac:dyDescent="0.35">
      <c r="A855" s="34" t="s">
        <v>1581</v>
      </c>
      <c r="B855" s="34" t="s">
        <v>1629</v>
      </c>
      <c r="C855" s="35" t="s">
        <v>1582</v>
      </c>
      <c r="D855" s="35">
        <v>2022</v>
      </c>
      <c r="E855" s="34" t="s">
        <v>1583</v>
      </c>
      <c r="F855" s="34" t="s">
        <v>1584</v>
      </c>
      <c r="G855" s="35" t="s">
        <v>78</v>
      </c>
      <c r="H855" s="35">
        <v>1</v>
      </c>
      <c r="I855" s="35" t="s">
        <v>390</v>
      </c>
      <c r="J855" s="35" t="s">
        <v>79</v>
      </c>
      <c r="K855" s="35">
        <v>11</v>
      </c>
      <c r="L855" s="35" t="s">
        <v>129</v>
      </c>
      <c r="M855" s="35" t="s">
        <v>380</v>
      </c>
      <c r="N855" s="35">
        <f>0.91+1.1198</f>
        <v>2.0297999999999998</v>
      </c>
      <c r="O855" s="35" t="s">
        <v>312</v>
      </c>
      <c r="P855" s="89" t="s">
        <v>312</v>
      </c>
      <c r="Q855" s="35" t="s">
        <v>312</v>
      </c>
      <c r="R855" s="89" t="s">
        <v>312</v>
      </c>
      <c r="S855" s="89" t="s">
        <v>312</v>
      </c>
      <c r="T855" s="35" t="s">
        <v>312</v>
      </c>
      <c r="U855" s="35">
        <v>7859</v>
      </c>
      <c r="V855" s="35" t="s">
        <v>312</v>
      </c>
      <c r="W855" s="35" t="s">
        <v>312</v>
      </c>
      <c r="X855" s="35">
        <f t="shared" si="342"/>
        <v>7859</v>
      </c>
      <c r="Y855" s="89" t="s">
        <v>312</v>
      </c>
      <c r="Z855" s="89" t="s">
        <v>312</v>
      </c>
      <c r="AA855" s="89" t="s">
        <v>312</v>
      </c>
      <c r="AB855" s="35" t="s">
        <v>312</v>
      </c>
      <c r="AC855" s="89">
        <f t="shared" si="343"/>
        <v>0.24787613348062004</v>
      </c>
      <c r="AD855" s="89" cm="1">
        <f t="array" ref="AD855">_xlfn.IFS(
AND(L855="marginal_effect",M855="level"),N855*AN855/BF855,
AND(L855="marginal_effect",M855="sd (Y)"),N855*BI855*AN855/BF855,
AND(L855="marginal_effect",M855="sd (X)"),N855/AQ855*AN855/BF855,
AND(L855="semi_elasticity",M855="level"),N855*AN855,
AND(L855="semi_elasticity",M855="sd (Y)"),N855*AN855*BI855,
AND(L855="semi_elasticity",M855="sd (X)"),N855*AN855/AQ855,
AND(L855="level-log",M855="level"),N855/BF855,
AND(L855="level-log",M855="sd (X)"),N855/BF855/AQ855,
AND(L855="level-log",M855="sd (Y)"),N855/BF855*BI855,
AND(L855="elasticity",M855="level"),N855,
AND(L855="elasticity",M855="sd (X)"),N855/AQ855,
AND(L855="elasticity",M855="sd (Y)"),N855*BI855,
AND(L855="marginal_effect",M855="percent_of_mean"),N855*AN855/BF855/10)</f>
        <v>0.24787613348062004</v>
      </c>
      <c r="AE855" s="49">
        <f t="shared" si="341"/>
        <v>1</v>
      </c>
      <c r="AF855" s="89" t="s">
        <v>312</v>
      </c>
      <c r="AG855" s="89" t="s">
        <v>312</v>
      </c>
      <c r="AH855" s="49" t="s">
        <v>312</v>
      </c>
      <c r="AI855" s="89">
        <f t="shared" si="344"/>
        <v>-0.24787613348062004</v>
      </c>
      <c r="AJ855" s="35">
        <v>0</v>
      </c>
      <c r="AK855" s="35" t="s">
        <v>312</v>
      </c>
      <c r="AL855" s="35" t="s">
        <v>82</v>
      </c>
      <c r="AM855" s="35" t="s">
        <v>1333</v>
      </c>
      <c r="AN855" s="35">
        <v>10.06</v>
      </c>
      <c r="AO855" s="35">
        <v>1</v>
      </c>
      <c r="AP855" s="35">
        <f t="shared" si="345"/>
        <v>10.06</v>
      </c>
      <c r="AQ855" s="35">
        <v>4.6970000000000001</v>
      </c>
      <c r="AR855" s="35">
        <v>1.8</v>
      </c>
      <c r="AS855" s="35">
        <v>20.75</v>
      </c>
      <c r="AT855" s="35" t="s">
        <v>83</v>
      </c>
      <c r="AU855" s="35" t="s">
        <v>109</v>
      </c>
      <c r="AV855" s="35" t="s">
        <v>133</v>
      </c>
      <c r="AW855" s="35" t="s">
        <v>109</v>
      </c>
      <c r="AX855" s="35" t="s">
        <v>86</v>
      </c>
      <c r="AY855" s="35">
        <v>0</v>
      </c>
      <c r="AZ855" s="35">
        <v>0</v>
      </c>
      <c r="BA855" s="35" t="s">
        <v>734</v>
      </c>
      <c r="BB855" s="35" t="s">
        <v>88</v>
      </c>
      <c r="BC855" s="35" t="s">
        <v>89</v>
      </c>
      <c r="BD855" s="35" t="s">
        <v>134</v>
      </c>
      <c r="BE855" s="35" t="s">
        <v>1585</v>
      </c>
      <c r="BF855" s="35">
        <v>82.379000000000005</v>
      </c>
      <c r="BG855" s="35">
        <v>1</v>
      </c>
      <c r="BH855" s="35">
        <v>14.926</v>
      </c>
      <c r="BI855" s="35">
        <v>47.133000000000003</v>
      </c>
      <c r="BJ855" s="35">
        <v>156.46700000000001</v>
      </c>
      <c r="BK855" s="35" t="s">
        <v>91</v>
      </c>
      <c r="BL855" s="35" t="s">
        <v>84</v>
      </c>
      <c r="BM855" s="35">
        <v>1</v>
      </c>
      <c r="BN855" s="35" t="s">
        <v>539</v>
      </c>
      <c r="BO855" s="35" t="s">
        <v>1586</v>
      </c>
      <c r="BP855" s="35" t="s">
        <v>1587</v>
      </c>
      <c r="BQ855" s="35" t="s">
        <v>92</v>
      </c>
      <c r="BR855" s="35" t="s">
        <v>134</v>
      </c>
      <c r="BS855" s="35" t="s">
        <v>312</v>
      </c>
      <c r="BT855" s="35">
        <v>0.248</v>
      </c>
      <c r="BU855" s="35">
        <v>2012</v>
      </c>
      <c r="BV855" s="35">
        <v>2019</v>
      </c>
      <c r="BW855" s="35" t="s">
        <v>1588</v>
      </c>
      <c r="BX855" s="35" t="s">
        <v>95</v>
      </c>
      <c r="BY855" s="35" t="s">
        <v>96</v>
      </c>
      <c r="BZ855" s="35">
        <v>0</v>
      </c>
      <c r="CA855" s="35">
        <v>0</v>
      </c>
      <c r="CB855" s="35" t="s">
        <v>97</v>
      </c>
      <c r="CC855" s="35" t="s">
        <v>719</v>
      </c>
      <c r="CD855" s="35">
        <v>1</v>
      </c>
      <c r="CE855" s="35" t="s">
        <v>1589</v>
      </c>
      <c r="CF855" s="35">
        <v>0</v>
      </c>
      <c r="CG855" s="35" t="s">
        <v>97</v>
      </c>
      <c r="CH855" s="35">
        <v>1</v>
      </c>
      <c r="CI855" s="35" t="s">
        <v>97</v>
      </c>
      <c r="CJ855" s="35" t="s">
        <v>98</v>
      </c>
      <c r="CK855" s="35">
        <v>66</v>
      </c>
      <c r="CL855" s="35">
        <v>0</v>
      </c>
      <c r="CM855" s="35">
        <v>0</v>
      </c>
      <c r="CN855" s="35" t="s">
        <v>99</v>
      </c>
      <c r="CO855" s="35" t="s">
        <v>1664</v>
      </c>
      <c r="CP855" s="35" t="s">
        <v>100</v>
      </c>
      <c r="CQ855" s="35" t="s">
        <v>126</v>
      </c>
      <c r="CR855" s="36">
        <v>46234</v>
      </c>
      <c r="CT855" s="35" t="s">
        <v>1659</v>
      </c>
    </row>
    <row r="856" spans="1:98" s="35" customFormat="1" x14ac:dyDescent="0.35">
      <c r="A856" s="34" t="s">
        <v>1581</v>
      </c>
      <c r="B856" s="34" t="s">
        <v>1630</v>
      </c>
      <c r="C856" s="35" t="s">
        <v>1582</v>
      </c>
      <c r="D856" s="35">
        <v>2022</v>
      </c>
      <c r="E856" s="34" t="s">
        <v>1583</v>
      </c>
      <c r="F856" s="34" t="s">
        <v>1584</v>
      </c>
      <c r="G856" s="35" t="s">
        <v>78</v>
      </c>
      <c r="H856" s="35">
        <v>1</v>
      </c>
      <c r="I856" s="35" t="s">
        <v>390</v>
      </c>
      <c r="J856" s="35" t="s">
        <v>79</v>
      </c>
      <c r="K856" s="35">
        <v>11</v>
      </c>
      <c r="L856" s="35" t="s">
        <v>129</v>
      </c>
      <c r="M856" s="35" t="s">
        <v>380</v>
      </c>
      <c r="N856" s="35">
        <f>0.91+0.254</f>
        <v>1.1640000000000001</v>
      </c>
      <c r="O856" s="35" t="s">
        <v>312</v>
      </c>
      <c r="P856" s="89" t="s">
        <v>312</v>
      </c>
      <c r="Q856" s="35" t="s">
        <v>312</v>
      </c>
      <c r="R856" s="89" t="s">
        <v>312</v>
      </c>
      <c r="S856" s="89" t="s">
        <v>312</v>
      </c>
      <c r="T856" s="35" t="s">
        <v>312</v>
      </c>
      <c r="U856" s="35">
        <v>7859</v>
      </c>
      <c r="V856" s="35" t="s">
        <v>312</v>
      </c>
      <c r="W856" s="35" t="s">
        <v>312</v>
      </c>
      <c r="X856" s="35">
        <f t="shared" si="342"/>
        <v>7859</v>
      </c>
      <c r="Y856" s="89" t="s">
        <v>312</v>
      </c>
      <c r="Z856" s="89" t="s">
        <v>312</v>
      </c>
      <c r="AA856" s="89" t="s">
        <v>312</v>
      </c>
      <c r="AB856" s="35" t="s">
        <v>312</v>
      </c>
      <c r="AC856" s="89">
        <f t="shared" si="343"/>
        <v>0.1421459352504886</v>
      </c>
      <c r="AD856" s="89" cm="1">
        <f t="array" ref="AD856">_xlfn.IFS(
AND(L856="marginal_effect",M856="level"),N856*AN856/BF856,
AND(L856="marginal_effect",M856="sd (Y)"),N856*BI856*AN856/BF856,
AND(L856="marginal_effect",M856="sd (X)"),N856/AQ856*AN856/BF856,
AND(L856="semi_elasticity",M856="level"),N856*AN856,
AND(L856="semi_elasticity",M856="sd (Y)"),N856*AN856*BI856,
AND(L856="semi_elasticity",M856="sd (X)"),N856*AN856/AQ856,
AND(L856="level-log",M856="level"),N856/BF856,
AND(L856="level-log",M856="sd (X)"),N856/BF856/AQ856,
AND(L856="level-log",M856="sd (Y)"),N856/BF856*BI856,
AND(L856="elasticity",M856="level"),N856,
AND(L856="elasticity",M856="sd (X)"),N856/AQ856,
AND(L856="elasticity",M856="sd (Y)"),N856*BI856,
AND(L856="marginal_effect",M856="percent_of_mean"),N856*AN856/BF856/10)</f>
        <v>0.1421459352504886</v>
      </c>
      <c r="AE856" s="49">
        <f t="shared" si="341"/>
        <v>1</v>
      </c>
      <c r="AF856" s="89" t="s">
        <v>312</v>
      </c>
      <c r="AG856" s="89" t="s">
        <v>312</v>
      </c>
      <c r="AH856" s="49" t="s">
        <v>312</v>
      </c>
      <c r="AI856" s="89">
        <f t="shared" si="344"/>
        <v>-0.1421459352504886</v>
      </c>
      <c r="AJ856" s="35">
        <v>0</v>
      </c>
      <c r="AK856" s="35" t="s">
        <v>312</v>
      </c>
      <c r="AL856" s="35" t="s">
        <v>82</v>
      </c>
      <c r="AM856" s="35" t="s">
        <v>1333</v>
      </c>
      <c r="AN856" s="35">
        <v>10.06</v>
      </c>
      <c r="AO856" s="35">
        <v>1</v>
      </c>
      <c r="AP856" s="35">
        <f t="shared" si="345"/>
        <v>10.06</v>
      </c>
      <c r="AQ856" s="35">
        <v>4.6970000000000001</v>
      </c>
      <c r="AR856" s="35">
        <v>1.8</v>
      </c>
      <c r="AS856" s="35">
        <v>20.75</v>
      </c>
      <c r="AT856" s="35" t="s">
        <v>83</v>
      </c>
      <c r="AU856" s="35" t="s">
        <v>109</v>
      </c>
      <c r="AV856" s="35" t="s">
        <v>133</v>
      </c>
      <c r="AW856" s="35" t="s">
        <v>109</v>
      </c>
      <c r="AX856" s="35" t="s">
        <v>86</v>
      </c>
      <c r="AY856" s="35">
        <v>0</v>
      </c>
      <c r="AZ856" s="35">
        <v>0</v>
      </c>
      <c r="BA856" s="35" t="s">
        <v>734</v>
      </c>
      <c r="BB856" s="35" t="s">
        <v>88</v>
      </c>
      <c r="BC856" s="35" t="s">
        <v>89</v>
      </c>
      <c r="BD856" s="35" t="s">
        <v>134</v>
      </c>
      <c r="BE856" s="35" t="s">
        <v>1585</v>
      </c>
      <c r="BF856" s="35">
        <v>82.379000000000005</v>
      </c>
      <c r="BG856" s="35">
        <v>1</v>
      </c>
      <c r="BH856" s="35">
        <v>14.926</v>
      </c>
      <c r="BI856" s="35">
        <v>47.133000000000003</v>
      </c>
      <c r="BJ856" s="35">
        <v>156.46700000000001</v>
      </c>
      <c r="BK856" s="35" t="s">
        <v>91</v>
      </c>
      <c r="BL856" s="35" t="s">
        <v>84</v>
      </c>
      <c r="BM856" s="35">
        <v>1</v>
      </c>
      <c r="BN856" s="35" t="s">
        <v>539</v>
      </c>
      <c r="BO856" s="35" t="s">
        <v>1586</v>
      </c>
      <c r="BP856" s="35" t="s">
        <v>1587</v>
      </c>
      <c r="BQ856" s="35" t="s">
        <v>92</v>
      </c>
      <c r="BR856" s="35" t="s">
        <v>134</v>
      </c>
      <c r="BS856" s="35" t="s">
        <v>312</v>
      </c>
      <c r="BT856" s="35">
        <v>0.248</v>
      </c>
      <c r="BU856" s="35">
        <v>2012</v>
      </c>
      <c r="BV856" s="35">
        <v>2019</v>
      </c>
      <c r="BW856" s="35" t="s">
        <v>1588</v>
      </c>
      <c r="BX856" s="35" t="s">
        <v>95</v>
      </c>
      <c r="BY856" s="35" t="s">
        <v>96</v>
      </c>
      <c r="BZ856" s="35">
        <v>0</v>
      </c>
      <c r="CA856" s="35">
        <v>0</v>
      </c>
      <c r="CB856" s="35" t="s">
        <v>97</v>
      </c>
      <c r="CC856" s="35" t="s">
        <v>719</v>
      </c>
      <c r="CD856" s="35">
        <v>1</v>
      </c>
      <c r="CE856" s="35" t="s">
        <v>1589</v>
      </c>
      <c r="CF856" s="35">
        <v>0</v>
      </c>
      <c r="CG856" s="35" t="s">
        <v>97</v>
      </c>
      <c r="CH856" s="35">
        <v>1</v>
      </c>
      <c r="CI856" s="35" t="s">
        <v>97</v>
      </c>
      <c r="CJ856" s="35" t="s">
        <v>98</v>
      </c>
      <c r="CK856" s="35">
        <v>66</v>
      </c>
      <c r="CL856" s="35">
        <v>0</v>
      </c>
      <c r="CM856" s="35">
        <v>0</v>
      </c>
      <c r="CN856" s="35" t="s">
        <v>99</v>
      </c>
      <c r="CO856" s="35" t="s">
        <v>1664</v>
      </c>
      <c r="CP856" s="35" t="s">
        <v>100</v>
      </c>
      <c r="CQ856" s="35" t="s">
        <v>126</v>
      </c>
      <c r="CR856" s="36">
        <v>46234</v>
      </c>
      <c r="CT856" s="35" t="s">
        <v>1659</v>
      </c>
    </row>
    <row r="857" spans="1:98" s="35" customFormat="1" x14ac:dyDescent="0.35">
      <c r="A857" s="34" t="s">
        <v>1581</v>
      </c>
      <c r="B857" s="34" t="s">
        <v>1631</v>
      </c>
      <c r="C857" s="35" t="s">
        <v>1582</v>
      </c>
      <c r="D857" s="35">
        <v>2022</v>
      </c>
      <c r="E857" s="34" t="s">
        <v>1583</v>
      </c>
      <c r="F857" s="34" t="s">
        <v>1584</v>
      </c>
      <c r="G857" s="35" t="s">
        <v>78</v>
      </c>
      <c r="H857" s="35">
        <v>1</v>
      </c>
      <c r="I857" s="35" t="s">
        <v>390</v>
      </c>
      <c r="J857" s="35" t="s">
        <v>79</v>
      </c>
      <c r="K857" s="35">
        <v>11</v>
      </c>
      <c r="L857" s="35" t="s">
        <v>129</v>
      </c>
      <c r="M857" s="35" t="s">
        <v>380</v>
      </c>
      <c r="N857" s="35">
        <v>0.91</v>
      </c>
      <c r="O857" s="35">
        <v>0.48499999999999999</v>
      </c>
      <c r="P857" s="89">
        <f>N857/O857</f>
        <v>1.8762886597938147</v>
      </c>
      <c r="Q857" s="35" t="s">
        <v>312</v>
      </c>
      <c r="R857" s="89">
        <f>N857-1.96*O857</f>
        <v>-4.0599999999999969E-2</v>
      </c>
      <c r="S857" s="89">
        <f>N857+1.96*O857</f>
        <v>1.8606</v>
      </c>
      <c r="T857" s="35">
        <v>1</v>
      </c>
      <c r="U857" s="35">
        <v>7859</v>
      </c>
      <c r="V857" s="35" t="s">
        <v>312</v>
      </c>
      <c r="W857" s="35" t="s">
        <v>312</v>
      </c>
      <c r="X857" s="35">
        <f t="shared" si="342"/>
        <v>7859</v>
      </c>
      <c r="Y857" s="89">
        <f>P857/(P857^2 + X857)^(1/2)</f>
        <v>2.1160150850282118E-2</v>
      </c>
      <c r="Z857" s="89">
        <f>((1-Y857^2)/X857)^(1/2)</f>
        <v>1.1277662815809698E-2</v>
      </c>
      <c r="AA857" s="89">
        <f>-Y857</f>
        <v>-2.1160150850282118E-2</v>
      </c>
      <c r="AB857" s="35" t="s">
        <v>81</v>
      </c>
      <c r="AC857" s="89">
        <f t="shared" si="343"/>
        <v>0.11112783597761565</v>
      </c>
      <c r="AD857" s="89" cm="1">
        <f t="array" ref="AD857">_xlfn.IFS(
AND(L857="marginal_effect",M857="level"),N857*AN857/BF857,
AND(L857="marginal_effect",M857="sd (Y)"),N857*BI857*AN857/BF857,
AND(L857="marginal_effect",M857="sd (X)"),N857/AQ857*AN857/BF857,
AND(L857="semi_elasticity",M857="level"),N857*AN857,
AND(L857="semi_elasticity",M857="sd (Y)"),N857*AN857*BI857,
AND(L857="semi_elasticity",M857="sd (X)"),N857*AN857/AQ857,
AND(L857="level-log",M857="level"),N857/BF857,
AND(L857="level-log",M857="sd (X)"),N857/BF857/AQ857,
AND(L857="level-log",M857="sd (Y)"),N857/BF857*BI857,
AND(L857="elasticity",M857="level"),N857,
AND(L857="elasticity",M857="sd (X)"),N857/AQ857,
AND(L857="elasticity",M857="sd (Y)"),N857*BI857,
AND(L857="marginal_effect",M857="percent_of_mean"),N857*AN857/BF857/10)</f>
        <v>0.11112783597761565</v>
      </c>
      <c r="AE857" s="49">
        <f t="shared" si="341"/>
        <v>1</v>
      </c>
      <c r="AF857" s="89">
        <f>O857*AN857/BF857</f>
        <v>5.9227473021036911E-2</v>
      </c>
      <c r="AG857" s="89" cm="1">
        <f t="array" ref="AG857">_xlfn.IFS(
AND(L857="marginal_effect",M857="level"),O857*AN857/BF857,
AND(L857="marginal_effect",M857="sd (Y)"),O857*BI857*AN857/BF857,
AND(L857="marginal_effect",M857="sd (X)"),O857/AQ857*AN857/BF857,
AND(L857="semi_elasticity",M857="level"),O857*AN857,
AND(L857="semi_elasticity",M857="sd (Y)"),O857*AN857*BI857,
AND(L857="semi_elasticity",M857="sd (X)"),O857*AN857/AQ857,
AND(L857="level-log",M857="level"),O857/BF857,
AND(L857="level-log",M857="sd (X)"),O857/BF857/AQ857,
AND(L857="level-log",M857="sd (Y)"),O857/BF857*BI857,
AND(L857="elasticity",M857="level"),O857,
AND(L857="elasticity",M857="sd (X)"),O857/AQ857,
AND(L857="elasticity",M857="sd (Y)"),O857*BI857,
AND(L857="marginal_effect",M857="percent_of_mean"),O857*AN857/BF857/10)</f>
        <v>5.9227473021036911E-2</v>
      </c>
      <c r="AH857" s="49">
        <f>IF(AF857=AG857,1,0)</f>
        <v>1</v>
      </c>
      <c r="AI857" s="89">
        <f t="shared" si="344"/>
        <v>-0.11112783597761565</v>
      </c>
      <c r="AJ857" s="35">
        <v>0</v>
      </c>
      <c r="AK857" s="35">
        <f>IF(P857=(AC857/AF857),1,0)</f>
        <v>1</v>
      </c>
      <c r="AL857" s="35" t="s">
        <v>82</v>
      </c>
      <c r="AM857" s="35" t="s">
        <v>1333</v>
      </c>
      <c r="AN857" s="35">
        <v>10.06</v>
      </c>
      <c r="AO857" s="35">
        <v>1</v>
      </c>
      <c r="AP857" s="35">
        <f t="shared" si="345"/>
        <v>10.06</v>
      </c>
      <c r="AQ857" s="35">
        <v>4.6970000000000001</v>
      </c>
      <c r="AR857" s="35">
        <v>1.8</v>
      </c>
      <c r="AS857" s="35">
        <v>20.75</v>
      </c>
      <c r="AT857" s="35" t="s">
        <v>83</v>
      </c>
      <c r="AU857" s="35" t="s">
        <v>109</v>
      </c>
      <c r="AV857" s="35" t="s">
        <v>133</v>
      </c>
      <c r="AW857" s="35" t="s">
        <v>109</v>
      </c>
      <c r="AX857" s="35" t="s">
        <v>86</v>
      </c>
      <c r="AY857" s="35">
        <v>0</v>
      </c>
      <c r="AZ857" s="35">
        <v>0</v>
      </c>
      <c r="BA857" s="35" t="s">
        <v>734</v>
      </c>
      <c r="BB857" s="35" t="s">
        <v>88</v>
      </c>
      <c r="BC857" s="35" t="s">
        <v>89</v>
      </c>
      <c r="BD857" s="35" t="s">
        <v>134</v>
      </c>
      <c r="BE857" s="35" t="s">
        <v>1585</v>
      </c>
      <c r="BF857" s="35">
        <v>82.379000000000005</v>
      </c>
      <c r="BG857" s="35">
        <v>1</v>
      </c>
      <c r="BH857" s="35">
        <v>14.926</v>
      </c>
      <c r="BI857" s="35">
        <v>47.133000000000003</v>
      </c>
      <c r="BJ857" s="35">
        <v>156.46700000000001</v>
      </c>
      <c r="BK857" s="35" t="s">
        <v>91</v>
      </c>
      <c r="BL857" s="35" t="s">
        <v>84</v>
      </c>
      <c r="BM857" s="35">
        <v>1</v>
      </c>
      <c r="BN857" s="35" t="s">
        <v>539</v>
      </c>
      <c r="BO857" s="35" t="s">
        <v>1586</v>
      </c>
      <c r="BP857" s="35" t="s">
        <v>1587</v>
      </c>
      <c r="BQ857" s="35" t="s">
        <v>92</v>
      </c>
      <c r="BR857" s="35" t="s">
        <v>134</v>
      </c>
      <c r="BS857" s="35" t="s">
        <v>312</v>
      </c>
      <c r="BT857" s="35">
        <v>0.248</v>
      </c>
      <c r="BU857" s="35">
        <v>2012</v>
      </c>
      <c r="BV857" s="35">
        <v>2019</v>
      </c>
      <c r="BW857" s="35" t="s">
        <v>1588</v>
      </c>
      <c r="BX857" s="35" t="s">
        <v>95</v>
      </c>
      <c r="BY857" s="35" t="s">
        <v>96</v>
      </c>
      <c r="BZ857" s="35">
        <v>0</v>
      </c>
      <c r="CA857" s="35">
        <v>0</v>
      </c>
      <c r="CB857" s="35" t="s">
        <v>97</v>
      </c>
      <c r="CC857" s="35" t="s">
        <v>719</v>
      </c>
      <c r="CD857" s="35">
        <v>1</v>
      </c>
      <c r="CE857" s="35" t="s">
        <v>1589</v>
      </c>
      <c r="CF857" s="35">
        <v>0</v>
      </c>
      <c r="CG857" s="35" t="s">
        <v>97</v>
      </c>
      <c r="CH857" s="35">
        <v>1</v>
      </c>
      <c r="CI857" s="35" t="s">
        <v>97</v>
      </c>
      <c r="CJ857" s="35" t="s">
        <v>98</v>
      </c>
      <c r="CK857" s="35">
        <v>66</v>
      </c>
      <c r="CL857" s="35">
        <v>0</v>
      </c>
      <c r="CM857" s="35">
        <v>0</v>
      </c>
      <c r="CN857" s="35" t="s">
        <v>99</v>
      </c>
      <c r="CO857" s="35" t="s">
        <v>1664</v>
      </c>
      <c r="CP857" s="35" t="s">
        <v>100</v>
      </c>
      <c r="CQ857" s="35" t="s">
        <v>126</v>
      </c>
      <c r="CR857" s="36">
        <v>46234</v>
      </c>
      <c r="CT857" s="35" t="s">
        <v>1659</v>
      </c>
    </row>
    <row r="858" spans="1:98" s="35" customFormat="1" x14ac:dyDescent="0.35">
      <c r="A858" s="34" t="s">
        <v>1581</v>
      </c>
      <c r="B858" s="34" t="s">
        <v>1632</v>
      </c>
      <c r="C858" s="35" t="s">
        <v>1582</v>
      </c>
      <c r="D858" s="35">
        <v>2022</v>
      </c>
      <c r="E858" s="34" t="s">
        <v>1583</v>
      </c>
      <c r="F858" s="34" t="s">
        <v>1584</v>
      </c>
      <c r="G858" s="35" t="s">
        <v>78</v>
      </c>
      <c r="H858" s="35">
        <v>1</v>
      </c>
      <c r="I858" s="35" t="s">
        <v>390</v>
      </c>
      <c r="J858" s="35" t="s">
        <v>79</v>
      </c>
      <c r="K858" s="35">
        <v>11</v>
      </c>
      <c r="L858" s="35" t="s">
        <v>129</v>
      </c>
      <c r="M858" s="35" t="s">
        <v>380</v>
      </c>
      <c r="N858" s="35">
        <f>645.023-34.281+56.423</f>
        <v>667.16500000000008</v>
      </c>
      <c r="O858" s="35" t="s">
        <v>312</v>
      </c>
      <c r="P858" s="89" t="s">
        <v>312</v>
      </c>
      <c r="Q858" s="35" t="s">
        <v>312</v>
      </c>
      <c r="R858" s="89" t="s">
        <v>312</v>
      </c>
      <c r="S858" s="89" t="s">
        <v>312</v>
      </c>
      <c r="T858" s="35" t="s">
        <v>312</v>
      </c>
      <c r="U858" s="35">
        <v>7859</v>
      </c>
      <c r="V858" s="35" t="s">
        <v>312</v>
      </c>
      <c r="W858" s="35" t="s">
        <v>312</v>
      </c>
      <c r="X858" s="35">
        <f t="shared" si="342"/>
        <v>7859</v>
      </c>
      <c r="Y858" s="89" t="s">
        <v>312</v>
      </c>
      <c r="Z858" s="89" t="s">
        <v>312</v>
      </c>
      <c r="AA858" s="89" t="s">
        <v>312</v>
      </c>
      <c r="AB858" s="35" t="s">
        <v>312</v>
      </c>
      <c r="AC858" s="89">
        <f t="shared" si="343"/>
        <v>0.26725797836827353</v>
      </c>
      <c r="AD858" s="89" cm="1">
        <f t="array" ref="AD858">_xlfn.IFS(
AND(L858="marginal_effect",M858="level"),N858*AN858/BF858,
AND(L858="marginal_effect",M858="sd (Y)"),N858*BI858*AN858/BF858,
AND(L858="marginal_effect",M858="sd (X)"),N858/AQ858*AN858/BF858,
AND(L858="semi_elasticity",M858="level"),N858*AN858,
AND(L858="semi_elasticity",M858="sd (Y)"),N858*AN858*BI858,
AND(L858="semi_elasticity",M858="sd (X)"),N858*AN858/AQ858,
AND(L858="level-log",M858="level"),N858/BF858,
AND(L858="level-log",M858="sd (X)"),N858/BF858/AQ858,
AND(L858="level-log",M858="sd (Y)"),N858/BF858*BI858,
AND(L858="elasticity",M858="level"),N858,
AND(L858="elasticity",M858="sd (X)"),N858/AQ858,
AND(L858="elasticity",M858="sd (Y)"),N858*BI858,
AND(L858="marginal_effect",M858="percent_of_mean"),N858*AN858/BF858/10)</f>
        <v>0.26725797836827353</v>
      </c>
      <c r="AE858" s="49">
        <f t="shared" si="341"/>
        <v>1</v>
      </c>
      <c r="AF858" s="89" t="s">
        <v>312</v>
      </c>
      <c r="AG858" s="89" t="s">
        <v>312</v>
      </c>
      <c r="AH858" s="49" t="s">
        <v>312</v>
      </c>
      <c r="AI858" s="89">
        <f t="shared" si="344"/>
        <v>-0.26725797836827353</v>
      </c>
      <c r="AJ858" s="35">
        <v>0</v>
      </c>
      <c r="AK858" s="35" t="s">
        <v>312</v>
      </c>
      <c r="AL858" s="35" t="s">
        <v>148</v>
      </c>
      <c r="AM858" s="35" t="s">
        <v>590</v>
      </c>
      <c r="AN858" s="35">
        <v>3.3000000000000002E-2</v>
      </c>
      <c r="AO858" s="35">
        <v>1</v>
      </c>
      <c r="AP858" s="35">
        <f t="shared" si="345"/>
        <v>3.3000000000000002E-2</v>
      </c>
      <c r="AQ858" s="35">
        <v>1.2E-2</v>
      </c>
      <c r="AR858" s="35">
        <v>1.2E-2</v>
      </c>
      <c r="AS858" s="35">
        <v>5.8000000000000003E-2</v>
      </c>
      <c r="AT858" s="35" t="s">
        <v>83</v>
      </c>
      <c r="AU858" s="35" t="s">
        <v>109</v>
      </c>
      <c r="AV858" s="35" t="s">
        <v>133</v>
      </c>
      <c r="AW858" s="35" t="s">
        <v>109</v>
      </c>
      <c r="AX858" s="35" t="s">
        <v>86</v>
      </c>
      <c r="AY858" s="35">
        <v>0</v>
      </c>
      <c r="AZ858" s="35">
        <v>0</v>
      </c>
      <c r="BA858" s="35" t="s">
        <v>734</v>
      </c>
      <c r="BB858" s="35" t="s">
        <v>88</v>
      </c>
      <c r="BC858" s="35" t="s">
        <v>89</v>
      </c>
      <c r="BD858" s="35" t="s">
        <v>134</v>
      </c>
      <c r="BE858" s="35" t="s">
        <v>1585</v>
      </c>
      <c r="BF858" s="35">
        <v>82.379000000000005</v>
      </c>
      <c r="BG858" s="35">
        <v>1</v>
      </c>
      <c r="BH858" s="35">
        <v>14.926</v>
      </c>
      <c r="BI858" s="35">
        <v>47.133000000000003</v>
      </c>
      <c r="BJ858" s="35">
        <v>156.46700000000001</v>
      </c>
      <c r="BK858" s="35" t="s">
        <v>91</v>
      </c>
      <c r="BL858" s="35" t="s">
        <v>84</v>
      </c>
      <c r="BM858" s="35">
        <v>1</v>
      </c>
      <c r="BN858" s="35" t="s">
        <v>539</v>
      </c>
      <c r="BO858" s="35" t="s">
        <v>1586</v>
      </c>
      <c r="BP858" s="35" t="s">
        <v>1587</v>
      </c>
      <c r="BQ858" s="35" t="s">
        <v>92</v>
      </c>
      <c r="BR858" s="35" t="s">
        <v>134</v>
      </c>
      <c r="BS858" s="35" t="s">
        <v>312</v>
      </c>
      <c r="BT858" s="35">
        <v>0.248</v>
      </c>
      <c r="BU858" s="35">
        <v>2012</v>
      </c>
      <c r="BV858" s="35">
        <v>2019</v>
      </c>
      <c r="BW858" s="35" t="s">
        <v>1588</v>
      </c>
      <c r="BX858" s="35" t="s">
        <v>95</v>
      </c>
      <c r="BY858" s="35" t="s">
        <v>96</v>
      </c>
      <c r="BZ858" s="35">
        <v>0</v>
      </c>
      <c r="CA858" s="35">
        <v>0</v>
      </c>
      <c r="CB858" s="35" t="s">
        <v>97</v>
      </c>
      <c r="CC858" s="35" t="s">
        <v>719</v>
      </c>
      <c r="CD858" s="35">
        <v>1</v>
      </c>
      <c r="CE858" s="35" t="s">
        <v>1589</v>
      </c>
      <c r="CF858" s="35">
        <v>0</v>
      </c>
      <c r="CG858" s="35" t="s">
        <v>97</v>
      </c>
      <c r="CH858" s="35">
        <v>1</v>
      </c>
      <c r="CI858" s="35" t="s">
        <v>97</v>
      </c>
      <c r="CJ858" s="35" t="s">
        <v>98</v>
      </c>
      <c r="CK858" s="35">
        <v>66</v>
      </c>
      <c r="CL858" s="35">
        <v>0</v>
      </c>
      <c r="CM858" s="35">
        <v>0</v>
      </c>
      <c r="CN858" s="35" t="s">
        <v>99</v>
      </c>
      <c r="CO858" s="35" t="s">
        <v>1664</v>
      </c>
      <c r="CP858" s="35" t="s">
        <v>100</v>
      </c>
      <c r="CQ858" s="35" t="s">
        <v>126</v>
      </c>
      <c r="CR858" s="36">
        <v>46234</v>
      </c>
      <c r="CT858" s="35" t="s">
        <v>1657</v>
      </c>
    </row>
    <row r="859" spans="1:98" s="35" customFormat="1" x14ac:dyDescent="0.35">
      <c r="A859" s="34" t="s">
        <v>1581</v>
      </c>
      <c r="B859" s="34" t="s">
        <v>1633</v>
      </c>
      <c r="C859" s="35" t="s">
        <v>1582</v>
      </c>
      <c r="D859" s="35">
        <v>2022</v>
      </c>
      <c r="E859" s="34" t="s">
        <v>1583</v>
      </c>
      <c r="F859" s="34" t="s">
        <v>1584</v>
      </c>
      <c r="G859" s="35" t="s">
        <v>78</v>
      </c>
      <c r="H859" s="35">
        <v>1</v>
      </c>
      <c r="I859" s="35" t="s">
        <v>390</v>
      </c>
      <c r="J859" s="35" t="s">
        <v>79</v>
      </c>
      <c r="K859" s="35">
        <v>11</v>
      </c>
      <c r="L859" s="35" t="s">
        <v>129</v>
      </c>
      <c r="M859" s="35" t="s">
        <v>380</v>
      </c>
      <c r="N859" s="35">
        <f>645.023+56.423</f>
        <v>701.44600000000003</v>
      </c>
      <c r="O859" s="35" t="s">
        <v>312</v>
      </c>
      <c r="P859" s="89" t="s">
        <v>312</v>
      </c>
      <c r="Q859" s="35" t="s">
        <v>312</v>
      </c>
      <c r="R859" s="89" t="s">
        <v>312</v>
      </c>
      <c r="S859" s="89" t="s">
        <v>312</v>
      </c>
      <c r="T859" s="35" t="s">
        <v>312</v>
      </c>
      <c r="U859" s="35">
        <v>7859</v>
      </c>
      <c r="V859" s="35" t="s">
        <v>312</v>
      </c>
      <c r="W859" s="35" t="s">
        <v>312</v>
      </c>
      <c r="X859" s="35">
        <f t="shared" si="342"/>
        <v>7859</v>
      </c>
      <c r="Y859" s="89" t="s">
        <v>312</v>
      </c>
      <c r="Z859" s="89" t="s">
        <v>312</v>
      </c>
      <c r="AA859" s="89" t="s">
        <v>312</v>
      </c>
      <c r="AB859" s="35" t="s">
        <v>312</v>
      </c>
      <c r="AC859" s="89">
        <f t="shared" si="343"/>
        <v>0.28099051942849512</v>
      </c>
      <c r="AD859" s="89" cm="1">
        <f t="array" ref="AD859">_xlfn.IFS(
AND(L859="marginal_effect",M859="level"),N859*AN859/BF859,
AND(L859="marginal_effect",M859="sd (Y)"),N859*BI859*AN859/BF859,
AND(L859="marginal_effect",M859="sd (X)"),N859/AQ859*AN859/BF859,
AND(L859="semi_elasticity",M859="level"),N859*AN859,
AND(L859="semi_elasticity",M859="sd (Y)"),N859*AN859*BI859,
AND(L859="semi_elasticity",M859="sd (X)"),N859*AN859/AQ859,
AND(L859="level-log",M859="level"),N859/BF859,
AND(L859="level-log",M859="sd (X)"),N859/BF859/AQ859,
AND(L859="level-log",M859="sd (Y)"),N859/BF859*BI859,
AND(L859="elasticity",M859="level"),N859,
AND(L859="elasticity",M859="sd (X)"),N859/AQ859,
AND(L859="elasticity",M859="sd (Y)"),N859*BI859,
AND(L859="marginal_effect",M859="percent_of_mean"),N859*AN859/BF859/10)</f>
        <v>0.28099051942849512</v>
      </c>
      <c r="AE859" s="49">
        <f t="shared" si="341"/>
        <v>1</v>
      </c>
      <c r="AF859" s="89" t="s">
        <v>312</v>
      </c>
      <c r="AG859" s="89" t="s">
        <v>312</v>
      </c>
      <c r="AH859" s="49" t="s">
        <v>312</v>
      </c>
      <c r="AI859" s="89">
        <f t="shared" si="344"/>
        <v>-0.28099051942849512</v>
      </c>
      <c r="AJ859" s="35">
        <v>0</v>
      </c>
      <c r="AK859" s="35" t="s">
        <v>312</v>
      </c>
      <c r="AL859" s="35" t="s">
        <v>148</v>
      </c>
      <c r="AM859" s="35" t="s">
        <v>590</v>
      </c>
      <c r="AN859" s="35">
        <v>3.3000000000000002E-2</v>
      </c>
      <c r="AO859" s="35">
        <v>1</v>
      </c>
      <c r="AP859" s="35">
        <f t="shared" si="345"/>
        <v>3.3000000000000002E-2</v>
      </c>
      <c r="AQ859" s="35">
        <v>1.2E-2</v>
      </c>
      <c r="AR859" s="35">
        <v>1.2E-2</v>
      </c>
      <c r="AS859" s="35">
        <v>5.8000000000000003E-2</v>
      </c>
      <c r="AT859" s="35" t="s">
        <v>83</v>
      </c>
      <c r="AU859" s="35" t="s">
        <v>109</v>
      </c>
      <c r="AV859" s="35" t="s">
        <v>133</v>
      </c>
      <c r="AW859" s="35" t="s">
        <v>109</v>
      </c>
      <c r="AX859" s="35" t="s">
        <v>86</v>
      </c>
      <c r="AY859" s="35">
        <v>0</v>
      </c>
      <c r="AZ859" s="35">
        <v>0</v>
      </c>
      <c r="BA859" s="35" t="s">
        <v>734</v>
      </c>
      <c r="BB859" s="35" t="s">
        <v>88</v>
      </c>
      <c r="BC859" s="35" t="s">
        <v>89</v>
      </c>
      <c r="BD859" s="35" t="s">
        <v>134</v>
      </c>
      <c r="BE859" s="35" t="s">
        <v>1585</v>
      </c>
      <c r="BF859" s="35">
        <v>82.379000000000005</v>
      </c>
      <c r="BG859" s="35">
        <v>1</v>
      </c>
      <c r="BH859" s="35">
        <v>14.926</v>
      </c>
      <c r="BI859" s="35">
        <v>47.133000000000003</v>
      </c>
      <c r="BJ859" s="35">
        <v>156.46700000000001</v>
      </c>
      <c r="BK859" s="35" t="s">
        <v>91</v>
      </c>
      <c r="BL859" s="35" t="s">
        <v>84</v>
      </c>
      <c r="BM859" s="35">
        <v>1</v>
      </c>
      <c r="BN859" s="35" t="s">
        <v>539</v>
      </c>
      <c r="BO859" s="35" t="s">
        <v>1586</v>
      </c>
      <c r="BP859" s="35" t="s">
        <v>1587</v>
      </c>
      <c r="BQ859" s="35" t="s">
        <v>92</v>
      </c>
      <c r="BR859" s="35" t="s">
        <v>134</v>
      </c>
      <c r="BS859" s="35" t="s">
        <v>312</v>
      </c>
      <c r="BT859" s="35">
        <v>0.248</v>
      </c>
      <c r="BU859" s="35">
        <v>2012</v>
      </c>
      <c r="BV859" s="35">
        <v>2019</v>
      </c>
      <c r="BW859" s="35" t="s">
        <v>1588</v>
      </c>
      <c r="BX859" s="35" t="s">
        <v>95</v>
      </c>
      <c r="BY859" s="35" t="s">
        <v>96</v>
      </c>
      <c r="BZ859" s="35">
        <v>0</v>
      </c>
      <c r="CA859" s="35">
        <v>0</v>
      </c>
      <c r="CB859" s="35" t="s">
        <v>97</v>
      </c>
      <c r="CC859" s="35" t="s">
        <v>719</v>
      </c>
      <c r="CD859" s="35">
        <v>1</v>
      </c>
      <c r="CE859" s="35" t="s">
        <v>1589</v>
      </c>
      <c r="CF859" s="35">
        <v>0</v>
      </c>
      <c r="CG859" s="35" t="s">
        <v>97</v>
      </c>
      <c r="CH859" s="35">
        <v>1</v>
      </c>
      <c r="CI859" s="35" t="s">
        <v>97</v>
      </c>
      <c r="CJ859" s="35" t="s">
        <v>98</v>
      </c>
      <c r="CK859" s="35">
        <v>66</v>
      </c>
      <c r="CL859" s="35">
        <v>0</v>
      </c>
      <c r="CM859" s="35">
        <v>0</v>
      </c>
      <c r="CN859" s="35" t="s">
        <v>99</v>
      </c>
      <c r="CO859" s="35" t="s">
        <v>1664</v>
      </c>
      <c r="CP859" s="35" t="s">
        <v>100</v>
      </c>
      <c r="CQ859" s="35" t="s">
        <v>126</v>
      </c>
      <c r="CR859" s="36">
        <v>46234</v>
      </c>
      <c r="CT859" s="35" t="s">
        <v>1657</v>
      </c>
    </row>
    <row r="860" spans="1:98" s="35" customFormat="1" x14ac:dyDescent="0.35">
      <c r="A860" s="34" t="s">
        <v>1581</v>
      </c>
      <c r="B860" s="34" t="s">
        <v>1634</v>
      </c>
      <c r="C860" s="35" t="s">
        <v>1582</v>
      </c>
      <c r="D860" s="35">
        <v>2022</v>
      </c>
      <c r="E860" s="34" t="s">
        <v>1583</v>
      </c>
      <c r="F860" s="34" t="s">
        <v>1584</v>
      </c>
      <c r="G860" s="35" t="s">
        <v>78</v>
      </c>
      <c r="H860" s="35">
        <v>1</v>
      </c>
      <c r="I860" s="35" t="s">
        <v>390</v>
      </c>
      <c r="J860" s="35" t="s">
        <v>79</v>
      </c>
      <c r="K860" s="35">
        <v>11</v>
      </c>
      <c r="L860" s="35" t="s">
        <v>129</v>
      </c>
      <c r="M860" s="35" t="s">
        <v>380</v>
      </c>
      <c r="N860" s="35">
        <f>645.023-34.281</f>
        <v>610.74200000000008</v>
      </c>
      <c r="O860" s="35" t="s">
        <v>312</v>
      </c>
      <c r="P860" s="89" t="s">
        <v>312</v>
      </c>
      <c r="Q860" s="35" t="s">
        <v>312</v>
      </c>
      <c r="R860" s="89" t="s">
        <v>312</v>
      </c>
      <c r="S860" s="89" t="s">
        <v>312</v>
      </c>
      <c r="T860" s="35" t="s">
        <v>312</v>
      </c>
      <c r="U860" s="35">
        <v>7859</v>
      </c>
      <c r="V860" s="35" t="s">
        <v>312</v>
      </c>
      <c r="W860" s="35" t="s">
        <v>312</v>
      </c>
      <c r="X860" s="35">
        <f t="shared" si="342"/>
        <v>7859</v>
      </c>
      <c r="Y860" s="89" t="s">
        <v>312</v>
      </c>
      <c r="Z860" s="89" t="s">
        <v>312</v>
      </c>
      <c r="AA860" s="89" t="s">
        <v>312</v>
      </c>
      <c r="AB860" s="35" t="s">
        <v>312</v>
      </c>
      <c r="AC860" s="89">
        <f t="shared" si="343"/>
        <v>0.24465562825477369</v>
      </c>
      <c r="AD860" s="89" cm="1">
        <f t="array" ref="AD860">_xlfn.IFS(
AND(L860="marginal_effect",M860="level"),N860*AN860/BF860,
AND(L860="marginal_effect",M860="sd (Y)"),N860*BI860*AN860/BF860,
AND(L860="marginal_effect",M860="sd (X)"),N860/AQ860*AN860/BF860,
AND(L860="semi_elasticity",M860="level"),N860*AN860,
AND(L860="semi_elasticity",M860="sd (Y)"),N860*AN860*BI860,
AND(L860="semi_elasticity",M860="sd (X)"),N860*AN860/AQ860,
AND(L860="level-log",M860="level"),N860/BF860,
AND(L860="level-log",M860="sd (X)"),N860/BF860/AQ860,
AND(L860="level-log",M860="sd (Y)"),N860/BF860*BI860,
AND(L860="elasticity",M860="level"),N860,
AND(L860="elasticity",M860="sd (X)"),N860/AQ860,
AND(L860="elasticity",M860="sd (Y)"),N860*BI860,
AND(L860="marginal_effect",M860="percent_of_mean"),N860*AN860/BF860/10)</f>
        <v>0.24465562825477369</v>
      </c>
      <c r="AE860" s="49">
        <f t="shared" si="341"/>
        <v>1</v>
      </c>
      <c r="AF860" s="89" t="s">
        <v>312</v>
      </c>
      <c r="AG860" s="89" t="s">
        <v>312</v>
      </c>
      <c r="AH860" s="49" t="s">
        <v>312</v>
      </c>
      <c r="AI860" s="89">
        <f t="shared" si="344"/>
        <v>-0.24465562825477369</v>
      </c>
      <c r="AJ860" s="35">
        <v>0</v>
      </c>
      <c r="AK860" s="35" t="s">
        <v>312</v>
      </c>
      <c r="AL860" s="35" t="s">
        <v>148</v>
      </c>
      <c r="AM860" s="35" t="s">
        <v>590</v>
      </c>
      <c r="AN860" s="35">
        <v>3.3000000000000002E-2</v>
      </c>
      <c r="AO860" s="35">
        <v>1</v>
      </c>
      <c r="AP860" s="35">
        <f t="shared" si="345"/>
        <v>3.3000000000000002E-2</v>
      </c>
      <c r="AQ860" s="35">
        <v>1.2E-2</v>
      </c>
      <c r="AR860" s="35">
        <v>1.2E-2</v>
      </c>
      <c r="AS860" s="35">
        <v>5.8000000000000003E-2</v>
      </c>
      <c r="AT860" s="35" t="s">
        <v>83</v>
      </c>
      <c r="AU860" s="35" t="s">
        <v>109</v>
      </c>
      <c r="AV860" s="35" t="s">
        <v>133</v>
      </c>
      <c r="AW860" s="35" t="s">
        <v>109</v>
      </c>
      <c r="AX860" s="35" t="s">
        <v>86</v>
      </c>
      <c r="AY860" s="35">
        <v>0</v>
      </c>
      <c r="AZ860" s="35">
        <v>0</v>
      </c>
      <c r="BA860" s="35" t="s">
        <v>734</v>
      </c>
      <c r="BB860" s="35" t="s">
        <v>88</v>
      </c>
      <c r="BC860" s="35" t="s">
        <v>89</v>
      </c>
      <c r="BD860" s="35" t="s">
        <v>134</v>
      </c>
      <c r="BE860" s="35" t="s">
        <v>1585</v>
      </c>
      <c r="BF860" s="35">
        <v>82.379000000000005</v>
      </c>
      <c r="BG860" s="35">
        <v>1</v>
      </c>
      <c r="BH860" s="35">
        <v>14.926</v>
      </c>
      <c r="BI860" s="35">
        <v>47.133000000000003</v>
      </c>
      <c r="BJ860" s="35">
        <v>156.46700000000001</v>
      </c>
      <c r="BK860" s="35" t="s">
        <v>91</v>
      </c>
      <c r="BL860" s="35" t="s">
        <v>84</v>
      </c>
      <c r="BM860" s="35">
        <v>1</v>
      </c>
      <c r="BN860" s="35" t="s">
        <v>539</v>
      </c>
      <c r="BO860" s="35" t="s">
        <v>1586</v>
      </c>
      <c r="BP860" s="35" t="s">
        <v>1587</v>
      </c>
      <c r="BQ860" s="35" t="s">
        <v>92</v>
      </c>
      <c r="BR860" s="35" t="s">
        <v>134</v>
      </c>
      <c r="BS860" s="35" t="s">
        <v>312</v>
      </c>
      <c r="BT860" s="35">
        <v>0.248</v>
      </c>
      <c r="BU860" s="35">
        <v>2012</v>
      </c>
      <c r="BV860" s="35">
        <v>2019</v>
      </c>
      <c r="BW860" s="35" t="s">
        <v>1588</v>
      </c>
      <c r="BX860" s="35" t="s">
        <v>95</v>
      </c>
      <c r="BY860" s="35" t="s">
        <v>96</v>
      </c>
      <c r="BZ860" s="35">
        <v>0</v>
      </c>
      <c r="CA860" s="35">
        <v>0</v>
      </c>
      <c r="CB860" s="35" t="s">
        <v>97</v>
      </c>
      <c r="CC860" s="35" t="s">
        <v>719</v>
      </c>
      <c r="CD860" s="35">
        <v>1</v>
      </c>
      <c r="CE860" s="35" t="s">
        <v>1589</v>
      </c>
      <c r="CF860" s="35">
        <v>0</v>
      </c>
      <c r="CG860" s="35" t="s">
        <v>97</v>
      </c>
      <c r="CH860" s="35">
        <v>1</v>
      </c>
      <c r="CI860" s="35" t="s">
        <v>97</v>
      </c>
      <c r="CJ860" s="35" t="s">
        <v>98</v>
      </c>
      <c r="CK860" s="35">
        <v>66</v>
      </c>
      <c r="CL860" s="35">
        <v>0</v>
      </c>
      <c r="CM860" s="35">
        <v>0</v>
      </c>
      <c r="CN860" s="35" t="s">
        <v>99</v>
      </c>
      <c r="CO860" s="35" t="s">
        <v>1664</v>
      </c>
      <c r="CP860" s="35" t="s">
        <v>100</v>
      </c>
      <c r="CQ860" s="35" t="s">
        <v>126</v>
      </c>
      <c r="CR860" s="36">
        <v>46234</v>
      </c>
      <c r="CT860" s="35" t="s">
        <v>1657</v>
      </c>
    </row>
    <row r="861" spans="1:98" s="35" customFormat="1" x14ac:dyDescent="0.35">
      <c r="A861" s="34" t="s">
        <v>1581</v>
      </c>
      <c r="B861" s="34" t="s">
        <v>1635</v>
      </c>
      <c r="C861" s="35" t="s">
        <v>1582</v>
      </c>
      <c r="D861" s="35">
        <v>2022</v>
      </c>
      <c r="E861" s="34" t="s">
        <v>1583</v>
      </c>
      <c r="F861" s="34" t="s">
        <v>1584</v>
      </c>
      <c r="G861" s="35" t="s">
        <v>78</v>
      </c>
      <c r="H861" s="35">
        <v>1</v>
      </c>
      <c r="I861" s="35" t="s">
        <v>390</v>
      </c>
      <c r="J861" s="35" t="s">
        <v>79</v>
      </c>
      <c r="K861" s="35">
        <v>11</v>
      </c>
      <c r="L861" s="35" t="s">
        <v>129</v>
      </c>
      <c r="M861" s="35" t="s">
        <v>380</v>
      </c>
      <c r="N861" s="35">
        <f>645.023</f>
        <v>645.02300000000002</v>
      </c>
      <c r="O861" s="35">
        <v>52.805</v>
      </c>
      <c r="P861" s="89">
        <f>N861/O861</f>
        <v>12.215187955686016</v>
      </c>
      <c r="Q861" s="35" t="s">
        <v>312</v>
      </c>
      <c r="R861" s="89">
        <f>N861-1.96*O861</f>
        <v>541.52520000000004</v>
      </c>
      <c r="S861" s="89">
        <f>N861+1.96*O861</f>
        <v>748.52080000000001</v>
      </c>
      <c r="T861" s="35">
        <v>1</v>
      </c>
      <c r="U861" s="35">
        <v>7859</v>
      </c>
      <c r="V861" s="35" t="s">
        <v>312</v>
      </c>
      <c r="W861" s="35" t="s">
        <v>312</v>
      </c>
      <c r="X861" s="35">
        <f t="shared" si="342"/>
        <v>7859</v>
      </c>
      <c r="Y861" s="89">
        <f>P861/(P861^2 + X861)^(1/2)</f>
        <v>0.13649992260759225</v>
      </c>
      <c r="Z861" s="89">
        <f>((1-Y861^2)/X861)^(1/2)</f>
        <v>1.1174606817576906E-2</v>
      </c>
      <c r="AA861" s="89">
        <f>-Y861</f>
        <v>-0.13649992260759225</v>
      </c>
      <c r="AB861" s="35" t="s">
        <v>81</v>
      </c>
      <c r="AC861" s="89">
        <f t="shared" si="343"/>
        <v>0.25838816931499536</v>
      </c>
      <c r="AD861" s="89" cm="1">
        <f t="array" ref="AD861">_xlfn.IFS(
AND(L861="marginal_effect",M861="level"),N861*AN861/BF861,
AND(L861="marginal_effect",M861="sd (Y)"),N861*BI861*AN861/BF861,
AND(L861="marginal_effect",M861="sd (X)"),N861/AQ861*AN861/BF861,
AND(L861="semi_elasticity",M861="level"),N861*AN861,
AND(L861="semi_elasticity",M861="sd (Y)"),N861*AN861*BI861,
AND(L861="semi_elasticity",M861="sd (X)"),N861*AN861/AQ861,
AND(L861="level-log",M861="level"),N861/BF861,
AND(L861="level-log",M861="sd (X)"),N861/BF861/AQ861,
AND(L861="level-log",M861="sd (Y)"),N861/BF861*BI861,
AND(L861="elasticity",M861="level"),N861,
AND(L861="elasticity",M861="sd (X)"),N861/AQ861,
AND(L861="elasticity",M861="sd (Y)"),N861*BI861,
AND(L861="marginal_effect",M861="percent_of_mean"),N861*AN861/BF861/10)</f>
        <v>0.25838816931499536</v>
      </c>
      <c r="AE861" s="49">
        <f t="shared" si="341"/>
        <v>1</v>
      </c>
      <c r="AF861" s="89">
        <f>O861*AN861/BF861</f>
        <v>2.1153024435839232E-2</v>
      </c>
      <c r="AG861" s="89" cm="1">
        <f t="array" ref="AG861">_xlfn.IFS(
AND(L861="marginal_effect",M861="level"),O861*AN861/BF861,
AND(L861="marginal_effect",M861="sd (Y)"),O861*BI861*AN861/BF861,
AND(L861="marginal_effect",M861="sd (X)"),O861/AQ861*AN861/BF861,
AND(L861="semi_elasticity",M861="level"),O861*AN861,
AND(L861="semi_elasticity",M861="sd (Y)"),O861*AN861*BI861,
AND(L861="semi_elasticity",M861="sd (X)"),O861*AN861/AQ861,
AND(L861="level-log",M861="level"),O861/BF861,
AND(L861="level-log",M861="sd (X)"),O861/BF861/AQ861,
AND(L861="level-log",M861="sd (Y)"),O861/BF861*BI861,
AND(L861="elasticity",M861="level"),O861,
AND(L861="elasticity",M861="sd (X)"),O861/AQ861,
AND(L861="elasticity",M861="sd (Y)"),O861*BI861,
AND(L861="marginal_effect",M861="percent_of_mean"),O861*AN861/BF861/10)</f>
        <v>2.1153024435839232E-2</v>
      </c>
      <c r="AH861" s="49">
        <f>IF(AF861=AG861,1,0)</f>
        <v>1</v>
      </c>
      <c r="AI861" s="89">
        <f t="shared" si="344"/>
        <v>-0.25838816931499536</v>
      </c>
      <c r="AJ861" s="35">
        <v>0</v>
      </c>
      <c r="AK861" s="35">
        <f>IF(P861=(AC861/AF861),1,0)</f>
        <v>1</v>
      </c>
      <c r="AL861" s="35" t="s">
        <v>148</v>
      </c>
      <c r="AM861" s="35" t="s">
        <v>590</v>
      </c>
      <c r="AN861" s="35">
        <v>3.3000000000000002E-2</v>
      </c>
      <c r="AO861" s="35">
        <v>1</v>
      </c>
      <c r="AP861" s="35">
        <f t="shared" si="345"/>
        <v>3.3000000000000002E-2</v>
      </c>
      <c r="AQ861" s="35">
        <v>1.2E-2</v>
      </c>
      <c r="AR861" s="35">
        <v>1.2E-2</v>
      </c>
      <c r="AS861" s="35">
        <v>5.8000000000000003E-2</v>
      </c>
      <c r="AT861" s="35" t="s">
        <v>83</v>
      </c>
      <c r="AU861" s="35" t="s">
        <v>109</v>
      </c>
      <c r="AV861" s="35" t="s">
        <v>133</v>
      </c>
      <c r="AW861" s="35" t="s">
        <v>109</v>
      </c>
      <c r="AX861" s="35" t="s">
        <v>86</v>
      </c>
      <c r="AY861" s="35">
        <v>0</v>
      </c>
      <c r="AZ861" s="35">
        <v>0</v>
      </c>
      <c r="BA861" s="35" t="s">
        <v>734</v>
      </c>
      <c r="BB861" s="35" t="s">
        <v>88</v>
      </c>
      <c r="BC861" s="35" t="s">
        <v>89</v>
      </c>
      <c r="BD861" s="35" t="s">
        <v>134</v>
      </c>
      <c r="BE861" s="35" t="s">
        <v>1585</v>
      </c>
      <c r="BF861" s="35">
        <v>82.379000000000005</v>
      </c>
      <c r="BG861" s="35">
        <v>1</v>
      </c>
      <c r="BH861" s="35">
        <v>14.926</v>
      </c>
      <c r="BI861" s="35">
        <v>47.133000000000003</v>
      </c>
      <c r="BJ861" s="35">
        <v>156.46700000000001</v>
      </c>
      <c r="BK861" s="35" t="s">
        <v>91</v>
      </c>
      <c r="BL861" s="35" t="s">
        <v>84</v>
      </c>
      <c r="BM861" s="35">
        <v>1</v>
      </c>
      <c r="BN861" s="35" t="s">
        <v>539</v>
      </c>
      <c r="BO861" s="35" t="s">
        <v>1586</v>
      </c>
      <c r="BP861" s="35" t="s">
        <v>1587</v>
      </c>
      <c r="BQ861" s="35" t="s">
        <v>92</v>
      </c>
      <c r="BR861" s="35" t="s">
        <v>134</v>
      </c>
      <c r="BS861" s="35" t="s">
        <v>312</v>
      </c>
      <c r="BT861" s="35">
        <v>0.248</v>
      </c>
      <c r="BU861" s="35">
        <v>2012</v>
      </c>
      <c r="BV861" s="35">
        <v>2019</v>
      </c>
      <c r="BW861" s="35" t="s">
        <v>1588</v>
      </c>
      <c r="BX861" s="35" t="s">
        <v>95</v>
      </c>
      <c r="BY861" s="35" t="s">
        <v>96</v>
      </c>
      <c r="BZ861" s="35">
        <v>0</v>
      </c>
      <c r="CA861" s="35">
        <v>0</v>
      </c>
      <c r="CB861" s="35" t="s">
        <v>97</v>
      </c>
      <c r="CC861" s="35" t="s">
        <v>719</v>
      </c>
      <c r="CD861" s="35">
        <v>1</v>
      </c>
      <c r="CE861" s="35" t="s">
        <v>1589</v>
      </c>
      <c r="CF861" s="35">
        <v>0</v>
      </c>
      <c r="CG861" s="35" t="s">
        <v>97</v>
      </c>
      <c r="CH861" s="35">
        <v>1</v>
      </c>
      <c r="CI861" s="35" t="s">
        <v>97</v>
      </c>
      <c r="CJ861" s="35" t="s">
        <v>98</v>
      </c>
      <c r="CK861" s="35">
        <v>66</v>
      </c>
      <c r="CL861" s="35">
        <v>0</v>
      </c>
      <c r="CM861" s="35">
        <v>0</v>
      </c>
      <c r="CN861" s="35" t="s">
        <v>99</v>
      </c>
      <c r="CO861" s="35" t="s">
        <v>1664</v>
      </c>
      <c r="CP861" s="35" t="s">
        <v>100</v>
      </c>
      <c r="CQ861" s="35" t="s">
        <v>126</v>
      </c>
      <c r="CR861" s="36">
        <v>46234</v>
      </c>
      <c r="CT861" s="35" t="s">
        <v>1657</v>
      </c>
    </row>
    <row r="862" spans="1:98" s="35" customFormat="1" x14ac:dyDescent="0.35">
      <c r="A862" s="34" t="s">
        <v>1581</v>
      </c>
      <c r="B862" s="34" t="s">
        <v>1636</v>
      </c>
      <c r="C862" s="35" t="s">
        <v>1582</v>
      </c>
      <c r="D862" s="35">
        <v>2022</v>
      </c>
      <c r="E862" s="34" t="s">
        <v>1583</v>
      </c>
      <c r="F862" s="34" t="s">
        <v>1584</v>
      </c>
      <c r="G862" s="35" t="s">
        <v>78</v>
      </c>
      <c r="H862" s="35">
        <v>1</v>
      </c>
      <c r="I862" s="35" t="s">
        <v>390</v>
      </c>
      <c r="J862" s="35" t="s">
        <v>79</v>
      </c>
      <c r="K862" s="35">
        <v>11</v>
      </c>
      <c r="L862" s="35" t="s">
        <v>129</v>
      </c>
      <c r="M862" s="35" t="s">
        <v>380</v>
      </c>
      <c r="N862" s="35">
        <f>-0.034+0.049-0.184</f>
        <v>-0.16899999999999998</v>
      </c>
      <c r="O862" s="35" t="s">
        <v>312</v>
      </c>
      <c r="P862" s="89" t="s">
        <v>312</v>
      </c>
      <c r="Q862" s="35" t="s">
        <v>312</v>
      </c>
      <c r="R862" s="89" t="s">
        <v>312</v>
      </c>
      <c r="S862" s="89" t="s">
        <v>312</v>
      </c>
      <c r="T862" s="35" t="s">
        <v>312</v>
      </c>
      <c r="U862" s="35">
        <v>7859</v>
      </c>
      <c r="V862" s="35" t="s">
        <v>312</v>
      </c>
      <c r="W862" s="35" t="s">
        <v>312</v>
      </c>
      <c r="X862" s="35">
        <f t="shared" si="342"/>
        <v>7859</v>
      </c>
      <c r="Y862" s="89" t="s">
        <v>312</v>
      </c>
      <c r="Z862" s="89" t="s">
        <v>312</v>
      </c>
      <c r="AA862" s="89" t="s">
        <v>312</v>
      </c>
      <c r="AB862" s="35" t="s">
        <v>312</v>
      </c>
      <c r="AC862" s="89">
        <f t="shared" si="343"/>
        <v>-2.0638026681557193E-2</v>
      </c>
      <c r="AD862" s="89" cm="1">
        <f t="array" ref="AD862">_xlfn.IFS(
AND(L862="marginal_effect",M862="level"),N862*AN862/BF862,
AND(L862="marginal_effect",M862="sd (Y)"),N862*BI862*AN862/BF862,
AND(L862="marginal_effect",M862="sd (X)"),N862/AQ862*AN862/BF862,
AND(L862="semi_elasticity",M862="level"),N862*AN862,
AND(L862="semi_elasticity",M862="sd (Y)"),N862*AN862*BI862,
AND(L862="semi_elasticity",M862="sd (X)"),N862*AN862/AQ862,
AND(L862="level-log",M862="level"),N862/BF862,
AND(L862="level-log",M862="sd (X)"),N862/BF862/AQ862,
AND(L862="level-log",M862="sd (Y)"),N862/BF862*BI862,
AND(L862="elasticity",M862="level"),N862,
AND(L862="elasticity",M862="sd (X)"),N862/AQ862,
AND(L862="elasticity",M862="sd (Y)"),N862*BI862,
AND(L862="marginal_effect",M862="percent_of_mean"),N862*AN862/BF862/10)</f>
        <v>-2.0638026681557193E-2</v>
      </c>
      <c r="AE862" s="49">
        <f t="shared" si="341"/>
        <v>1</v>
      </c>
      <c r="AF862" s="89" t="s">
        <v>312</v>
      </c>
      <c r="AG862" s="89" t="s">
        <v>312</v>
      </c>
      <c r="AH862" s="49" t="s">
        <v>312</v>
      </c>
      <c r="AI862" s="89">
        <f t="shared" si="344"/>
        <v>2.0638026681557193E-2</v>
      </c>
      <c r="AJ862" s="35">
        <v>0</v>
      </c>
      <c r="AK862" s="35" t="s">
        <v>312</v>
      </c>
      <c r="AL862" s="35" t="s">
        <v>82</v>
      </c>
      <c r="AM862" s="35" t="s">
        <v>1333</v>
      </c>
      <c r="AN862" s="35">
        <v>10.06</v>
      </c>
      <c r="AO862" s="35">
        <v>1</v>
      </c>
      <c r="AP862" s="35">
        <f t="shared" si="345"/>
        <v>10.06</v>
      </c>
      <c r="AQ862" s="35">
        <v>4.6970000000000001</v>
      </c>
      <c r="AR862" s="35">
        <v>1.8</v>
      </c>
      <c r="AS862" s="35">
        <v>20.75</v>
      </c>
      <c r="AT862" s="35" t="s">
        <v>83</v>
      </c>
      <c r="AU862" s="35" t="s">
        <v>109</v>
      </c>
      <c r="AV862" s="35" t="s">
        <v>133</v>
      </c>
      <c r="AW862" s="35" t="s">
        <v>109</v>
      </c>
      <c r="AX862" s="35" t="s">
        <v>86</v>
      </c>
      <c r="AY862" s="35">
        <v>0</v>
      </c>
      <c r="AZ862" s="35">
        <v>0</v>
      </c>
      <c r="BA862" s="35" t="s">
        <v>734</v>
      </c>
      <c r="BB862" s="35" t="s">
        <v>88</v>
      </c>
      <c r="BC862" s="35" t="s">
        <v>89</v>
      </c>
      <c r="BD862" s="35" t="s">
        <v>134</v>
      </c>
      <c r="BE862" s="35" t="s">
        <v>1585</v>
      </c>
      <c r="BF862" s="35">
        <v>82.379000000000005</v>
      </c>
      <c r="BG862" s="35">
        <v>1</v>
      </c>
      <c r="BH862" s="35">
        <v>14.926</v>
      </c>
      <c r="BI862" s="35">
        <v>47.133000000000003</v>
      </c>
      <c r="BJ862" s="35">
        <v>156.46700000000001</v>
      </c>
      <c r="BK862" s="35" t="s">
        <v>91</v>
      </c>
      <c r="BL862" s="35" t="s">
        <v>84</v>
      </c>
      <c r="BM862" s="35">
        <v>1</v>
      </c>
      <c r="BN862" s="35" t="s">
        <v>539</v>
      </c>
      <c r="BO862" s="35" t="s">
        <v>1586</v>
      </c>
      <c r="BP862" s="35" t="s">
        <v>1587</v>
      </c>
      <c r="BQ862" s="35" t="s">
        <v>92</v>
      </c>
      <c r="BR862" s="35" t="s">
        <v>134</v>
      </c>
      <c r="BS862" s="35" t="s">
        <v>312</v>
      </c>
      <c r="BT862" s="35">
        <v>0.248</v>
      </c>
      <c r="BU862" s="35">
        <v>2012</v>
      </c>
      <c r="BV862" s="35">
        <v>2019</v>
      </c>
      <c r="BW862" s="35" t="s">
        <v>1588</v>
      </c>
      <c r="BX862" s="35" t="s">
        <v>95</v>
      </c>
      <c r="BY862" s="35" t="s">
        <v>96</v>
      </c>
      <c r="BZ862" s="35">
        <v>0</v>
      </c>
      <c r="CA862" s="35">
        <v>0</v>
      </c>
      <c r="CB862" s="35" t="s">
        <v>97</v>
      </c>
      <c r="CC862" s="35" t="s">
        <v>719</v>
      </c>
      <c r="CD862" s="35">
        <v>1</v>
      </c>
      <c r="CE862" s="35" t="s">
        <v>1589</v>
      </c>
      <c r="CF862" s="35">
        <v>0</v>
      </c>
      <c r="CG862" s="35" t="s">
        <v>97</v>
      </c>
      <c r="CH862" s="35">
        <v>1</v>
      </c>
      <c r="CI862" s="35" t="s">
        <v>97</v>
      </c>
      <c r="CJ862" s="35" t="s">
        <v>98</v>
      </c>
      <c r="CK862" s="35">
        <v>66</v>
      </c>
      <c r="CL862" s="35">
        <v>0</v>
      </c>
      <c r="CM862" s="35">
        <v>0</v>
      </c>
      <c r="CN862" s="35" t="s">
        <v>99</v>
      </c>
      <c r="CO862" s="35" t="s">
        <v>1664</v>
      </c>
      <c r="CP862" s="35" t="s">
        <v>100</v>
      </c>
      <c r="CQ862" s="35" t="s">
        <v>126</v>
      </c>
      <c r="CR862" s="36">
        <v>46234</v>
      </c>
      <c r="CT862" s="35" t="s">
        <v>1660</v>
      </c>
    </row>
    <row r="863" spans="1:98" s="35" customFormat="1" x14ac:dyDescent="0.35">
      <c r="A863" s="34" t="s">
        <v>1581</v>
      </c>
      <c r="B863" s="34" t="s">
        <v>1637</v>
      </c>
      <c r="C863" s="35" t="s">
        <v>1582</v>
      </c>
      <c r="D863" s="35">
        <v>2022</v>
      </c>
      <c r="E863" s="34" t="s">
        <v>1583</v>
      </c>
      <c r="F863" s="34" t="s">
        <v>1584</v>
      </c>
      <c r="G863" s="35" t="s">
        <v>78</v>
      </c>
      <c r="H863" s="35">
        <v>1</v>
      </c>
      <c r="I863" s="35" t="s">
        <v>390</v>
      </c>
      <c r="J863" s="35" t="s">
        <v>79</v>
      </c>
      <c r="K863" s="35">
        <v>11</v>
      </c>
      <c r="L863" s="35" t="s">
        <v>129</v>
      </c>
      <c r="M863" s="35" t="s">
        <v>380</v>
      </c>
      <c r="N863" s="35">
        <f>-0.034-0.184</f>
        <v>-0.218</v>
      </c>
      <c r="O863" s="35" t="s">
        <v>312</v>
      </c>
      <c r="P863" s="89" t="s">
        <v>312</v>
      </c>
      <c r="Q863" s="35" t="s">
        <v>312</v>
      </c>
      <c r="R863" s="89" t="s">
        <v>312</v>
      </c>
      <c r="S863" s="89" t="s">
        <v>312</v>
      </c>
      <c r="T863" s="35" t="s">
        <v>312</v>
      </c>
      <c r="U863" s="35">
        <v>7859</v>
      </c>
      <c r="V863" s="35" t="s">
        <v>312</v>
      </c>
      <c r="W863" s="35" t="s">
        <v>312</v>
      </c>
      <c r="X863" s="35">
        <f t="shared" si="342"/>
        <v>7859</v>
      </c>
      <c r="Y863" s="89" t="s">
        <v>312</v>
      </c>
      <c r="Z863" s="89" t="s">
        <v>312</v>
      </c>
      <c r="AA863" s="89" t="s">
        <v>312</v>
      </c>
      <c r="AB863" s="35" t="s">
        <v>312</v>
      </c>
      <c r="AC863" s="89">
        <f t="shared" si="343"/>
        <v>-2.6621833234198037E-2</v>
      </c>
      <c r="AD863" s="89" cm="1">
        <f t="array" ref="AD863">_xlfn.IFS(
AND(L863="marginal_effect",M863="level"),N863*AN863/BF863,
AND(L863="marginal_effect",M863="sd (Y)"),N863*BI863*AN863/BF863,
AND(L863="marginal_effect",M863="sd (X)"),N863/AQ863*AN863/BF863,
AND(L863="semi_elasticity",M863="level"),N863*AN863,
AND(L863="semi_elasticity",M863="sd (Y)"),N863*AN863*BI863,
AND(L863="semi_elasticity",M863="sd (X)"),N863*AN863/AQ863,
AND(L863="level-log",M863="level"),N863/BF863,
AND(L863="level-log",M863="sd (X)"),N863/BF863/AQ863,
AND(L863="level-log",M863="sd (Y)"),N863/BF863*BI863,
AND(L863="elasticity",M863="level"),N863,
AND(L863="elasticity",M863="sd (X)"),N863/AQ863,
AND(L863="elasticity",M863="sd (Y)"),N863*BI863,
AND(L863="marginal_effect",M863="percent_of_mean"),N863*AN863/BF863/10)</f>
        <v>-2.6621833234198037E-2</v>
      </c>
      <c r="AE863" s="49">
        <f t="shared" si="341"/>
        <v>1</v>
      </c>
      <c r="AF863" s="89" t="s">
        <v>312</v>
      </c>
      <c r="AG863" s="89" t="s">
        <v>312</v>
      </c>
      <c r="AH863" s="49" t="s">
        <v>312</v>
      </c>
      <c r="AI863" s="89">
        <f t="shared" si="344"/>
        <v>2.6621833234198037E-2</v>
      </c>
      <c r="AJ863" s="35">
        <v>0</v>
      </c>
      <c r="AK863" s="35" t="s">
        <v>312</v>
      </c>
      <c r="AL863" s="35" t="s">
        <v>82</v>
      </c>
      <c r="AM863" s="35" t="s">
        <v>1333</v>
      </c>
      <c r="AN863" s="35">
        <v>10.06</v>
      </c>
      <c r="AO863" s="35">
        <v>1</v>
      </c>
      <c r="AP863" s="35">
        <f t="shared" si="345"/>
        <v>10.06</v>
      </c>
      <c r="AQ863" s="35">
        <v>4.6970000000000001</v>
      </c>
      <c r="AR863" s="35">
        <v>1.8</v>
      </c>
      <c r="AS863" s="35">
        <v>20.75</v>
      </c>
      <c r="AT863" s="35" t="s">
        <v>83</v>
      </c>
      <c r="AU863" s="35" t="s">
        <v>109</v>
      </c>
      <c r="AV863" s="35" t="s">
        <v>133</v>
      </c>
      <c r="AW863" s="35" t="s">
        <v>109</v>
      </c>
      <c r="AX863" s="35" t="s">
        <v>86</v>
      </c>
      <c r="AY863" s="35">
        <v>0</v>
      </c>
      <c r="AZ863" s="35">
        <v>0</v>
      </c>
      <c r="BA863" s="35" t="s">
        <v>734</v>
      </c>
      <c r="BB863" s="35" t="s">
        <v>88</v>
      </c>
      <c r="BC863" s="35" t="s">
        <v>89</v>
      </c>
      <c r="BD863" s="35" t="s">
        <v>134</v>
      </c>
      <c r="BE863" s="35" t="s">
        <v>1585</v>
      </c>
      <c r="BF863" s="35">
        <v>82.379000000000005</v>
      </c>
      <c r="BG863" s="35">
        <v>1</v>
      </c>
      <c r="BH863" s="35">
        <v>14.926</v>
      </c>
      <c r="BI863" s="35">
        <v>47.133000000000003</v>
      </c>
      <c r="BJ863" s="35">
        <v>156.46700000000001</v>
      </c>
      <c r="BK863" s="35" t="s">
        <v>91</v>
      </c>
      <c r="BL863" s="35" t="s">
        <v>84</v>
      </c>
      <c r="BM863" s="35">
        <v>1</v>
      </c>
      <c r="BN863" s="35" t="s">
        <v>539</v>
      </c>
      <c r="BO863" s="35" t="s">
        <v>1586</v>
      </c>
      <c r="BP863" s="35" t="s">
        <v>1587</v>
      </c>
      <c r="BQ863" s="35" t="s">
        <v>92</v>
      </c>
      <c r="BR863" s="35" t="s">
        <v>134</v>
      </c>
      <c r="BS863" s="35" t="s">
        <v>312</v>
      </c>
      <c r="BT863" s="35">
        <v>0.248</v>
      </c>
      <c r="BU863" s="35">
        <v>2012</v>
      </c>
      <c r="BV863" s="35">
        <v>2019</v>
      </c>
      <c r="BW863" s="35" t="s">
        <v>1588</v>
      </c>
      <c r="BX863" s="35" t="s">
        <v>95</v>
      </c>
      <c r="BY863" s="35" t="s">
        <v>96</v>
      </c>
      <c r="BZ863" s="35">
        <v>0</v>
      </c>
      <c r="CA863" s="35">
        <v>0</v>
      </c>
      <c r="CB863" s="35" t="s">
        <v>97</v>
      </c>
      <c r="CC863" s="35" t="s">
        <v>719</v>
      </c>
      <c r="CD863" s="35">
        <v>1</v>
      </c>
      <c r="CE863" s="35" t="s">
        <v>1589</v>
      </c>
      <c r="CF863" s="35">
        <v>0</v>
      </c>
      <c r="CG863" s="35" t="s">
        <v>97</v>
      </c>
      <c r="CH863" s="35">
        <v>1</v>
      </c>
      <c r="CI863" s="35" t="s">
        <v>97</v>
      </c>
      <c r="CJ863" s="35" t="s">
        <v>98</v>
      </c>
      <c r="CK863" s="35">
        <v>66</v>
      </c>
      <c r="CL863" s="35">
        <v>0</v>
      </c>
      <c r="CM863" s="35">
        <v>0</v>
      </c>
      <c r="CN863" s="35" t="s">
        <v>99</v>
      </c>
      <c r="CO863" s="35" t="s">
        <v>1664</v>
      </c>
      <c r="CP863" s="35" t="s">
        <v>100</v>
      </c>
      <c r="CQ863" s="35" t="s">
        <v>126</v>
      </c>
      <c r="CR863" s="36">
        <v>46234</v>
      </c>
      <c r="CT863" s="35" t="s">
        <v>1660</v>
      </c>
    </row>
    <row r="864" spans="1:98" s="35" customFormat="1" x14ac:dyDescent="0.35">
      <c r="A864" s="34" t="s">
        <v>1581</v>
      </c>
      <c r="B864" s="34" t="s">
        <v>1638</v>
      </c>
      <c r="C864" s="35" t="s">
        <v>1582</v>
      </c>
      <c r="D864" s="35">
        <v>2022</v>
      </c>
      <c r="E864" s="34" t="s">
        <v>1583</v>
      </c>
      <c r="F864" s="34" t="s">
        <v>1584</v>
      </c>
      <c r="G864" s="35" t="s">
        <v>78</v>
      </c>
      <c r="H864" s="35">
        <v>1</v>
      </c>
      <c r="I864" s="35" t="s">
        <v>390</v>
      </c>
      <c r="J864" s="35" t="s">
        <v>79</v>
      </c>
      <c r="K864" s="35">
        <v>11</v>
      </c>
      <c r="L864" s="35" t="s">
        <v>129</v>
      </c>
      <c r="M864" s="35" t="s">
        <v>380</v>
      </c>
      <c r="N864" s="35">
        <f>-0.034+0.049</f>
        <v>1.4999999999999999E-2</v>
      </c>
      <c r="O864" s="35" t="s">
        <v>312</v>
      </c>
      <c r="P864" s="89" t="s">
        <v>312</v>
      </c>
      <c r="Q864" s="35" t="s">
        <v>312</v>
      </c>
      <c r="R864" s="89" t="s">
        <v>312</v>
      </c>
      <c r="S864" s="89" t="s">
        <v>312</v>
      </c>
      <c r="T864" s="35" t="s">
        <v>312</v>
      </c>
      <c r="U864" s="35">
        <v>7859</v>
      </c>
      <c r="V864" s="35" t="s">
        <v>312</v>
      </c>
      <c r="W864" s="35" t="s">
        <v>312</v>
      </c>
      <c r="X864" s="35">
        <f t="shared" si="342"/>
        <v>7859</v>
      </c>
      <c r="Y864" s="89" t="s">
        <v>312</v>
      </c>
      <c r="Z864" s="89" t="s">
        <v>312</v>
      </c>
      <c r="AA864" s="89" t="s">
        <v>312</v>
      </c>
      <c r="AB864" s="35" t="s">
        <v>312</v>
      </c>
      <c r="AC864" s="89">
        <f t="shared" si="343"/>
        <v>1.8317775161145438E-3</v>
      </c>
      <c r="AD864" s="89" cm="1">
        <f t="array" ref="AD864">_xlfn.IFS(
AND(L864="marginal_effect",M864="level"),N864*AN864/BF864,
AND(L864="marginal_effect",M864="sd (Y)"),N864*BI864*AN864/BF864,
AND(L864="marginal_effect",M864="sd (X)"),N864/AQ864*AN864/BF864,
AND(L864="semi_elasticity",M864="level"),N864*AN864,
AND(L864="semi_elasticity",M864="sd (Y)"),N864*AN864*BI864,
AND(L864="semi_elasticity",M864="sd (X)"),N864*AN864/AQ864,
AND(L864="level-log",M864="level"),N864/BF864,
AND(L864="level-log",M864="sd (X)"),N864/BF864/AQ864,
AND(L864="level-log",M864="sd (Y)"),N864/BF864*BI864,
AND(L864="elasticity",M864="level"),N864,
AND(L864="elasticity",M864="sd (X)"),N864/AQ864,
AND(L864="elasticity",M864="sd (Y)"),N864*BI864,
AND(L864="marginal_effect",M864="percent_of_mean"),N864*AN864/BF864/10)</f>
        <v>1.8317775161145438E-3</v>
      </c>
      <c r="AE864" s="49">
        <f t="shared" ref="AE864:AE894" si="346">IF(AC864=AD864,1,0)</f>
        <v>1</v>
      </c>
      <c r="AF864" s="89" t="s">
        <v>312</v>
      </c>
      <c r="AG864" s="89" t="s">
        <v>312</v>
      </c>
      <c r="AH864" s="49" t="s">
        <v>312</v>
      </c>
      <c r="AI864" s="89">
        <f t="shared" si="344"/>
        <v>-1.8317775161145438E-3</v>
      </c>
      <c r="AJ864" s="35">
        <v>0</v>
      </c>
      <c r="AK864" s="35" t="s">
        <v>312</v>
      </c>
      <c r="AL864" s="35" t="s">
        <v>82</v>
      </c>
      <c r="AM864" s="35" t="s">
        <v>1333</v>
      </c>
      <c r="AN864" s="35">
        <v>10.06</v>
      </c>
      <c r="AO864" s="35">
        <v>1</v>
      </c>
      <c r="AP864" s="35">
        <f t="shared" si="345"/>
        <v>10.06</v>
      </c>
      <c r="AQ864" s="35">
        <v>4.6970000000000001</v>
      </c>
      <c r="AR864" s="35">
        <v>1.8</v>
      </c>
      <c r="AS864" s="35">
        <v>20.75</v>
      </c>
      <c r="AT864" s="35" t="s">
        <v>83</v>
      </c>
      <c r="AU864" s="35" t="s">
        <v>109</v>
      </c>
      <c r="AV864" s="35" t="s">
        <v>133</v>
      </c>
      <c r="AW864" s="35" t="s">
        <v>109</v>
      </c>
      <c r="AX864" s="35" t="s">
        <v>86</v>
      </c>
      <c r="AY864" s="35">
        <v>0</v>
      </c>
      <c r="AZ864" s="35">
        <v>0</v>
      </c>
      <c r="BA864" s="35" t="s">
        <v>734</v>
      </c>
      <c r="BB864" s="35" t="s">
        <v>88</v>
      </c>
      <c r="BC864" s="35" t="s">
        <v>89</v>
      </c>
      <c r="BD864" s="35" t="s">
        <v>134</v>
      </c>
      <c r="BE864" s="35" t="s">
        <v>1585</v>
      </c>
      <c r="BF864" s="35">
        <v>82.379000000000005</v>
      </c>
      <c r="BG864" s="35">
        <v>1</v>
      </c>
      <c r="BH864" s="35">
        <v>14.926</v>
      </c>
      <c r="BI864" s="35">
        <v>47.133000000000003</v>
      </c>
      <c r="BJ864" s="35">
        <v>156.46700000000001</v>
      </c>
      <c r="BK864" s="35" t="s">
        <v>91</v>
      </c>
      <c r="BL864" s="35" t="s">
        <v>84</v>
      </c>
      <c r="BM864" s="35">
        <v>1</v>
      </c>
      <c r="BN864" s="35" t="s">
        <v>539</v>
      </c>
      <c r="BO864" s="35" t="s">
        <v>1586</v>
      </c>
      <c r="BP864" s="35" t="s">
        <v>1587</v>
      </c>
      <c r="BQ864" s="35" t="s">
        <v>92</v>
      </c>
      <c r="BR864" s="35" t="s">
        <v>134</v>
      </c>
      <c r="BS864" s="35" t="s">
        <v>312</v>
      </c>
      <c r="BT864" s="35">
        <v>0.248</v>
      </c>
      <c r="BU864" s="35">
        <v>2012</v>
      </c>
      <c r="BV864" s="35">
        <v>2019</v>
      </c>
      <c r="BW864" s="35" t="s">
        <v>1588</v>
      </c>
      <c r="BX864" s="35" t="s">
        <v>95</v>
      </c>
      <c r="BY864" s="35" t="s">
        <v>96</v>
      </c>
      <c r="BZ864" s="35">
        <v>0</v>
      </c>
      <c r="CA864" s="35">
        <v>0</v>
      </c>
      <c r="CB864" s="35" t="s">
        <v>97</v>
      </c>
      <c r="CC864" s="35" t="s">
        <v>719</v>
      </c>
      <c r="CD864" s="35">
        <v>1</v>
      </c>
      <c r="CE864" s="35" t="s">
        <v>1589</v>
      </c>
      <c r="CF864" s="35">
        <v>0</v>
      </c>
      <c r="CG864" s="35" t="s">
        <v>97</v>
      </c>
      <c r="CH864" s="35">
        <v>1</v>
      </c>
      <c r="CI864" s="35" t="s">
        <v>97</v>
      </c>
      <c r="CJ864" s="35" t="s">
        <v>98</v>
      </c>
      <c r="CK864" s="35">
        <v>66</v>
      </c>
      <c r="CL864" s="35">
        <v>0</v>
      </c>
      <c r="CM864" s="35">
        <v>0</v>
      </c>
      <c r="CN864" s="35" t="s">
        <v>99</v>
      </c>
      <c r="CO864" s="35" t="s">
        <v>1664</v>
      </c>
      <c r="CP864" s="35" t="s">
        <v>100</v>
      </c>
      <c r="CQ864" s="35" t="s">
        <v>126</v>
      </c>
      <c r="CR864" s="36">
        <v>46234</v>
      </c>
      <c r="CT864" s="35" t="s">
        <v>1660</v>
      </c>
    </row>
    <row r="865" spans="1:98" s="35" customFormat="1" x14ac:dyDescent="0.35">
      <c r="A865" s="34" t="s">
        <v>1581</v>
      </c>
      <c r="B865" s="34" t="s">
        <v>1639</v>
      </c>
      <c r="C865" s="35" t="s">
        <v>1582</v>
      </c>
      <c r="D865" s="35">
        <v>2022</v>
      </c>
      <c r="E865" s="34" t="s">
        <v>1583</v>
      </c>
      <c r="F865" s="34" t="s">
        <v>1584</v>
      </c>
      <c r="G865" s="35" t="s">
        <v>78</v>
      </c>
      <c r="H865" s="35">
        <v>1</v>
      </c>
      <c r="I865" s="35" t="s">
        <v>390</v>
      </c>
      <c r="J865" s="35" t="s">
        <v>79</v>
      </c>
      <c r="K865" s="35">
        <v>11</v>
      </c>
      <c r="L865" s="35" t="s">
        <v>129</v>
      </c>
      <c r="M865" s="35" t="s">
        <v>380</v>
      </c>
      <c r="N865" s="35">
        <f>-0.034</f>
        <v>-3.4000000000000002E-2</v>
      </c>
      <c r="O865" s="35">
        <v>5.7000000000000002E-2</v>
      </c>
      <c r="P865" s="89">
        <f>N865/O865</f>
        <v>-0.59649122807017541</v>
      </c>
      <c r="Q865" s="35" t="s">
        <v>312</v>
      </c>
      <c r="R865" s="89">
        <f>N865-1.96*O865</f>
        <v>-0.14572000000000002</v>
      </c>
      <c r="S865" s="89">
        <f>N865+1.96*O865</f>
        <v>7.7719999999999997E-2</v>
      </c>
      <c r="T865" s="35">
        <v>1</v>
      </c>
      <c r="U865" s="35">
        <v>7859</v>
      </c>
      <c r="V865" s="35" t="s">
        <v>312</v>
      </c>
      <c r="W865" s="35" t="s">
        <v>312</v>
      </c>
      <c r="X865" s="35">
        <f t="shared" si="342"/>
        <v>7859</v>
      </c>
      <c r="Y865" s="89">
        <f>P865/(P865^2 + X865)^(1/2)</f>
        <v>-6.7283811627015201E-3</v>
      </c>
      <c r="Z865" s="89">
        <f>((1-Y865^2)/X865)^(1/2)</f>
        <v>1.127993312570549E-2</v>
      </c>
      <c r="AA865" s="89">
        <f>-Y865</f>
        <v>6.7283811627015201E-3</v>
      </c>
      <c r="AB865" s="35" t="s">
        <v>81</v>
      </c>
      <c r="AC865" s="89">
        <f t="shared" si="343"/>
        <v>-4.1520290365263E-3</v>
      </c>
      <c r="AD865" s="89" cm="1">
        <f t="array" ref="AD865">_xlfn.IFS(
AND(L865="marginal_effect",M865="level"),N865*AN865/BF865,
AND(L865="marginal_effect",M865="sd (Y)"),N865*BI865*AN865/BF865,
AND(L865="marginal_effect",M865="sd (X)"),N865/AQ865*AN865/BF865,
AND(L865="semi_elasticity",M865="level"),N865*AN865,
AND(L865="semi_elasticity",M865="sd (Y)"),N865*AN865*BI865,
AND(L865="semi_elasticity",M865="sd (X)"),N865*AN865/AQ865,
AND(L865="level-log",M865="level"),N865/BF865,
AND(L865="level-log",M865="sd (X)"),N865/BF865/AQ865,
AND(L865="level-log",M865="sd (Y)"),N865/BF865*BI865,
AND(L865="elasticity",M865="level"),N865,
AND(L865="elasticity",M865="sd (X)"),N865/AQ865,
AND(L865="elasticity",M865="sd (Y)"),N865*BI865,
AND(L865="marginal_effect",M865="percent_of_mean"),N865*AN865/BF865/10)</f>
        <v>-4.1520290365263E-3</v>
      </c>
      <c r="AE865" s="49">
        <f t="shared" si="346"/>
        <v>1</v>
      </c>
      <c r="AF865" s="89">
        <f>O865*AN865/BF865</f>
        <v>6.9607545612352661E-3</v>
      </c>
      <c r="AG865" s="89" cm="1">
        <f t="array" ref="AG865">_xlfn.IFS(
AND(L865="marginal_effect",M865="level"),O865*AN865/BF865,
AND(L865="marginal_effect",M865="sd (Y)"),O865*BI865*AN865/BF865,
AND(L865="marginal_effect",M865="sd (X)"),O865/AQ865*AN865/BF865,
AND(L865="semi_elasticity",M865="level"),O865*AN865,
AND(L865="semi_elasticity",M865="sd (Y)"),O865*AN865*BI865,
AND(L865="semi_elasticity",M865="sd (X)"),O865*AN865/AQ865,
AND(L865="level-log",M865="level"),O865/BF865,
AND(L865="level-log",M865="sd (X)"),O865/BF865/AQ865,
AND(L865="level-log",M865="sd (Y)"),O865/BF865*BI865,
AND(L865="elasticity",M865="level"),O865,
AND(L865="elasticity",M865="sd (X)"),O865/AQ865,
AND(L865="elasticity",M865="sd (Y)"),O865*BI865,
AND(L865="marginal_effect",M865="percent_of_mean"),O865*AN865/BF865/10)</f>
        <v>6.9607545612352661E-3</v>
      </c>
      <c r="AH865" s="49">
        <f>IF(AF865=AG865,1,0)</f>
        <v>1</v>
      </c>
      <c r="AI865" s="89">
        <f t="shared" si="344"/>
        <v>4.1520290365263E-3</v>
      </c>
      <c r="AJ865" s="35">
        <v>0</v>
      </c>
      <c r="AK865" s="35">
        <f>IF(P865=(AC865/AF865),1,0)</f>
        <v>0</v>
      </c>
      <c r="AL865" s="35" t="s">
        <v>82</v>
      </c>
      <c r="AM865" s="35" t="s">
        <v>1333</v>
      </c>
      <c r="AN865" s="35">
        <v>10.06</v>
      </c>
      <c r="AO865" s="35">
        <v>1</v>
      </c>
      <c r="AP865" s="35">
        <f t="shared" si="345"/>
        <v>10.06</v>
      </c>
      <c r="AQ865" s="35">
        <v>4.6970000000000001</v>
      </c>
      <c r="AR865" s="35">
        <v>1.8</v>
      </c>
      <c r="AS865" s="35">
        <v>20.75</v>
      </c>
      <c r="AT865" s="35" t="s">
        <v>83</v>
      </c>
      <c r="AU865" s="35" t="s">
        <v>109</v>
      </c>
      <c r="AV865" s="35" t="s">
        <v>133</v>
      </c>
      <c r="AW865" s="35" t="s">
        <v>109</v>
      </c>
      <c r="AX865" s="35" t="s">
        <v>86</v>
      </c>
      <c r="AY865" s="35">
        <v>0</v>
      </c>
      <c r="AZ865" s="35">
        <v>0</v>
      </c>
      <c r="BA865" s="35" t="s">
        <v>734</v>
      </c>
      <c r="BB865" s="35" t="s">
        <v>88</v>
      </c>
      <c r="BC865" s="35" t="s">
        <v>89</v>
      </c>
      <c r="BD865" s="35" t="s">
        <v>134</v>
      </c>
      <c r="BE865" s="35" t="s">
        <v>1585</v>
      </c>
      <c r="BF865" s="35">
        <v>82.379000000000005</v>
      </c>
      <c r="BG865" s="35">
        <v>1</v>
      </c>
      <c r="BH865" s="35">
        <v>14.926</v>
      </c>
      <c r="BI865" s="35">
        <v>47.133000000000003</v>
      </c>
      <c r="BJ865" s="35">
        <v>156.46700000000001</v>
      </c>
      <c r="BK865" s="35" t="s">
        <v>91</v>
      </c>
      <c r="BL865" s="35" t="s">
        <v>84</v>
      </c>
      <c r="BM865" s="35">
        <v>1</v>
      </c>
      <c r="BN865" s="35" t="s">
        <v>539</v>
      </c>
      <c r="BO865" s="35" t="s">
        <v>1586</v>
      </c>
      <c r="BP865" s="35" t="s">
        <v>1587</v>
      </c>
      <c r="BQ865" s="35" t="s">
        <v>92</v>
      </c>
      <c r="BR865" s="35" t="s">
        <v>134</v>
      </c>
      <c r="BS865" s="35" t="s">
        <v>312</v>
      </c>
      <c r="BT865" s="35">
        <v>0.248</v>
      </c>
      <c r="BU865" s="35">
        <v>2012</v>
      </c>
      <c r="BV865" s="35">
        <v>2019</v>
      </c>
      <c r="BW865" s="35" t="s">
        <v>1588</v>
      </c>
      <c r="BX865" s="35" t="s">
        <v>95</v>
      </c>
      <c r="BY865" s="35" t="s">
        <v>96</v>
      </c>
      <c r="BZ865" s="35">
        <v>0</v>
      </c>
      <c r="CA865" s="35">
        <v>0</v>
      </c>
      <c r="CB865" s="35" t="s">
        <v>97</v>
      </c>
      <c r="CC865" s="35" t="s">
        <v>719</v>
      </c>
      <c r="CD865" s="35">
        <v>1</v>
      </c>
      <c r="CE865" s="35" t="s">
        <v>1589</v>
      </c>
      <c r="CF865" s="35">
        <v>0</v>
      </c>
      <c r="CG865" s="35" t="s">
        <v>97</v>
      </c>
      <c r="CH865" s="35">
        <v>1</v>
      </c>
      <c r="CI865" s="35" t="s">
        <v>97</v>
      </c>
      <c r="CJ865" s="35" t="s">
        <v>98</v>
      </c>
      <c r="CK865" s="35">
        <v>66</v>
      </c>
      <c r="CL865" s="35">
        <v>0</v>
      </c>
      <c r="CM865" s="35">
        <v>0</v>
      </c>
      <c r="CN865" s="35" t="s">
        <v>99</v>
      </c>
      <c r="CO865" s="35" t="s">
        <v>1664</v>
      </c>
      <c r="CP865" s="35" t="s">
        <v>100</v>
      </c>
      <c r="CQ865" s="35" t="s">
        <v>126</v>
      </c>
      <c r="CR865" s="36">
        <v>46234</v>
      </c>
      <c r="CT865" s="35" t="s">
        <v>1660</v>
      </c>
    </row>
    <row r="866" spans="1:98" s="35" customFormat="1" x14ac:dyDescent="0.35">
      <c r="A866" s="34" t="s">
        <v>1581</v>
      </c>
      <c r="B866" s="34" t="s">
        <v>1640</v>
      </c>
      <c r="C866" s="35" t="s">
        <v>1582</v>
      </c>
      <c r="D866" s="35">
        <v>2022</v>
      </c>
      <c r="E866" s="34" t="s">
        <v>1583</v>
      </c>
      <c r="F866" s="34" t="s">
        <v>1584</v>
      </c>
      <c r="G866" s="35" t="s">
        <v>78</v>
      </c>
      <c r="H866" s="35">
        <v>1</v>
      </c>
      <c r="I866" s="35" t="s">
        <v>390</v>
      </c>
      <c r="J866" s="35" t="s">
        <v>79</v>
      </c>
      <c r="K866" s="35">
        <v>11</v>
      </c>
      <c r="L866" s="35" t="s">
        <v>129</v>
      </c>
      <c r="M866" s="35" t="s">
        <v>380</v>
      </c>
      <c r="N866" s="35">
        <f>167.831+85.129-435.405</f>
        <v>-182.44499999999999</v>
      </c>
      <c r="O866" s="35" t="s">
        <v>312</v>
      </c>
      <c r="P866" s="89" t="s">
        <v>312</v>
      </c>
      <c r="Q866" s="35" t="s">
        <v>312</v>
      </c>
      <c r="R866" s="89" t="s">
        <v>312</v>
      </c>
      <c r="S866" s="89" t="s">
        <v>312</v>
      </c>
      <c r="T866" s="35" t="s">
        <v>312</v>
      </c>
      <c r="U866" s="35">
        <v>7859</v>
      </c>
      <c r="V866" s="35" t="s">
        <v>312</v>
      </c>
      <c r="W866" s="35" t="s">
        <v>312</v>
      </c>
      <c r="X866" s="35">
        <f t="shared" si="342"/>
        <v>7859</v>
      </c>
      <c r="Y866" s="89" t="s">
        <v>312</v>
      </c>
      <c r="Z866" s="89" t="s">
        <v>312</v>
      </c>
      <c r="AA866" s="89" t="s">
        <v>312</v>
      </c>
      <c r="AB866" s="35" t="s">
        <v>312</v>
      </c>
      <c r="AC866" s="89">
        <f t="shared" si="343"/>
        <v>-1.6357356712817059E-2</v>
      </c>
      <c r="AD866" s="89" cm="1">
        <f t="array" ref="AD866">_xlfn.IFS(
AND(L866="marginal_effect",M866="level"),N866*AN866/BF866,
AND(L866="marginal_effect",M866="sd (Y)"),N866*BI866*AN866/BF866,
AND(L866="marginal_effect",M866="sd (X)"),N866/AQ866*AN866/BF866,
AND(L866="semi_elasticity",M866="level"),N866*AN866,
AND(L866="semi_elasticity",M866="sd (Y)"),N866*AN866*BI866,
AND(L866="semi_elasticity",M866="sd (X)"),N866*AN866/AQ866,
AND(L866="level-log",M866="level"),N866/BF866,
AND(L866="level-log",M866="sd (X)"),N866/BF866/AQ866,
AND(L866="level-log",M866="sd (Y)"),N866/BF866*BI866,
AND(L866="elasticity",M866="level"),N866,
AND(L866="elasticity",M866="sd (X)"),N866/AQ866,
AND(L866="elasticity",M866="sd (Y)"),N866*BI866,
AND(L866="marginal_effect",M866="percent_of_mean"),N866*AN866/BF866/10)</f>
        <v>-1.6357356712817059E-2</v>
      </c>
      <c r="AE866" s="49">
        <f t="shared" si="346"/>
        <v>1</v>
      </c>
      <c r="AF866" s="89" t="s">
        <v>312</v>
      </c>
      <c r="AG866" s="89" t="s">
        <v>312</v>
      </c>
      <c r="AH866" s="49" t="s">
        <v>312</v>
      </c>
      <c r="AI866" s="89">
        <f t="shared" si="344"/>
        <v>1.6357356712817059E-2</v>
      </c>
      <c r="AJ866" s="35">
        <v>0</v>
      </c>
      <c r="AK866" s="35" t="s">
        <v>312</v>
      </c>
      <c r="AL866" s="35" t="s">
        <v>148</v>
      </c>
      <c r="AM866" s="35" t="s">
        <v>590</v>
      </c>
      <c r="AN866" s="35">
        <v>3.3000000000000002E-2</v>
      </c>
      <c r="AO866" s="35">
        <v>1</v>
      </c>
      <c r="AP866" s="35">
        <f t="shared" si="345"/>
        <v>3.3000000000000002E-2</v>
      </c>
      <c r="AQ866" s="35">
        <v>1.2E-2</v>
      </c>
      <c r="AR866" s="35">
        <v>1.2E-2</v>
      </c>
      <c r="AS866" s="35">
        <v>5.8000000000000003E-2</v>
      </c>
      <c r="AT866" s="35" t="s">
        <v>83</v>
      </c>
      <c r="AU866" s="35" t="s">
        <v>109</v>
      </c>
      <c r="AV866" s="35" t="s">
        <v>133</v>
      </c>
      <c r="AW866" s="35" t="s">
        <v>109</v>
      </c>
      <c r="AX866" s="35" t="s">
        <v>86</v>
      </c>
      <c r="AY866" s="35">
        <v>0</v>
      </c>
      <c r="AZ866" s="35">
        <v>0</v>
      </c>
      <c r="BA866" s="35" t="s">
        <v>734</v>
      </c>
      <c r="BB866" s="35" t="s">
        <v>88</v>
      </c>
      <c r="BC866" s="35" t="s">
        <v>89</v>
      </c>
      <c r="BD866" s="35" t="s">
        <v>134</v>
      </c>
      <c r="BE866" s="35" t="s">
        <v>1585</v>
      </c>
      <c r="BF866" s="35">
        <v>368.072</v>
      </c>
      <c r="BG866" s="35">
        <v>1</v>
      </c>
      <c r="BH866" s="35">
        <v>46.688000000000002</v>
      </c>
      <c r="BI866" s="35">
        <v>244.63300000000001</v>
      </c>
      <c r="BJ866" s="35">
        <v>541.45000000000005</v>
      </c>
      <c r="BK866" s="35" t="s">
        <v>91</v>
      </c>
      <c r="BL866" s="35" t="s">
        <v>84</v>
      </c>
      <c r="BM866" s="35">
        <v>1</v>
      </c>
      <c r="BN866" s="35" t="s">
        <v>539</v>
      </c>
      <c r="BO866" s="35" t="s">
        <v>1586</v>
      </c>
      <c r="BP866" s="35" t="s">
        <v>1587</v>
      </c>
      <c r="BQ866" s="35" t="s">
        <v>92</v>
      </c>
      <c r="BR866" s="35" t="s">
        <v>134</v>
      </c>
      <c r="BS866" s="35" t="s">
        <v>312</v>
      </c>
      <c r="BT866" s="35">
        <v>0.248</v>
      </c>
      <c r="BU866" s="35">
        <v>2012</v>
      </c>
      <c r="BV866" s="35">
        <v>2019</v>
      </c>
      <c r="BW866" s="35" t="s">
        <v>1588</v>
      </c>
      <c r="BX866" s="35" t="s">
        <v>95</v>
      </c>
      <c r="BY866" s="35" t="s">
        <v>96</v>
      </c>
      <c r="BZ866" s="35">
        <v>0</v>
      </c>
      <c r="CA866" s="35">
        <v>0</v>
      </c>
      <c r="CB866" s="35" t="s">
        <v>97</v>
      </c>
      <c r="CC866" s="35" t="s">
        <v>719</v>
      </c>
      <c r="CD866" s="35">
        <v>1</v>
      </c>
      <c r="CE866" s="35" t="s">
        <v>1589</v>
      </c>
      <c r="CF866" s="35">
        <v>0</v>
      </c>
      <c r="CG866" s="35" t="s">
        <v>97</v>
      </c>
      <c r="CH866" s="35">
        <v>1</v>
      </c>
      <c r="CI866" s="35" t="s">
        <v>97</v>
      </c>
      <c r="CJ866" s="35" t="s">
        <v>98</v>
      </c>
      <c r="CK866" s="35">
        <v>66</v>
      </c>
      <c r="CL866" s="35">
        <v>0</v>
      </c>
      <c r="CM866" s="35">
        <v>0</v>
      </c>
      <c r="CN866" s="35" t="s">
        <v>99</v>
      </c>
      <c r="CO866" s="35" t="s">
        <v>1664</v>
      </c>
      <c r="CP866" s="35" t="s">
        <v>100</v>
      </c>
      <c r="CQ866" s="35" t="s">
        <v>126</v>
      </c>
      <c r="CR866" s="36">
        <v>46234</v>
      </c>
      <c r="CT866" s="35" t="s">
        <v>1658</v>
      </c>
    </row>
    <row r="867" spans="1:98" s="35" customFormat="1" x14ac:dyDescent="0.35">
      <c r="A867" s="34" t="s">
        <v>1581</v>
      </c>
      <c r="B867" s="34" t="s">
        <v>1641</v>
      </c>
      <c r="C867" s="35" t="s">
        <v>1582</v>
      </c>
      <c r="D867" s="35">
        <v>2022</v>
      </c>
      <c r="E867" s="34" t="s">
        <v>1583</v>
      </c>
      <c r="F867" s="34" t="s">
        <v>1584</v>
      </c>
      <c r="G867" s="35" t="s">
        <v>78</v>
      </c>
      <c r="H867" s="35">
        <v>1</v>
      </c>
      <c r="I867" s="35" t="s">
        <v>390</v>
      </c>
      <c r="J867" s="35" t="s">
        <v>79</v>
      </c>
      <c r="K867" s="35">
        <v>11</v>
      </c>
      <c r="L867" s="35" t="s">
        <v>129</v>
      </c>
      <c r="M867" s="35" t="s">
        <v>380</v>
      </c>
      <c r="N867" s="35">
        <f>167.831-435.405</f>
        <v>-267.57399999999996</v>
      </c>
      <c r="O867" s="35" t="s">
        <v>312</v>
      </c>
      <c r="P867" s="89" t="s">
        <v>312</v>
      </c>
      <c r="Q867" s="35" t="s">
        <v>312</v>
      </c>
      <c r="R867" s="89" t="s">
        <v>312</v>
      </c>
      <c r="S867" s="89" t="s">
        <v>312</v>
      </c>
      <c r="T867" s="35" t="s">
        <v>312</v>
      </c>
      <c r="U867" s="35">
        <v>7859</v>
      </c>
      <c r="V867" s="35" t="s">
        <v>312</v>
      </c>
      <c r="W867" s="35" t="s">
        <v>312</v>
      </c>
      <c r="X867" s="35">
        <f t="shared" si="342"/>
        <v>7859</v>
      </c>
      <c r="Y867" s="89" t="s">
        <v>312</v>
      </c>
      <c r="Z867" s="89" t="s">
        <v>312</v>
      </c>
      <c r="AA867" s="89" t="s">
        <v>312</v>
      </c>
      <c r="AB867" s="35" t="s">
        <v>312</v>
      </c>
      <c r="AC867" s="89">
        <f t="shared" si="343"/>
        <v>-2.3989713969006062E-2</v>
      </c>
      <c r="AD867" s="89" cm="1">
        <f t="array" ref="AD867">_xlfn.IFS(
AND(L867="marginal_effect",M867="level"),N867*AN867/BF867,
AND(L867="marginal_effect",M867="sd (Y)"),N867*BI867*AN867/BF867,
AND(L867="marginal_effect",M867="sd (X)"),N867/AQ867*AN867/BF867,
AND(L867="semi_elasticity",M867="level"),N867*AN867,
AND(L867="semi_elasticity",M867="sd (Y)"),N867*AN867*BI867,
AND(L867="semi_elasticity",M867="sd (X)"),N867*AN867/AQ867,
AND(L867="level-log",M867="level"),N867/BF867,
AND(L867="level-log",M867="sd (X)"),N867/BF867/AQ867,
AND(L867="level-log",M867="sd (Y)"),N867/BF867*BI867,
AND(L867="elasticity",M867="level"),N867,
AND(L867="elasticity",M867="sd (X)"),N867/AQ867,
AND(L867="elasticity",M867="sd (Y)"),N867*BI867,
AND(L867="marginal_effect",M867="percent_of_mean"),N867*AN867/BF867/10)</f>
        <v>-2.3989713969006062E-2</v>
      </c>
      <c r="AE867" s="49">
        <f t="shared" si="346"/>
        <v>1</v>
      </c>
      <c r="AF867" s="89" t="s">
        <v>312</v>
      </c>
      <c r="AG867" s="89" t="s">
        <v>312</v>
      </c>
      <c r="AH867" s="49" t="s">
        <v>312</v>
      </c>
      <c r="AI867" s="89">
        <f t="shared" si="344"/>
        <v>2.3989713969006062E-2</v>
      </c>
      <c r="AJ867" s="35">
        <v>0</v>
      </c>
      <c r="AK867" s="35" t="s">
        <v>312</v>
      </c>
      <c r="AL867" s="35" t="s">
        <v>148</v>
      </c>
      <c r="AM867" s="35" t="s">
        <v>590</v>
      </c>
      <c r="AN867" s="35">
        <v>3.3000000000000002E-2</v>
      </c>
      <c r="AO867" s="35">
        <v>1</v>
      </c>
      <c r="AP867" s="35">
        <f t="shared" si="345"/>
        <v>3.3000000000000002E-2</v>
      </c>
      <c r="AQ867" s="35">
        <v>1.2E-2</v>
      </c>
      <c r="AR867" s="35">
        <v>1.2E-2</v>
      </c>
      <c r="AS867" s="35">
        <v>5.8000000000000003E-2</v>
      </c>
      <c r="AT867" s="35" t="s">
        <v>83</v>
      </c>
      <c r="AU867" s="35" t="s">
        <v>109</v>
      </c>
      <c r="AV867" s="35" t="s">
        <v>133</v>
      </c>
      <c r="AW867" s="35" t="s">
        <v>109</v>
      </c>
      <c r="AX867" s="35" t="s">
        <v>86</v>
      </c>
      <c r="AY867" s="35">
        <v>0</v>
      </c>
      <c r="AZ867" s="35">
        <v>0</v>
      </c>
      <c r="BA867" s="35" t="s">
        <v>734</v>
      </c>
      <c r="BB867" s="35" t="s">
        <v>88</v>
      </c>
      <c r="BC867" s="35" t="s">
        <v>89</v>
      </c>
      <c r="BD867" s="35" t="s">
        <v>134</v>
      </c>
      <c r="BE867" s="35" t="s">
        <v>1585</v>
      </c>
      <c r="BF867" s="35">
        <v>368.072</v>
      </c>
      <c r="BG867" s="35">
        <v>1</v>
      </c>
      <c r="BH867" s="35">
        <v>46.688000000000002</v>
      </c>
      <c r="BI867" s="35">
        <v>244.63300000000001</v>
      </c>
      <c r="BJ867" s="35">
        <v>541.45000000000005</v>
      </c>
      <c r="BK867" s="35" t="s">
        <v>91</v>
      </c>
      <c r="BL867" s="35" t="s">
        <v>84</v>
      </c>
      <c r="BM867" s="35">
        <v>1</v>
      </c>
      <c r="BN867" s="35" t="s">
        <v>539</v>
      </c>
      <c r="BO867" s="35" t="s">
        <v>1586</v>
      </c>
      <c r="BP867" s="35" t="s">
        <v>1587</v>
      </c>
      <c r="BQ867" s="35" t="s">
        <v>92</v>
      </c>
      <c r="BR867" s="35" t="s">
        <v>134</v>
      </c>
      <c r="BS867" s="35" t="s">
        <v>312</v>
      </c>
      <c r="BT867" s="35">
        <v>0.248</v>
      </c>
      <c r="BU867" s="35">
        <v>2012</v>
      </c>
      <c r="BV867" s="35">
        <v>2019</v>
      </c>
      <c r="BW867" s="35" t="s">
        <v>1588</v>
      </c>
      <c r="BX867" s="35" t="s">
        <v>95</v>
      </c>
      <c r="BY867" s="35" t="s">
        <v>96</v>
      </c>
      <c r="BZ867" s="35">
        <v>0</v>
      </c>
      <c r="CA867" s="35">
        <v>0</v>
      </c>
      <c r="CB867" s="35" t="s">
        <v>97</v>
      </c>
      <c r="CC867" s="35" t="s">
        <v>719</v>
      </c>
      <c r="CD867" s="35">
        <v>1</v>
      </c>
      <c r="CE867" s="35" t="s">
        <v>1589</v>
      </c>
      <c r="CF867" s="35">
        <v>0</v>
      </c>
      <c r="CG867" s="35" t="s">
        <v>97</v>
      </c>
      <c r="CH867" s="35">
        <v>1</v>
      </c>
      <c r="CI867" s="35" t="s">
        <v>97</v>
      </c>
      <c r="CJ867" s="35" t="s">
        <v>98</v>
      </c>
      <c r="CK867" s="35">
        <v>66</v>
      </c>
      <c r="CL867" s="35">
        <v>0</v>
      </c>
      <c r="CM867" s="35">
        <v>0</v>
      </c>
      <c r="CN867" s="35" t="s">
        <v>99</v>
      </c>
      <c r="CO867" s="35" t="s">
        <v>1664</v>
      </c>
      <c r="CP867" s="35" t="s">
        <v>100</v>
      </c>
      <c r="CQ867" s="35" t="s">
        <v>126</v>
      </c>
      <c r="CR867" s="36">
        <v>46234</v>
      </c>
      <c r="CT867" s="35" t="s">
        <v>1658</v>
      </c>
    </row>
    <row r="868" spans="1:98" s="35" customFormat="1" x14ac:dyDescent="0.35">
      <c r="A868" s="34" t="s">
        <v>1581</v>
      </c>
      <c r="B868" s="34" t="s">
        <v>1642</v>
      </c>
      <c r="C868" s="35" t="s">
        <v>1582</v>
      </c>
      <c r="D868" s="35">
        <v>2022</v>
      </c>
      <c r="E868" s="34" t="s">
        <v>1583</v>
      </c>
      <c r="F868" s="34" t="s">
        <v>1584</v>
      </c>
      <c r="G868" s="35" t="s">
        <v>78</v>
      </c>
      <c r="H868" s="35">
        <v>1</v>
      </c>
      <c r="I868" s="35" t="s">
        <v>390</v>
      </c>
      <c r="J868" s="35" t="s">
        <v>79</v>
      </c>
      <c r="K868" s="35">
        <v>11</v>
      </c>
      <c r="L868" s="35" t="s">
        <v>129</v>
      </c>
      <c r="M868" s="35" t="s">
        <v>380</v>
      </c>
      <c r="N868" s="35">
        <f>167.831+85.129</f>
        <v>252.95999999999998</v>
      </c>
      <c r="O868" s="35" t="s">
        <v>312</v>
      </c>
      <c r="P868" s="89" t="s">
        <v>312</v>
      </c>
      <c r="Q868" s="35" t="s">
        <v>312</v>
      </c>
      <c r="R868" s="89" t="s">
        <v>312</v>
      </c>
      <c r="S868" s="89" t="s">
        <v>312</v>
      </c>
      <c r="T868" s="35" t="s">
        <v>312</v>
      </c>
      <c r="U868" s="35">
        <v>7859</v>
      </c>
      <c r="V868" s="35" t="s">
        <v>312</v>
      </c>
      <c r="W868" s="35" t="s">
        <v>312</v>
      </c>
      <c r="X868" s="35">
        <f t="shared" ref="X868:X894" si="347">U868</f>
        <v>7859</v>
      </c>
      <c r="Y868" s="89" t="s">
        <v>312</v>
      </c>
      <c r="Z868" s="89" t="s">
        <v>312</v>
      </c>
      <c r="AA868" s="89" t="s">
        <v>312</v>
      </c>
      <c r="AB868" s="35" t="s">
        <v>312</v>
      </c>
      <c r="AC868" s="89">
        <f t="shared" si="343"/>
        <v>2.2679475754743637E-2</v>
      </c>
      <c r="AD868" s="89" cm="1">
        <f t="array" ref="AD868">_xlfn.IFS(
AND(L868="marginal_effect",M868="level"),N868*AN868/BF868,
AND(L868="marginal_effect",M868="sd (Y)"),N868*BI868*AN868/BF868,
AND(L868="marginal_effect",M868="sd (X)"),N868/AQ868*AN868/BF868,
AND(L868="semi_elasticity",M868="level"),N868*AN868,
AND(L868="semi_elasticity",M868="sd (Y)"),N868*AN868*BI868,
AND(L868="semi_elasticity",M868="sd (X)"),N868*AN868/AQ868,
AND(L868="level-log",M868="level"),N868/BF868,
AND(L868="level-log",M868="sd (X)"),N868/BF868/AQ868,
AND(L868="level-log",M868="sd (Y)"),N868/BF868*BI868,
AND(L868="elasticity",M868="level"),N868,
AND(L868="elasticity",M868="sd (X)"),N868/AQ868,
AND(L868="elasticity",M868="sd (Y)"),N868*BI868,
AND(L868="marginal_effect",M868="percent_of_mean"),N868*AN868/BF868/10)</f>
        <v>2.2679475754743637E-2</v>
      </c>
      <c r="AE868" s="49">
        <f t="shared" si="346"/>
        <v>1</v>
      </c>
      <c r="AF868" s="89" t="s">
        <v>312</v>
      </c>
      <c r="AG868" s="89" t="s">
        <v>312</v>
      </c>
      <c r="AH868" s="49" t="s">
        <v>312</v>
      </c>
      <c r="AI868" s="89">
        <f t="shared" si="344"/>
        <v>-2.2679475754743637E-2</v>
      </c>
      <c r="AJ868" s="35">
        <v>0</v>
      </c>
      <c r="AK868" s="35" t="s">
        <v>312</v>
      </c>
      <c r="AL868" s="35" t="s">
        <v>148</v>
      </c>
      <c r="AM868" s="35" t="s">
        <v>590</v>
      </c>
      <c r="AN868" s="35">
        <v>3.3000000000000002E-2</v>
      </c>
      <c r="AO868" s="35">
        <v>1</v>
      </c>
      <c r="AP868" s="35">
        <f t="shared" si="345"/>
        <v>3.3000000000000002E-2</v>
      </c>
      <c r="AQ868" s="35">
        <v>1.2E-2</v>
      </c>
      <c r="AR868" s="35">
        <v>1.2E-2</v>
      </c>
      <c r="AS868" s="35">
        <v>5.8000000000000003E-2</v>
      </c>
      <c r="AT868" s="35" t="s">
        <v>83</v>
      </c>
      <c r="AU868" s="35" t="s">
        <v>109</v>
      </c>
      <c r="AV868" s="35" t="s">
        <v>133</v>
      </c>
      <c r="AW868" s="35" t="s">
        <v>109</v>
      </c>
      <c r="AX868" s="35" t="s">
        <v>86</v>
      </c>
      <c r="AY868" s="35">
        <v>0</v>
      </c>
      <c r="AZ868" s="35">
        <v>0</v>
      </c>
      <c r="BA868" s="35" t="s">
        <v>734</v>
      </c>
      <c r="BB868" s="35" t="s">
        <v>88</v>
      </c>
      <c r="BC868" s="35" t="s">
        <v>89</v>
      </c>
      <c r="BD868" s="35" t="s">
        <v>134</v>
      </c>
      <c r="BE868" s="35" t="s">
        <v>1585</v>
      </c>
      <c r="BF868" s="35">
        <v>368.072</v>
      </c>
      <c r="BG868" s="35">
        <v>1</v>
      </c>
      <c r="BH868" s="35">
        <v>46.688000000000002</v>
      </c>
      <c r="BI868" s="35">
        <v>244.63300000000001</v>
      </c>
      <c r="BJ868" s="35">
        <v>541.45000000000005</v>
      </c>
      <c r="BK868" s="35" t="s">
        <v>91</v>
      </c>
      <c r="BL868" s="35" t="s">
        <v>84</v>
      </c>
      <c r="BM868" s="35">
        <v>1</v>
      </c>
      <c r="BN868" s="35" t="s">
        <v>539</v>
      </c>
      <c r="BO868" s="35" t="s">
        <v>1586</v>
      </c>
      <c r="BP868" s="35" t="s">
        <v>1587</v>
      </c>
      <c r="BQ868" s="35" t="s">
        <v>92</v>
      </c>
      <c r="BR868" s="35" t="s">
        <v>134</v>
      </c>
      <c r="BS868" s="35" t="s">
        <v>312</v>
      </c>
      <c r="BT868" s="35">
        <v>0.248</v>
      </c>
      <c r="BU868" s="35">
        <v>2012</v>
      </c>
      <c r="BV868" s="35">
        <v>2019</v>
      </c>
      <c r="BW868" s="35" t="s">
        <v>1588</v>
      </c>
      <c r="BX868" s="35" t="s">
        <v>95</v>
      </c>
      <c r="BY868" s="35" t="s">
        <v>96</v>
      </c>
      <c r="BZ868" s="35">
        <v>0</v>
      </c>
      <c r="CA868" s="35">
        <v>0</v>
      </c>
      <c r="CB868" s="35" t="s">
        <v>97</v>
      </c>
      <c r="CC868" s="35" t="s">
        <v>719</v>
      </c>
      <c r="CD868" s="35">
        <v>1</v>
      </c>
      <c r="CE868" s="35" t="s">
        <v>1589</v>
      </c>
      <c r="CF868" s="35">
        <v>0</v>
      </c>
      <c r="CG868" s="35" t="s">
        <v>97</v>
      </c>
      <c r="CH868" s="35">
        <v>1</v>
      </c>
      <c r="CI868" s="35" t="s">
        <v>97</v>
      </c>
      <c r="CJ868" s="35" t="s">
        <v>98</v>
      </c>
      <c r="CK868" s="35">
        <v>66</v>
      </c>
      <c r="CL868" s="35">
        <v>0</v>
      </c>
      <c r="CM868" s="35">
        <v>0</v>
      </c>
      <c r="CN868" s="35" t="s">
        <v>99</v>
      </c>
      <c r="CO868" s="35" t="s">
        <v>1664</v>
      </c>
      <c r="CP868" s="35" t="s">
        <v>100</v>
      </c>
      <c r="CQ868" s="35" t="s">
        <v>126</v>
      </c>
      <c r="CR868" s="36">
        <v>46234</v>
      </c>
      <c r="CT868" s="35" t="s">
        <v>1658</v>
      </c>
    </row>
    <row r="869" spans="1:98" s="35" customFormat="1" x14ac:dyDescent="0.35">
      <c r="A869" s="34" t="s">
        <v>1581</v>
      </c>
      <c r="B869" s="34" t="s">
        <v>1643</v>
      </c>
      <c r="C869" s="35" t="s">
        <v>1582</v>
      </c>
      <c r="D869" s="35">
        <v>2022</v>
      </c>
      <c r="E869" s="34" t="s">
        <v>1583</v>
      </c>
      <c r="F869" s="34" t="s">
        <v>1584</v>
      </c>
      <c r="G869" s="35" t="s">
        <v>78</v>
      </c>
      <c r="H869" s="35">
        <v>1</v>
      </c>
      <c r="I869" s="35" t="s">
        <v>390</v>
      </c>
      <c r="J869" s="35" t="s">
        <v>79</v>
      </c>
      <c r="K869" s="35">
        <v>11</v>
      </c>
      <c r="L869" s="35" t="s">
        <v>129</v>
      </c>
      <c r="M869" s="35" t="s">
        <v>380</v>
      </c>
      <c r="N869" s="35">
        <f>167.831</f>
        <v>167.83099999999999</v>
      </c>
      <c r="O869" s="35">
        <v>178.42099999999999</v>
      </c>
      <c r="P869" s="89">
        <f>N869/O869</f>
        <v>0.94064600019056055</v>
      </c>
      <c r="Q869" s="35" t="s">
        <v>312</v>
      </c>
      <c r="R869" s="89">
        <f>N869-1.96*O869</f>
        <v>-181.87415999999999</v>
      </c>
      <c r="S869" s="89">
        <f>N869+1.96*O869</f>
        <v>517.53616</v>
      </c>
      <c r="T869" s="35">
        <v>1</v>
      </c>
      <c r="U869" s="35">
        <v>7859</v>
      </c>
      <c r="V869" s="35" t="s">
        <v>312</v>
      </c>
      <c r="W869" s="35" t="s">
        <v>312</v>
      </c>
      <c r="X869" s="35">
        <f t="shared" si="347"/>
        <v>7859</v>
      </c>
      <c r="Y869" s="89">
        <f>P869/(P869^2 + X869)^(1/2)</f>
        <v>1.0610066901404291E-2</v>
      </c>
      <c r="Z869" s="89">
        <f>((1-Y869^2)/X869)^(1/2)</f>
        <v>1.1279553518810321E-2</v>
      </c>
      <c r="AA869" s="89">
        <f>-Y869</f>
        <v>-1.0610066901404291E-2</v>
      </c>
      <c r="AB869" s="35" t="s">
        <v>81</v>
      </c>
      <c r="AC869" s="89">
        <f t="shared" si="343"/>
        <v>1.504711849855463E-2</v>
      </c>
      <c r="AD869" s="89" cm="1">
        <f t="array" ref="AD869">_xlfn.IFS(
AND(L869="marginal_effect",M869="level"),N869*AN869/BF869,
AND(L869="marginal_effect",M869="sd (Y)"),N869*BI869*AN869/BF869,
AND(L869="marginal_effect",M869="sd (X)"),N869/AQ869*AN869/BF869,
AND(L869="semi_elasticity",M869="level"),N869*AN869,
AND(L869="semi_elasticity",M869="sd (Y)"),N869*AN869*BI869,
AND(L869="semi_elasticity",M869="sd (X)"),N869*AN869/AQ869,
AND(L869="level-log",M869="level"),N869/BF869,
AND(L869="level-log",M869="sd (X)"),N869/BF869/AQ869,
AND(L869="level-log",M869="sd (Y)"),N869/BF869*BI869,
AND(L869="elasticity",M869="level"),N869,
AND(L869="elasticity",M869="sd (X)"),N869/AQ869,
AND(L869="elasticity",M869="sd (Y)"),N869*BI869,
AND(L869="marginal_effect",M869="percent_of_mean"),N869*AN869/BF869/10)</f>
        <v>1.504711849855463E-2</v>
      </c>
      <c r="AE869" s="49">
        <f t="shared" si="346"/>
        <v>1</v>
      </c>
      <c r="AF869" s="89">
        <f>O869*AN869/BF869</f>
        <v>1.5996579473581254E-2</v>
      </c>
      <c r="AG869" s="89" cm="1">
        <f t="array" ref="AG869">_xlfn.IFS(
AND(L869="marginal_effect",M869="level"),O869*AN869/BF869,
AND(L869="marginal_effect",M869="sd (Y)"),O869*BI869*AN869/BF869,
AND(L869="marginal_effect",M869="sd (X)"),O869/AQ869*AN869/BF869,
AND(L869="semi_elasticity",M869="level"),O869*AN869,
AND(L869="semi_elasticity",M869="sd (Y)"),O869*AN869*BI869,
AND(L869="semi_elasticity",M869="sd (X)"),O869*AN869/AQ869,
AND(L869="level-log",M869="level"),O869/BF869,
AND(L869="level-log",M869="sd (X)"),O869/BF869/AQ869,
AND(L869="level-log",M869="sd (Y)"),O869/BF869*BI869,
AND(L869="elasticity",M869="level"),O869,
AND(L869="elasticity",M869="sd (X)"),O869/AQ869,
AND(L869="elasticity",M869="sd (Y)"),O869*BI869,
AND(L869="marginal_effect",M869="percent_of_mean"),O869*AN869/BF869/10)</f>
        <v>1.5996579473581254E-2</v>
      </c>
      <c r="AH869" s="49">
        <f>IF(AF869=AG869,1,0)</f>
        <v>1</v>
      </c>
      <c r="AI869" s="89">
        <f t="shared" si="344"/>
        <v>-1.504711849855463E-2</v>
      </c>
      <c r="AJ869" s="35">
        <v>0</v>
      </c>
      <c r="AK869" s="35">
        <f>IF(P869=(AC869/AF869),1,0)</f>
        <v>1</v>
      </c>
      <c r="AL869" s="35" t="s">
        <v>148</v>
      </c>
      <c r="AM869" s="35" t="s">
        <v>590</v>
      </c>
      <c r="AN869" s="35">
        <v>3.3000000000000002E-2</v>
      </c>
      <c r="AO869" s="35">
        <v>1</v>
      </c>
      <c r="AP869" s="35">
        <f t="shared" si="345"/>
        <v>3.3000000000000002E-2</v>
      </c>
      <c r="AQ869" s="35">
        <v>1.2E-2</v>
      </c>
      <c r="AR869" s="35">
        <v>1.2E-2</v>
      </c>
      <c r="AS869" s="35">
        <v>5.8000000000000003E-2</v>
      </c>
      <c r="AT869" s="35" t="s">
        <v>83</v>
      </c>
      <c r="AU869" s="35" t="s">
        <v>109</v>
      </c>
      <c r="AV869" s="35" t="s">
        <v>133</v>
      </c>
      <c r="AW869" s="35" t="s">
        <v>109</v>
      </c>
      <c r="AX869" s="35" t="s">
        <v>86</v>
      </c>
      <c r="AY869" s="35">
        <v>0</v>
      </c>
      <c r="AZ869" s="35">
        <v>0</v>
      </c>
      <c r="BA869" s="35" t="s">
        <v>734</v>
      </c>
      <c r="BB869" s="35" t="s">
        <v>88</v>
      </c>
      <c r="BC869" s="35" t="s">
        <v>89</v>
      </c>
      <c r="BD869" s="35" t="s">
        <v>134</v>
      </c>
      <c r="BE869" s="35" t="s">
        <v>1585</v>
      </c>
      <c r="BF869" s="35">
        <v>368.072</v>
      </c>
      <c r="BG869" s="35">
        <v>1</v>
      </c>
      <c r="BH869" s="35">
        <v>46.688000000000002</v>
      </c>
      <c r="BI869" s="35">
        <v>244.63300000000001</v>
      </c>
      <c r="BJ869" s="35">
        <v>541.45000000000005</v>
      </c>
      <c r="BK869" s="35" t="s">
        <v>91</v>
      </c>
      <c r="BL869" s="35" t="s">
        <v>84</v>
      </c>
      <c r="BM869" s="35">
        <v>1</v>
      </c>
      <c r="BN869" s="35" t="s">
        <v>539</v>
      </c>
      <c r="BO869" s="35" t="s">
        <v>1586</v>
      </c>
      <c r="BP869" s="35" t="s">
        <v>1587</v>
      </c>
      <c r="BQ869" s="35" t="s">
        <v>92</v>
      </c>
      <c r="BR869" s="35" t="s">
        <v>134</v>
      </c>
      <c r="BS869" s="35" t="s">
        <v>312</v>
      </c>
      <c r="BT869" s="35">
        <v>0.248</v>
      </c>
      <c r="BU869" s="35">
        <v>2012</v>
      </c>
      <c r="BV869" s="35">
        <v>2019</v>
      </c>
      <c r="BW869" s="35" t="s">
        <v>1588</v>
      </c>
      <c r="BX869" s="35" t="s">
        <v>95</v>
      </c>
      <c r="BY869" s="35" t="s">
        <v>96</v>
      </c>
      <c r="BZ869" s="35">
        <v>0</v>
      </c>
      <c r="CA869" s="35">
        <v>0</v>
      </c>
      <c r="CB869" s="35" t="s">
        <v>97</v>
      </c>
      <c r="CC869" s="35" t="s">
        <v>719</v>
      </c>
      <c r="CD869" s="35">
        <v>1</v>
      </c>
      <c r="CE869" s="35" t="s">
        <v>1589</v>
      </c>
      <c r="CF869" s="35">
        <v>0</v>
      </c>
      <c r="CG869" s="35" t="s">
        <v>97</v>
      </c>
      <c r="CH869" s="35">
        <v>1</v>
      </c>
      <c r="CI869" s="35" t="s">
        <v>97</v>
      </c>
      <c r="CJ869" s="35" t="s">
        <v>98</v>
      </c>
      <c r="CK869" s="35">
        <v>66</v>
      </c>
      <c r="CL869" s="35">
        <v>0</v>
      </c>
      <c r="CM869" s="35">
        <v>0</v>
      </c>
      <c r="CN869" s="35" t="s">
        <v>99</v>
      </c>
      <c r="CO869" s="35" t="s">
        <v>1664</v>
      </c>
      <c r="CP869" s="35" t="s">
        <v>100</v>
      </c>
      <c r="CQ869" s="35" t="s">
        <v>126</v>
      </c>
      <c r="CR869" s="36">
        <v>46234</v>
      </c>
      <c r="CT869" s="35" t="s">
        <v>1658</v>
      </c>
    </row>
    <row r="870" spans="1:98" s="35" customFormat="1" x14ac:dyDescent="0.35">
      <c r="A870" s="34" t="s">
        <v>1581</v>
      </c>
      <c r="B870" s="34" t="s">
        <v>1644</v>
      </c>
      <c r="C870" s="35" t="s">
        <v>1582</v>
      </c>
      <c r="D870" s="35">
        <v>2022</v>
      </c>
      <c r="E870" s="34" t="s">
        <v>1583</v>
      </c>
      <c r="F870" s="34" t="s">
        <v>1584</v>
      </c>
      <c r="G870" s="35" t="s">
        <v>78</v>
      </c>
      <c r="H870" s="35">
        <v>1</v>
      </c>
      <c r="I870" s="35" t="s">
        <v>390</v>
      </c>
      <c r="J870" s="35" t="s">
        <v>79</v>
      </c>
      <c r="K870" s="35">
        <v>11</v>
      </c>
      <c r="L870" s="35" t="s">
        <v>129</v>
      </c>
      <c r="M870" s="35" t="s">
        <v>380</v>
      </c>
      <c r="N870" s="35">
        <f>0.744-0.231+1.259</f>
        <v>1.7719999999999998</v>
      </c>
      <c r="O870" s="35" t="s">
        <v>312</v>
      </c>
      <c r="P870" s="89" t="s">
        <v>312</v>
      </c>
      <c r="Q870" s="35" t="s">
        <v>312</v>
      </c>
      <c r="R870" s="89" t="s">
        <v>312</v>
      </c>
      <c r="S870" s="89" t="s">
        <v>312</v>
      </c>
      <c r="T870" s="35" t="s">
        <v>312</v>
      </c>
      <c r="U870" s="35">
        <v>7859</v>
      </c>
      <c r="V870" s="35" t="s">
        <v>312</v>
      </c>
      <c r="W870" s="35" t="s">
        <v>312</v>
      </c>
      <c r="X870" s="35">
        <f t="shared" si="347"/>
        <v>7859</v>
      </c>
      <c r="Y870" s="89" t="s">
        <v>312</v>
      </c>
      <c r="Z870" s="89" t="s">
        <v>312</v>
      </c>
      <c r="AA870" s="89" t="s">
        <v>312</v>
      </c>
      <c r="AB870" s="35" t="s">
        <v>312</v>
      </c>
      <c r="AC870" s="89">
        <f t="shared" si="343"/>
        <v>4.8431611206503071E-2</v>
      </c>
      <c r="AD870" s="89" cm="1">
        <f t="array" ref="AD870">_xlfn.IFS(
AND(L870="marginal_effect",M870="level"),N870*AN870/BF870,
AND(L870="marginal_effect",M870="sd (Y)"),N870*BI870*AN870/BF870,
AND(L870="marginal_effect",M870="sd (X)"),N870/AQ870*AN870/BF870,
AND(L870="semi_elasticity",M870="level"),N870*AN870,
AND(L870="semi_elasticity",M870="sd (Y)"),N870*AN870*BI870,
AND(L870="semi_elasticity",M870="sd (X)"),N870*AN870/AQ870,
AND(L870="level-log",M870="level"),N870/BF870,
AND(L870="level-log",M870="sd (X)"),N870/BF870/AQ870,
AND(L870="level-log",M870="sd (Y)"),N870/BF870*BI870,
AND(L870="elasticity",M870="level"),N870,
AND(L870="elasticity",M870="sd (X)"),N870/AQ870,
AND(L870="elasticity",M870="sd (Y)"),N870*BI870,
AND(L870="marginal_effect",M870="percent_of_mean"),N870*AN870/BF870/10)</f>
        <v>4.8431611206503071E-2</v>
      </c>
      <c r="AE870" s="49">
        <f t="shared" si="346"/>
        <v>1</v>
      </c>
      <c r="AF870" s="89" t="s">
        <v>312</v>
      </c>
      <c r="AG870" s="89" t="s">
        <v>312</v>
      </c>
      <c r="AH870" s="49" t="s">
        <v>312</v>
      </c>
      <c r="AI870" s="89">
        <f t="shared" si="344"/>
        <v>-4.8431611206503071E-2</v>
      </c>
      <c r="AJ870" s="35">
        <v>0</v>
      </c>
      <c r="AK870" s="35" t="s">
        <v>312</v>
      </c>
      <c r="AL870" s="35" t="s">
        <v>82</v>
      </c>
      <c r="AM870" s="35" t="s">
        <v>1333</v>
      </c>
      <c r="AN870" s="35">
        <v>10.06</v>
      </c>
      <c r="AO870" s="35">
        <v>1</v>
      </c>
      <c r="AP870" s="35">
        <f t="shared" si="345"/>
        <v>10.06</v>
      </c>
      <c r="AQ870" s="35">
        <v>4.6970000000000001</v>
      </c>
      <c r="AR870" s="35">
        <v>1.8</v>
      </c>
      <c r="AS870" s="35">
        <v>20.75</v>
      </c>
      <c r="AT870" s="35" t="s">
        <v>83</v>
      </c>
      <c r="AU870" s="35" t="s">
        <v>109</v>
      </c>
      <c r="AV870" s="35" t="s">
        <v>133</v>
      </c>
      <c r="AW870" s="35" t="s">
        <v>109</v>
      </c>
      <c r="AX870" s="35" t="s">
        <v>86</v>
      </c>
      <c r="AY870" s="35">
        <v>0</v>
      </c>
      <c r="AZ870" s="35">
        <v>0</v>
      </c>
      <c r="BA870" s="35" t="s">
        <v>734</v>
      </c>
      <c r="BB870" s="35" t="s">
        <v>88</v>
      </c>
      <c r="BC870" s="35" t="s">
        <v>89</v>
      </c>
      <c r="BD870" s="35" t="s">
        <v>134</v>
      </c>
      <c r="BE870" s="35" t="s">
        <v>1585</v>
      </c>
      <c r="BF870" s="35">
        <v>368.072</v>
      </c>
      <c r="BG870" s="35">
        <v>1</v>
      </c>
      <c r="BH870" s="35">
        <v>46.688000000000002</v>
      </c>
      <c r="BI870" s="35">
        <v>244.63300000000001</v>
      </c>
      <c r="BJ870" s="35">
        <v>541.45000000000005</v>
      </c>
      <c r="BK870" s="35" t="s">
        <v>91</v>
      </c>
      <c r="BL870" s="35" t="s">
        <v>84</v>
      </c>
      <c r="BM870" s="35">
        <v>1</v>
      </c>
      <c r="BN870" s="35" t="s">
        <v>539</v>
      </c>
      <c r="BO870" s="35" t="s">
        <v>1586</v>
      </c>
      <c r="BP870" s="35" t="s">
        <v>1587</v>
      </c>
      <c r="BQ870" s="35" t="s">
        <v>92</v>
      </c>
      <c r="BR870" s="35" t="s">
        <v>134</v>
      </c>
      <c r="BS870" s="35" t="s">
        <v>312</v>
      </c>
      <c r="BT870" s="35">
        <v>0.248</v>
      </c>
      <c r="BU870" s="35">
        <v>2012</v>
      </c>
      <c r="BV870" s="35">
        <v>2019</v>
      </c>
      <c r="BW870" s="35" t="s">
        <v>1588</v>
      </c>
      <c r="BX870" s="35" t="s">
        <v>95</v>
      </c>
      <c r="BY870" s="35" t="s">
        <v>96</v>
      </c>
      <c r="BZ870" s="35">
        <v>0</v>
      </c>
      <c r="CA870" s="35">
        <v>0</v>
      </c>
      <c r="CB870" s="35" t="s">
        <v>97</v>
      </c>
      <c r="CC870" s="35" t="s">
        <v>719</v>
      </c>
      <c r="CD870" s="35">
        <v>1</v>
      </c>
      <c r="CE870" s="35" t="s">
        <v>1589</v>
      </c>
      <c r="CF870" s="35">
        <v>0</v>
      </c>
      <c r="CG870" s="35" t="s">
        <v>97</v>
      </c>
      <c r="CH870" s="35">
        <v>1</v>
      </c>
      <c r="CI870" s="35" t="s">
        <v>97</v>
      </c>
      <c r="CJ870" s="35" t="s">
        <v>98</v>
      </c>
      <c r="CK870" s="35">
        <v>66</v>
      </c>
      <c r="CL870" s="35">
        <v>0</v>
      </c>
      <c r="CM870" s="35">
        <v>0</v>
      </c>
      <c r="CN870" s="35" t="s">
        <v>99</v>
      </c>
      <c r="CO870" s="35" t="s">
        <v>1664</v>
      </c>
      <c r="CP870" s="35" t="s">
        <v>100</v>
      </c>
      <c r="CQ870" s="35" t="s">
        <v>126</v>
      </c>
      <c r="CR870" s="36">
        <v>46234</v>
      </c>
      <c r="CT870" s="35" t="s">
        <v>1661</v>
      </c>
    </row>
    <row r="871" spans="1:98" s="35" customFormat="1" x14ac:dyDescent="0.35">
      <c r="A871" s="34" t="s">
        <v>1581</v>
      </c>
      <c r="B871" s="34" t="s">
        <v>1645</v>
      </c>
      <c r="C871" s="35" t="s">
        <v>1582</v>
      </c>
      <c r="D871" s="35">
        <v>2022</v>
      </c>
      <c r="E871" s="34" t="s">
        <v>1583</v>
      </c>
      <c r="F871" s="34" t="s">
        <v>1584</v>
      </c>
      <c r="G871" s="35" t="s">
        <v>78</v>
      </c>
      <c r="H871" s="35">
        <v>1</v>
      </c>
      <c r="I871" s="35" t="s">
        <v>390</v>
      </c>
      <c r="J871" s="35" t="s">
        <v>79</v>
      </c>
      <c r="K871" s="35">
        <v>11</v>
      </c>
      <c r="L871" s="35" t="s">
        <v>129</v>
      </c>
      <c r="M871" s="35" t="s">
        <v>380</v>
      </c>
      <c r="N871" s="35">
        <f>0.744+1.259</f>
        <v>2.0030000000000001</v>
      </c>
      <c r="O871" s="35" t="s">
        <v>312</v>
      </c>
      <c r="P871" s="89" t="s">
        <v>312</v>
      </c>
      <c r="Q871" s="35" t="s">
        <v>312</v>
      </c>
      <c r="R871" s="89" t="s">
        <v>312</v>
      </c>
      <c r="S871" s="89" t="s">
        <v>312</v>
      </c>
      <c r="T871" s="35" t="s">
        <v>312</v>
      </c>
      <c r="U871" s="35">
        <v>7859</v>
      </c>
      <c r="V871" s="35" t="s">
        <v>312</v>
      </c>
      <c r="W871" s="35" t="s">
        <v>312</v>
      </c>
      <c r="X871" s="35">
        <f t="shared" si="347"/>
        <v>7859</v>
      </c>
      <c r="Y871" s="89" t="s">
        <v>312</v>
      </c>
      <c r="Z871" s="89" t="s">
        <v>312</v>
      </c>
      <c r="AA871" s="89" t="s">
        <v>312</v>
      </c>
      <c r="AB871" s="35" t="s">
        <v>312</v>
      </c>
      <c r="AC871" s="89">
        <f t="shared" si="343"/>
        <v>5.4745212893129613E-2</v>
      </c>
      <c r="AD871" s="89" cm="1">
        <f t="array" ref="AD871">_xlfn.IFS(
AND(L871="marginal_effect",M871="level"),N871*AN871/BF871,
AND(L871="marginal_effect",M871="sd (Y)"),N871*BI871*AN871/BF871,
AND(L871="marginal_effect",M871="sd (X)"),N871/AQ871*AN871/BF871,
AND(L871="semi_elasticity",M871="level"),N871*AN871,
AND(L871="semi_elasticity",M871="sd (Y)"),N871*AN871*BI871,
AND(L871="semi_elasticity",M871="sd (X)"),N871*AN871/AQ871,
AND(L871="level-log",M871="level"),N871/BF871,
AND(L871="level-log",M871="sd (X)"),N871/BF871/AQ871,
AND(L871="level-log",M871="sd (Y)"),N871/BF871*BI871,
AND(L871="elasticity",M871="level"),N871,
AND(L871="elasticity",M871="sd (X)"),N871/AQ871,
AND(L871="elasticity",M871="sd (Y)"),N871*BI871,
AND(L871="marginal_effect",M871="percent_of_mean"),N871*AN871/BF871/10)</f>
        <v>5.4745212893129613E-2</v>
      </c>
      <c r="AE871" s="49">
        <f t="shared" si="346"/>
        <v>1</v>
      </c>
      <c r="AF871" s="89" t="s">
        <v>312</v>
      </c>
      <c r="AG871" s="89" t="s">
        <v>312</v>
      </c>
      <c r="AH871" s="49" t="s">
        <v>312</v>
      </c>
      <c r="AI871" s="89">
        <f t="shared" si="344"/>
        <v>-5.4745212893129613E-2</v>
      </c>
      <c r="AJ871" s="35">
        <v>0</v>
      </c>
      <c r="AK871" s="35" t="s">
        <v>312</v>
      </c>
      <c r="AL871" s="35" t="s">
        <v>82</v>
      </c>
      <c r="AM871" s="35" t="s">
        <v>1333</v>
      </c>
      <c r="AN871" s="35">
        <v>10.06</v>
      </c>
      <c r="AO871" s="35">
        <v>1</v>
      </c>
      <c r="AP871" s="35">
        <f t="shared" si="345"/>
        <v>10.06</v>
      </c>
      <c r="AQ871" s="35">
        <v>4.6970000000000001</v>
      </c>
      <c r="AR871" s="35">
        <v>1.8</v>
      </c>
      <c r="AS871" s="35">
        <v>20.75</v>
      </c>
      <c r="AT871" s="35" t="s">
        <v>83</v>
      </c>
      <c r="AU871" s="35" t="s">
        <v>109</v>
      </c>
      <c r="AV871" s="35" t="s">
        <v>133</v>
      </c>
      <c r="AW871" s="35" t="s">
        <v>109</v>
      </c>
      <c r="AX871" s="35" t="s">
        <v>86</v>
      </c>
      <c r="AY871" s="35">
        <v>0</v>
      </c>
      <c r="AZ871" s="35">
        <v>0</v>
      </c>
      <c r="BA871" s="35" t="s">
        <v>734</v>
      </c>
      <c r="BB871" s="35" t="s">
        <v>88</v>
      </c>
      <c r="BC871" s="35" t="s">
        <v>89</v>
      </c>
      <c r="BD871" s="35" t="s">
        <v>134</v>
      </c>
      <c r="BE871" s="35" t="s">
        <v>1585</v>
      </c>
      <c r="BF871" s="35">
        <v>368.072</v>
      </c>
      <c r="BG871" s="35">
        <v>1</v>
      </c>
      <c r="BH871" s="35">
        <v>46.688000000000002</v>
      </c>
      <c r="BI871" s="35">
        <v>244.63300000000001</v>
      </c>
      <c r="BJ871" s="35">
        <v>541.45000000000005</v>
      </c>
      <c r="BK871" s="35" t="s">
        <v>91</v>
      </c>
      <c r="BL871" s="35" t="s">
        <v>84</v>
      </c>
      <c r="BM871" s="35">
        <v>1</v>
      </c>
      <c r="BN871" s="35" t="s">
        <v>539</v>
      </c>
      <c r="BO871" s="35" t="s">
        <v>1586</v>
      </c>
      <c r="BP871" s="35" t="s">
        <v>1587</v>
      </c>
      <c r="BQ871" s="35" t="s">
        <v>92</v>
      </c>
      <c r="BR871" s="35" t="s">
        <v>134</v>
      </c>
      <c r="BS871" s="35" t="s">
        <v>312</v>
      </c>
      <c r="BT871" s="35">
        <v>0.248</v>
      </c>
      <c r="BU871" s="35">
        <v>2012</v>
      </c>
      <c r="BV871" s="35">
        <v>2019</v>
      </c>
      <c r="BW871" s="35" t="s">
        <v>1588</v>
      </c>
      <c r="BX871" s="35" t="s">
        <v>95</v>
      </c>
      <c r="BY871" s="35" t="s">
        <v>96</v>
      </c>
      <c r="BZ871" s="35">
        <v>0</v>
      </c>
      <c r="CA871" s="35">
        <v>0</v>
      </c>
      <c r="CB871" s="35" t="s">
        <v>97</v>
      </c>
      <c r="CC871" s="35" t="s">
        <v>719</v>
      </c>
      <c r="CD871" s="35">
        <v>1</v>
      </c>
      <c r="CE871" s="35" t="s">
        <v>1589</v>
      </c>
      <c r="CF871" s="35">
        <v>0</v>
      </c>
      <c r="CG871" s="35" t="s">
        <v>97</v>
      </c>
      <c r="CH871" s="35">
        <v>1</v>
      </c>
      <c r="CI871" s="35" t="s">
        <v>97</v>
      </c>
      <c r="CJ871" s="35" t="s">
        <v>98</v>
      </c>
      <c r="CK871" s="35">
        <v>66</v>
      </c>
      <c r="CL871" s="35">
        <v>0</v>
      </c>
      <c r="CM871" s="35">
        <v>0</v>
      </c>
      <c r="CN871" s="35" t="s">
        <v>99</v>
      </c>
      <c r="CO871" s="35" t="s">
        <v>1664</v>
      </c>
      <c r="CP871" s="35" t="s">
        <v>100</v>
      </c>
      <c r="CQ871" s="35" t="s">
        <v>126</v>
      </c>
      <c r="CR871" s="36">
        <v>46234</v>
      </c>
      <c r="CT871" s="35" t="s">
        <v>1661</v>
      </c>
    </row>
    <row r="872" spans="1:98" s="35" customFormat="1" x14ac:dyDescent="0.35">
      <c r="A872" s="34" t="s">
        <v>1581</v>
      </c>
      <c r="B872" s="34" t="s">
        <v>1646</v>
      </c>
      <c r="C872" s="35" t="s">
        <v>1582</v>
      </c>
      <c r="D872" s="35">
        <v>2022</v>
      </c>
      <c r="E872" s="34" t="s">
        <v>1583</v>
      </c>
      <c r="F872" s="34" t="s">
        <v>1584</v>
      </c>
      <c r="G872" s="35" t="s">
        <v>78</v>
      </c>
      <c r="H872" s="35">
        <v>1</v>
      </c>
      <c r="I872" s="35" t="s">
        <v>390</v>
      </c>
      <c r="J872" s="35" t="s">
        <v>79</v>
      </c>
      <c r="K872" s="35">
        <v>11</v>
      </c>
      <c r="L872" s="35" t="s">
        <v>129</v>
      </c>
      <c r="M872" s="35" t="s">
        <v>380</v>
      </c>
      <c r="N872" s="35">
        <f>0.744-0.231</f>
        <v>0.51300000000000001</v>
      </c>
      <c r="O872" s="35" t="s">
        <v>312</v>
      </c>
      <c r="P872" s="89" t="s">
        <v>312</v>
      </c>
      <c r="Q872" s="35" t="s">
        <v>312</v>
      </c>
      <c r="R872" s="89" t="s">
        <v>312</v>
      </c>
      <c r="S872" s="89" t="s">
        <v>312</v>
      </c>
      <c r="T872" s="35" t="s">
        <v>312</v>
      </c>
      <c r="U872" s="35">
        <v>7859</v>
      </c>
      <c r="V872" s="35" t="s">
        <v>312</v>
      </c>
      <c r="W872" s="35" t="s">
        <v>312</v>
      </c>
      <c r="X872" s="35">
        <f t="shared" si="347"/>
        <v>7859</v>
      </c>
      <c r="Y872" s="89" t="s">
        <v>312</v>
      </c>
      <c r="Z872" s="89" t="s">
        <v>312</v>
      </c>
      <c r="AA872" s="89" t="s">
        <v>312</v>
      </c>
      <c r="AB872" s="35" t="s">
        <v>312</v>
      </c>
      <c r="AC872" s="89">
        <f t="shared" si="343"/>
        <v>1.402111543393684E-2</v>
      </c>
      <c r="AD872" s="89" cm="1">
        <f t="array" ref="AD872">_xlfn.IFS(
AND(L872="marginal_effect",M872="level"),N872*AN872/BF872,
AND(L872="marginal_effect",M872="sd (Y)"),N872*BI872*AN872/BF872,
AND(L872="marginal_effect",M872="sd (X)"),N872/AQ872*AN872/BF872,
AND(L872="semi_elasticity",M872="level"),N872*AN872,
AND(L872="semi_elasticity",M872="sd (Y)"),N872*AN872*BI872,
AND(L872="semi_elasticity",M872="sd (X)"),N872*AN872/AQ872,
AND(L872="level-log",M872="level"),N872/BF872,
AND(L872="level-log",M872="sd (X)"),N872/BF872/AQ872,
AND(L872="level-log",M872="sd (Y)"),N872/BF872*BI872,
AND(L872="elasticity",M872="level"),N872,
AND(L872="elasticity",M872="sd (X)"),N872/AQ872,
AND(L872="elasticity",M872="sd (Y)"),N872*BI872,
AND(L872="marginal_effect",M872="percent_of_mean"),N872*AN872/BF872/10)</f>
        <v>1.402111543393684E-2</v>
      </c>
      <c r="AE872" s="49">
        <f t="shared" si="346"/>
        <v>1</v>
      </c>
      <c r="AF872" s="89" t="s">
        <v>312</v>
      </c>
      <c r="AG872" s="89" t="s">
        <v>312</v>
      </c>
      <c r="AH872" s="49" t="s">
        <v>312</v>
      </c>
      <c r="AI872" s="89">
        <f t="shared" si="344"/>
        <v>-1.402111543393684E-2</v>
      </c>
      <c r="AJ872" s="35">
        <v>0</v>
      </c>
      <c r="AK872" s="35" t="s">
        <v>312</v>
      </c>
      <c r="AL872" s="35" t="s">
        <v>82</v>
      </c>
      <c r="AM872" s="35" t="s">
        <v>1333</v>
      </c>
      <c r="AN872" s="35">
        <v>10.06</v>
      </c>
      <c r="AO872" s="35">
        <v>1</v>
      </c>
      <c r="AP872" s="35">
        <f t="shared" si="345"/>
        <v>10.06</v>
      </c>
      <c r="AQ872" s="35">
        <v>4.6970000000000001</v>
      </c>
      <c r="AR872" s="35">
        <v>1.8</v>
      </c>
      <c r="AS872" s="35">
        <v>20.75</v>
      </c>
      <c r="AT872" s="35" t="s">
        <v>83</v>
      </c>
      <c r="AU872" s="35" t="s">
        <v>109</v>
      </c>
      <c r="AV872" s="35" t="s">
        <v>133</v>
      </c>
      <c r="AW872" s="35" t="s">
        <v>109</v>
      </c>
      <c r="AX872" s="35" t="s">
        <v>86</v>
      </c>
      <c r="AY872" s="35">
        <v>0</v>
      </c>
      <c r="AZ872" s="35">
        <v>0</v>
      </c>
      <c r="BA872" s="35" t="s">
        <v>734</v>
      </c>
      <c r="BB872" s="35" t="s">
        <v>88</v>
      </c>
      <c r="BC872" s="35" t="s">
        <v>89</v>
      </c>
      <c r="BD872" s="35" t="s">
        <v>134</v>
      </c>
      <c r="BE872" s="35" t="s">
        <v>1585</v>
      </c>
      <c r="BF872" s="35">
        <v>368.072</v>
      </c>
      <c r="BG872" s="35">
        <v>1</v>
      </c>
      <c r="BH872" s="35">
        <v>46.688000000000002</v>
      </c>
      <c r="BI872" s="35">
        <v>244.63300000000001</v>
      </c>
      <c r="BJ872" s="35">
        <v>541.45000000000005</v>
      </c>
      <c r="BK872" s="35" t="s">
        <v>91</v>
      </c>
      <c r="BL872" s="35" t="s">
        <v>84</v>
      </c>
      <c r="BM872" s="35">
        <v>1</v>
      </c>
      <c r="BN872" s="35" t="s">
        <v>539</v>
      </c>
      <c r="BO872" s="35" t="s">
        <v>1586</v>
      </c>
      <c r="BP872" s="35" t="s">
        <v>1587</v>
      </c>
      <c r="BQ872" s="35" t="s">
        <v>92</v>
      </c>
      <c r="BR872" s="35" t="s">
        <v>134</v>
      </c>
      <c r="BS872" s="35" t="s">
        <v>312</v>
      </c>
      <c r="BT872" s="35">
        <v>0.248</v>
      </c>
      <c r="BU872" s="35">
        <v>2012</v>
      </c>
      <c r="BV872" s="35">
        <v>2019</v>
      </c>
      <c r="BW872" s="35" t="s">
        <v>1588</v>
      </c>
      <c r="BX872" s="35" t="s">
        <v>95</v>
      </c>
      <c r="BY872" s="35" t="s">
        <v>96</v>
      </c>
      <c r="BZ872" s="35">
        <v>0</v>
      </c>
      <c r="CA872" s="35">
        <v>0</v>
      </c>
      <c r="CB872" s="35" t="s">
        <v>97</v>
      </c>
      <c r="CC872" s="35" t="s">
        <v>719</v>
      </c>
      <c r="CD872" s="35">
        <v>1</v>
      </c>
      <c r="CE872" s="35" t="s">
        <v>1589</v>
      </c>
      <c r="CF872" s="35">
        <v>0</v>
      </c>
      <c r="CG872" s="35" t="s">
        <v>97</v>
      </c>
      <c r="CH872" s="35">
        <v>1</v>
      </c>
      <c r="CI872" s="35" t="s">
        <v>97</v>
      </c>
      <c r="CJ872" s="35" t="s">
        <v>98</v>
      </c>
      <c r="CK872" s="35">
        <v>66</v>
      </c>
      <c r="CL872" s="35">
        <v>0</v>
      </c>
      <c r="CM872" s="35">
        <v>0</v>
      </c>
      <c r="CN872" s="35" t="s">
        <v>99</v>
      </c>
      <c r="CO872" s="35" t="s">
        <v>1664</v>
      </c>
      <c r="CP872" s="35" t="s">
        <v>100</v>
      </c>
      <c r="CQ872" s="35" t="s">
        <v>126</v>
      </c>
      <c r="CR872" s="36">
        <v>46234</v>
      </c>
      <c r="CT872" s="35" t="s">
        <v>1661</v>
      </c>
    </row>
    <row r="873" spans="1:98" s="35" customFormat="1" x14ac:dyDescent="0.35">
      <c r="A873" s="34" t="s">
        <v>1581</v>
      </c>
      <c r="B873" s="34" t="s">
        <v>1647</v>
      </c>
      <c r="C873" s="35" t="s">
        <v>1582</v>
      </c>
      <c r="D873" s="35">
        <v>2022</v>
      </c>
      <c r="E873" s="34" t="s">
        <v>1583</v>
      </c>
      <c r="F873" s="34" t="s">
        <v>1584</v>
      </c>
      <c r="G873" s="35" t="s">
        <v>78</v>
      </c>
      <c r="H873" s="35">
        <v>1</v>
      </c>
      <c r="I873" s="35" t="s">
        <v>390</v>
      </c>
      <c r="J873" s="35" t="s">
        <v>79</v>
      </c>
      <c r="K873" s="35">
        <v>11</v>
      </c>
      <c r="L873" s="35" t="s">
        <v>129</v>
      </c>
      <c r="M873" s="35" t="s">
        <v>380</v>
      </c>
      <c r="N873" s="35">
        <f>0.744</f>
        <v>0.74399999999999999</v>
      </c>
      <c r="O873" s="35">
        <v>0.19400000000000001</v>
      </c>
      <c r="P873" s="89">
        <f>N873/O873</f>
        <v>3.8350515463917523</v>
      </c>
      <c r="Q873" s="35" t="s">
        <v>312</v>
      </c>
      <c r="R873" s="89">
        <f>N873-1.96*O873</f>
        <v>0.36375999999999997</v>
      </c>
      <c r="S873" s="89">
        <f>N873+1.96*O873</f>
        <v>1.1242399999999999</v>
      </c>
      <c r="T873" s="35">
        <v>1</v>
      </c>
      <c r="U873" s="35">
        <v>7859</v>
      </c>
      <c r="V873" s="35" t="s">
        <v>312</v>
      </c>
      <c r="W873" s="35" t="s">
        <v>312</v>
      </c>
      <c r="X873" s="35">
        <f t="shared" si="347"/>
        <v>7859</v>
      </c>
      <c r="Y873" s="89">
        <f>P873/(P873^2 + X873)^(1/2)</f>
        <v>4.3219681660376076E-2</v>
      </c>
      <c r="Z873" s="89">
        <f>((1-Y873^2)/X873)^(1/2)</f>
        <v>1.1269648174883009E-2</v>
      </c>
      <c r="AA873" s="89">
        <f>-Y873</f>
        <v>-4.3219681660376076E-2</v>
      </c>
      <c r="AB873" s="35" t="s">
        <v>81</v>
      </c>
      <c r="AC873" s="89">
        <f t="shared" si="343"/>
        <v>2.033471712056337E-2</v>
      </c>
      <c r="AD873" s="89" cm="1">
        <f t="array" ref="AD873">_xlfn.IFS(
AND(L873="marginal_effect",M873="level"),N873*AN873/BF873,
AND(L873="marginal_effect",M873="sd (Y)"),N873*BI873*AN873/BF873,
AND(L873="marginal_effect",M873="sd (X)"),N873/AQ873*AN873/BF873,
AND(L873="semi_elasticity",M873="level"),N873*AN873,
AND(L873="semi_elasticity",M873="sd (Y)"),N873*AN873*BI873,
AND(L873="semi_elasticity",M873="sd (X)"),N873*AN873/AQ873,
AND(L873="level-log",M873="level"),N873/BF873,
AND(L873="level-log",M873="sd (X)"),N873/BF873/AQ873,
AND(L873="level-log",M873="sd (Y)"),N873/BF873*BI873,
AND(L873="elasticity",M873="level"),N873,
AND(L873="elasticity",M873="sd (X)"),N873/AQ873,
AND(L873="elasticity",M873="sd (Y)"),N873*BI873,
AND(L873="marginal_effect",M873="percent_of_mean"),N873*AN873/BF873/10)</f>
        <v>2.033471712056337E-2</v>
      </c>
      <c r="AE873" s="49">
        <f t="shared" si="346"/>
        <v>1</v>
      </c>
      <c r="AF873" s="89">
        <f>O873*AN873/BF873</f>
        <v>5.3023321524049653E-3</v>
      </c>
      <c r="AG873" s="89" cm="1">
        <f t="array" ref="AG873">_xlfn.IFS(
AND(L873="marginal_effect",M873="level"),O873*AN873/BF873,
AND(L873="marginal_effect",M873="sd (Y)"),O873*BI873*AN873/BF873,
AND(L873="marginal_effect",M873="sd (X)"),O873/AQ873*AN873/BF873,
AND(L873="semi_elasticity",M873="level"),O873*AN873,
AND(L873="semi_elasticity",M873="sd (Y)"),O873*AN873*BI873,
AND(L873="semi_elasticity",M873="sd (X)"),O873*AN873/AQ873,
AND(L873="level-log",M873="level"),O873/BF873,
AND(L873="level-log",M873="sd (X)"),O873/BF873/AQ873,
AND(L873="level-log",M873="sd (Y)"),O873/BF873*BI873,
AND(L873="elasticity",M873="level"),O873,
AND(L873="elasticity",M873="sd (X)"),O873/AQ873,
AND(L873="elasticity",M873="sd (Y)"),O873*BI873,
AND(L873="marginal_effect",M873="percent_of_mean"),O873*AN873/BF873/10)</f>
        <v>5.3023321524049653E-3</v>
      </c>
      <c r="AH873" s="49">
        <f>IF(AF873=AG873,1,0)</f>
        <v>1</v>
      </c>
      <c r="AI873" s="89">
        <f t="shared" si="344"/>
        <v>-2.033471712056337E-2</v>
      </c>
      <c r="AJ873" s="35">
        <v>0</v>
      </c>
      <c r="AK873" s="35">
        <f>IF(P873=(AC873/AF873),1,0)</f>
        <v>1</v>
      </c>
      <c r="AL873" s="35" t="s">
        <v>82</v>
      </c>
      <c r="AM873" s="35" t="s">
        <v>1333</v>
      </c>
      <c r="AN873" s="35">
        <v>10.06</v>
      </c>
      <c r="AO873" s="35">
        <v>1</v>
      </c>
      <c r="AP873" s="35">
        <f t="shared" si="345"/>
        <v>10.06</v>
      </c>
      <c r="AQ873" s="35">
        <v>4.6970000000000001</v>
      </c>
      <c r="AR873" s="35">
        <v>1.8</v>
      </c>
      <c r="AS873" s="35">
        <v>20.75</v>
      </c>
      <c r="AT873" s="35" t="s">
        <v>83</v>
      </c>
      <c r="AU873" s="35" t="s">
        <v>109</v>
      </c>
      <c r="AV873" s="35" t="s">
        <v>133</v>
      </c>
      <c r="AW873" s="35" t="s">
        <v>109</v>
      </c>
      <c r="AX873" s="35" t="s">
        <v>86</v>
      </c>
      <c r="AY873" s="35">
        <v>0</v>
      </c>
      <c r="AZ873" s="35">
        <v>0</v>
      </c>
      <c r="BA873" s="35" t="s">
        <v>734</v>
      </c>
      <c r="BB873" s="35" t="s">
        <v>88</v>
      </c>
      <c r="BC873" s="35" t="s">
        <v>89</v>
      </c>
      <c r="BD873" s="35" t="s">
        <v>134</v>
      </c>
      <c r="BE873" s="35" t="s">
        <v>1585</v>
      </c>
      <c r="BF873" s="35">
        <v>368.072</v>
      </c>
      <c r="BG873" s="35">
        <v>1</v>
      </c>
      <c r="BH873" s="35">
        <v>46.688000000000002</v>
      </c>
      <c r="BI873" s="35">
        <v>244.63300000000001</v>
      </c>
      <c r="BJ873" s="35">
        <v>541.45000000000005</v>
      </c>
      <c r="BK873" s="35" t="s">
        <v>91</v>
      </c>
      <c r="BL873" s="35" t="s">
        <v>84</v>
      </c>
      <c r="BM873" s="35">
        <v>1</v>
      </c>
      <c r="BN873" s="35" t="s">
        <v>539</v>
      </c>
      <c r="BO873" s="35" t="s">
        <v>1586</v>
      </c>
      <c r="BP873" s="35" t="s">
        <v>1587</v>
      </c>
      <c r="BQ873" s="35" t="s">
        <v>92</v>
      </c>
      <c r="BR873" s="35" t="s">
        <v>134</v>
      </c>
      <c r="BS873" s="35" t="s">
        <v>312</v>
      </c>
      <c r="BT873" s="35">
        <v>0.248</v>
      </c>
      <c r="BU873" s="35">
        <v>2012</v>
      </c>
      <c r="BV873" s="35">
        <v>2019</v>
      </c>
      <c r="BW873" s="35" t="s">
        <v>1588</v>
      </c>
      <c r="BX873" s="35" t="s">
        <v>95</v>
      </c>
      <c r="BY873" s="35" t="s">
        <v>96</v>
      </c>
      <c r="BZ873" s="35">
        <v>0</v>
      </c>
      <c r="CA873" s="35">
        <v>0</v>
      </c>
      <c r="CB873" s="35" t="s">
        <v>97</v>
      </c>
      <c r="CC873" s="35" t="s">
        <v>719</v>
      </c>
      <c r="CD873" s="35">
        <v>1</v>
      </c>
      <c r="CE873" s="35" t="s">
        <v>1589</v>
      </c>
      <c r="CF873" s="35">
        <v>0</v>
      </c>
      <c r="CG873" s="35" t="s">
        <v>97</v>
      </c>
      <c r="CH873" s="35">
        <v>1</v>
      </c>
      <c r="CI873" s="35" t="s">
        <v>97</v>
      </c>
      <c r="CJ873" s="35" t="s">
        <v>98</v>
      </c>
      <c r="CK873" s="35">
        <v>66</v>
      </c>
      <c r="CL873" s="35">
        <v>0</v>
      </c>
      <c r="CM873" s="35">
        <v>0</v>
      </c>
      <c r="CN873" s="35" t="s">
        <v>99</v>
      </c>
      <c r="CO873" s="35" t="s">
        <v>1664</v>
      </c>
      <c r="CP873" s="35" t="s">
        <v>100</v>
      </c>
      <c r="CQ873" s="35" t="s">
        <v>126</v>
      </c>
      <c r="CR873" s="36">
        <v>46234</v>
      </c>
      <c r="CT873" s="35" t="s">
        <v>1661</v>
      </c>
    </row>
    <row r="874" spans="1:98" s="35" customFormat="1" x14ac:dyDescent="0.35">
      <c r="A874" s="34" t="s">
        <v>1581</v>
      </c>
      <c r="B874" s="34" t="s">
        <v>1648</v>
      </c>
      <c r="C874" s="35" t="s">
        <v>1582</v>
      </c>
      <c r="D874" s="35">
        <v>2022</v>
      </c>
      <c r="E874" s="34" t="s">
        <v>1583</v>
      </c>
      <c r="F874" s="34" t="s">
        <v>1584</v>
      </c>
      <c r="G874" s="35" t="s">
        <v>78</v>
      </c>
      <c r="H874" s="35">
        <v>1</v>
      </c>
      <c r="I874" s="35" t="s">
        <v>390</v>
      </c>
      <c r="J874" s="35" t="s">
        <v>79</v>
      </c>
      <c r="K874" s="35">
        <v>11</v>
      </c>
      <c r="L874" s="35" t="s">
        <v>129</v>
      </c>
      <c r="M874" s="35" t="s">
        <v>380</v>
      </c>
      <c r="N874" s="35">
        <f>342.044-153.793-401.076</f>
        <v>-212.82500000000005</v>
      </c>
      <c r="O874" s="35" t="s">
        <v>312</v>
      </c>
      <c r="P874" s="89" t="s">
        <v>312</v>
      </c>
      <c r="Q874" s="35" t="s">
        <v>312</v>
      </c>
      <c r="R874" s="89" t="s">
        <v>312</v>
      </c>
      <c r="S874" s="89" t="s">
        <v>312</v>
      </c>
      <c r="T874" s="35" t="s">
        <v>312</v>
      </c>
      <c r="U874" s="35">
        <v>7859</v>
      </c>
      <c r="V874" s="35" t="s">
        <v>312</v>
      </c>
      <c r="W874" s="35" t="s">
        <v>312</v>
      </c>
      <c r="X874" s="35">
        <f t="shared" si="347"/>
        <v>7859</v>
      </c>
      <c r="Y874" s="89" t="s">
        <v>312</v>
      </c>
      <c r="Z874" s="89" t="s">
        <v>312</v>
      </c>
      <c r="AA874" s="89" t="s">
        <v>312</v>
      </c>
      <c r="AB874" s="35" t="s">
        <v>312</v>
      </c>
      <c r="AC874" s="89">
        <f t="shared" si="343"/>
        <v>-2.2715063327166649E-2</v>
      </c>
      <c r="AD874" s="89" cm="1">
        <f t="array" ref="AD874">_xlfn.IFS(
AND(L874="marginal_effect",M874="level"),N874*AN874/BF874,
AND(L874="marginal_effect",M874="sd (Y)"),N874*BI874*AN874/BF874,
AND(L874="marginal_effect",M874="sd (X)"),N874/AQ874*AN874/BF874,
AND(L874="semi_elasticity",M874="level"),N874*AN874,
AND(L874="semi_elasticity",M874="sd (Y)"),N874*AN874*BI874,
AND(L874="semi_elasticity",M874="sd (X)"),N874*AN874/AQ874,
AND(L874="level-log",M874="level"),N874/BF874,
AND(L874="level-log",M874="sd (X)"),N874/BF874/AQ874,
AND(L874="level-log",M874="sd (Y)"),N874/BF874*BI874,
AND(L874="elasticity",M874="level"),N874,
AND(L874="elasticity",M874="sd (X)"),N874/AQ874,
AND(L874="elasticity",M874="sd (Y)"),N874*BI874,
AND(L874="marginal_effect",M874="percent_of_mean"),N874*AN874/BF874/10)</f>
        <v>-2.2715063327166649E-2</v>
      </c>
      <c r="AE874" s="49">
        <f t="shared" si="346"/>
        <v>1</v>
      </c>
      <c r="AF874" s="89" t="s">
        <v>312</v>
      </c>
      <c r="AG874" s="89" t="s">
        <v>312</v>
      </c>
      <c r="AH874" s="49" t="s">
        <v>312</v>
      </c>
      <c r="AI874" s="89">
        <f t="shared" si="344"/>
        <v>2.2715063327166649E-2</v>
      </c>
      <c r="AJ874" s="35">
        <v>0</v>
      </c>
      <c r="AK874" s="35" t="s">
        <v>312</v>
      </c>
      <c r="AL874" s="35" t="s">
        <v>148</v>
      </c>
      <c r="AM874" s="35" t="s">
        <v>590</v>
      </c>
      <c r="AN874" s="35">
        <v>3.3000000000000002E-2</v>
      </c>
      <c r="AO874" s="35">
        <v>1</v>
      </c>
      <c r="AP874" s="35">
        <f t="shared" si="345"/>
        <v>3.3000000000000002E-2</v>
      </c>
      <c r="AQ874" s="35">
        <v>1.2E-2</v>
      </c>
      <c r="AR874" s="35">
        <v>1.2E-2</v>
      </c>
      <c r="AS874" s="35">
        <v>5.8000000000000003E-2</v>
      </c>
      <c r="AT874" s="35" t="s">
        <v>83</v>
      </c>
      <c r="AU874" s="35" t="s">
        <v>109</v>
      </c>
      <c r="AV874" s="35" t="s">
        <v>133</v>
      </c>
      <c r="AW874" s="35" t="s">
        <v>109</v>
      </c>
      <c r="AX874" s="35" t="s">
        <v>86</v>
      </c>
      <c r="AY874" s="35">
        <v>0</v>
      </c>
      <c r="AZ874" s="35">
        <v>0</v>
      </c>
      <c r="BA874" s="35" t="s">
        <v>734</v>
      </c>
      <c r="BB874" s="35" t="s">
        <v>88</v>
      </c>
      <c r="BC874" s="35" t="s">
        <v>89</v>
      </c>
      <c r="BD874" s="35" t="s">
        <v>134</v>
      </c>
      <c r="BE874" s="35" t="s">
        <v>1585</v>
      </c>
      <c r="BF874" s="35">
        <v>309.18799999999999</v>
      </c>
      <c r="BG874" s="35">
        <v>1</v>
      </c>
      <c r="BH874" s="35">
        <v>63.716000000000001</v>
      </c>
      <c r="BI874" s="35">
        <v>160.28299999999999</v>
      </c>
      <c r="BJ874" s="35">
        <v>810.11699999999996</v>
      </c>
      <c r="BK874" s="35" t="s">
        <v>91</v>
      </c>
      <c r="BL874" s="35" t="s">
        <v>84</v>
      </c>
      <c r="BM874" s="35">
        <v>1</v>
      </c>
      <c r="BN874" s="35" t="s">
        <v>539</v>
      </c>
      <c r="BO874" s="35" t="s">
        <v>1586</v>
      </c>
      <c r="BP874" s="35" t="s">
        <v>1587</v>
      </c>
      <c r="BQ874" s="35" t="s">
        <v>92</v>
      </c>
      <c r="BR874" s="35" t="s">
        <v>134</v>
      </c>
      <c r="BS874" s="35" t="s">
        <v>312</v>
      </c>
      <c r="BT874" s="35">
        <v>0.248</v>
      </c>
      <c r="BU874" s="35">
        <v>2012</v>
      </c>
      <c r="BV874" s="35">
        <v>2019</v>
      </c>
      <c r="BW874" s="35" t="s">
        <v>1588</v>
      </c>
      <c r="BX874" s="35" t="s">
        <v>95</v>
      </c>
      <c r="BY874" s="35" t="s">
        <v>96</v>
      </c>
      <c r="BZ874" s="35">
        <v>0</v>
      </c>
      <c r="CA874" s="35">
        <v>0</v>
      </c>
      <c r="CB874" s="35" t="s">
        <v>97</v>
      </c>
      <c r="CC874" s="35" t="s">
        <v>719</v>
      </c>
      <c r="CD874" s="35">
        <v>1</v>
      </c>
      <c r="CE874" s="35" t="s">
        <v>1589</v>
      </c>
      <c r="CF874" s="35">
        <v>0</v>
      </c>
      <c r="CG874" s="35" t="s">
        <v>97</v>
      </c>
      <c r="CH874" s="35">
        <v>1</v>
      </c>
      <c r="CI874" s="35" t="s">
        <v>97</v>
      </c>
      <c r="CJ874" s="35" t="s">
        <v>98</v>
      </c>
      <c r="CK874" s="35">
        <v>66</v>
      </c>
      <c r="CL874" s="35">
        <v>0</v>
      </c>
      <c r="CM874" s="35">
        <v>0</v>
      </c>
      <c r="CN874" s="35" t="s">
        <v>99</v>
      </c>
      <c r="CO874" s="35" t="s">
        <v>1664</v>
      </c>
      <c r="CP874" s="35" t="s">
        <v>100</v>
      </c>
      <c r="CQ874" s="35" t="s">
        <v>126</v>
      </c>
      <c r="CR874" s="36">
        <v>46234</v>
      </c>
      <c r="CT874" s="35" t="s">
        <v>1662</v>
      </c>
    </row>
    <row r="875" spans="1:98" s="35" customFormat="1" x14ac:dyDescent="0.35">
      <c r="A875" s="34" t="s">
        <v>1581</v>
      </c>
      <c r="B875" s="34" t="s">
        <v>1649</v>
      </c>
      <c r="C875" s="35" t="s">
        <v>1582</v>
      </c>
      <c r="D875" s="35">
        <v>2022</v>
      </c>
      <c r="E875" s="34" t="s">
        <v>1583</v>
      </c>
      <c r="F875" s="34" t="s">
        <v>1584</v>
      </c>
      <c r="G875" s="35" t="s">
        <v>78</v>
      </c>
      <c r="H875" s="35">
        <v>1</v>
      </c>
      <c r="I875" s="35" t="s">
        <v>390</v>
      </c>
      <c r="J875" s="35" t="s">
        <v>79</v>
      </c>
      <c r="K875" s="35">
        <v>11</v>
      </c>
      <c r="L875" s="35" t="s">
        <v>129</v>
      </c>
      <c r="M875" s="35" t="s">
        <v>380</v>
      </c>
      <c r="N875" s="35">
        <f>342.044-401.076</f>
        <v>-59.032000000000039</v>
      </c>
      <c r="O875" s="35" t="s">
        <v>312</v>
      </c>
      <c r="P875" s="89" t="s">
        <v>312</v>
      </c>
      <c r="Q875" s="35" t="s">
        <v>312</v>
      </c>
      <c r="R875" s="89" t="s">
        <v>312</v>
      </c>
      <c r="S875" s="89" t="s">
        <v>312</v>
      </c>
      <c r="T875" s="35" t="s">
        <v>312</v>
      </c>
      <c r="U875" s="35">
        <v>7859</v>
      </c>
      <c r="V875" s="35" t="s">
        <v>312</v>
      </c>
      <c r="W875" s="35" t="s">
        <v>312</v>
      </c>
      <c r="X875" s="35">
        <f t="shared" si="347"/>
        <v>7859</v>
      </c>
      <c r="Y875" s="89" t="s">
        <v>312</v>
      </c>
      <c r="Z875" s="89" t="s">
        <v>312</v>
      </c>
      <c r="AA875" s="89" t="s">
        <v>312</v>
      </c>
      <c r="AB875" s="35" t="s">
        <v>312</v>
      </c>
      <c r="AC875" s="89">
        <f t="shared" si="343"/>
        <v>-6.3005550021346278E-3</v>
      </c>
      <c r="AD875" s="89" cm="1">
        <f t="array" ref="AD875">_xlfn.IFS(
AND(L875="marginal_effect",M875="level"),N875*AN875/BF875,
AND(L875="marginal_effect",M875="sd (Y)"),N875*BI875*AN875/BF875,
AND(L875="marginal_effect",M875="sd (X)"),N875/AQ875*AN875/BF875,
AND(L875="semi_elasticity",M875="level"),N875*AN875,
AND(L875="semi_elasticity",M875="sd (Y)"),N875*AN875*BI875,
AND(L875="semi_elasticity",M875="sd (X)"),N875*AN875/AQ875,
AND(L875="level-log",M875="level"),N875/BF875,
AND(L875="level-log",M875="sd (X)"),N875/BF875/AQ875,
AND(L875="level-log",M875="sd (Y)"),N875/BF875*BI875,
AND(L875="elasticity",M875="level"),N875,
AND(L875="elasticity",M875="sd (X)"),N875/AQ875,
AND(L875="elasticity",M875="sd (Y)"),N875*BI875,
AND(L875="marginal_effect",M875="percent_of_mean"),N875*AN875/BF875/10)</f>
        <v>-6.3005550021346278E-3</v>
      </c>
      <c r="AE875" s="49">
        <f t="shared" si="346"/>
        <v>1</v>
      </c>
      <c r="AF875" s="89" t="s">
        <v>312</v>
      </c>
      <c r="AG875" s="89" t="s">
        <v>312</v>
      </c>
      <c r="AH875" s="49" t="s">
        <v>312</v>
      </c>
      <c r="AI875" s="89">
        <f t="shared" si="344"/>
        <v>6.3005550021346278E-3</v>
      </c>
      <c r="AJ875" s="35">
        <v>0</v>
      </c>
      <c r="AK875" s="35" t="s">
        <v>312</v>
      </c>
      <c r="AL875" s="35" t="s">
        <v>148</v>
      </c>
      <c r="AM875" s="35" t="s">
        <v>590</v>
      </c>
      <c r="AN875" s="35">
        <v>3.3000000000000002E-2</v>
      </c>
      <c r="AO875" s="35">
        <v>1</v>
      </c>
      <c r="AP875" s="35">
        <f t="shared" si="345"/>
        <v>3.3000000000000002E-2</v>
      </c>
      <c r="AQ875" s="35">
        <v>1.2E-2</v>
      </c>
      <c r="AR875" s="35">
        <v>1.2E-2</v>
      </c>
      <c r="AS875" s="35">
        <v>5.8000000000000003E-2</v>
      </c>
      <c r="AT875" s="35" t="s">
        <v>83</v>
      </c>
      <c r="AU875" s="35" t="s">
        <v>109</v>
      </c>
      <c r="AV875" s="35" t="s">
        <v>133</v>
      </c>
      <c r="AW875" s="35" t="s">
        <v>109</v>
      </c>
      <c r="AX875" s="35" t="s">
        <v>86</v>
      </c>
      <c r="AY875" s="35">
        <v>0</v>
      </c>
      <c r="AZ875" s="35">
        <v>0</v>
      </c>
      <c r="BA875" s="35" t="s">
        <v>734</v>
      </c>
      <c r="BB875" s="35" t="s">
        <v>88</v>
      </c>
      <c r="BC875" s="35" t="s">
        <v>89</v>
      </c>
      <c r="BD875" s="35" t="s">
        <v>134</v>
      </c>
      <c r="BE875" s="35" t="s">
        <v>1585</v>
      </c>
      <c r="BF875" s="35">
        <v>309.18799999999999</v>
      </c>
      <c r="BG875" s="35">
        <v>1</v>
      </c>
      <c r="BH875" s="35">
        <v>63.716000000000001</v>
      </c>
      <c r="BI875" s="35">
        <v>160.28299999999999</v>
      </c>
      <c r="BJ875" s="35">
        <v>810.11699999999996</v>
      </c>
      <c r="BK875" s="35" t="s">
        <v>91</v>
      </c>
      <c r="BL875" s="35" t="s">
        <v>84</v>
      </c>
      <c r="BM875" s="35">
        <v>1</v>
      </c>
      <c r="BN875" s="35" t="s">
        <v>539</v>
      </c>
      <c r="BO875" s="35" t="s">
        <v>1586</v>
      </c>
      <c r="BP875" s="35" t="s">
        <v>1587</v>
      </c>
      <c r="BQ875" s="35" t="s">
        <v>92</v>
      </c>
      <c r="BR875" s="35" t="s">
        <v>134</v>
      </c>
      <c r="BS875" s="35" t="s">
        <v>312</v>
      </c>
      <c r="BT875" s="35">
        <v>0.248</v>
      </c>
      <c r="BU875" s="35">
        <v>2012</v>
      </c>
      <c r="BV875" s="35">
        <v>2019</v>
      </c>
      <c r="BW875" s="35" t="s">
        <v>1588</v>
      </c>
      <c r="BX875" s="35" t="s">
        <v>95</v>
      </c>
      <c r="BY875" s="35" t="s">
        <v>96</v>
      </c>
      <c r="BZ875" s="35">
        <v>0</v>
      </c>
      <c r="CA875" s="35">
        <v>0</v>
      </c>
      <c r="CB875" s="35" t="s">
        <v>97</v>
      </c>
      <c r="CC875" s="35" t="s">
        <v>719</v>
      </c>
      <c r="CD875" s="35">
        <v>1</v>
      </c>
      <c r="CE875" s="35" t="s">
        <v>1589</v>
      </c>
      <c r="CF875" s="35">
        <v>0</v>
      </c>
      <c r="CG875" s="35" t="s">
        <v>97</v>
      </c>
      <c r="CH875" s="35">
        <v>1</v>
      </c>
      <c r="CI875" s="35" t="s">
        <v>97</v>
      </c>
      <c r="CJ875" s="35" t="s">
        <v>98</v>
      </c>
      <c r="CK875" s="35">
        <v>66</v>
      </c>
      <c r="CL875" s="35">
        <v>0</v>
      </c>
      <c r="CM875" s="35">
        <v>0</v>
      </c>
      <c r="CN875" s="35" t="s">
        <v>99</v>
      </c>
      <c r="CO875" s="35" t="s">
        <v>1664</v>
      </c>
      <c r="CP875" s="35" t="s">
        <v>100</v>
      </c>
      <c r="CQ875" s="35" t="s">
        <v>126</v>
      </c>
      <c r="CR875" s="36">
        <v>46234</v>
      </c>
      <c r="CT875" s="35" t="s">
        <v>1662</v>
      </c>
    </row>
    <row r="876" spans="1:98" s="35" customFormat="1" x14ac:dyDescent="0.35">
      <c r="A876" s="34" t="s">
        <v>1581</v>
      </c>
      <c r="B876" s="34" t="s">
        <v>1650</v>
      </c>
      <c r="C876" s="35" t="s">
        <v>1582</v>
      </c>
      <c r="D876" s="35">
        <v>2022</v>
      </c>
      <c r="E876" s="34" t="s">
        <v>1583</v>
      </c>
      <c r="F876" s="34" t="s">
        <v>1584</v>
      </c>
      <c r="G876" s="35" t="s">
        <v>78</v>
      </c>
      <c r="H876" s="35">
        <v>1</v>
      </c>
      <c r="I876" s="35" t="s">
        <v>390</v>
      </c>
      <c r="J876" s="35" t="s">
        <v>79</v>
      </c>
      <c r="K876" s="35">
        <v>11</v>
      </c>
      <c r="L876" s="35" t="s">
        <v>129</v>
      </c>
      <c r="M876" s="35" t="s">
        <v>380</v>
      </c>
      <c r="N876" s="35">
        <f>342.044-153.793</f>
        <v>188.25099999999998</v>
      </c>
      <c r="O876" s="35" t="s">
        <v>312</v>
      </c>
      <c r="P876" s="89" t="s">
        <v>312</v>
      </c>
      <c r="Q876" s="35" t="s">
        <v>312</v>
      </c>
      <c r="R876" s="89" t="s">
        <v>312</v>
      </c>
      <c r="S876" s="89" t="s">
        <v>312</v>
      </c>
      <c r="T876" s="35" t="s">
        <v>312</v>
      </c>
      <c r="U876" s="35">
        <v>7859</v>
      </c>
      <c r="V876" s="35" t="s">
        <v>312</v>
      </c>
      <c r="W876" s="35" t="s">
        <v>312</v>
      </c>
      <c r="X876" s="35">
        <f t="shared" si="347"/>
        <v>7859</v>
      </c>
      <c r="Y876" s="89" t="s">
        <v>312</v>
      </c>
      <c r="Z876" s="89" t="s">
        <v>312</v>
      </c>
      <c r="AA876" s="89" t="s">
        <v>312</v>
      </c>
      <c r="AB876" s="35" t="s">
        <v>312</v>
      </c>
      <c r="AC876" s="89">
        <f t="shared" si="343"/>
        <v>2.0092251316351215E-2</v>
      </c>
      <c r="AD876" s="89" cm="1">
        <f t="array" ref="AD876">_xlfn.IFS(
AND(L876="marginal_effect",M876="level"),N876*AN876/BF876,
AND(L876="marginal_effect",M876="sd (Y)"),N876*BI876*AN876/BF876,
AND(L876="marginal_effect",M876="sd (X)"),N876/AQ876*AN876/BF876,
AND(L876="semi_elasticity",M876="level"),N876*AN876,
AND(L876="semi_elasticity",M876="sd (Y)"),N876*AN876*BI876,
AND(L876="semi_elasticity",M876="sd (X)"),N876*AN876/AQ876,
AND(L876="level-log",M876="level"),N876/BF876,
AND(L876="level-log",M876="sd (X)"),N876/BF876/AQ876,
AND(L876="level-log",M876="sd (Y)"),N876/BF876*BI876,
AND(L876="elasticity",M876="level"),N876,
AND(L876="elasticity",M876="sd (X)"),N876/AQ876,
AND(L876="elasticity",M876="sd (Y)"),N876*BI876,
AND(L876="marginal_effect",M876="percent_of_mean"),N876*AN876/BF876/10)</f>
        <v>2.0092251316351215E-2</v>
      </c>
      <c r="AE876" s="49">
        <f t="shared" si="346"/>
        <v>1</v>
      </c>
      <c r="AF876" s="89" t="s">
        <v>312</v>
      </c>
      <c r="AG876" s="89" t="s">
        <v>312</v>
      </c>
      <c r="AH876" s="49" t="s">
        <v>312</v>
      </c>
      <c r="AI876" s="89">
        <f t="shared" si="344"/>
        <v>-2.0092251316351215E-2</v>
      </c>
      <c r="AJ876" s="35">
        <v>0</v>
      </c>
      <c r="AK876" s="35" t="s">
        <v>312</v>
      </c>
      <c r="AL876" s="35" t="s">
        <v>148</v>
      </c>
      <c r="AM876" s="35" t="s">
        <v>590</v>
      </c>
      <c r="AN876" s="35">
        <v>3.3000000000000002E-2</v>
      </c>
      <c r="AO876" s="35">
        <v>1</v>
      </c>
      <c r="AP876" s="35">
        <f t="shared" si="345"/>
        <v>3.3000000000000002E-2</v>
      </c>
      <c r="AQ876" s="35">
        <v>1.2E-2</v>
      </c>
      <c r="AR876" s="35">
        <v>1.2E-2</v>
      </c>
      <c r="AS876" s="35">
        <v>5.8000000000000003E-2</v>
      </c>
      <c r="AT876" s="35" t="s">
        <v>83</v>
      </c>
      <c r="AU876" s="35" t="s">
        <v>109</v>
      </c>
      <c r="AV876" s="35" t="s">
        <v>133</v>
      </c>
      <c r="AW876" s="35" t="s">
        <v>109</v>
      </c>
      <c r="AX876" s="35" t="s">
        <v>86</v>
      </c>
      <c r="AY876" s="35">
        <v>0</v>
      </c>
      <c r="AZ876" s="35">
        <v>0</v>
      </c>
      <c r="BA876" s="35" t="s">
        <v>734</v>
      </c>
      <c r="BB876" s="35" t="s">
        <v>88</v>
      </c>
      <c r="BC876" s="35" t="s">
        <v>89</v>
      </c>
      <c r="BD876" s="35" t="s">
        <v>134</v>
      </c>
      <c r="BE876" s="35" t="s">
        <v>1585</v>
      </c>
      <c r="BF876" s="35">
        <v>309.18799999999999</v>
      </c>
      <c r="BG876" s="35">
        <v>1</v>
      </c>
      <c r="BH876" s="35">
        <v>63.716000000000001</v>
      </c>
      <c r="BI876" s="35">
        <v>160.28299999999999</v>
      </c>
      <c r="BJ876" s="35">
        <v>810.11699999999996</v>
      </c>
      <c r="BK876" s="35" t="s">
        <v>91</v>
      </c>
      <c r="BL876" s="35" t="s">
        <v>84</v>
      </c>
      <c r="BM876" s="35">
        <v>1</v>
      </c>
      <c r="BN876" s="35" t="s">
        <v>539</v>
      </c>
      <c r="BO876" s="35" t="s">
        <v>1586</v>
      </c>
      <c r="BP876" s="35" t="s">
        <v>1587</v>
      </c>
      <c r="BQ876" s="35" t="s">
        <v>92</v>
      </c>
      <c r="BR876" s="35" t="s">
        <v>134</v>
      </c>
      <c r="BS876" s="35" t="s">
        <v>312</v>
      </c>
      <c r="BT876" s="35">
        <v>0.248</v>
      </c>
      <c r="BU876" s="35">
        <v>2012</v>
      </c>
      <c r="BV876" s="35">
        <v>2019</v>
      </c>
      <c r="BW876" s="35" t="s">
        <v>1588</v>
      </c>
      <c r="BX876" s="35" t="s">
        <v>95</v>
      </c>
      <c r="BY876" s="35" t="s">
        <v>96</v>
      </c>
      <c r="BZ876" s="35">
        <v>0</v>
      </c>
      <c r="CA876" s="35">
        <v>0</v>
      </c>
      <c r="CB876" s="35" t="s">
        <v>97</v>
      </c>
      <c r="CC876" s="35" t="s">
        <v>719</v>
      </c>
      <c r="CD876" s="35">
        <v>1</v>
      </c>
      <c r="CE876" s="35" t="s">
        <v>1589</v>
      </c>
      <c r="CF876" s="35">
        <v>0</v>
      </c>
      <c r="CG876" s="35" t="s">
        <v>97</v>
      </c>
      <c r="CH876" s="35">
        <v>1</v>
      </c>
      <c r="CI876" s="35" t="s">
        <v>97</v>
      </c>
      <c r="CJ876" s="35" t="s">
        <v>98</v>
      </c>
      <c r="CK876" s="35">
        <v>66</v>
      </c>
      <c r="CL876" s="35">
        <v>0</v>
      </c>
      <c r="CM876" s="35">
        <v>0</v>
      </c>
      <c r="CN876" s="35" t="s">
        <v>99</v>
      </c>
      <c r="CO876" s="35" t="s">
        <v>1664</v>
      </c>
      <c r="CP876" s="35" t="s">
        <v>100</v>
      </c>
      <c r="CQ876" s="35" t="s">
        <v>126</v>
      </c>
      <c r="CR876" s="36">
        <v>46234</v>
      </c>
      <c r="CT876" s="35" t="s">
        <v>1662</v>
      </c>
    </row>
    <row r="877" spans="1:98" s="35" customFormat="1" x14ac:dyDescent="0.35">
      <c r="A877" s="34" t="s">
        <v>1581</v>
      </c>
      <c r="B877" s="34" t="s">
        <v>1651</v>
      </c>
      <c r="C877" s="35" t="s">
        <v>1582</v>
      </c>
      <c r="D877" s="35">
        <v>2022</v>
      </c>
      <c r="E877" s="34" t="s">
        <v>1583</v>
      </c>
      <c r="F877" s="34" t="s">
        <v>1584</v>
      </c>
      <c r="G877" s="35" t="s">
        <v>78</v>
      </c>
      <c r="H877" s="35">
        <v>1</v>
      </c>
      <c r="I877" s="35" t="s">
        <v>390</v>
      </c>
      <c r="J877" s="35" t="s">
        <v>79</v>
      </c>
      <c r="K877" s="35">
        <v>11</v>
      </c>
      <c r="L877" s="35" t="s">
        <v>129</v>
      </c>
      <c r="M877" s="35" t="s">
        <v>380</v>
      </c>
      <c r="N877" s="35">
        <f>342.044</f>
        <v>342.04399999999998</v>
      </c>
      <c r="O877" s="35">
        <v>305.66899999999998</v>
      </c>
      <c r="P877" s="89">
        <f>N877/O877</f>
        <v>1.1190012726184206</v>
      </c>
      <c r="Q877" s="35" t="s">
        <v>312</v>
      </c>
      <c r="R877" s="89">
        <f>N877-1.96*O877</f>
        <v>-257.06723999999997</v>
      </c>
      <c r="S877" s="89">
        <f>N877+1.96*O877</f>
        <v>941.15523999999994</v>
      </c>
      <c r="T877" s="35">
        <v>1</v>
      </c>
      <c r="U877" s="35">
        <v>7859</v>
      </c>
      <c r="V877" s="35" t="s">
        <v>312</v>
      </c>
      <c r="W877" s="35" t="s">
        <v>312</v>
      </c>
      <c r="X877" s="35">
        <f t="shared" si="347"/>
        <v>7859</v>
      </c>
      <c r="Y877" s="89">
        <f>P877/(P877^2 + X877)^(1/2)</f>
        <v>1.2621539797894257E-2</v>
      </c>
      <c r="Z877" s="89">
        <f>((1-Y877^2)/X877)^(1/2)</f>
        <v>1.1279289940716806E-2</v>
      </c>
      <c r="AA877" s="89">
        <f>-Y877</f>
        <v>-1.2621539797894257E-2</v>
      </c>
      <c r="AB877" s="35" t="s">
        <v>81</v>
      </c>
      <c r="AC877" s="89">
        <f t="shared" si="343"/>
        <v>3.6506759641383238E-2</v>
      </c>
      <c r="AD877" s="89" cm="1">
        <f t="array" ref="AD877">_xlfn.IFS(
AND(L877="marginal_effect",M877="level"),N877*AN877/BF877,
AND(L877="marginal_effect",M877="sd (Y)"),N877*BI877*AN877/BF877,
AND(L877="marginal_effect",M877="sd (X)"),N877/AQ877*AN877/BF877,
AND(L877="semi_elasticity",M877="level"),N877*AN877,
AND(L877="semi_elasticity",M877="sd (Y)"),N877*AN877*BI877,
AND(L877="semi_elasticity",M877="sd (X)"),N877*AN877/AQ877,
AND(L877="level-log",M877="level"),N877/BF877,
AND(L877="level-log",M877="sd (X)"),N877/BF877/AQ877,
AND(L877="level-log",M877="sd (Y)"),N877/BF877*BI877,
AND(L877="elasticity",M877="level"),N877,
AND(L877="elasticity",M877="sd (X)"),N877/AQ877,
AND(L877="elasticity",M877="sd (Y)"),N877*BI877,
AND(L877="marginal_effect",M877="percent_of_mean"),N877*AN877/BF877/10)</f>
        <v>3.6506759641383238E-2</v>
      </c>
      <c r="AE877" s="49">
        <f t="shared" si="346"/>
        <v>1</v>
      </c>
      <c r="AF877" s="89">
        <f>O877*AN877/BF877</f>
        <v>3.2624412978511458E-2</v>
      </c>
      <c r="AG877" s="89" cm="1">
        <f t="array" ref="AG877">_xlfn.IFS(
AND(L877="marginal_effect",M877="level"),O877*AN877/BF877,
AND(L877="marginal_effect",M877="sd (Y)"),O877*BI877*AN877/BF877,
AND(L877="marginal_effect",M877="sd (X)"),O877/AQ877*AN877/BF877,
AND(L877="semi_elasticity",M877="level"),O877*AN877,
AND(L877="semi_elasticity",M877="sd (Y)"),O877*AN877*BI877,
AND(L877="semi_elasticity",M877="sd (X)"),O877*AN877/AQ877,
AND(L877="level-log",M877="level"),O877/BF877,
AND(L877="level-log",M877="sd (X)"),O877/BF877/AQ877,
AND(L877="level-log",M877="sd (Y)"),O877/BF877*BI877,
AND(L877="elasticity",M877="level"),O877,
AND(L877="elasticity",M877="sd (X)"),O877/AQ877,
AND(L877="elasticity",M877="sd (Y)"),O877*BI877,
AND(L877="marginal_effect",M877="percent_of_mean"),O877*AN877/BF877/10)</f>
        <v>3.2624412978511458E-2</v>
      </c>
      <c r="AH877" s="49">
        <f>IF(AF877=AG877,1,0)</f>
        <v>1</v>
      </c>
      <c r="AI877" s="89">
        <f t="shared" si="344"/>
        <v>-3.6506759641383238E-2</v>
      </c>
      <c r="AJ877" s="35">
        <v>0</v>
      </c>
      <c r="AK877" s="35">
        <f>IF(P877=(AC877/AF877),1,0)</f>
        <v>1</v>
      </c>
      <c r="AL877" s="35" t="s">
        <v>148</v>
      </c>
      <c r="AM877" s="35" t="s">
        <v>590</v>
      </c>
      <c r="AN877" s="35">
        <v>3.3000000000000002E-2</v>
      </c>
      <c r="AO877" s="35">
        <v>1</v>
      </c>
      <c r="AP877" s="35">
        <f t="shared" si="345"/>
        <v>3.3000000000000002E-2</v>
      </c>
      <c r="AQ877" s="35">
        <v>1.2E-2</v>
      </c>
      <c r="AR877" s="35">
        <v>1.2E-2</v>
      </c>
      <c r="AS877" s="35">
        <v>5.8000000000000003E-2</v>
      </c>
      <c r="AT877" s="35" t="s">
        <v>83</v>
      </c>
      <c r="AU877" s="35" t="s">
        <v>109</v>
      </c>
      <c r="AV877" s="35" t="s">
        <v>133</v>
      </c>
      <c r="AW877" s="35" t="s">
        <v>109</v>
      </c>
      <c r="AX877" s="35" t="s">
        <v>86</v>
      </c>
      <c r="AY877" s="35">
        <v>0</v>
      </c>
      <c r="AZ877" s="35">
        <v>0</v>
      </c>
      <c r="BA877" s="35" t="s">
        <v>734</v>
      </c>
      <c r="BB877" s="35" t="s">
        <v>88</v>
      </c>
      <c r="BC877" s="35" t="s">
        <v>89</v>
      </c>
      <c r="BD877" s="35" t="s">
        <v>134</v>
      </c>
      <c r="BE877" s="35" t="s">
        <v>1585</v>
      </c>
      <c r="BF877" s="35">
        <v>309.18799999999999</v>
      </c>
      <c r="BG877" s="35">
        <v>1</v>
      </c>
      <c r="BH877" s="35">
        <v>63.716000000000001</v>
      </c>
      <c r="BI877" s="35">
        <v>160.28299999999999</v>
      </c>
      <c r="BJ877" s="35">
        <v>810.11699999999996</v>
      </c>
      <c r="BK877" s="35" t="s">
        <v>91</v>
      </c>
      <c r="BL877" s="35" t="s">
        <v>84</v>
      </c>
      <c r="BM877" s="35">
        <v>1</v>
      </c>
      <c r="BN877" s="35" t="s">
        <v>539</v>
      </c>
      <c r="BO877" s="35" t="s">
        <v>1586</v>
      </c>
      <c r="BP877" s="35" t="s">
        <v>1587</v>
      </c>
      <c r="BQ877" s="35" t="s">
        <v>92</v>
      </c>
      <c r="BR877" s="35" t="s">
        <v>134</v>
      </c>
      <c r="BS877" s="35" t="s">
        <v>312</v>
      </c>
      <c r="BT877" s="35">
        <v>0.248</v>
      </c>
      <c r="BU877" s="35">
        <v>2012</v>
      </c>
      <c r="BV877" s="35">
        <v>2019</v>
      </c>
      <c r="BW877" s="35" t="s">
        <v>1588</v>
      </c>
      <c r="BX877" s="35" t="s">
        <v>95</v>
      </c>
      <c r="BY877" s="35" t="s">
        <v>96</v>
      </c>
      <c r="BZ877" s="35">
        <v>0</v>
      </c>
      <c r="CA877" s="35">
        <v>0</v>
      </c>
      <c r="CB877" s="35" t="s">
        <v>97</v>
      </c>
      <c r="CC877" s="35" t="s">
        <v>719</v>
      </c>
      <c r="CD877" s="35">
        <v>1</v>
      </c>
      <c r="CE877" s="35" t="s">
        <v>1589</v>
      </c>
      <c r="CF877" s="35">
        <v>0</v>
      </c>
      <c r="CG877" s="35" t="s">
        <v>97</v>
      </c>
      <c r="CH877" s="35">
        <v>1</v>
      </c>
      <c r="CI877" s="35" t="s">
        <v>97</v>
      </c>
      <c r="CJ877" s="35" t="s">
        <v>98</v>
      </c>
      <c r="CK877" s="35">
        <v>66</v>
      </c>
      <c r="CL877" s="35">
        <v>0</v>
      </c>
      <c r="CM877" s="35">
        <v>0</v>
      </c>
      <c r="CN877" s="35" t="s">
        <v>99</v>
      </c>
      <c r="CO877" s="35" t="s">
        <v>1664</v>
      </c>
      <c r="CP877" s="35" t="s">
        <v>100</v>
      </c>
      <c r="CQ877" s="35" t="s">
        <v>126</v>
      </c>
      <c r="CR877" s="36">
        <v>46234</v>
      </c>
      <c r="CT877" s="35" t="s">
        <v>1662</v>
      </c>
    </row>
    <row r="878" spans="1:98" s="35" customFormat="1" x14ac:dyDescent="0.35">
      <c r="A878" s="34" t="s">
        <v>1581</v>
      </c>
      <c r="B878" s="34" t="s">
        <v>1652</v>
      </c>
      <c r="C878" s="35" t="s">
        <v>1582</v>
      </c>
      <c r="D878" s="35">
        <v>2022</v>
      </c>
      <c r="E878" s="34" t="s">
        <v>1583</v>
      </c>
      <c r="F878" s="34" t="s">
        <v>1584</v>
      </c>
      <c r="G878" s="35" t="s">
        <v>78</v>
      </c>
      <c r="H878" s="35">
        <v>1</v>
      </c>
      <c r="I878" s="35" t="s">
        <v>390</v>
      </c>
      <c r="J878" s="35" t="s">
        <v>79</v>
      </c>
      <c r="K878" s="35">
        <v>11</v>
      </c>
      <c r="L878" s="35" t="s">
        <v>129</v>
      </c>
      <c r="M878" s="35" t="s">
        <v>380</v>
      </c>
      <c r="N878" s="35">
        <f>-0.168+0.351+0.382</f>
        <v>0.56499999999999995</v>
      </c>
      <c r="O878" s="35" t="s">
        <v>312</v>
      </c>
      <c r="P878" s="89" t="s">
        <v>312</v>
      </c>
      <c r="Q878" s="35" t="s">
        <v>312</v>
      </c>
      <c r="R878" s="89" t="s">
        <v>312</v>
      </c>
      <c r="S878" s="89" t="s">
        <v>312</v>
      </c>
      <c r="T878" s="35" t="s">
        <v>312</v>
      </c>
      <c r="U878" s="35">
        <v>7859</v>
      </c>
      <c r="V878" s="35" t="s">
        <v>312</v>
      </c>
      <c r="W878" s="35" t="s">
        <v>312</v>
      </c>
      <c r="X878" s="35">
        <f t="shared" si="347"/>
        <v>7859</v>
      </c>
      <c r="Y878" s="89" t="s">
        <v>312</v>
      </c>
      <c r="Z878" s="89" t="s">
        <v>312</v>
      </c>
      <c r="AA878" s="89" t="s">
        <v>312</v>
      </c>
      <c r="AB878" s="35" t="s">
        <v>312</v>
      </c>
      <c r="AC878" s="89">
        <f t="shared" si="343"/>
        <v>1.8383313712045744E-2</v>
      </c>
      <c r="AD878" s="89" cm="1">
        <f t="array" ref="AD878">_xlfn.IFS(
AND(L878="marginal_effect",M878="level"),N878*AN878/BF878,
AND(L878="marginal_effect",M878="sd (Y)"),N878*BI878*AN878/BF878,
AND(L878="marginal_effect",M878="sd (X)"),N878/AQ878*AN878/BF878,
AND(L878="semi_elasticity",M878="level"),N878*AN878,
AND(L878="semi_elasticity",M878="sd (Y)"),N878*AN878*BI878,
AND(L878="semi_elasticity",M878="sd (X)"),N878*AN878/AQ878,
AND(L878="level-log",M878="level"),N878/BF878,
AND(L878="level-log",M878="sd (X)"),N878/BF878/AQ878,
AND(L878="level-log",M878="sd (Y)"),N878/BF878*BI878,
AND(L878="elasticity",M878="level"),N878,
AND(L878="elasticity",M878="sd (X)"),N878/AQ878,
AND(L878="elasticity",M878="sd (Y)"),N878*BI878,
AND(L878="marginal_effect",M878="percent_of_mean"),N878*AN878/BF878/10)</f>
        <v>1.8383313712045744E-2</v>
      </c>
      <c r="AE878" s="49">
        <f t="shared" si="346"/>
        <v>1</v>
      </c>
      <c r="AF878" s="89" t="s">
        <v>312</v>
      </c>
      <c r="AG878" s="89" t="s">
        <v>312</v>
      </c>
      <c r="AH878" s="49" t="s">
        <v>312</v>
      </c>
      <c r="AI878" s="89">
        <f t="shared" si="344"/>
        <v>-1.8383313712045744E-2</v>
      </c>
      <c r="AJ878" s="35">
        <v>0</v>
      </c>
      <c r="AK878" s="35" t="s">
        <v>312</v>
      </c>
      <c r="AL878" s="35" t="s">
        <v>82</v>
      </c>
      <c r="AM878" s="35" t="s">
        <v>1333</v>
      </c>
      <c r="AN878" s="35">
        <v>10.06</v>
      </c>
      <c r="AO878" s="35">
        <v>1</v>
      </c>
      <c r="AP878" s="35">
        <f t="shared" si="345"/>
        <v>10.06</v>
      </c>
      <c r="AQ878" s="35">
        <v>4.6970000000000001</v>
      </c>
      <c r="AR878" s="35">
        <v>1.8</v>
      </c>
      <c r="AS878" s="35">
        <v>20.75</v>
      </c>
      <c r="AT878" s="35" t="s">
        <v>83</v>
      </c>
      <c r="AU878" s="35" t="s">
        <v>109</v>
      </c>
      <c r="AV878" s="35" t="s">
        <v>133</v>
      </c>
      <c r="AW878" s="35" t="s">
        <v>109</v>
      </c>
      <c r="AX878" s="35" t="s">
        <v>86</v>
      </c>
      <c r="AY878" s="35">
        <v>0</v>
      </c>
      <c r="AZ878" s="35">
        <v>0</v>
      </c>
      <c r="BA878" s="35" t="s">
        <v>734</v>
      </c>
      <c r="BB878" s="35" t="s">
        <v>88</v>
      </c>
      <c r="BC878" s="35" t="s">
        <v>89</v>
      </c>
      <c r="BD878" s="35" t="s">
        <v>134</v>
      </c>
      <c r="BE878" s="35" t="s">
        <v>1585</v>
      </c>
      <c r="BF878" s="35">
        <v>309.18799999999999</v>
      </c>
      <c r="BG878" s="35">
        <v>1</v>
      </c>
      <c r="BH878" s="35">
        <v>63.716000000000001</v>
      </c>
      <c r="BI878" s="35">
        <v>160.28299999999999</v>
      </c>
      <c r="BJ878" s="35">
        <v>810.11699999999996</v>
      </c>
      <c r="BK878" s="35" t="s">
        <v>91</v>
      </c>
      <c r="BL878" s="35" t="s">
        <v>84</v>
      </c>
      <c r="BM878" s="35">
        <v>1</v>
      </c>
      <c r="BN878" s="35" t="s">
        <v>539</v>
      </c>
      <c r="BO878" s="35" t="s">
        <v>1586</v>
      </c>
      <c r="BP878" s="35" t="s">
        <v>1587</v>
      </c>
      <c r="BQ878" s="35" t="s">
        <v>92</v>
      </c>
      <c r="BR878" s="35" t="s">
        <v>134</v>
      </c>
      <c r="BS878" s="35" t="s">
        <v>312</v>
      </c>
      <c r="BT878" s="35">
        <v>0.248</v>
      </c>
      <c r="BU878" s="35">
        <v>2012</v>
      </c>
      <c r="BV878" s="35">
        <v>2019</v>
      </c>
      <c r="BW878" s="35" t="s">
        <v>1588</v>
      </c>
      <c r="BX878" s="35" t="s">
        <v>95</v>
      </c>
      <c r="BY878" s="35" t="s">
        <v>96</v>
      </c>
      <c r="BZ878" s="35">
        <v>0</v>
      </c>
      <c r="CA878" s="35">
        <v>0</v>
      </c>
      <c r="CB878" s="35" t="s">
        <v>97</v>
      </c>
      <c r="CC878" s="35" t="s">
        <v>719</v>
      </c>
      <c r="CD878" s="35">
        <v>1</v>
      </c>
      <c r="CE878" s="35" t="s">
        <v>1589</v>
      </c>
      <c r="CF878" s="35">
        <v>0</v>
      </c>
      <c r="CG878" s="35" t="s">
        <v>97</v>
      </c>
      <c r="CH878" s="35">
        <v>1</v>
      </c>
      <c r="CI878" s="35" t="s">
        <v>97</v>
      </c>
      <c r="CJ878" s="35" t="s">
        <v>98</v>
      </c>
      <c r="CK878" s="35">
        <v>66</v>
      </c>
      <c r="CL878" s="35">
        <v>0</v>
      </c>
      <c r="CM878" s="35">
        <v>0</v>
      </c>
      <c r="CN878" s="35" t="s">
        <v>99</v>
      </c>
      <c r="CO878" s="35" t="s">
        <v>1664</v>
      </c>
      <c r="CP878" s="35" t="s">
        <v>100</v>
      </c>
      <c r="CQ878" s="35" t="s">
        <v>126</v>
      </c>
      <c r="CR878" s="36">
        <v>46234</v>
      </c>
      <c r="CT878" s="35" t="s">
        <v>1663</v>
      </c>
    </row>
    <row r="879" spans="1:98" s="35" customFormat="1" x14ac:dyDescent="0.35">
      <c r="A879" s="34" t="s">
        <v>1581</v>
      </c>
      <c r="B879" s="34" t="s">
        <v>1653</v>
      </c>
      <c r="C879" s="35" t="s">
        <v>1582</v>
      </c>
      <c r="D879" s="35">
        <v>2022</v>
      </c>
      <c r="E879" s="34" t="s">
        <v>1583</v>
      </c>
      <c r="F879" s="34" t="s">
        <v>1584</v>
      </c>
      <c r="G879" s="35" t="s">
        <v>78</v>
      </c>
      <c r="H879" s="35">
        <v>1</v>
      </c>
      <c r="I879" s="35" t="s">
        <v>390</v>
      </c>
      <c r="J879" s="35" t="s">
        <v>79</v>
      </c>
      <c r="K879" s="35">
        <v>11</v>
      </c>
      <c r="L879" s="35" t="s">
        <v>129</v>
      </c>
      <c r="M879" s="35" t="s">
        <v>380</v>
      </c>
      <c r="N879" s="35">
        <f>-0.168+0.382</f>
        <v>0.214</v>
      </c>
      <c r="O879" s="35" t="s">
        <v>312</v>
      </c>
      <c r="P879" s="89" t="s">
        <v>312</v>
      </c>
      <c r="Q879" s="35" t="s">
        <v>312</v>
      </c>
      <c r="R879" s="89" t="s">
        <v>312</v>
      </c>
      <c r="S879" s="89" t="s">
        <v>312</v>
      </c>
      <c r="T879" s="35" t="s">
        <v>312</v>
      </c>
      <c r="U879" s="35">
        <v>7859</v>
      </c>
      <c r="V879" s="35" t="s">
        <v>312</v>
      </c>
      <c r="W879" s="35" t="s">
        <v>312</v>
      </c>
      <c r="X879" s="35">
        <f t="shared" si="347"/>
        <v>7859</v>
      </c>
      <c r="Y879" s="89" t="s">
        <v>312</v>
      </c>
      <c r="Z879" s="89" t="s">
        <v>312</v>
      </c>
      <c r="AA879" s="89" t="s">
        <v>312</v>
      </c>
      <c r="AB879" s="35" t="s">
        <v>312</v>
      </c>
      <c r="AC879" s="89">
        <f t="shared" si="343"/>
        <v>6.9628834236775032E-3</v>
      </c>
      <c r="AD879" s="89" cm="1">
        <f t="array" ref="AD879">_xlfn.IFS(
AND(L879="marginal_effect",M879="level"),N879*AN879/BF879,
AND(L879="marginal_effect",M879="sd (Y)"),N879*BI879*AN879/BF879,
AND(L879="marginal_effect",M879="sd (X)"),N879/AQ879*AN879/BF879,
AND(L879="semi_elasticity",M879="level"),N879*AN879,
AND(L879="semi_elasticity",M879="sd (Y)"),N879*AN879*BI879,
AND(L879="semi_elasticity",M879="sd (X)"),N879*AN879/AQ879,
AND(L879="level-log",M879="level"),N879/BF879,
AND(L879="level-log",M879="sd (X)"),N879/BF879/AQ879,
AND(L879="level-log",M879="sd (Y)"),N879/BF879*BI879,
AND(L879="elasticity",M879="level"),N879,
AND(L879="elasticity",M879="sd (X)"),N879/AQ879,
AND(L879="elasticity",M879="sd (Y)"),N879*BI879,
AND(L879="marginal_effect",M879="percent_of_mean"),N879*AN879/BF879/10)</f>
        <v>6.9628834236775032E-3</v>
      </c>
      <c r="AE879" s="49">
        <f t="shared" si="346"/>
        <v>1</v>
      </c>
      <c r="AF879" s="89" t="s">
        <v>312</v>
      </c>
      <c r="AG879" s="89" t="s">
        <v>312</v>
      </c>
      <c r="AH879" s="49" t="s">
        <v>312</v>
      </c>
      <c r="AI879" s="89">
        <f t="shared" si="344"/>
        <v>-6.9628834236775032E-3</v>
      </c>
      <c r="AJ879" s="35">
        <v>0</v>
      </c>
      <c r="AK879" s="35" t="s">
        <v>312</v>
      </c>
      <c r="AL879" s="35" t="s">
        <v>82</v>
      </c>
      <c r="AM879" s="35" t="s">
        <v>1333</v>
      </c>
      <c r="AN879" s="35">
        <v>10.06</v>
      </c>
      <c r="AO879" s="35">
        <v>1</v>
      </c>
      <c r="AP879" s="35">
        <f t="shared" si="345"/>
        <v>10.06</v>
      </c>
      <c r="AQ879" s="35">
        <v>4.6970000000000001</v>
      </c>
      <c r="AR879" s="35">
        <v>1.8</v>
      </c>
      <c r="AS879" s="35">
        <v>20.75</v>
      </c>
      <c r="AT879" s="35" t="s">
        <v>83</v>
      </c>
      <c r="AU879" s="35" t="s">
        <v>109</v>
      </c>
      <c r="AV879" s="35" t="s">
        <v>133</v>
      </c>
      <c r="AW879" s="35" t="s">
        <v>109</v>
      </c>
      <c r="AX879" s="35" t="s">
        <v>86</v>
      </c>
      <c r="AY879" s="35">
        <v>0</v>
      </c>
      <c r="AZ879" s="35">
        <v>0</v>
      </c>
      <c r="BA879" s="35" t="s">
        <v>734</v>
      </c>
      <c r="BB879" s="35" t="s">
        <v>88</v>
      </c>
      <c r="BC879" s="35" t="s">
        <v>89</v>
      </c>
      <c r="BD879" s="35" t="s">
        <v>134</v>
      </c>
      <c r="BE879" s="35" t="s">
        <v>1585</v>
      </c>
      <c r="BF879" s="35">
        <v>309.18799999999999</v>
      </c>
      <c r="BG879" s="35">
        <v>1</v>
      </c>
      <c r="BH879" s="35">
        <v>63.716000000000001</v>
      </c>
      <c r="BI879" s="35">
        <v>160.28299999999999</v>
      </c>
      <c r="BJ879" s="35">
        <v>810.11699999999996</v>
      </c>
      <c r="BK879" s="35" t="s">
        <v>91</v>
      </c>
      <c r="BL879" s="35" t="s">
        <v>84</v>
      </c>
      <c r="BM879" s="35">
        <v>1</v>
      </c>
      <c r="BN879" s="35" t="s">
        <v>539</v>
      </c>
      <c r="BO879" s="35" t="s">
        <v>1586</v>
      </c>
      <c r="BP879" s="35" t="s">
        <v>1587</v>
      </c>
      <c r="BQ879" s="35" t="s">
        <v>92</v>
      </c>
      <c r="BR879" s="35" t="s">
        <v>134</v>
      </c>
      <c r="BS879" s="35" t="s">
        <v>312</v>
      </c>
      <c r="BT879" s="35">
        <v>0.248</v>
      </c>
      <c r="BU879" s="35">
        <v>2012</v>
      </c>
      <c r="BV879" s="35">
        <v>2019</v>
      </c>
      <c r="BW879" s="35" t="s">
        <v>1588</v>
      </c>
      <c r="BX879" s="35" t="s">
        <v>95</v>
      </c>
      <c r="BY879" s="35" t="s">
        <v>96</v>
      </c>
      <c r="BZ879" s="35">
        <v>0</v>
      </c>
      <c r="CA879" s="35">
        <v>0</v>
      </c>
      <c r="CB879" s="35" t="s">
        <v>97</v>
      </c>
      <c r="CC879" s="35" t="s">
        <v>719</v>
      </c>
      <c r="CD879" s="35">
        <v>1</v>
      </c>
      <c r="CE879" s="35" t="s">
        <v>1589</v>
      </c>
      <c r="CF879" s="35">
        <v>0</v>
      </c>
      <c r="CG879" s="35" t="s">
        <v>97</v>
      </c>
      <c r="CH879" s="35">
        <v>1</v>
      </c>
      <c r="CI879" s="35" t="s">
        <v>97</v>
      </c>
      <c r="CJ879" s="35" t="s">
        <v>98</v>
      </c>
      <c r="CK879" s="35">
        <v>66</v>
      </c>
      <c r="CL879" s="35">
        <v>0</v>
      </c>
      <c r="CM879" s="35">
        <v>0</v>
      </c>
      <c r="CN879" s="35" t="s">
        <v>99</v>
      </c>
      <c r="CO879" s="35" t="s">
        <v>1664</v>
      </c>
      <c r="CP879" s="35" t="s">
        <v>100</v>
      </c>
      <c r="CQ879" s="35" t="s">
        <v>126</v>
      </c>
      <c r="CR879" s="36">
        <v>46234</v>
      </c>
      <c r="CT879" s="35" t="s">
        <v>1663</v>
      </c>
    </row>
    <row r="880" spans="1:98" s="35" customFormat="1" x14ac:dyDescent="0.35">
      <c r="A880" s="34" t="s">
        <v>1581</v>
      </c>
      <c r="B880" s="34" t="s">
        <v>1654</v>
      </c>
      <c r="C880" s="35" t="s">
        <v>1582</v>
      </c>
      <c r="D880" s="35">
        <v>2022</v>
      </c>
      <c r="E880" s="34" t="s">
        <v>1583</v>
      </c>
      <c r="F880" s="34" t="s">
        <v>1584</v>
      </c>
      <c r="G880" s="35" t="s">
        <v>78</v>
      </c>
      <c r="H880" s="35">
        <v>1</v>
      </c>
      <c r="I880" s="35" t="s">
        <v>390</v>
      </c>
      <c r="J880" s="35" t="s">
        <v>79</v>
      </c>
      <c r="K880" s="35">
        <v>11</v>
      </c>
      <c r="L880" s="35" t="s">
        <v>129</v>
      </c>
      <c r="M880" s="35" t="s">
        <v>380</v>
      </c>
      <c r="N880" s="35">
        <f>-0.168+0.351</f>
        <v>0.18299999999999997</v>
      </c>
      <c r="O880" s="35" t="s">
        <v>312</v>
      </c>
      <c r="P880" s="89" t="s">
        <v>312</v>
      </c>
      <c r="Q880" s="35" t="s">
        <v>312</v>
      </c>
      <c r="R880" s="89" t="s">
        <v>312</v>
      </c>
      <c r="S880" s="89" t="s">
        <v>312</v>
      </c>
      <c r="T880" s="35" t="s">
        <v>312</v>
      </c>
      <c r="U880" s="35">
        <v>7859</v>
      </c>
      <c r="V880" s="35" t="s">
        <v>312</v>
      </c>
      <c r="W880" s="35" t="s">
        <v>312</v>
      </c>
      <c r="X880" s="35">
        <f t="shared" si="347"/>
        <v>7859</v>
      </c>
      <c r="Y880" s="89" t="s">
        <v>312</v>
      </c>
      <c r="Z880" s="89" t="s">
        <v>312</v>
      </c>
      <c r="AA880" s="89" t="s">
        <v>312</v>
      </c>
      <c r="AB880" s="35" t="s">
        <v>312</v>
      </c>
      <c r="AC880" s="89">
        <f t="shared" si="343"/>
        <v>5.9542414323971171E-3</v>
      </c>
      <c r="AD880" s="89" cm="1">
        <f t="array" ref="AD880">_xlfn.IFS(
AND(L880="marginal_effect",M880="level"),N880*AN880/BF880,
AND(L880="marginal_effect",M880="sd (Y)"),N880*BI880*AN880/BF880,
AND(L880="marginal_effect",M880="sd (X)"),N880/AQ880*AN880/BF880,
AND(L880="semi_elasticity",M880="level"),N880*AN880,
AND(L880="semi_elasticity",M880="sd (Y)"),N880*AN880*BI880,
AND(L880="semi_elasticity",M880="sd (X)"),N880*AN880/AQ880,
AND(L880="level-log",M880="level"),N880/BF880,
AND(L880="level-log",M880="sd (X)"),N880/BF880/AQ880,
AND(L880="level-log",M880="sd (Y)"),N880/BF880*BI880,
AND(L880="elasticity",M880="level"),N880,
AND(L880="elasticity",M880="sd (X)"),N880/AQ880,
AND(L880="elasticity",M880="sd (Y)"),N880*BI880,
AND(L880="marginal_effect",M880="percent_of_mean"),N880*AN880/BF880/10)</f>
        <v>5.9542414323971171E-3</v>
      </c>
      <c r="AE880" s="49">
        <f t="shared" si="346"/>
        <v>1</v>
      </c>
      <c r="AF880" s="89" t="s">
        <v>312</v>
      </c>
      <c r="AG880" s="89" t="s">
        <v>312</v>
      </c>
      <c r="AH880" s="49" t="s">
        <v>312</v>
      </c>
      <c r="AI880" s="89">
        <f t="shared" si="344"/>
        <v>-5.9542414323971171E-3</v>
      </c>
      <c r="AJ880" s="35">
        <v>0</v>
      </c>
      <c r="AK880" s="35" t="s">
        <v>312</v>
      </c>
      <c r="AL880" s="35" t="s">
        <v>82</v>
      </c>
      <c r="AM880" s="35" t="s">
        <v>1333</v>
      </c>
      <c r="AN880" s="35">
        <v>10.06</v>
      </c>
      <c r="AO880" s="35">
        <v>1</v>
      </c>
      <c r="AP880" s="35">
        <f t="shared" ref="AP880:AP894" si="348">AN880</f>
        <v>10.06</v>
      </c>
      <c r="AQ880" s="35">
        <v>4.6970000000000001</v>
      </c>
      <c r="AR880" s="35">
        <v>1.8</v>
      </c>
      <c r="AS880" s="35">
        <v>20.75</v>
      </c>
      <c r="AT880" s="35" t="s">
        <v>83</v>
      </c>
      <c r="AU880" s="35" t="s">
        <v>109</v>
      </c>
      <c r="AV880" s="35" t="s">
        <v>133</v>
      </c>
      <c r="AW880" s="35" t="s">
        <v>109</v>
      </c>
      <c r="AX880" s="35" t="s">
        <v>86</v>
      </c>
      <c r="AY880" s="35">
        <v>0</v>
      </c>
      <c r="AZ880" s="35">
        <v>0</v>
      </c>
      <c r="BA880" s="35" t="s">
        <v>734</v>
      </c>
      <c r="BB880" s="35" t="s">
        <v>88</v>
      </c>
      <c r="BC880" s="35" t="s">
        <v>89</v>
      </c>
      <c r="BD880" s="35" t="s">
        <v>134</v>
      </c>
      <c r="BE880" s="35" t="s">
        <v>1585</v>
      </c>
      <c r="BF880" s="35">
        <v>309.18799999999999</v>
      </c>
      <c r="BG880" s="35">
        <v>1</v>
      </c>
      <c r="BH880" s="35">
        <v>63.716000000000001</v>
      </c>
      <c r="BI880" s="35">
        <v>160.28299999999999</v>
      </c>
      <c r="BJ880" s="35">
        <v>810.11699999999996</v>
      </c>
      <c r="BK880" s="35" t="s">
        <v>91</v>
      </c>
      <c r="BL880" s="35" t="s">
        <v>84</v>
      </c>
      <c r="BM880" s="35">
        <v>1</v>
      </c>
      <c r="BN880" s="35" t="s">
        <v>539</v>
      </c>
      <c r="BO880" s="35" t="s">
        <v>1586</v>
      </c>
      <c r="BP880" s="35" t="s">
        <v>1587</v>
      </c>
      <c r="BQ880" s="35" t="s">
        <v>92</v>
      </c>
      <c r="BR880" s="35" t="s">
        <v>134</v>
      </c>
      <c r="BS880" s="35" t="s">
        <v>312</v>
      </c>
      <c r="BT880" s="35">
        <v>0.248</v>
      </c>
      <c r="BU880" s="35">
        <v>2012</v>
      </c>
      <c r="BV880" s="35">
        <v>2019</v>
      </c>
      <c r="BW880" s="35" t="s">
        <v>1588</v>
      </c>
      <c r="BX880" s="35" t="s">
        <v>95</v>
      </c>
      <c r="BY880" s="35" t="s">
        <v>96</v>
      </c>
      <c r="BZ880" s="35">
        <v>0</v>
      </c>
      <c r="CA880" s="35">
        <v>0</v>
      </c>
      <c r="CB880" s="35" t="s">
        <v>97</v>
      </c>
      <c r="CC880" s="35" t="s">
        <v>719</v>
      </c>
      <c r="CD880" s="35">
        <v>1</v>
      </c>
      <c r="CE880" s="35" t="s">
        <v>1589</v>
      </c>
      <c r="CF880" s="35">
        <v>0</v>
      </c>
      <c r="CG880" s="35" t="s">
        <v>97</v>
      </c>
      <c r="CH880" s="35">
        <v>1</v>
      </c>
      <c r="CI880" s="35" t="s">
        <v>97</v>
      </c>
      <c r="CJ880" s="35" t="s">
        <v>98</v>
      </c>
      <c r="CK880" s="35">
        <v>66</v>
      </c>
      <c r="CL880" s="35">
        <v>0</v>
      </c>
      <c r="CM880" s="35">
        <v>0</v>
      </c>
      <c r="CN880" s="35" t="s">
        <v>99</v>
      </c>
      <c r="CO880" s="35" t="s">
        <v>1664</v>
      </c>
      <c r="CP880" s="35" t="s">
        <v>100</v>
      </c>
      <c r="CQ880" s="35" t="s">
        <v>126</v>
      </c>
      <c r="CR880" s="36">
        <v>46234</v>
      </c>
      <c r="CT880" s="35" t="s">
        <v>1663</v>
      </c>
    </row>
    <row r="881" spans="1:98" s="35" customFormat="1" x14ac:dyDescent="0.35">
      <c r="A881" s="34" t="s">
        <v>1581</v>
      </c>
      <c r="B881" s="34" t="s">
        <v>1655</v>
      </c>
      <c r="C881" s="35" t="s">
        <v>1582</v>
      </c>
      <c r="D881" s="35">
        <v>2022</v>
      </c>
      <c r="E881" s="34" t="s">
        <v>1583</v>
      </c>
      <c r="F881" s="34" t="s">
        <v>1584</v>
      </c>
      <c r="G881" s="35" t="s">
        <v>78</v>
      </c>
      <c r="H881" s="35">
        <v>1</v>
      </c>
      <c r="I881" s="35" t="s">
        <v>390</v>
      </c>
      <c r="J881" s="35" t="s">
        <v>79</v>
      </c>
      <c r="K881" s="35">
        <v>11</v>
      </c>
      <c r="L881" s="35" t="s">
        <v>129</v>
      </c>
      <c r="M881" s="35" t="s">
        <v>380</v>
      </c>
      <c r="N881" s="35">
        <f>-0.168+0.351+0.382</f>
        <v>0.56499999999999995</v>
      </c>
      <c r="O881" s="35">
        <v>0.33600000000000002</v>
      </c>
      <c r="P881" s="89">
        <f t="shared" ref="P881:P894" si="349">N881/O881</f>
        <v>1.6815476190476188</v>
      </c>
      <c r="Q881" s="35" t="s">
        <v>312</v>
      </c>
      <c r="R881" s="89">
        <f t="shared" ref="R881:R894" si="350">N881-1.96*O881</f>
        <v>-9.3560000000000088E-2</v>
      </c>
      <c r="S881" s="89">
        <f t="shared" ref="S881:S894" si="351">N881+1.96*O881</f>
        <v>1.22356</v>
      </c>
      <c r="T881" s="35">
        <v>1</v>
      </c>
      <c r="U881" s="35">
        <v>7859</v>
      </c>
      <c r="V881" s="35" t="s">
        <v>312</v>
      </c>
      <c r="W881" s="35" t="s">
        <v>312</v>
      </c>
      <c r="X881" s="35">
        <f t="shared" si="347"/>
        <v>7859</v>
      </c>
      <c r="Y881" s="89">
        <f t="shared" ref="Y881:Y894" si="352">P881/(P881^2 + X881)^(1/2)</f>
        <v>1.896476267599273E-2</v>
      </c>
      <c r="Z881" s="89">
        <f t="shared" ref="Z881:Z894" si="353">((1-Y881^2)/X881)^(1/2)</f>
        <v>1.1278159750678862E-2</v>
      </c>
      <c r="AA881" s="89">
        <f>-Y881</f>
        <v>-1.896476267599273E-2</v>
      </c>
      <c r="AB881" s="35" t="s">
        <v>81</v>
      </c>
      <c r="AC881" s="89">
        <f t="shared" si="343"/>
        <v>1.8383313712045744E-2</v>
      </c>
      <c r="AD881" s="89" cm="1">
        <f t="array" ref="AD881">_xlfn.IFS(
AND(L881="marginal_effect",M881="level"),N881*AN881/BF881,
AND(L881="marginal_effect",M881="sd (Y)"),N881*BI881*AN881/BF881,
AND(L881="marginal_effect",M881="sd (X)"),N881/AQ881*AN881/BF881,
AND(L881="semi_elasticity",M881="level"),N881*AN881,
AND(L881="semi_elasticity",M881="sd (Y)"),N881*AN881*BI881,
AND(L881="semi_elasticity",M881="sd (X)"),N881*AN881/AQ881,
AND(L881="level-log",M881="level"),N881/BF881,
AND(L881="level-log",M881="sd (X)"),N881/BF881/AQ881,
AND(L881="level-log",M881="sd (Y)"),N881/BF881*BI881,
AND(L881="elasticity",M881="level"),N881,
AND(L881="elasticity",M881="sd (X)"),N881/AQ881,
AND(L881="elasticity",M881="sd (Y)"),N881*BI881,
AND(L881="marginal_effect",M881="percent_of_mean"),N881*AN881/BF881/10)</f>
        <v>1.8383313712045744E-2</v>
      </c>
      <c r="AE881" s="49">
        <f t="shared" si="346"/>
        <v>1</v>
      </c>
      <c r="AF881" s="89">
        <f>O881*AN881/BF881</f>
        <v>1.093237771194225E-2</v>
      </c>
      <c r="AG881" s="89" cm="1">
        <f t="array" ref="AG881">_xlfn.IFS(
AND(L881="marginal_effect",M881="level"),O881*AN881/BF881,
AND(L881="marginal_effect",M881="sd (Y)"),O881*BI881*AN881/BF881,
AND(L881="marginal_effect",M881="sd (X)"),O881/AQ881*AN881/BF881,
AND(L881="semi_elasticity",M881="level"),O881*AN881,
AND(L881="semi_elasticity",M881="sd (Y)"),O881*AN881*BI881,
AND(L881="semi_elasticity",M881="sd (X)"),O881*AN881/AQ881,
AND(L881="level-log",M881="level"),O881/BF881,
AND(L881="level-log",M881="sd (X)"),O881/BF881/AQ881,
AND(L881="level-log",M881="sd (Y)"),O881/BF881*BI881,
AND(L881="elasticity",M881="level"),O881,
AND(L881="elasticity",M881="sd (X)"),O881/AQ881,
AND(L881="elasticity",M881="sd (Y)"),O881*BI881,
AND(L881="marginal_effect",M881="percent_of_mean"),O881*AN881/BF881/10)</f>
        <v>1.093237771194225E-2</v>
      </c>
      <c r="AH881" s="49">
        <f t="shared" ref="AH881:AH894" si="354">IF(AF881=AG881,1,0)</f>
        <v>1</v>
      </c>
      <c r="AI881" s="89">
        <f t="shared" si="344"/>
        <v>-1.8383313712045744E-2</v>
      </c>
      <c r="AJ881" s="35">
        <v>0</v>
      </c>
      <c r="AK881" s="35">
        <f t="shared" ref="AK881:AK894" si="355">IF(P881=(AC881/AF881),1,0)</f>
        <v>1</v>
      </c>
      <c r="AL881" s="35" t="s">
        <v>82</v>
      </c>
      <c r="AM881" s="35" t="s">
        <v>1333</v>
      </c>
      <c r="AN881" s="35">
        <v>10.06</v>
      </c>
      <c r="AO881" s="35">
        <v>1</v>
      </c>
      <c r="AP881" s="35">
        <f t="shared" si="348"/>
        <v>10.06</v>
      </c>
      <c r="AQ881" s="35">
        <v>4.6970000000000001</v>
      </c>
      <c r="AR881" s="35">
        <v>1.8</v>
      </c>
      <c r="AS881" s="35">
        <v>20.75</v>
      </c>
      <c r="AT881" s="35" t="s">
        <v>83</v>
      </c>
      <c r="AU881" s="35" t="s">
        <v>109</v>
      </c>
      <c r="AV881" s="35" t="s">
        <v>133</v>
      </c>
      <c r="AW881" s="35" t="s">
        <v>109</v>
      </c>
      <c r="AX881" s="35" t="s">
        <v>86</v>
      </c>
      <c r="AY881" s="35">
        <v>0</v>
      </c>
      <c r="AZ881" s="35">
        <v>0</v>
      </c>
      <c r="BA881" s="35" t="s">
        <v>734</v>
      </c>
      <c r="BB881" s="35" t="s">
        <v>88</v>
      </c>
      <c r="BC881" s="35" t="s">
        <v>89</v>
      </c>
      <c r="BD881" s="35" t="s">
        <v>134</v>
      </c>
      <c r="BE881" s="35" t="s">
        <v>1585</v>
      </c>
      <c r="BF881" s="35">
        <v>309.18799999999999</v>
      </c>
      <c r="BG881" s="35">
        <v>1</v>
      </c>
      <c r="BH881" s="35">
        <v>63.716000000000001</v>
      </c>
      <c r="BI881" s="35">
        <v>160.28299999999999</v>
      </c>
      <c r="BJ881" s="35">
        <v>810.11699999999996</v>
      </c>
      <c r="BK881" s="35" t="s">
        <v>91</v>
      </c>
      <c r="BL881" s="35" t="s">
        <v>84</v>
      </c>
      <c r="BM881" s="35">
        <v>1</v>
      </c>
      <c r="BN881" s="35" t="s">
        <v>539</v>
      </c>
      <c r="BO881" s="35" t="s">
        <v>1586</v>
      </c>
      <c r="BP881" s="35" t="s">
        <v>1587</v>
      </c>
      <c r="BQ881" s="35" t="s">
        <v>92</v>
      </c>
      <c r="BR881" s="35" t="s">
        <v>134</v>
      </c>
      <c r="BS881" s="35" t="s">
        <v>312</v>
      </c>
      <c r="BT881" s="35">
        <v>0.248</v>
      </c>
      <c r="BU881" s="35">
        <v>2012</v>
      </c>
      <c r="BV881" s="35">
        <v>2019</v>
      </c>
      <c r="BW881" s="35" t="s">
        <v>1588</v>
      </c>
      <c r="BX881" s="35" t="s">
        <v>95</v>
      </c>
      <c r="BY881" s="35" t="s">
        <v>96</v>
      </c>
      <c r="BZ881" s="35">
        <v>0</v>
      </c>
      <c r="CA881" s="35">
        <v>0</v>
      </c>
      <c r="CB881" s="35" t="s">
        <v>97</v>
      </c>
      <c r="CC881" s="35" t="s">
        <v>719</v>
      </c>
      <c r="CD881" s="35">
        <v>1</v>
      </c>
      <c r="CE881" s="35" t="s">
        <v>1589</v>
      </c>
      <c r="CF881" s="35">
        <v>0</v>
      </c>
      <c r="CG881" s="35" t="s">
        <v>97</v>
      </c>
      <c r="CH881" s="35">
        <v>1</v>
      </c>
      <c r="CI881" s="35" t="s">
        <v>97</v>
      </c>
      <c r="CJ881" s="35" t="s">
        <v>98</v>
      </c>
      <c r="CK881" s="35">
        <v>66</v>
      </c>
      <c r="CL881" s="35">
        <v>0</v>
      </c>
      <c r="CM881" s="35">
        <v>0</v>
      </c>
      <c r="CN881" s="35" t="s">
        <v>99</v>
      </c>
      <c r="CO881" s="35" t="s">
        <v>1664</v>
      </c>
      <c r="CP881" s="35" t="s">
        <v>100</v>
      </c>
      <c r="CQ881" s="35" t="s">
        <v>126</v>
      </c>
      <c r="CR881" s="36">
        <v>46234</v>
      </c>
      <c r="CT881" s="35" t="s">
        <v>1663</v>
      </c>
    </row>
    <row r="882" spans="1:98" s="78" customFormat="1" x14ac:dyDescent="0.35">
      <c r="A882" s="77" t="s">
        <v>1666</v>
      </c>
      <c r="B882" s="77" t="s">
        <v>1675</v>
      </c>
      <c r="C882" s="77" t="s">
        <v>1667</v>
      </c>
      <c r="D882" s="78">
        <v>2022</v>
      </c>
      <c r="E882" s="79" t="s">
        <v>1672</v>
      </c>
      <c r="F882" s="77" t="s">
        <v>1668</v>
      </c>
      <c r="G882" s="78" t="s">
        <v>78</v>
      </c>
      <c r="H882" s="78">
        <v>1</v>
      </c>
      <c r="I882" s="78" t="s">
        <v>390</v>
      </c>
      <c r="J882" s="78" t="s">
        <v>79</v>
      </c>
      <c r="K882" s="78">
        <v>33</v>
      </c>
      <c r="L882" s="78" t="s">
        <v>104</v>
      </c>
      <c r="M882" s="78" t="s">
        <v>380</v>
      </c>
      <c r="N882" s="78">
        <v>2.5699999999999998E-3</v>
      </c>
      <c r="O882" s="78">
        <v>3.8960000000000002E-3</v>
      </c>
      <c r="P882" s="95">
        <f t="shared" si="349"/>
        <v>0.65965092402464054</v>
      </c>
      <c r="Q882" s="78" t="s">
        <v>312</v>
      </c>
      <c r="R882" s="95">
        <f t="shared" si="350"/>
        <v>-5.0661600000000001E-3</v>
      </c>
      <c r="S882" s="95">
        <f t="shared" si="351"/>
        <v>1.0206160000000001E-2</v>
      </c>
      <c r="T882" s="78">
        <v>1</v>
      </c>
      <c r="U882" s="78">
        <v>633165</v>
      </c>
      <c r="V882" s="78" t="s">
        <v>312</v>
      </c>
      <c r="W882" s="78" t="s">
        <v>312</v>
      </c>
      <c r="X882" s="78">
        <f t="shared" si="347"/>
        <v>633165</v>
      </c>
      <c r="Y882" s="95">
        <f t="shared" si="352"/>
        <v>8.2900199540560885E-4</v>
      </c>
      <c r="Z882" s="95">
        <f t="shared" si="353"/>
        <v>1.2567283167705262E-3</v>
      </c>
      <c r="AA882" s="95">
        <f t="shared" ref="AA882:AA894" si="356">Y882</f>
        <v>8.2900199540560885E-4</v>
      </c>
      <c r="AB882" s="78" t="s">
        <v>81</v>
      </c>
      <c r="AC882" s="95">
        <f t="shared" ref="AC882:AC894" si="357">N882*AN882</f>
        <v>1.7100779999999999E-2</v>
      </c>
      <c r="AD882" s="95" cm="1">
        <f t="array" ref="AD882">_xlfn.IFS(
AND(L882="marginal_effect",M882="level"),N882*AN882/BF882,
AND(L882="marginal_effect",M882="sd (Y)"),N882*BI882*AN882/BF882,
AND(L882="marginal_effect",M882="sd (X)"),N882/AQ882*AN882/BF882,
AND(L882="semi_elasticity",M882="level"),N882*AN882,
AND(L882="semi_elasticity",M882="sd (Y)"),N882*AN882*BI882,
AND(L882="semi_elasticity",M882="sd (X)"),N882*AN882/AQ882,
AND(L882="level-log",M882="level"),N882/BF882,
AND(L882="level-log",M882="sd (X)"),N882/BF882/AQ882,
AND(L882="level-log",M882="sd (Y)"),N882/BF882*BI882,
AND(L882="elasticity",M882="level"),N882,
AND(L882="elasticity",M882="sd (X)"),N882/AQ882,
AND(L882="elasticity",M882="sd (Y)"),N882*BI882,
AND(L882="marginal_effect",M882="percent_of_mean"),N882*AN882/BF882/10)</f>
        <v>1.7100779999999999E-2</v>
      </c>
      <c r="AE882" s="105">
        <f t="shared" si="346"/>
        <v>1</v>
      </c>
      <c r="AF882" s="95">
        <f t="shared" ref="AF882:AF894" si="358">O882*AN882</f>
        <v>2.5923984000000001E-2</v>
      </c>
      <c r="AG882" s="95" cm="1">
        <f t="array" ref="AG882">_xlfn.IFS(
AND(L882="marginal_effect",M882="level"),O882*AN882/BF882,
AND(L882="marginal_effect",M882="sd (Y)"),O882*BI882*AN882/BF882,
AND(L882="marginal_effect",M882="sd (X)"),O882/AQ882*AN882/BF882,
AND(L882="semi_elasticity",M882="level"),O882*AN882,
AND(L882="semi_elasticity",M882="sd (Y)"),O882*AN882*BI882,
AND(L882="semi_elasticity",M882="sd (X)"),O882*AN882/AQ882,
AND(L882="level-log",M882="level"),O882/BF882,
AND(L882="level-log",M882="sd (X)"),O882/BF882/AQ882,
AND(L882="level-log",M882="sd (Y)"),O882/BF882*BI882,
AND(L882="elasticity",M882="level"),O882,
AND(L882="elasticity",M882="sd (X)"),O882/AQ882,
AND(L882="elasticity",M882="sd (Y)"),O882*BI882,
AND(L882="marginal_effect",M882="percent_of_mean"),O882*AN882/BF882/10)</f>
        <v>2.5923984000000001E-2</v>
      </c>
      <c r="AH882" s="105">
        <f t="shared" si="354"/>
        <v>1</v>
      </c>
      <c r="AI882" s="95">
        <f t="shared" ref="AI882:AI894" si="359">AC882</f>
        <v>1.7100779999999999E-2</v>
      </c>
      <c r="AJ882" s="78">
        <v>0</v>
      </c>
      <c r="AK882" s="78">
        <f t="shared" si="355"/>
        <v>1</v>
      </c>
      <c r="AL882" s="78" t="s">
        <v>82</v>
      </c>
      <c r="AM882" s="78" t="s">
        <v>1333</v>
      </c>
      <c r="AN882" s="78">
        <v>6.6539999999999999</v>
      </c>
      <c r="AO882" s="78">
        <v>0</v>
      </c>
      <c r="AP882" s="78">
        <f t="shared" si="348"/>
        <v>6.6539999999999999</v>
      </c>
      <c r="AQ882" s="78">
        <v>2.7320000000000002</v>
      </c>
      <c r="AR882" s="78">
        <v>0.69099999999999995</v>
      </c>
      <c r="AS882" s="78">
        <v>21.341999999999999</v>
      </c>
      <c r="AT882" s="78" t="s">
        <v>83</v>
      </c>
      <c r="AU882" s="78" t="s">
        <v>109</v>
      </c>
      <c r="AV882" s="78" t="s">
        <v>133</v>
      </c>
      <c r="AW882" s="78" t="s">
        <v>109</v>
      </c>
      <c r="AX882" s="78" t="s">
        <v>86</v>
      </c>
      <c r="AY882" s="78">
        <v>0</v>
      </c>
      <c r="AZ882" s="78">
        <v>0</v>
      </c>
      <c r="BA882" s="78" t="s">
        <v>87</v>
      </c>
      <c r="BB882" s="78" t="s">
        <v>88</v>
      </c>
      <c r="BC882" s="78" t="s">
        <v>89</v>
      </c>
      <c r="BD882" s="78" t="s">
        <v>90</v>
      </c>
      <c r="BE882" s="78" t="s">
        <v>1669</v>
      </c>
      <c r="BF882" s="78">
        <v>6.8559999999999999</v>
      </c>
      <c r="BG882" s="78">
        <v>0</v>
      </c>
      <c r="BH882" s="78">
        <v>3.2730000000000001</v>
      </c>
      <c r="BI882" s="78">
        <v>1</v>
      </c>
      <c r="BJ882" s="78">
        <v>20</v>
      </c>
      <c r="BK882" s="78" t="s">
        <v>91</v>
      </c>
      <c r="BL882" s="78" t="s">
        <v>84</v>
      </c>
      <c r="BM882" s="78">
        <v>1</v>
      </c>
      <c r="BN882" s="78" t="s">
        <v>484</v>
      </c>
      <c r="BO882" s="78" t="s">
        <v>1670</v>
      </c>
      <c r="BP882" s="78" t="s">
        <v>1671</v>
      </c>
      <c r="BQ882" s="78" t="s">
        <v>92</v>
      </c>
      <c r="BR882" s="78" t="s">
        <v>118</v>
      </c>
      <c r="BS882" s="78">
        <v>29.169</v>
      </c>
      <c r="BT882" s="78">
        <f t="shared" ref="BT882:BT894" si="360">1-0.691</f>
        <v>0.30900000000000005</v>
      </c>
      <c r="BU882" s="78">
        <v>2010</v>
      </c>
      <c r="BV882" s="78">
        <v>2015</v>
      </c>
      <c r="BW882" s="78" t="s">
        <v>94</v>
      </c>
      <c r="BX882" s="78" t="s">
        <v>95</v>
      </c>
      <c r="BY882" s="78" t="s">
        <v>96</v>
      </c>
      <c r="BZ882" s="78">
        <v>0</v>
      </c>
      <c r="CA882" s="78">
        <v>0</v>
      </c>
      <c r="CB882" s="78" t="s">
        <v>97</v>
      </c>
      <c r="CC882" s="78" t="s">
        <v>1673</v>
      </c>
      <c r="CD882" s="78">
        <v>1</v>
      </c>
      <c r="CE882" s="78" t="s">
        <v>1712</v>
      </c>
      <c r="CF882" s="78">
        <v>1</v>
      </c>
      <c r="CG882" s="78" t="s">
        <v>148</v>
      </c>
      <c r="CH882" s="78">
        <v>1</v>
      </c>
      <c r="CI882" s="78" t="s">
        <v>1465</v>
      </c>
      <c r="CJ882" s="78" t="s">
        <v>98</v>
      </c>
      <c r="CK882" s="78">
        <v>79</v>
      </c>
      <c r="CL882" s="78">
        <v>0</v>
      </c>
      <c r="CM882" s="78">
        <v>0</v>
      </c>
      <c r="CN882" s="78" t="s">
        <v>99</v>
      </c>
      <c r="CO882" s="78" t="s">
        <v>97</v>
      </c>
      <c r="CP882" s="78" t="s">
        <v>100</v>
      </c>
      <c r="CQ882" s="78" t="s">
        <v>126</v>
      </c>
      <c r="CR882" s="80">
        <v>46234</v>
      </c>
      <c r="CT882" s="78" t="s">
        <v>543</v>
      </c>
    </row>
    <row r="883" spans="1:98" s="78" customFormat="1" x14ac:dyDescent="0.35">
      <c r="A883" s="77" t="s">
        <v>1666</v>
      </c>
      <c r="B883" s="77" t="s">
        <v>1676</v>
      </c>
      <c r="C883" s="77" t="s">
        <v>1667</v>
      </c>
      <c r="D883" s="78">
        <v>2022</v>
      </c>
      <c r="E883" s="79" t="s">
        <v>1672</v>
      </c>
      <c r="F883" s="77" t="s">
        <v>1668</v>
      </c>
      <c r="G883" s="78" t="s">
        <v>78</v>
      </c>
      <c r="H883" s="78">
        <v>1</v>
      </c>
      <c r="I883" s="78" t="s">
        <v>390</v>
      </c>
      <c r="J883" s="78" t="s">
        <v>79</v>
      </c>
      <c r="K883" s="78">
        <v>33</v>
      </c>
      <c r="L883" s="78" t="s">
        <v>104</v>
      </c>
      <c r="M883" s="78" t="s">
        <v>380</v>
      </c>
      <c r="N883" s="78">
        <v>-6.0400000000000002E-3</v>
      </c>
      <c r="O883" s="78">
        <v>1.3376E-3</v>
      </c>
      <c r="P883" s="95">
        <f t="shared" si="349"/>
        <v>-4.5155502392344502</v>
      </c>
      <c r="Q883" s="78" t="s">
        <v>312</v>
      </c>
      <c r="R883" s="95">
        <f t="shared" si="350"/>
        <v>-8.661696E-3</v>
      </c>
      <c r="S883" s="95">
        <f t="shared" si="351"/>
        <v>-3.4183040000000005E-3</v>
      </c>
      <c r="T883" s="78">
        <v>1</v>
      </c>
      <c r="U883" s="78">
        <v>633165</v>
      </c>
      <c r="V883" s="78" t="s">
        <v>312</v>
      </c>
      <c r="W883" s="78" t="s">
        <v>312</v>
      </c>
      <c r="X883" s="78">
        <f t="shared" si="347"/>
        <v>633165</v>
      </c>
      <c r="Y883" s="95">
        <f t="shared" si="352"/>
        <v>-5.674730428794861E-3</v>
      </c>
      <c r="Z883" s="95">
        <f t="shared" si="353"/>
        <v>1.25670851350265E-3</v>
      </c>
      <c r="AA883" s="95">
        <f t="shared" si="356"/>
        <v>-5.674730428794861E-3</v>
      </c>
      <c r="AB883" s="78" t="s">
        <v>81</v>
      </c>
      <c r="AC883" s="95">
        <f t="shared" si="357"/>
        <v>-0.23225008</v>
      </c>
      <c r="AD883" s="95" cm="1">
        <f t="array" ref="AD883">_xlfn.IFS(
AND(L883="marginal_effect",M883="level"),N883*AN883/BF883,
AND(L883="marginal_effect",M883="sd (Y)"),N883*BI883*AN883/BF883,
AND(L883="marginal_effect",M883="sd (X)"),N883/AQ883*AN883/BF883,
AND(L883="semi_elasticity",M883="level"),N883*AN883,
AND(L883="semi_elasticity",M883="sd (Y)"),N883*AN883*BI883,
AND(L883="semi_elasticity",M883="sd (X)"),N883*AN883/AQ883,
AND(L883="level-log",M883="level"),N883/BF883,
AND(L883="level-log",M883="sd (X)"),N883/BF883/AQ883,
AND(L883="level-log",M883="sd (Y)"),N883/BF883*BI883,
AND(L883="elasticity",M883="level"),N883,
AND(L883="elasticity",M883="sd (X)"),N883/AQ883,
AND(L883="elasticity",M883="sd (Y)"),N883*BI883,
AND(L883="marginal_effect",M883="percent_of_mean"),N883*AN883/BF883/10)</f>
        <v>-0.23225008</v>
      </c>
      <c r="AE883" s="105">
        <f t="shared" si="346"/>
        <v>1</v>
      </c>
      <c r="AF883" s="95">
        <f t="shared" si="358"/>
        <v>5.1433395199999996E-2</v>
      </c>
      <c r="AG883" s="95" cm="1">
        <f t="array" ref="AG883">_xlfn.IFS(
AND(L883="marginal_effect",M883="level"),O883*AN883/BF883,
AND(L883="marginal_effect",M883="sd (Y)"),O883*BI883*AN883/BF883,
AND(L883="marginal_effect",M883="sd (X)"),O883/AQ883*AN883/BF883,
AND(L883="semi_elasticity",M883="level"),O883*AN883,
AND(L883="semi_elasticity",M883="sd (Y)"),O883*AN883*BI883,
AND(L883="semi_elasticity",M883="sd (X)"),O883*AN883/AQ883,
AND(L883="level-log",M883="level"),O883/BF883,
AND(L883="level-log",M883="sd (X)"),O883/BF883/AQ883,
AND(L883="level-log",M883="sd (Y)"),O883/BF883*BI883,
AND(L883="elasticity",M883="level"),O883,
AND(L883="elasticity",M883="sd (X)"),O883/AQ883,
AND(L883="elasticity",M883="sd (Y)"),O883*BI883,
AND(L883="marginal_effect",M883="percent_of_mean"),O883*AN883/BF883/10)</f>
        <v>5.1433395199999996E-2</v>
      </c>
      <c r="AH883" s="105">
        <f t="shared" si="354"/>
        <v>1</v>
      </c>
      <c r="AI883" s="95">
        <f t="shared" si="359"/>
        <v>-0.23225008</v>
      </c>
      <c r="AJ883" s="78">
        <v>0</v>
      </c>
      <c r="AK883" s="78">
        <f t="shared" si="355"/>
        <v>1</v>
      </c>
      <c r="AL883" s="76" t="s">
        <v>1674</v>
      </c>
      <c r="AM883" s="78" t="s">
        <v>410</v>
      </c>
      <c r="AN883" s="78">
        <v>38.451999999999998</v>
      </c>
      <c r="AO883" s="78">
        <v>0</v>
      </c>
      <c r="AP883" s="78">
        <f t="shared" si="348"/>
        <v>38.451999999999998</v>
      </c>
      <c r="AQ883" s="78">
        <v>9.109</v>
      </c>
      <c r="AR883" s="78">
        <v>14</v>
      </c>
      <c r="AS883" s="78">
        <v>83</v>
      </c>
      <c r="AT883" s="78" t="s">
        <v>83</v>
      </c>
      <c r="AU883" s="78" t="s">
        <v>109</v>
      </c>
      <c r="AV883" s="78" t="s">
        <v>133</v>
      </c>
      <c r="AW883" s="78" t="s">
        <v>109</v>
      </c>
      <c r="AX883" s="78" t="s">
        <v>86</v>
      </c>
      <c r="AY883" s="78">
        <v>0</v>
      </c>
      <c r="AZ883" s="78">
        <v>0</v>
      </c>
      <c r="BA883" s="78" t="s">
        <v>87</v>
      </c>
      <c r="BB883" s="78" t="s">
        <v>88</v>
      </c>
      <c r="BC883" s="78" t="s">
        <v>89</v>
      </c>
      <c r="BD883" s="78" t="s">
        <v>90</v>
      </c>
      <c r="BE883" s="78" t="s">
        <v>1669</v>
      </c>
      <c r="BF883" s="78">
        <v>6.8559999999999999</v>
      </c>
      <c r="BG883" s="78">
        <v>0</v>
      </c>
      <c r="BH883" s="78">
        <v>3.2730000000000001</v>
      </c>
      <c r="BI883" s="78">
        <v>1</v>
      </c>
      <c r="BJ883" s="78">
        <v>20</v>
      </c>
      <c r="BK883" s="78" t="s">
        <v>91</v>
      </c>
      <c r="BL883" s="78" t="s">
        <v>84</v>
      </c>
      <c r="BM883" s="78">
        <v>1</v>
      </c>
      <c r="BN883" s="78" t="s">
        <v>484</v>
      </c>
      <c r="BO883" s="78" t="s">
        <v>1670</v>
      </c>
      <c r="BP883" s="78" t="s">
        <v>1671</v>
      </c>
      <c r="BQ883" s="78" t="s">
        <v>92</v>
      </c>
      <c r="BR883" s="78" t="s">
        <v>118</v>
      </c>
      <c r="BS883" s="78">
        <v>29.169</v>
      </c>
      <c r="BT883" s="78">
        <f t="shared" si="360"/>
        <v>0.30900000000000005</v>
      </c>
      <c r="BU883" s="78">
        <v>2010</v>
      </c>
      <c r="BV883" s="78">
        <v>2015</v>
      </c>
      <c r="BW883" s="78" t="s">
        <v>94</v>
      </c>
      <c r="BX883" s="78" t="s">
        <v>95</v>
      </c>
      <c r="BY883" s="78" t="s">
        <v>96</v>
      </c>
      <c r="BZ883" s="78">
        <v>0</v>
      </c>
      <c r="CA883" s="78">
        <v>0</v>
      </c>
      <c r="CB883" s="78" t="s">
        <v>97</v>
      </c>
      <c r="CC883" s="78" t="s">
        <v>1673</v>
      </c>
      <c r="CD883" s="78">
        <v>1</v>
      </c>
      <c r="CE883" s="78" t="s">
        <v>1712</v>
      </c>
      <c r="CF883" s="78">
        <v>1</v>
      </c>
      <c r="CG883" s="78" t="s">
        <v>82</v>
      </c>
      <c r="CH883" s="78">
        <v>1</v>
      </c>
      <c r="CI883" s="78" t="s">
        <v>1465</v>
      </c>
      <c r="CJ883" s="78" t="s">
        <v>98</v>
      </c>
      <c r="CK883" s="78">
        <v>79</v>
      </c>
      <c r="CL883" s="78">
        <v>0</v>
      </c>
      <c r="CM883" s="78">
        <v>0</v>
      </c>
      <c r="CN883" s="78" t="s">
        <v>99</v>
      </c>
      <c r="CO883" s="78" t="s">
        <v>97</v>
      </c>
      <c r="CP883" s="78" t="s">
        <v>100</v>
      </c>
      <c r="CQ883" s="78" t="s">
        <v>126</v>
      </c>
      <c r="CR883" s="80">
        <v>46234</v>
      </c>
      <c r="CT883" s="78" t="s">
        <v>543</v>
      </c>
    </row>
    <row r="884" spans="1:98" s="78" customFormat="1" x14ac:dyDescent="0.35">
      <c r="A884" s="77" t="s">
        <v>1666</v>
      </c>
      <c r="B884" s="77" t="s">
        <v>1677</v>
      </c>
      <c r="C884" s="77" t="s">
        <v>1667</v>
      </c>
      <c r="D884" s="78">
        <v>2022</v>
      </c>
      <c r="E884" s="79" t="s">
        <v>1672</v>
      </c>
      <c r="F884" s="77" t="s">
        <v>1668</v>
      </c>
      <c r="G884" s="78" t="s">
        <v>78</v>
      </c>
      <c r="H884" s="78">
        <v>1</v>
      </c>
      <c r="I884" s="78" t="s">
        <v>390</v>
      </c>
      <c r="J884" s="78" t="s">
        <v>79</v>
      </c>
      <c r="K884" s="78">
        <v>33</v>
      </c>
      <c r="L884" s="78" t="s">
        <v>104</v>
      </c>
      <c r="M884" s="78" t="s">
        <v>380</v>
      </c>
      <c r="N884" s="78">
        <v>-1.34E-3</v>
      </c>
      <c r="O884" s="78">
        <v>1.8441E-3</v>
      </c>
      <c r="P884" s="95">
        <f t="shared" si="349"/>
        <v>-0.72664172224933576</v>
      </c>
      <c r="Q884" s="78" t="s">
        <v>312</v>
      </c>
      <c r="R884" s="95">
        <f t="shared" si="350"/>
        <v>-4.9544359999999996E-3</v>
      </c>
      <c r="S884" s="95">
        <f t="shared" si="351"/>
        <v>2.2744359999999999E-3</v>
      </c>
      <c r="T884" s="78">
        <v>1</v>
      </c>
      <c r="U884" s="78">
        <v>633165</v>
      </c>
      <c r="V884" s="78" t="s">
        <v>312</v>
      </c>
      <c r="W884" s="78" t="s">
        <v>312</v>
      </c>
      <c r="X884" s="78">
        <f t="shared" si="347"/>
        <v>633165</v>
      </c>
      <c r="Y884" s="95">
        <f t="shared" si="352"/>
        <v>-9.131911615269866E-4</v>
      </c>
      <c r="Z884" s="95">
        <f t="shared" si="353"/>
        <v>1.2567282246059076E-3</v>
      </c>
      <c r="AA884" s="95">
        <f t="shared" si="356"/>
        <v>-9.131911615269866E-4</v>
      </c>
      <c r="AB884" s="78" t="s">
        <v>81</v>
      </c>
      <c r="AC884" s="95">
        <f t="shared" si="357"/>
        <v>-8.9163599999999999E-3</v>
      </c>
      <c r="AD884" s="95" cm="1">
        <f t="array" ref="AD884">_xlfn.IFS(
AND(L884="marginal_effect",M884="level"),N884*AN884/BF884,
AND(L884="marginal_effect",M884="sd (Y)"),N884*BI884*AN884/BF884,
AND(L884="marginal_effect",M884="sd (X)"),N884/AQ884*AN884/BF884,
AND(L884="semi_elasticity",M884="level"),N884*AN884,
AND(L884="semi_elasticity",M884="sd (Y)"),N884*AN884*BI884,
AND(L884="semi_elasticity",M884="sd (X)"),N884*AN884/AQ884,
AND(L884="level-log",M884="level"),N884/BF884,
AND(L884="level-log",M884="sd (X)"),N884/BF884/AQ884,
AND(L884="level-log",M884="sd (Y)"),N884/BF884*BI884,
AND(L884="elasticity",M884="level"),N884,
AND(L884="elasticity",M884="sd (X)"),N884/AQ884,
AND(L884="elasticity",M884="sd (Y)"),N884*BI884,
AND(L884="marginal_effect",M884="percent_of_mean"),N884*AN884/BF884/10)</f>
        <v>-8.9163599999999999E-3</v>
      </c>
      <c r="AE884" s="105">
        <f t="shared" si="346"/>
        <v>1</v>
      </c>
      <c r="AF884" s="95">
        <f t="shared" si="358"/>
        <v>1.2270641399999999E-2</v>
      </c>
      <c r="AG884" s="95" cm="1">
        <f t="array" ref="AG884">_xlfn.IFS(
AND(L884="marginal_effect",M884="level"),O884*AN884/BF884,
AND(L884="marginal_effect",M884="sd (Y)"),O884*BI884*AN884/BF884,
AND(L884="marginal_effect",M884="sd (X)"),O884/AQ884*AN884/BF884,
AND(L884="semi_elasticity",M884="level"),O884*AN884,
AND(L884="semi_elasticity",M884="sd (Y)"),O884*AN884*BI884,
AND(L884="semi_elasticity",M884="sd (X)"),O884*AN884/AQ884,
AND(L884="level-log",M884="level"),O884/BF884,
AND(L884="level-log",M884="sd (X)"),O884/BF884/AQ884,
AND(L884="level-log",M884="sd (Y)"),O884/BF884*BI884,
AND(L884="elasticity",M884="level"),O884,
AND(L884="elasticity",M884="sd (X)"),O884/AQ884,
AND(L884="elasticity",M884="sd (Y)"),O884*BI884,
AND(L884="marginal_effect",M884="percent_of_mean"),O884*AN884/BF884/10)</f>
        <v>1.2270641399999999E-2</v>
      </c>
      <c r="AH884" s="105">
        <f t="shared" si="354"/>
        <v>1</v>
      </c>
      <c r="AI884" s="95">
        <f t="shared" si="359"/>
        <v>-8.9163599999999999E-3</v>
      </c>
      <c r="AJ884" s="78">
        <v>0</v>
      </c>
      <c r="AK884" s="78">
        <f t="shared" si="355"/>
        <v>1</v>
      </c>
      <c r="AL884" s="78" t="s">
        <v>82</v>
      </c>
      <c r="AM884" s="78" t="s">
        <v>1333</v>
      </c>
      <c r="AN884" s="78">
        <v>6.6539999999999999</v>
      </c>
      <c r="AO884" s="78">
        <v>0</v>
      </c>
      <c r="AP884" s="78">
        <f t="shared" si="348"/>
        <v>6.6539999999999999</v>
      </c>
      <c r="AQ884" s="78">
        <v>2.7320000000000002</v>
      </c>
      <c r="AR884" s="78">
        <v>0.69099999999999995</v>
      </c>
      <c r="AS884" s="78">
        <v>21.341999999999999</v>
      </c>
      <c r="AT884" s="78" t="s">
        <v>83</v>
      </c>
      <c r="AU884" s="78" t="s">
        <v>109</v>
      </c>
      <c r="AV884" s="78" t="s">
        <v>133</v>
      </c>
      <c r="AW884" s="78" t="s">
        <v>109</v>
      </c>
      <c r="AX884" s="78" t="s">
        <v>86</v>
      </c>
      <c r="AY884" s="78">
        <v>0</v>
      </c>
      <c r="AZ884" s="78">
        <v>0</v>
      </c>
      <c r="BA884" s="78" t="s">
        <v>87</v>
      </c>
      <c r="BB884" s="78" t="s">
        <v>88</v>
      </c>
      <c r="BC884" s="78" t="s">
        <v>89</v>
      </c>
      <c r="BD884" s="78" t="s">
        <v>90</v>
      </c>
      <c r="BE884" s="78" t="s">
        <v>1669</v>
      </c>
      <c r="BF884" s="78">
        <v>6.8559999999999999</v>
      </c>
      <c r="BG884" s="78">
        <v>0</v>
      </c>
      <c r="BH884" s="78">
        <v>3.2730000000000001</v>
      </c>
      <c r="BI884" s="78">
        <v>1</v>
      </c>
      <c r="BJ884" s="78">
        <v>20</v>
      </c>
      <c r="BK884" s="78" t="s">
        <v>91</v>
      </c>
      <c r="BL884" s="78" t="s">
        <v>84</v>
      </c>
      <c r="BM884" s="78">
        <v>1</v>
      </c>
      <c r="BN884" s="78" t="s">
        <v>484</v>
      </c>
      <c r="BO884" s="78" t="s">
        <v>1670</v>
      </c>
      <c r="BP884" s="78" t="s">
        <v>1671</v>
      </c>
      <c r="BQ884" s="78" t="s">
        <v>92</v>
      </c>
      <c r="BR884" s="78" t="s">
        <v>118</v>
      </c>
      <c r="BS884" s="78">
        <v>29.169</v>
      </c>
      <c r="BT884" s="78">
        <f t="shared" si="360"/>
        <v>0.30900000000000005</v>
      </c>
      <c r="BU884" s="78">
        <v>2010</v>
      </c>
      <c r="BV884" s="78">
        <v>2015</v>
      </c>
      <c r="BW884" s="78" t="s">
        <v>94</v>
      </c>
      <c r="BX884" s="78" t="s">
        <v>95</v>
      </c>
      <c r="BY884" s="78" t="s">
        <v>96</v>
      </c>
      <c r="BZ884" s="78">
        <v>0</v>
      </c>
      <c r="CA884" s="78">
        <v>0</v>
      </c>
      <c r="CB884" s="78" t="s">
        <v>97</v>
      </c>
      <c r="CC884" s="78" t="s">
        <v>1673</v>
      </c>
      <c r="CD884" s="78">
        <v>1</v>
      </c>
      <c r="CE884" s="78" t="s">
        <v>1712</v>
      </c>
      <c r="CF884" s="78">
        <v>1</v>
      </c>
      <c r="CG884" s="78" t="s">
        <v>148</v>
      </c>
      <c r="CH884" s="78">
        <v>1</v>
      </c>
      <c r="CI884" s="78" t="s">
        <v>1465</v>
      </c>
      <c r="CJ884" s="78" t="s">
        <v>98</v>
      </c>
      <c r="CK884" s="78">
        <v>79</v>
      </c>
      <c r="CL884" s="78">
        <v>0</v>
      </c>
      <c r="CM884" s="78">
        <v>0</v>
      </c>
      <c r="CN884" s="78" t="s">
        <v>99</v>
      </c>
      <c r="CO884" s="78" t="s">
        <v>97</v>
      </c>
      <c r="CP884" s="78" t="s">
        <v>100</v>
      </c>
      <c r="CQ884" s="78" t="s">
        <v>126</v>
      </c>
      <c r="CR884" s="80">
        <v>46234</v>
      </c>
      <c r="CT884" s="78" t="s">
        <v>549</v>
      </c>
    </row>
    <row r="885" spans="1:98" s="78" customFormat="1" x14ac:dyDescent="0.35">
      <c r="A885" s="77" t="s">
        <v>1666</v>
      </c>
      <c r="B885" s="77" t="s">
        <v>1678</v>
      </c>
      <c r="C885" s="77" t="s">
        <v>1667</v>
      </c>
      <c r="D885" s="78">
        <v>2022</v>
      </c>
      <c r="E885" s="79" t="s">
        <v>1672</v>
      </c>
      <c r="F885" s="77" t="s">
        <v>1668</v>
      </c>
      <c r="G885" s="78" t="s">
        <v>78</v>
      </c>
      <c r="H885" s="78">
        <v>1</v>
      </c>
      <c r="I885" s="78" t="s">
        <v>390</v>
      </c>
      <c r="J885" s="78" t="s">
        <v>79</v>
      </c>
      <c r="K885" s="78">
        <v>33</v>
      </c>
      <c r="L885" s="78" t="s">
        <v>104</v>
      </c>
      <c r="M885" s="78" t="s">
        <v>380</v>
      </c>
      <c r="N885" s="78">
        <v>-2.2699999999999999E-3</v>
      </c>
      <c r="O885" s="78">
        <v>8.9919999999999996E-4</v>
      </c>
      <c r="P885" s="95">
        <f t="shared" si="349"/>
        <v>-2.5244661921708187</v>
      </c>
      <c r="Q885" s="78" t="s">
        <v>312</v>
      </c>
      <c r="R885" s="95">
        <f t="shared" si="350"/>
        <v>-4.0324319999999999E-3</v>
      </c>
      <c r="S885" s="95">
        <f t="shared" si="351"/>
        <v>-5.0756799999999991E-4</v>
      </c>
      <c r="T885" s="78">
        <v>1</v>
      </c>
      <c r="U885" s="78">
        <v>633165</v>
      </c>
      <c r="V885" s="78" t="s">
        <v>312</v>
      </c>
      <c r="W885" s="78" t="s">
        <v>312</v>
      </c>
      <c r="X885" s="78">
        <f t="shared" si="347"/>
        <v>633165</v>
      </c>
      <c r="Y885" s="95">
        <f t="shared" si="352"/>
        <v>-3.1725532724517945E-3</v>
      </c>
      <c r="Z885" s="95">
        <f t="shared" si="353"/>
        <v>1.2567224240478648E-3</v>
      </c>
      <c r="AA885" s="95">
        <f t="shared" si="356"/>
        <v>-3.1725532724517945E-3</v>
      </c>
      <c r="AB885" s="78" t="s">
        <v>81</v>
      </c>
      <c r="AC885" s="95">
        <f t="shared" si="357"/>
        <v>-8.7286039999999995E-2</v>
      </c>
      <c r="AD885" s="95" cm="1">
        <f t="array" ref="AD885">_xlfn.IFS(
AND(L885="marginal_effect",M885="level"),N885*AN885/BF885,
AND(L885="marginal_effect",M885="sd (Y)"),N885*BI885*AN885/BF885,
AND(L885="marginal_effect",M885="sd (X)"),N885/AQ885*AN885/BF885,
AND(L885="semi_elasticity",M885="level"),N885*AN885,
AND(L885="semi_elasticity",M885="sd (Y)"),N885*AN885*BI885,
AND(L885="semi_elasticity",M885="sd (X)"),N885*AN885/AQ885,
AND(L885="level-log",M885="level"),N885/BF885,
AND(L885="level-log",M885="sd (X)"),N885/BF885/AQ885,
AND(L885="level-log",M885="sd (Y)"),N885/BF885*BI885,
AND(L885="elasticity",M885="level"),N885,
AND(L885="elasticity",M885="sd (X)"),N885/AQ885,
AND(L885="elasticity",M885="sd (Y)"),N885*BI885,
AND(L885="marginal_effect",M885="percent_of_mean"),N885*AN885/BF885/10)</f>
        <v>-8.7286039999999995E-2</v>
      </c>
      <c r="AE885" s="105">
        <f t="shared" si="346"/>
        <v>1</v>
      </c>
      <c r="AF885" s="95">
        <f t="shared" si="358"/>
        <v>3.4576038399999995E-2</v>
      </c>
      <c r="AG885" s="95" cm="1">
        <f t="array" ref="AG885">_xlfn.IFS(
AND(L885="marginal_effect",M885="level"),O885*AN885/BF885,
AND(L885="marginal_effect",M885="sd (Y)"),O885*BI885*AN885/BF885,
AND(L885="marginal_effect",M885="sd (X)"),O885/AQ885*AN885/BF885,
AND(L885="semi_elasticity",M885="level"),O885*AN885,
AND(L885="semi_elasticity",M885="sd (Y)"),O885*AN885*BI885,
AND(L885="semi_elasticity",M885="sd (X)"),O885*AN885/AQ885,
AND(L885="level-log",M885="level"),O885/BF885,
AND(L885="level-log",M885="sd (X)"),O885/BF885/AQ885,
AND(L885="level-log",M885="sd (Y)"),O885/BF885*BI885,
AND(L885="elasticity",M885="level"),O885,
AND(L885="elasticity",M885="sd (X)"),O885/AQ885,
AND(L885="elasticity",M885="sd (Y)"),O885*BI885,
AND(L885="marginal_effect",M885="percent_of_mean"),O885*AN885/BF885/10)</f>
        <v>3.4576038399999995E-2</v>
      </c>
      <c r="AH885" s="105">
        <f t="shared" si="354"/>
        <v>1</v>
      </c>
      <c r="AI885" s="95">
        <f t="shared" si="359"/>
        <v>-8.7286039999999995E-2</v>
      </c>
      <c r="AJ885" s="78">
        <v>0</v>
      </c>
      <c r="AK885" s="78">
        <f t="shared" si="355"/>
        <v>1</v>
      </c>
      <c r="AL885" s="76" t="s">
        <v>1674</v>
      </c>
      <c r="AM885" s="78" t="s">
        <v>410</v>
      </c>
      <c r="AN885" s="78">
        <v>38.451999999999998</v>
      </c>
      <c r="AO885" s="78">
        <v>0</v>
      </c>
      <c r="AP885" s="78">
        <f t="shared" si="348"/>
        <v>38.451999999999998</v>
      </c>
      <c r="AQ885" s="78">
        <v>9.109</v>
      </c>
      <c r="AR885" s="78">
        <v>14</v>
      </c>
      <c r="AS885" s="78">
        <v>83</v>
      </c>
      <c r="AT885" s="78" t="s">
        <v>83</v>
      </c>
      <c r="AU885" s="78" t="s">
        <v>109</v>
      </c>
      <c r="AV885" s="78" t="s">
        <v>133</v>
      </c>
      <c r="AW885" s="78" t="s">
        <v>109</v>
      </c>
      <c r="AX885" s="78" t="s">
        <v>86</v>
      </c>
      <c r="AY885" s="78">
        <v>0</v>
      </c>
      <c r="AZ885" s="78">
        <v>0</v>
      </c>
      <c r="BA885" s="78" t="s">
        <v>87</v>
      </c>
      <c r="BB885" s="78" t="s">
        <v>88</v>
      </c>
      <c r="BC885" s="78" t="s">
        <v>89</v>
      </c>
      <c r="BD885" s="78" t="s">
        <v>90</v>
      </c>
      <c r="BE885" s="78" t="s">
        <v>1669</v>
      </c>
      <c r="BF885" s="78">
        <v>6.8559999999999999</v>
      </c>
      <c r="BG885" s="78">
        <v>0</v>
      </c>
      <c r="BH885" s="78">
        <v>3.2730000000000001</v>
      </c>
      <c r="BI885" s="78">
        <v>1</v>
      </c>
      <c r="BJ885" s="78">
        <v>20</v>
      </c>
      <c r="BK885" s="78" t="s">
        <v>91</v>
      </c>
      <c r="BL885" s="78" t="s">
        <v>84</v>
      </c>
      <c r="BM885" s="78">
        <v>1</v>
      </c>
      <c r="BN885" s="78" t="s">
        <v>484</v>
      </c>
      <c r="BO885" s="78" t="s">
        <v>1670</v>
      </c>
      <c r="BP885" s="78" t="s">
        <v>1671</v>
      </c>
      <c r="BQ885" s="78" t="s">
        <v>92</v>
      </c>
      <c r="BR885" s="78" t="s">
        <v>118</v>
      </c>
      <c r="BS885" s="78">
        <v>29.169</v>
      </c>
      <c r="BT885" s="78">
        <f t="shared" si="360"/>
        <v>0.30900000000000005</v>
      </c>
      <c r="BU885" s="78">
        <v>2010</v>
      </c>
      <c r="BV885" s="78">
        <v>2015</v>
      </c>
      <c r="BW885" s="78" t="s">
        <v>94</v>
      </c>
      <c r="BX885" s="78" t="s">
        <v>95</v>
      </c>
      <c r="BY885" s="78" t="s">
        <v>96</v>
      </c>
      <c r="BZ885" s="78">
        <v>0</v>
      </c>
      <c r="CA885" s="78">
        <v>0</v>
      </c>
      <c r="CB885" s="78" t="s">
        <v>97</v>
      </c>
      <c r="CC885" s="78" t="s">
        <v>1673</v>
      </c>
      <c r="CD885" s="78">
        <v>1</v>
      </c>
      <c r="CE885" s="78" t="s">
        <v>1712</v>
      </c>
      <c r="CF885" s="78">
        <v>1</v>
      </c>
      <c r="CG885" s="78" t="s">
        <v>82</v>
      </c>
      <c r="CH885" s="78">
        <v>1</v>
      </c>
      <c r="CI885" s="78" t="s">
        <v>1465</v>
      </c>
      <c r="CJ885" s="78" t="s">
        <v>98</v>
      </c>
      <c r="CK885" s="78">
        <v>79</v>
      </c>
      <c r="CL885" s="78">
        <v>0</v>
      </c>
      <c r="CM885" s="78">
        <v>0</v>
      </c>
      <c r="CN885" s="78" t="s">
        <v>99</v>
      </c>
      <c r="CO885" s="78" t="s">
        <v>97</v>
      </c>
      <c r="CP885" s="78" t="s">
        <v>100</v>
      </c>
      <c r="CQ885" s="78" t="s">
        <v>126</v>
      </c>
      <c r="CR885" s="80">
        <v>46234</v>
      </c>
      <c r="CT885" s="78" t="s">
        <v>549</v>
      </c>
    </row>
    <row r="886" spans="1:98" s="78" customFormat="1" x14ac:dyDescent="0.35">
      <c r="A886" s="77" t="s">
        <v>1666</v>
      </c>
      <c r="B886" s="77" t="s">
        <v>1679</v>
      </c>
      <c r="C886" s="77" t="s">
        <v>1667</v>
      </c>
      <c r="D886" s="78">
        <v>2022</v>
      </c>
      <c r="E886" s="79" t="s">
        <v>1672</v>
      </c>
      <c r="F886" s="77" t="s">
        <v>1668</v>
      </c>
      <c r="G886" s="78" t="s">
        <v>78</v>
      </c>
      <c r="H886" s="78">
        <v>1</v>
      </c>
      <c r="I886" s="78" t="s">
        <v>390</v>
      </c>
      <c r="J886" s="78" t="s">
        <v>79</v>
      </c>
      <c r="K886" s="78">
        <v>33</v>
      </c>
      <c r="L886" s="78" t="s">
        <v>104</v>
      </c>
      <c r="M886" s="78" t="s">
        <v>380</v>
      </c>
      <c r="N886" s="78">
        <v>-3.7399999999999998E-3</v>
      </c>
      <c r="O886" s="78">
        <v>1.8064000000000001E-3</v>
      </c>
      <c r="P886" s="95">
        <f t="shared" si="349"/>
        <v>-2.070416297608503</v>
      </c>
      <c r="Q886" s="78" t="s">
        <v>312</v>
      </c>
      <c r="R886" s="95">
        <f t="shared" si="350"/>
        <v>-7.2805439999999999E-3</v>
      </c>
      <c r="S886" s="95">
        <f t="shared" si="351"/>
        <v>-1.9945599999999977E-4</v>
      </c>
      <c r="T886" s="78">
        <v>1</v>
      </c>
      <c r="U886" s="78">
        <v>633165</v>
      </c>
      <c r="V886" s="78" t="s">
        <v>312</v>
      </c>
      <c r="W886" s="78" t="s">
        <v>312</v>
      </c>
      <c r="X886" s="78">
        <f t="shared" si="347"/>
        <v>633165</v>
      </c>
      <c r="Y886" s="95">
        <f t="shared" si="352"/>
        <v>-2.6019428750359945E-3</v>
      </c>
      <c r="Z886" s="95">
        <f t="shared" si="353"/>
        <v>1.2567244945093639E-3</v>
      </c>
      <c r="AA886" s="95">
        <f t="shared" si="356"/>
        <v>-2.6019428750359945E-3</v>
      </c>
      <c r="AB886" s="78" t="s">
        <v>81</v>
      </c>
      <c r="AC886" s="95">
        <f t="shared" si="357"/>
        <v>-2.4885959999999999E-2</v>
      </c>
      <c r="AD886" s="95" cm="1">
        <f t="array" ref="AD886">_xlfn.IFS(
AND(L886="marginal_effect",M886="level"),N886*AN886/BF886,
AND(L886="marginal_effect",M886="sd (Y)"),N886*BI886*AN886/BF886,
AND(L886="marginal_effect",M886="sd (X)"),N886/AQ886*AN886/BF886,
AND(L886="semi_elasticity",M886="level"),N886*AN886,
AND(L886="semi_elasticity",M886="sd (Y)"),N886*AN886*BI886,
AND(L886="semi_elasticity",M886="sd (X)"),N886*AN886/AQ886,
AND(L886="level-log",M886="level"),N886/BF886,
AND(L886="level-log",M886="sd (X)"),N886/BF886/AQ886,
AND(L886="level-log",M886="sd (Y)"),N886/BF886*BI886,
AND(L886="elasticity",M886="level"),N886,
AND(L886="elasticity",M886="sd (X)"),N886/AQ886,
AND(L886="elasticity",M886="sd (Y)"),N886*BI886,
AND(L886="marginal_effect",M886="percent_of_mean"),N886*AN886/BF886/10)</f>
        <v>-2.4885959999999999E-2</v>
      </c>
      <c r="AE886" s="105">
        <f t="shared" si="346"/>
        <v>1</v>
      </c>
      <c r="AF886" s="95">
        <f t="shared" si="358"/>
        <v>1.2019785600000001E-2</v>
      </c>
      <c r="AG886" s="95" cm="1">
        <f t="array" ref="AG886">_xlfn.IFS(
AND(L886="marginal_effect",M886="level"),O886*AN886/BF886,
AND(L886="marginal_effect",M886="sd (Y)"),O886*BI886*AN886/BF886,
AND(L886="marginal_effect",M886="sd (X)"),O886/AQ886*AN886/BF886,
AND(L886="semi_elasticity",M886="level"),O886*AN886,
AND(L886="semi_elasticity",M886="sd (Y)"),O886*AN886*BI886,
AND(L886="semi_elasticity",M886="sd (X)"),O886*AN886/AQ886,
AND(L886="level-log",M886="level"),O886/BF886,
AND(L886="level-log",M886="sd (X)"),O886/BF886/AQ886,
AND(L886="level-log",M886="sd (Y)"),O886/BF886*BI886,
AND(L886="elasticity",M886="level"),O886,
AND(L886="elasticity",M886="sd (X)"),O886/AQ886,
AND(L886="elasticity",M886="sd (Y)"),O886*BI886,
AND(L886="marginal_effect",M886="percent_of_mean"),O886*AN886/BF886/10)</f>
        <v>1.2019785600000001E-2</v>
      </c>
      <c r="AH886" s="105">
        <f t="shared" si="354"/>
        <v>1</v>
      </c>
      <c r="AI886" s="95">
        <f t="shared" si="359"/>
        <v>-2.4885959999999999E-2</v>
      </c>
      <c r="AJ886" s="78">
        <v>0</v>
      </c>
      <c r="AK886" s="78">
        <f t="shared" si="355"/>
        <v>1</v>
      </c>
      <c r="AL886" s="78" t="s">
        <v>82</v>
      </c>
      <c r="AM886" s="78" t="s">
        <v>1333</v>
      </c>
      <c r="AN886" s="78">
        <v>6.6539999999999999</v>
      </c>
      <c r="AO886" s="78">
        <v>0</v>
      </c>
      <c r="AP886" s="78">
        <f t="shared" si="348"/>
        <v>6.6539999999999999</v>
      </c>
      <c r="AQ886" s="78">
        <v>2.7320000000000002</v>
      </c>
      <c r="AR886" s="78">
        <v>0.69099999999999995</v>
      </c>
      <c r="AS886" s="78">
        <v>21.341999999999999</v>
      </c>
      <c r="AT886" s="78" t="s">
        <v>83</v>
      </c>
      <c r="AU886" s="78" t="s">
        <v>109</v>
      </c>
      <c r="AV886" s="78" t="s">
        <v>133</v>
      </c>
      <c r="AW886" s="78" t="s">
        <v>109</v>
      </c>
      <c r="AX886" s="78" t="s">
        <v>86</v>
      </c>
      <c r="AY886" s="78">
        <v>0</v>
      </c>
      <c r="AZ886" s="78">
        <v>0</v>
      </c>
      <c r="BA886" s="78" t="s">
        <v>87</v>
      </c>
      <c r="BB886" s="78" t="s">
        <v>88</v>
      </c>
      <c r="BC886" s="78" t="s">
        <v>89</v>
      </c>
      <c r="BD886" s="78" t="s">
        <v>90</v>
      </c>
      <c r="BE886" s="78" t="s">
        <v>1669</v>
      </c>
      <c r="BF886" s="78">
        <v>6.8559999999999999</v>
      </c>
      <c r="BG886" s="78">
        <v>0</v>
      </c>
      <c r="BH886" s="78">
        <v>3.2730000000000001</v>
      </c>
      <c r="BI886" s="78">
        <v>1</v>
      </c>
      <c r="BJ886" s="78">
        <v>20</v>
      </c>
      <c r="BK886" s="78" t="s">
        <v>91</v>
      </c>
      <c r="BL886" s="78" t="s">
        <v>84</v>
      </c>
      <c r="BM886" s="78">
        <v>1</v>
      </c>
      <c r="BN886" s="78" t="s">
        <v>484</v>
      </c>
      <c r="BO886" s="78" t="s">
        <v>1670</v>
      </c>
      <c r="BP886" s="78" t="s">
        <v>1671</v>
      </c>
      <c r="BQ886" s="78" t="s">
        <v>92</v>
      </c>
      <c r="BR886" s="78" t="s">
        <v>118</v>
      </c>
      <c r="BS886" s="78">
        <v>29.169</v>
      </c>
      <c r="BT886" s="78">
        <f t="shared" si="360"/>
        <v>0.30900000000000005</v>
      </c>
      <c r="BU886" s="78">
        <v>2010</v>
      </c>
      <c r="BV886" s="78">
        <v>2015</v>
      </c>
      <c r="BW886" s="78" t="s">
        <v>94</v>
      </c>
      <c r="BX886" s="78" t="s">
        <v>95</v>
      </c>
      <c r="BY886" s="78" t="s">
        <v>96</v>
      </c>
      <c r="BZ886" s="78">
        <v>0</v>
      </c>
      <c r="CA886" s="78">
        <v>0</v>
      </c>
      <c r="CB886" s="78" t="s">
        <v>97</v>
      </c>
      <c r="CC886" s="78" t="s">
        <v>1673</v>
      </c>
      <c r="CD886" s="78">
        <v>1</v>
      </c>
      <c r="CE886" s="78" t="s">
        <v>1712</v>
      </c>
      <c r="CF886" s="78">
        <v>1</v>
      </c>
      <c r="CG886" s="78" t="s">
        <v>148</v>
      </c>
      <c r="CH886" s="78">
        <v>1</v>
      </c>
      <c r="CI886" s="78" t="s">
        <v>1465</v>
      </c>
      <c r="CJ886" s="78" t="s">
        <v>98</v>
      </c>
      <c r="CK886" s="78">
        <v>79</v>
      </c>
      <c r="CL886" s="78">
        <v>0</v>
      </c>
      <c r="CM886" s="78">
        <v>0</v>
      </c>
      <c r="CN886" s="78" t="s">
        <v>99</v>
      </c>
      <c r="CO886" s="78" t="s">
        <v>97</v>
      </c>
      <c r="CP886" s="78" t="s">
        <v>100</v>
      </c>
      <c r="CQ886" s="78" t="s">
        <v>126</v>
      </c>
      <c r="CR886" s="80">
        <v>46234</v>
      </c>
      <c r="CT886" s="78" t="s">
        <v>550</v>
      </c>
    </row>
    <row r="887" spans="1:98" s="78" customFormat="1" x14ac:dyDescent="0.35">
      <c r="A887" s="77" t="s">
        <v>1666</v>
      </c>
      <c r="B887" s="77" t="s">
        <v>1680</v>
      </c>
      <c r="C887" s="77" t="s">
        <v>1667</v>
      </c>
      <c r="D887" s="78">
        <v>2022</v>
      </c>
      <c r="E887" s="79" t="s">
        <v>1672</v>
      </c>
      <c r="F887" s="77" t="s">
        <v>1668</v>
      </c>
      <c r="G887" s="78" t="s">
        <v>78</v>
      </c>
      <c r="H887" s="78">
        <v>1</v>
      </c>
      <c r="I887" s="78" t="s">
        <v>390</v>
      </c>
      <c r="J887" s="78" t="s">
        <v>79</v>
      </c>
      <c r="K887" s="78">
        <v>33</v>
      </c>
      <c r="L887" s="78" t="s">
        <v>104</v>
      </c>
      <c r="M887" s="78" t="s">
        <v>380</v>
      </c>
      <c r="N887" s="78">
        <v>-2.2399999999999998E-3</v>
      </c>
      <c r="O887" s="78">
        <v>8.8690000000000004E-4</v>
      </c>
      <c r="P887" s="95">
        <f t="shared" si="349"/>
        <v>-2.5256511444356744</v>
      </c>
      <c r="Q887" s="78" t="s">
        <v>312</v>
      </c>
      <c r="R887" s="95">
        <f t="shared" si="350"/>
        <v>-3.9783240000000001E-3</v>
      </c>
      <c r="S887" s="95">
        <f t="shared" si="351"/>
        <v>-5.0167599999999973E-4</v>
      </c>
      <c r="T887" s="78">
        <v>1</v>
      </c>
      <c r="U887" s="78">
        <v>633165</v>
      </c>
      <c r="V887" s="78" t="s">
        <v>312</v>
      </c>
      <c r="W887" s="78" t="s">
        <v>312</v>
      </c>
      <c r="X887" s="78">
        <f t="shared" si="347"/>
        <v>633165</v>
      </c>
      <c r="Y887" s="95">
        <f t="shared" si="352"/>
        <v>-3.1740424135354136E-3</v>
      </c>
      <c r="Z887" s="95">
        <f t="shared" si="353"/>
        <v>1.256722418109178E-3</v>
      </c>
      <c r="AA887" s="95">
        <f t="shared" si="356"/>
        <v>-3.1740424135354136E-3</v>
      </c>
      <c r="AB887" s="78" t="s">
        <v>81</v>
      </c>
      <c r="AC887" s="95">
        <f t="shared" si="357"/>
        <v>-8.6132479999999983E-2</v>
      </c>
      <c r="AD887" s="95" cm="1">
        <f t="array" ref="AD887">_xlfn.IFS(
AND(L887="marginal_effect",M887="level"),N887*AN887/BF887,
AND(L887="marginal_effect",M887="sd (Y)"),N887*BI887*AN887/BF887,
AND(L887="marginal_effect",M887="sd (X)"),N887/AQ887*AN887/BF887,
AND(L887="semi_elasticity",M887="level"),N887*AN887,
AND(L887="semi_elasticity",M887="sd (Y)"),N887*AN887*BI887,
AND(L887="semi_elasticity",M887="sd (X)"),N887*AN887/AQ887,
AND(L887="level-log",M887="level"),N887/BF887,
AND(L887="level-log",M887="sd (X)"),N887/BF887/AQ887,
AND(L887="level-log",M887="sd (Y)"),N887/BF887*BI887,
AND(L887="elasticity",M887="level"),N887,
AND(L887="elasticity",M887="sd (X)"),N887/AQ887,
AND(L887="elasticity",M887="sd (Y)"),N887*BI887,
AND(L887="marginal_effect",M887="percent_of_mean"),N887*AN887/BF887/10)</f>
        <v>-8.6132479999999983E-2</v>
      </c>
      <c r="AE887" s="105">
        <f t="shared" si="346"/>
        <v>1</v>
      </c>
      <c r="AF887" s="95">
        <f t="shared" si="358"/>
        <v>3.4103078799999999E-2</v>
      </c>
      <c r="AG887" s="95" cm="1">
        <f t="array" ref="AG887">_xlfn.IFS(
AND(L887="marginal_effect",M887="level"),O887*AN887/BF887,
AND(L887="marginal_effect",M887="sd (Y)"),O887*BI887*AN887/BF887,
AND(L887="marginal_effect",M887="sd (X)"),O887/AQ887*AN887/BF887,
AND(L887="semi_elasticity",M887="level"),O887*AN887,
AND(L887="semi_elasticity",M887="sd (Y)"),O887*AN887*BI887,
AND(L887="semi_elasticity",M887="sd (X)"),O887*AN887/AQ887,
AND(L887="level-log",M887="level"),O887/BF887,
AND(L887="level-log",M887="sd (X)"),O887/BF887/AQ887,
AND(L887="level-log",M887="sd (Y)"),O887/BF887*BI887,
AND(L887="elasticity",M887="level"),O887,
AND(L887="elasticity",M887="sd (X)"),O887/AQ887,
AND(L887="elasticity",M887="sd (Y)"),O887*BI887,
AND(L887="marginal_effect",M887="percent_of_mean"),O887*AN887/BF887/10)</f>
        <v>3.4103078799999999E-2</v>
      </c>
      <c r="AH887" s="105">
        <f t="shared" si="354"/>
        <v>1</v>
      </c>
      <c r="AI887" s="95">
        <f t="shared" si="359"/>
        <v>-8.6132479999999983E-2</v>
      </c>
      <c r="AJ887" s="78">
        <v>0</v>
      </c>
      <c r="AK887" s="78">
        <f t="shared" si="355"/>
        <v>1</v>
      </c>
      <c r="AL887" s="76" t="s">
        <v>1674</v>
      </c>
      <c r="AM887" s="78" t="s">
        <v>410</v>
      </c>
      <c r="AN887" s="78">
        <v>38.451999999999998</v>
      </c>
      <c r="AO887" s="78">
        <v>0</v>
      </c>
      <c r="AP887" s="78">
        <f t="shared" si="348"/>
        <v>38.451999999999998</v>
      </c>
      <c r="AQ887" s="78">
        <v>9.109</v>
      </c>
      <c r="AR887" s="78">
        <v>14</v>
      </c>
      <c r="AS887" s="78">
        <v>83</v>
      </c>
      <c r="AT887" s="78" t="s">
        <v>83</v>
      </c>
      <c r="AU887" s="78" t="s">
        <v>109</v>
      </c>
      <c r="AV887" s="78" t="s">
        <v>133</v>
      </c>
      <c r="AW887" s="78" t="s">
        <v>109</v>
      </c>
      <c r="AX887" s="78" t="s">
        <v>86</v>
      </c>
      <c r="AY887" s="78">
        <v>0</v>
      </c>
      <c r="AZ887" s="78">
        <v>0</v>
      </c>
      <c r="BA887" s="78" t="s">
        <v>87</v>
      </c>
      <c r="BB887" s="78" t="s">
        <v>88</v>
      </c>
      <c r="BC887" s="78" t="s">
        <v>89</v>
      </c>
      <c r="BD887" s="78" t="s">
        <v>90</v>
      </c>
      <c r="BE887" s="78" t="s">
        <v>1669</v>
      </c>
      <c r="BF887" s="78">
        <v>6.8559999999999999</v>
      </c>
      <c r="BG887" s="78">
        <v>0</v>
      </c>
      <c r="BH887" s="78">
        <v>3.2730000000000001</v>
      </c>
      <c r="BI887" s="78">
        <v>1</v>
      </c>
      <c r="BJ887" s="78">
        <v>20</v>
      </c>
      <c r="BK887" s="78" t="s">
        <v>91</v>
      </c>
      <c r="BL887" s="78" t="s">
        <v>84</v>
      </c>
      <c r="BM887" s="78">
        <v>1</v>
      </c>
      <c r="BN887" s="78" t="s">
        <v>484</v>
      </c>
      <c r="BO887" s="78" t="s">
        <v>1670</v>
      </c>
      <c r="BP887" s="78" t="s">
        <v>1671</v>
      </c>
      <c r="BQ887" s="78" t="s">
        <v>92</v>
      </c>
      <c r="BR887" s="78" t="s">
        <v>118</v>
      </c>
      <c r="BS887" s="78">
        <v>29.169</v>
      </c>
      <c r="BT887" s="78">
        <f t="shared" si="360"/>
        <v>0.30900000000000005</v>
      </c>
      <c r="BU887" s="78">
        <v>2010</v>
      </c>
      <c r="BV887" s="78">
        <v>2015</v>
      </c>
      <c r="BW887" s="78" t="s">
        <v>94</v>
      </c>
      <c r="BX887" s="78" t="s">
        <v>95</v>
      </c>
      <c r="BY887" s="78" t="s">
        <v>96</v>
      </c>
      <c r="BZ887" s="78">
        <v>0</v>
      </c>
      <c r="CA887" s="78">
        <v>0</v>
      </c>
      <c r="CB887" s="78" t="s">
        <v>97</v>
      </c>
      <c r="CC887" s="78" t="s">
        <v>1673</v>
      </c>
      <c r="CD887" s="78">
        <v>1</v>
      </c>
      <c r="CE887" s="78" t="s">
        <v>1712</v>
      </c>
      <c r="CF887" s="78">
        <v>1</v>
      </c>
      <c r="CG887" s="78" t="s">
        <v>82</v>
      </c>
      <c r="CH887" s="78">
        <v>1</v>
      </c>
      <c r="CI887" s="78" t="s">
        <v>1465</v>
      </c>
      <c r="CJ887" s="78" t="s">
        <v>98</v>
      </c>
      <c r="CK887" s="78">
        <v>79</v>
      </c>
      <c r="CL887" s="78">
        <v>0</v>
      </c>
      <c r="CM887" s="78">
        <v>0</v>
      </c>
      <c r="CN887" s="78" t="s">
        <v>99</v>
      </c>
      <c r="CO887" s="78" t="s">
        <v>97</v>
      </c>
      <c r="CP887" s="78" t="s">
        <v>100</v>
      </c>
      <c r="CQ887" s="78" t="s">
        <v>126</v>
      </c>
      <c r="CR887" s="80">
        <v>46234</v>
      </c>
      <c r="CT887" s="78" t="s">
        <v>550</v>
      </c>
    </row>
    <row r="888" spans="1:98" s="78" customFormat="1" x14ac:dyDescent="0.35">
      <c r="A888" s="77" t="s">
        <v>1666</v>
      </c>
      <c r="B888" s="77" t="s">
        <v>1681</v>
      </c>
      <c r="C888" s="77" t="s">
        <v>1667</v>
      </c>
      <c r="D888" s="78">
        <v>2022</v>
      </c>
      <c r="E888" s="79" t="s">
        <v>1672</v>
      </c>
      <c r="F888" s="77" t="s">
        <v>1668</v>
      </c>
      <c r="G888" s="78" t="s">
        <v>78</v>
      </c>
      <c r="H888" s="78">
        <v>1</v>
      </c>
      <c r="I888" s="78" t="s">
        <v>390</v>
      </c>
      <c r="J888" s="78" t="s">
        <v>79</v>
      </c>
      <c r="K888" s="78">
        <v>33</v>
      </c>
      <c r="L888" s="78" t="s">
        <v>104</v>
      </c>
      <c r="M888" s="78" t="s">
        <v>380</v>
      </c>
      <c r="N888" s="78">
        <v>-5.62E-3</v>
      </c>
      <c r="O888" s="78">
        <v>1.4963999999999999E-3</v>
      </c>
      <c r="P888" s="95">
        <f t="shared" si="349"/>
        <v>-3.7556802993851912</v>
      </c>
      <c r="Q888" s="78" t="s">
        <v>312</v>
      </c>
      <c r="R888" s="95">
        <f t="shared" si="350"/>
        <v>-8.5529439999999998E-3</v>
      </c>
      <c r="S888" s="95">
        <f t="shared" si="351"/>
        <v>-2.6870560000000002E-3</v>
      </c>
      <c r="T888" s="78">
        <v>1</v>
      </c>
      <c r="U888" s="78">
        <v>633165</v>
      </c>
      <c r="V888" s="78" t="s">
        <v>312</v>
      </c>
      <c r="W888" s="78" t="s">
        <v>312</v>
      </c>
      <c r="X888" s="78">
        <f t="shared" si="347"/>
        <v>633165</v>
      </c>
      <c r="Y888" s="95">
        <f t="shared" si="352"/>
        <v>-4.7198188309788896E-3</v>
      </c>
      <c r="Z888" s="95">
        <f t="shared" si="353"/>
        <v>1.2567147506542366E-3</v>
      </c>
      <c r="AA888" s="95">
        <f t="shared" si="356"/>
        <v>-4.7198188309788896E-3</v>
      </c>
      <c r="AB888" s="78" t="s">
        <v>81</v>
      </c>
      <c r="AC888" s="95">
        <f t="shared" si="357"/>
        <v>-3.7395480000000002E-2</v>
      </c>
      <c r="AD888" s="95" cm="1">
        <f t="array" ref="AD888">_xlfn.IFS(
AND(L888="marginal_effect",M888="level"),N888*AN888/BF888,
AND(L888="marginal_effect",M888="sd (Y)"),N888*BI888*AN888/BF888,
AND(L888="marginal_effect",M888="sd (X)"),N888/AQ888*AN888/BF888,
AND(L888="semi_elasticity",M888="level"),N888*AN888,
AND(L888="semi_elasticity",M888="sd (Y)"),N888*AN888*BI888,
AND(L888="semi_elasticity",M888="sd (X)"),N888*AN888/AQ888,
AND(L888="level-log",M888="level"),N888/BF888,
AND(L888="level-log",M888="sd (X)"),N888/BF888/AQ888,
AND(L888="level-log",M888="sd (Y)"),N888/BF888*BI888,
AND(L888="elasticity",M888="level"),N888,
AND(L888="elasticity",M888="sd (X)"),N888/AQ888,
AND(L888="elasticity",M888="sd (Y)"),N888*BI888,
AND(L888="marginal_effect",M888="percent_of_mean"),N888*AN888/BF888/10)</f>
        <v>-3.7395480000000002E-2</v>
      </c>
      <c r="AE888" s="105">
        <f t="shared" si="346"/>
        <v>1</v>
      </c>
      <c r="AF888" s="95">
        <f t="shared" si="358"/>
        <v>9.9570455999999988E-3</v>
      </c>
      <c r="AG888" s="95" cm="1">
        <f t="array" ref="AG888">_xlfn.IFS(
AND(L888="marginal_effect",M888="level"),O888*AN888/BF888,
AND(L888="marginal_effect",M888="sd (Y)"),O888*BI888*AN888/BF888,
AND(L888="marginal_effect",M888="sd (X)"),O888/AQ888*AN888/BF888,
AND(L888="semi_elasticity",M888="level"),O888*AN888,
AND(L888="semi_elasticity",M888="sd (Y)"),O888*AN888*BI888,
AND(L888="semi_elasticity",M888="sd (X)"),O888*AN888/AQ888,
AND(L888="level-log",M888="level"),O888/BF888,
AND(L888="level-log",M888="sd (X)"),O888/BF888/AQ888,
AND(L888="level-log",M888="sd (Y)"),O888/BF888*BI888,
AND(L888="elasticity",M888="level"),O888,
AND(L888="elasticity",M888="sd (X)"),O888/AQ888,
AND(L888="elasticity",M888="sd (Y)"),O888*BI888,
AND(L888="marginal_effect",M888="percent_of_mean"),O888*AN888/BF888/10)</f>
        <v>9.9570455999999988E-3</v>
      </c>
      <c r="AH888" s="105">
        <f t="shared" si="354"/>
        <v>1</v>
      </c>
      <c r="AI888" s="95">
        <f t="shared" si="359"/>
        <v>-3.7395480000000002E-2</v>
      </c>
      <c r="AJ888" s="78">
        <v>0</v>
      </c>
      <c r="AK888" s="78">
        <f t="shared" si="355"/>
        <v>1</v>
      </c>
      <c r="AL888" s="78" t="s">
        <v>82</v>
      </c>
      <c r="AM888" s="78" t="s">
        <v>1333</v>
      </c>
      <c r="AN888" s="78">
        <v>6.6539999999999999</v>
      </c>
      <c r="AO888" s="78">
        <v>0</v>
      </c>
      <c r="AP888" s="78">
        <f t="shared" si="348"/>
        <v>6.6539999999999999</v>
      </c>
      <c r="AQ888" s="78">
        <v>2.7320000000000002</v>
      </c>
      <c r="AR888" s="78">
        <v>0.69099999999999995</v>
      </c>
      <c r="AS888" s="78">
        <v>21.341999999999999</v>
      </c>
      <c r="AT888" s="78" t="s">
        <v>83</v>
      </c>
      <c r="AU888" s="78" t="s">
        <v>109</v>
      </c>
      <c r="AV888" s="78" t="s">
        <v>133</v>
      </c>
      <c r="AW888" s="78" t="s">
        <v>109</v>
      </c>
      <c r="AX888" s="78" t="s">
        <v>86</v>
      </c>
      <c r="AY888" s="78">
        <v>0</v>
      </c>
      <c r="AZ888" s="78">
        <v>0</v>
      </c>
      <c r="BA888" s="78" t="s">
        <v>87</v>
      </c>
      <c r="BB888" s="78" t="s">
        <v>88</v>
      </c>
      <c r="BC888" s="78" t="s">
        <v>89</v>
      </c>
      <c r="BD888" s="78" t="s">
        <v>90</v>
      </c>
      <c r="BE888" s="78" t="s">
        <v>1669</v>
      </c>
      <c r="BF888" s="78">
        <v>6.8559999999999999</v>
      </c>
      <c r="BG888" s="78">
        <v>0</v>
      </c>
      <c r="BH888" s="78">
        <v>3.2730000000000001</v>
      </c>
      <c r="BI888" s="78">
        <v>1</v>
      </c>
      <c r="BJ888" s="78">
        <v>20</v>
      </c>
      <c r="BK888" s="78" t="s">
        <v>91</v>
      </c>
      <c r="BL888" s="78" t="s">
        <v>84</v>
      </c>
      <c r="BM888" s="78">
        <v>1</v>
      </c>
      <c r="BN888" s="78" t="s">
        <v>484</v>
      </c>
      <c r="BO888" s="78" t="s">
        <v>1670</v>
      </c>
      <c r="BP888" s="78" t="s">
        <v>1671</v>
      </c>
      <c r="BQ888" s="78" t="s">
        <v>92</v>
      </c>
      <c r="BR888" s="78" t="s">
        <v>118</v>
      </c>
      <c r="BS888" s="78">
        <v>29.169</v>
      </c>
      <c r="BT888" s="78">
        <f t="shared" si="360"/>
        <v>0.30900000000000005</v>
      </c>
      <c r="BU888" s="78">
        <v>2010</v>
      </c>
      <c r="BV888" s="78">
        <v>2015</v>
      </c>
      <c r="BW888" s="78" t="s">
        <v>94</v>
      </c>
      <c r="BX888" s="78" t="s">
        <v>95</v>
      </c>
      <c r="BY888" s="78" t="s">
        <v>96</v>
      </c>
      <c r="BZ888" s="78">
        <v>0</v>
      </c>
      <c r="CA888" s="78">
        <v>0</v>
      </c>
      <c r="CB888" s="78" t="s">
        <v>97</v>
      </c>
      <c r="CC888" s="78" t="s">
        <v>1673</v>
      </c>
      <c r="CD888" s="78">
        <v>1</v>
      </c>
      <c r="CE888" s="78" t="s">
        <v>1712</v>
      </c>
      <c r="CF888" s="78">
        <v>1</v>
      </c>
      <c r="CG888" s="78" t="s">
        <v>148</v>
      </c>
      <c r="CH888" s="78">
        <v>1</v>
      </c>
      <c r="CI888" s="78" t="s">
        <v>1465</v>
      </c>
      <c r="CJ888" s="78" t="s">
        <v>98</v>
      </c>
      <c r="CK888" s="78">
        <v>79</v>
      </c>
      <c r="CL888" s="78">
        <v>0</v>
      </c>
      <c r="CM888" s="78">
        <v>0</v>
      </c>
      <c r="CN888" s="78" t="s">
        <v>99</v>
      </c>
      <c r="CO888" s="78" t="s">
        <v>97</v>
      </c>
      <c r="CP888" s="78" t="s">
        <v>100</v>
      </c>
      <c r="CQ888" s="78" t="s">
        <v>126</v>
      </c>
      <c r="CR888" s="80">
        <v>46234</v>
      </c>
      <c r="CT888" s="78" t="s">
        <v>551</v>
      </c>
    </row>
    <row r="889" spans="1:98" s="78" customFormat="1" x14ac:dyDescent="0.35">
      <c r="A889" s="77" t="s">
        <v>1666</v>
      </c>
      <c r="B889" s="77" t="s">
        <v>1682</v>
      </c>
      <c r="C889" s="77" t="s">
        <v>1667</v>
      </c>
      <c r="D889" s="78">
        <v>2022</v>
      </c>
      <c r="E889" s="79" t="s">
        <v>1672</v>
      </c>
      <c r="F889" s="77" t="s">
        <v>1668</v>
      </c>
      <c r="G889" s="78" t="s">
        <v>78</v>
      </c>
      <c r="H889" s="78">
        <v>1</v>
      </c>
      <c r="I889" s="78" t="s">
        <v>390</v>
      </c>
      <c r="J889" s="78" t="s">
        <v>79</v>
      </c>
      <c r="K889" s="78">
        <v>33</v>
      </c>
      <c r="L889" s="78" t="s">
        <v>104</v>
      </c>
      <c r="M889" s="78" t="s">
        <v>380</v>
      </c>
      <c r="N889" s="78">
        <v>-2.4199999999999998E-3</v>
      </c>
      <c r="O889" s="78">
        <v>7.5259999999999997E-4</v>
      </c>
      <c r="P889" s="95">
        <f t="shared" si="349"/>
        <v>-3.2155195322880679</v>
      </c>
      <c r="Q889" s="78" t="s">
        <v>312</v>
      </c>
      <c r="R889" s="95">
        <f t="shared" si="350"/>
        <v>-3.8950959999999998E-3</v>
      </c>
      <c r="S889" s="95">
        <f t="shared" si="351"/>
        <v>-9.4490399999999988E-4</v>
      </c>
      <c r="T889" s="78">
        <v>1</v>
      </c>
      <c r="U889" s="78">
        <v>633165</v>
      </c>
      <c r="V889" s="78" t="s">
        <v>312</v>
      </c>
      <c r="W889" s="78" t="s">
        <v>312</v>
      </c>
      <c r="X889" s="78">
        <f t="shared" si="347"/>
        <v>633165</v>
      </c>
      <c r="Y889" s="95">
        <f t="shared" si="352"/>
        <v>-4.04100284335061E-3</v>
      </c>
      <c r="Z889" s="95">
        <f t="shared" si="353"/>
        <v>1.2567184875643261E-3</v>
      </c>
      <c r="AA889" s="95">
        <f t="shared" si="356"/>
        <v>-4.04100284335061E-3</v>
      </c>
      <c r="AB889" s="78" t="s">
        <v>81</v>
      </c>
      <c r="AC889" s="95">
        <f t="shared" si="357"/>
        <v>-9.3053839999999985E-2</v>
      </c>
      <c r="AD889" s="95" cm="1">
        <f t="array" ref="AD889">_xlfn.IFS(
AND(L889="marginal_effect",M889="level"),N889*AN889/BF889,
AND(L889="marginal_effect",M889="sd (Y)"),N889*BI889*AN889/BF889,
AND(L889="marginal_effect",M889="sd (X)"),N889/AQ889*AN889/BF889,
AND(L889="semi_elasticity",M889="level"),N889*AN889,
AND(L889="semi_elasticity",M889="sd (Y)"),N889*AN889*BI889,
AND(L889="semi_elasticity",M889="sd (X)"),N889*AN889/AQ889,
AND(L889="level-log",M889="level"),N889/BF889,
AND(L889="level-log",M889="sd (X)"),N889/BF889/AQ889,
AND(L889="level-log",M889="sd (Y)"),N889/BF889*BI889,
AND(L889="elasticity",M889="level"),N889,
AND(L889="elasticity",M889="sd (X)"),N889/AQ889,
AND(L889="elasticity",M889="sd (Y)"),N889*BI889,
AND(L889="marginal_effect",M889="percent_of_mean"),N889*AN889/BF889/10)</f>
        <v>-9.3053839999999985E-2</v>
      </c>
      <c r="AE889" s="105">
        <f t="shared" si="346"/>
        <v>1</v>
      </c>
      <c r="AF889" s="95">
        <f t="shared" si="358"/>
        <v>2.8938975199999998E-2</v>
      </c>
      <c r="AG889" s="95" cm="1">
        <f t="array" ref="AG889">_xlfn.IFS(
AND(L889="marginal_effect",M889="level"),O889*AN889/BF889,
AND(L889="marginal_effect",M889="sd (Y)"),O889*BI889*AN889/BF889,
AND(L889="marginal_effect",M889="sd (X)"),O889/AQ889*AN889/BF889,
AND(L889="semi_elasticity",M889="level"),O889*AN889,
AND(L889="semi_elasticity",M889="sd (Y)"),O889*AN889*BI889,
AND(L889="semi_elasticity",M889="sd (X)"),O889*AN889/AQ889,
AND(L889="level-log",M889="level"),O889/BF889,
AND(L889="level-log",M889="sd (X)"),O889/BF889/AQ889,
AND(L889="level-log",M889="sd (Y)"),O889/BF889*BI889,
AND(L889="elasticity",M889="level"),O889,
AND(L889="elasticity",M889="sd (X)"),O889/AQ889,
AND(L889="elasticity",M889="sd (Y)"),O889*BI889,
AND(L889="marginal_effect",M889="percent_of_mean"),O889*AN889/BF889/10)</f>
        <v>2.8938975199999998E-2</v>
      </c>
      <c r="AH889" s="105">
        <f t="shared" si="354"/>
        <v>1</v>
      </c>
      <c r="AI889" s="95">
        <f t="shared" si="359"/>
        <v>-9.3053839999999985E-2</v>
      </c>
      <c r="AJ889" s="78">
        <v>0</v>
      </c>
      <c r="AK889" s="78">
        <f t="shared" si="355"/>
        <v>1</v>
      </c>
      <c r="AL889" s="76" t="s">
        <v>1674</v>
      </c>
      <c r="AM889" s="78" t="s">
        <v>410</v>
      </c>
      <c r="AN889" s="78">
        <v>38.451999999999998</v>
      </c>
      <c r="AO889" s="78">
        <v>0</v>
      </c>
      <c r="AP889" s="78">
        <f t="shared" si="348"/>
        <v>38.451999999999998</v>
      </c>
      <c r="AQ889" s="78">
        <v>9.109</v>
      </c>
      <c r="AR889" s="78">
        <v>14</v>
      </c>
      <c r="AS889" s="78">
        <v>83</v>
      </c>
      <c r="AT889" s="78" t="s">
        <v>83</v>
      </c>
      <c r="AU889" s="78" t="s">
        <v>109</v>
      </c>
      <c r="AV889" s="78" t="s">
        <v>133</v>
      </c>
      <c r="AW889" s="78" t="s">
        <v>109</v>
      </c>
      <c r="AX889" s="78" t="s">
        <v>86</v>
      </c>
      <c r="AY889" s="78">
        <v>0</v>
      </c>
      <c r="AZ889" s="78">
        <v>0</v>
      </c>
      <c r="BA889" s="78" t="s">
        <v>87</v>
      </c>
      <c r="BB889" s="78" t="s">
        <v>88</v>
      </c>
      <c r="BC889" s="78" t="s">
        <v>89</v>
      </c>
      <c r="BD889" s="78" t="s">
        <v>90</v>
      </c>
      <c r="BE889" s="78" t="s">
        <v>1669</v>
      </c>
      <c r="BF889" s="78">
        <v>6.8559999999999999</v>
      </c>
      <c r="BG889" s="78">
        <v>0</v>
      </c>
      <c r="BH889" s="78">
        <v>3.2730000000000001</v>
      </c>
      <c r="BI889" s="78">
        <v>1</v>
      </c>
      <c r="BJ889" s="78">
        <v>20</v>
      </c>
      <c r="BK889" s="78" t="s">
        <v>91</v>
      </c>
      <c r="BL889" s="78" t="s">
        <v>84</v>
      </c>
      <c r="BM889" s="78">
        <v>1</v>
      </c>
      <c r="BN889" s="78" t="s">
        <v>484</v>
      </c>
      <c r="BO889" s="78" t="s">
        <v>1670</v>
      </c>
      <c r="BP889" s="78" t="s">
        <v>1671</v>
      </c>
      <c r="BQ889" s="78" t="s">
        <v>92</v>
      </c>
      <c r="BR889" s="78" t="s">
        <v>118</v>
      </c>
      <c r="BS889" s="78">
        <v>29.169</v>
      </c>
      <c r="BT889" s="78">
        <f t="shared" si="360"/>
        <v>0.30900000000000005</v>
      </c>
      <c r="BU889" s="78">
        <v>2010</v>
      </c>
      <c r="BV889" s="78">
        <v>2015</v>
      </c>
      <c r="BW889" s="78" t="s">
        <v>94</v>
      </c>
      <c r="BX889" s="78" t="s">
        <v>95</v>
      </c>
      <c r="BY889" s="78" t="s">
        <v>96</v>
      </c>
      <c r="BZ889" s="78">
        <v>0</v>
      </c>
      <c r="CA889" s="78">
        <v>0</v>
      </c>
      <c r="CB889" s="78" t="s">
        <v>97</v>
      </c>
      <c r="CC889" s="78" t="s">
        <v>1673</v>
      </c>
      <c r="CD889" s="78">
        <v>1</v>
      </c>
      <c r="CE889" s="78" t="s">
        <v>1712</v>
      </c>
      <c r="CF889" s="78">
        <v>1</v>
      </c>
      <c r="CG889" s="78" t="s">
        <v>82</v>
      </c>
      <c r="CH889" s="78">
        <v>1</v>
      </c>
      <c r="CI889" s="78" t="s">
        <v>1465</v>
      </c>
      <c r="CJ889" s="78" t="s">
        <v>98</v>
      </c>
      <c r="CK889" s="78">
        <v>79</v>
      </c>
      <c r="CL889" s="78">
        <v>0</v>
      </c>
      <c r="CM889" s="78">
        <v>0</v>
      </c>
      <c r="CN889" s="78" t="s">
        <v>99</v>
      </c>
      <c r="CO889" s="78" t="s">
        <v>97</v>
      </c>
      <c r="CP889" s="78" t="s">
        <v>100</v>
      </c>
      <c r="CQ889" s="78" t="s">
        <v>126</v>
      </c>
      <c r="CR889" s="80">
        <v>46234</v>
      </c>
      <c r="CT889" s="78" t="s">
        <v>551</v>
      </c>
    </row>
    <row r="890" spans="1:98" s="78" customFormat="1" x14ac:dyDescent="0.35">
      <c r="A890" s="77" t="s">
        <v>1666</v>
      </c>
      <c r="B890" s="77" t="s">
        <v>1683</v>
      </c>
      <c r="C890" s="77" t="s">
        <v>1667</v>
      </c>
      <c r="D890" s="78">
        <v>2022</v>
      </c>
      <c r="E890" s="79" t="s">
        <v>1672</v>
      </c>
      <c r="F890" s="77" t="s">
        <v>1668</v>
      </c>
      <c r="G890" s="78" t="s">
        <v>78</v>
      </c>
      <c r="H890" s="78">
        <v>1</v>
      </c>
      <c r="I890" s="78" t="s">
        <v>390</v>
      </c>
      <c r="J890" s="78" t="s">
        <v>79</v>
      </c>
      <c r="K890" s="78">
        <v>33</v>
      </c>
      <c r="L890" s="78" t="s">
        <v>104</v>
      </c>
      <c r="M890" s="78" t="s">
        <v>380</v>
      </c>
      <c r="N890" s="78">
        <v>-4.2199999999999998E-3</v>
      </c>
      <c r="O890" s="78">
        <v>1.4417E-3</v>
      </c>
      <c r="P890" s="95">
        <f t="shared" si="349"/>
        <v>-2.927099951446209</v>
      </c>
      <c r="Q890" s="78" t="s">
        <v>312</v>
      </c>
      <c r="R890" s="95">
        <f t="shared" si="350"/>
        <v>-7.0457319999999999E-3</v>
      </c>
      <c r="S890" s="95">
        <f t="shared" si="351"/>
        <v>-1.3942679999999997E-3</v>
      </c>
      <c r="T890" s="78">
        <v>1</v>
      </c>
      <c r="U890" s="78">
        <v>633165</v>
      </c>
      <c r="V890" s="78" t="s">
        <v>312</v>
      </c>
      <c r="W890" s="78" t="s">
        <v>312</v>
      </c>
      <c r="X890" s="78">
        <f t="shared" si="347"/>
        <v>633165</v>
      </c>
      <c r="Y890" s="95">
        <f t="shared" si="352"/>
        <v>-3.6785457702990525E-3</v>
      </c>
      <c r="Z890" s="95">
        <f t="shared" si="353"/>
        <v>1.2567202457441102E-3</v>
      </c>
      <c r="AA890" s="95">
        <f t="shared" si="356"/>
        <v>-3.6785457702990525E-3</v>
      </c>
      <c r="AB890" s="78" t="s">
        <v>81</v>
      </c>
      <c r="AC890" s="95">
        <f t="shared" si="357"/>
        <v>-2.8079879999999998E-2</v>
      </c>
      <c r="AD890" s="95" cm="1">
        <f t="array" ref="AD890">_xlfn.IFS(
AND(L890="marginal_effect",M890="level"),N890*AN890/BF890,
AND(L890="marginal_effect",M890="sd (Y)"),N890*BI890*AN890/BF890,
AND(L890="marginal_effect",M890="sd (X)"),N890/AQ890*AN890/BF890,
AND(L890="semi_elasticity",M890="level"),N890*AN890,
AND(L890="semi_elasticity",M890="sd (Y)"),N890*AN890*BI890,
AND(L890="semi_elasticity",M890="sd (X)"),N890*AN890/AQ890,
AND(L890="level-log",M890="level"),N890/BF890,
AND(L890="level-log",M890="sd (X)"),N890/BF890/AQ890,
AND(L890="level-log",M890="sd (Y)"),N890/BF890*BI890,
AND(L890="elasticity",M890="level"),N890,
AND(L890="elasticity",M890="sd (X)"),N890/AQ890,
AND(L890="elasticity",M890="sd (Y)"),N890*BI890,
AND(L890="marginal_effect",M890="percent_of_mean"),N890*AN890/BF890/10)</f>
        <v>-2.8079879999999998E-2</v>
      </c>
      <c r="AE890" s="105">
        <f t="shared" si="346"/>
        <v>1</v>
      </c>
      <c r="AF890" s="95">
        <f t="shared" si="358"/>
        <v>9.5930718000000002E-3</v>
      </c>
      <c r="AG890" s="95" cm="1">
        <f t="array" ref="AG890">_xlfn.IFS(
AND(L890="marginal_effect",M890="level"),O890*AN890/BF890,
AND(L890="marginal_effect",M890="sd (Y)"),O890*BI890*AN890/BF890,
AND(L890="marginal_effect",M890="sd (X)"),O890/AQ890*AN890/BF890,
AND(L890="semi_elasticity",M890="level"),O890*AN890,
AND(L890="semi_elasticity",M890="sd (Y)"),O890*AN890*BI890,
AND(L890="semi_elasticity",M890="sd (X)"),O890*AN890/AQ890,
AND(L890="level-log",M890="level"),O890/BF890,
AND(L890="level-log",M890="sd (X)"),O890/BF890/AQ890,
AND(L890="level-log",M890="sd (Y)"),O890/BF890*BI890,
AND(L890="elasticity",M890="level"),O890,
AND(L890="elasticity",M890="sd (X)"),O890/AQ890,
AND(L890="elasticity",M890="sd (Y)"),O890*BI890,
AND(L890="marginal_effect",M890="percent_of_mean"),O890*AN890/BF890/10)</f>
        <v>9.5930718000000002E-3</v>
      </c>
      <c r="AH890" s="105">
        <f t="shared" si="354"/>
        <v>1</v>
      </c>
      <c r="AI890" s="95">
        <f t="shared" si="359"/>
        <v>-2.8079879999999998E-2</v>
      </c>
      <c r="AJ890" s="78">
        <v>0</v>
      </c>
      <c r="AK890" s="78">
        <f t="shared" si="355"/>
        <v>1</v>
      </c>
      <c r="AL890" s="78" t="s">
        <v>82</v>
      </c>
      <c r="AM890" s="78" t="s">
        <v>1333</v>
      </c>
      <c r="AN890" s="78">
        <v>6.6539999999999999</v>
      </c>
      <c r="AO890" s="78">
        <v>0</v>
      </c>
      <c r="AP890" s="78">
        <f t="shared" si="348"/>
        <v>6.6539999999999999</v>
      </c>
      <c r="AQ890" s="78">
        <v>2.7320000000000002</v>
      </c>
      <c r="AR890" s="78">
        <v>0.69099999999999995</v>
      </c>
      <c r="AS890" s="78">
        <v>21.341999999999999</v>
      </c>
      <c r="AT890" s="78" t="s">
        <v>83</v>
      </c>
      <c r="AU890" s="78" t="s">
        <v>109</v>
      </c>
      <c r="AV890" s="78" t="s">
        <v>133</v>
      </c>
      <c r="AW890" s="78" t="s">
        <v>109</v>
      </c>
      <c r="AX890" s="78" t="s">
        <v>86</v>
      </c>
      <c r="AY890" s="78">
        <v>0</v>
      </c>
      <c r="AZ890" s="78">
        <v>0</v>
      </c>
      <c r="BA890" s="78" t="s">
        <v>87</v>
      </c>
      <c r="BB890" s="78" t="s">
        <v>88</v>
      </c>
      <c r="BC890" s="78" t="s">
        <v>89</v>
      </c>
      <c r="BD890" s="78" t="s">
        <v>90</v>
      </c>
      <c r="BE890" s="78" t="s">
        <v>1669</v>
      </c>
      <c r="BF890" s="78">
        <v>6.8559999999999999</v>
      </c>
      <c r="BG890" s="78">
        <v>0</v>
      </c>
      <c r="BH890" s="78">
        <v>3.2730000000000001</v>
      </c>
      <c r="BI890" s="78">
        <v>1</v>
      </c>
      <c r="BJ890" s="78">
        <v>20</v>
      </c>
      <c r="BK890" s="78" t="s">
        <v>91</v>
      </c>
      <c r="BL890" s="78" t="s">
        <v>84</v>
      </c>
      <c r="BM890" s="78">
        <v>1</v>
      </c>
      <c r="BN890" s="78" t="s">
        <v>484</v>
      </c>
      <c r="BO890" s="78" t="s">
        <v>1670</v>
      </c>
      <c r="BP890" s="78" t="s">
        <v>1671</v>
      </c>
      <c r="BQ890" s="78" t="s">
        <v>92</v>
      </c>
      <c r="BR890" s="78" t="s">
        <v>118</v>
      </c>
      <c r="BS890" s="78">
        <v>29.169</v>
      </c>
      <c r="BT890" s="78">
        <f t="shared" si="360"/>
        <v>0.30900000000000005</v>
      </c>
      <c r="BU890" s="78">
        <v>2010</v>
      </c>
      <c r="BV890" s="78">
        <v>2015</v>
      </c>
      <c r="BW890" s="78" t="s">
        <v>94</v>
      </c>
      <c r="BX890" s="78" t="s">
        <v>95</v>
      </c>
      <c r="BY890" s="78" t="s">
        <v>96</v>
      </c>
      <c r="BZ890" s="78">
        <v>0</v>
      </c>
      <c r="CA890" s="78">
        <v>0</v>
      </c>
      <c r="CB890" s="78" t="s">
        <v>97</v>
      </c>
      <c r="CC890" s="78" t="s">
        <v>1673</v>
      </c>
      <c r="CD890" s="78">
        <v>1</v>
      </c>
      <c r="CE890" s="78" t="s">
        <v>1712</v>
      </c>
      <c r="CF890" s="78">
        <v>1</v>
      </c>
      <c r="CG890" s="78" t="s">
        <v>148</v>
      </c>
      <c r="CH890" s="78">
        <v>1</v>
      </c>
      <c r="CI890" s="78" t="s">
        <v>1465</v>
      </c>
      <c r="CJ890" s="78" t="s">
        <v>98</v>
      </c>
      <c r="CK890" s="78">
        <v>79</v>
      </c>
      <c r="CL890" s="78">
        <v>0</v>
      </c>
      <c r="CM890" s="78">
        <v>0</v>
      </c>
      <c r="CN890" s="78" t="s">
        <v>99</v>
      </c>
      <c r="CO890" s="78" t="s">
        <v>97</v>
      </c>
      <c r="CP890" s="78" t="s">
        <v>100</v>
      </c>
      <c r="CQ890" s="78" t="s">
        <v>126</v>
      </c>
      <c r="CR890" s="80">
        <v>46234</v>
      </c>
      <c r="CT890" s="78" t="s">
        <v>552</v>
      </c>
    </row>
    <row r="891" spans="1:98" s="78" customFormat="1" x14ac:dyDescent="0.35">
      <c r="A891" s="77" t="s">
        <v>1666</v>
      </c>
      <c r="B891" s="77" t="s">
        <v>1684</v>
      </c>
      <c r="C891" s="77" t="s">
        <v>1667</v>
      </c>
      <c r="D891" s="78">
        <v>2022</v>
      </c>
      <c r="E891" s="79" t="s">
        <v>1672</v>
      </c>
      <c r="F891" s="77" t="s">
        <v>1668</v>
      </c>
      <c r="G891" s="78" t="s">
        <v>78</v>
      </c>
      <c r="H891" s="78">
        <v>1</v>
      </c>
      <c r="I891" s="78" t="s">
        <v>390</v>
      </c>
      <c r="J891" s="78" t="s">
        <v>79</v>
      </c>
      <c r="K891" s="78">
        <v>33</v>
      </c>
      <c r="L891" s="78" t="s">
        <v>104</v>
      </c>
      <c r="M891" s="78" t="s">
        <v>380</v>
      </c>
      <c r="N891" s="78">
        <v>-1.9599999999999999E-3</v>
      </c>
      <c r="O891" s="78">
        <v>7.2150000000000003E-4</v>
      </c>
      <c r="P891" s="95">
        <f t="shared" si="349"/>
        <v>-2.7165627165627164</v>
      </c>
      <c r="Q891" s="78" t="s">
        <v>312</v>
      </c>
      <c r="R891" s="95">
        <f t="shared" si="350"/>
        <v>-3.3741399999999999E-3</v>
      </c>
      <c r="S891" s="95">
        <f t="shared" si="351"/>
        <v>-5.4586000000000001E-4</v>
      </c>
      <c r="T891" s="78">
        <v>1</v>
      </c>
      <c r="U891" s="78">
        <v>633165</v>
      </c>
      <c r="V891" s="78" t="s">
        <v>312</v>
      </c>
      <c r="W891" s="78" t="s">
        <v>312</v>
      </c>
      <c r="X891" s="78">
        <f t="shared" si="347"/>
        <v>633165</v>
      </c>
      <c r="Y891" s="95">
        <f t="shared" si="352"/>
        <v>-3.4139625680271761E-3</v>
      </c>
      <c r="Z891" s="95">
        <f t="shared" si="353"/>
        <v>1.2567214249140856E-3</v>
      </c>
      <c r="AA891" s="95">
        <f t="shared" si="356"/>
        <v>-3.4139625680271761E-3</v>
      </c>
      <c r="AB891" s="78" t="s">
        <v>81</v>
      </c>
      <c r="AC891" s="95">
        <f t="shared" si="357"/>
        <v>-7.5365919999999989E-2</v>
      </c>
      <c r="AD891" s="95" cm="1">
        <f t="array" ref="AD891">_xlfn.IFS(
AND(L891="marginal_effect",M891="level"),N891*AN891/BF891,
AND(L891="marginal_effect",M891="sd (Y)"),N891*BI891*AN891/BF891,
AND(L891="marginal_effect",M891="sd (X)"),N891/AQ891*AN891/BF891,
AND(L891="semi_elasticity",M891="level"),N891*AN891,
AND(L891="semi_elasticity",M891="sd (Y)"),N891*AN891*BI891,
AND(L891="semi_elasticity",M891="sd (X)"),N891*AN891/AQ891,
AND(L891="level-log",M891="level"),N891/BF891,
AND(L891="level-log",M891="sd (X)"),N891/BF891/AQ891,
AND(L891="level-log",M891="sd (Y)"),N891/BF891*BI891,
AND(L891="elasticity",M891="level"),N891,
AND(L891="elasticity",M891="sd (X)"),N891/AQ891,
AND(L891="elasticity",M891="sd (Y)"),N891*BI891,
AND(L891="marginal_effect",M891="percent_of_mean"),N891*AN891/BF891/10)</f>
        <v>-7.5365919999999989E-2</v>
      </c>
      <c r="AE891" s="105">
        <f t="shared" si="346"/>
        <v>1</v>
      </c>
      <c r="AF891" s="95">
        <f t="shared" si="358"/>
        <v>2.7743118000000001E-2</v>
      </c>
      <c r="AG891" s="95" cm="1">
        <f t="array" ref="AG891">_xlfn.IFS(
AND(L891="marginal_effect",M891="level"),O891*AN891/BF891,
AND(L891="marginal_effect",M891="sd (Y)"),O891*BI891*AN891/BF891,
AND(L891="marginal_effect",M891="sd (X)"),O891/AQ891*AN891/BF891,
AND(L891="semi_elasticity",M891="level"),O891*AN891,
AND(L891="semi_elasticity",M891="sd (Y)"),O891*AN891*BI891,
AND(L891="semi_elasticity",M891="sd (X)"),O891*AN891/AQ891,
AND(L891="level-log",M891="level"),O891/BF891,
AND(L891="level-log",M891="sd (X)"),O891/BF891/AQ891,
AND(L891="level-log",M891="sd (Y)"),O891/BF891*BI891,
AND(L891="elasticity",M891="level"),O891,
AND(L891="elasticity",M891="sd (X)"),O891/AQ891,
AND(L891="elasticity",M891="sd (Y)"),O891*BI891,
AND(L891="marginal_effect",M891="percent_of_mean"),O891*AN891/BF891/10)</f>
        <v>2.7743118000000001E-2</v>
      </c>
      <c r="AH891" s="105">
        <f t="shared" si="354"/>
        <v>1</v>
      </c>
      <c r="AI891" s="95">
        <f t="shared" si="359"/>
        <v>-7.5365919999999989E-2</v>
      </c>
      <c r="AJ891" s="78">
        <v>0</v>
      </c>
      <c r="AK891" s="78">
        <f t="shared" si="355"/>
        <v>1</v>
      </c>
      <c r="AL891" s="76" t="s">
        <v>1674</v>
      </c>
      <c r="AM891" s="78" t="s">
        <v>410</v>
      </c>
      <c r="AN891" s="78">
        <v>38.451999999999998</v>
      </c>
      <c r="AO891" s="78">
        <v>0</v>
      </c>
      <c r="AP891" s="78">
        <f t="shared" si="348"/>
        <v>38.451999999999998</v>
      </c>
      <c r="AQ891" s="78">
        <v>9.109</v>
      </c>
      <c r="AR891" s="78">
        <v>14</v>
      </c>
      <c r="AS891" s="78">
        <v>83</v>
      </c>
      <c r="AT891" s="78" t="s">
        <v>83</v>
      </c>
      <c r="AU891" s="78" t="s">
        <v>109</v>
      </c>
      <c r="AV891" s="78" t="s">
        <v>133</v>
      </c>
      <c r="AW891" s="78" t="s">
        <v>109</v>
      </c>
      <c r="AX891" s="78" t="s">
        <v>86</v>
      </c>
      <c r="AY891" s="78">
        <v>0</v>
      </c>
      <c r="AZ891" s="78">
        <v>0</v>
      </c>
      <c r="BA891" s="78" t="s">
        <v>87</v>
      </c>
      <c r="BB891" s="78" t="s">
        <v>88</v>
      </c>
      <c r="BC891" s="78" t="s">
        <v>89</v>
      </c>
      <c r="BD891" s="78" t="s">
        <v>90</v>
      </c>
      <c r="BE891" s="78" t="s">
        <v>1669</v>
      </c>
      <c r="BF891" s="78">
        <v>6.8559999999999999</v>
      </c>
      <c r="BG891" s="78">
        <v>0</v>
      </c>
      <c r="BH891" s="78">
        <v>3.2730000000000001</v>
      </c>
      <c r="BI891" s="78">
        <v>1</v>
      </c>
      <c r="BJ891" s="78">
        <v>20</v>
      </c>
      <c r="BK891" s="78" t="s">
        <v>91</v>
      </c>
      <c r="BL891" s="78" t="s">
        <v>84</v>
      </c>
      <c r="BM891" s="78">
        <v>1</v>
      </c>
      <c r="BN891" s="78" t="s">
        <v>484</v>
      </c>
      <c r="BO891" s="78" t="s">
        <v>1670</v>
      </c>
      <c r="BP891" s="78" t="s">
        <v>1671</v>
      </c>
      <c r="BQ891" s="78" t="s">
        <v>92</v>
      </c>
      <c r="BR891" s="78" t="s">
        <v>118</v>
      </c>
      <c r="BS891" s="78">
        <v>29.169</v>
      </c>
      <c r="BT891" s="78">
        <f t="shared" si="360"/>
        <v>0.30900000000000005</v>
      </c>
      <c r="BU891" s="78">
        <v>2010</v>
      </c>
      <c r="BV891" s="78">
        <v>2015</v>
      </c>
      <c r="BW891" s="78" t="s">
        <v>94</v>
      </c>
      <c r="BX891" s="78" t="s">
        <v>95</v>
      </c>
      <c r="BY891" s="78" t="s">
        <v>96</v>
      </c>
      <c r="BZ891" s="78">
        <v>0</v>
      </c>
      <c r="CA891" s="78">
        <v>0</v>
      </c>
      <c r="CB891" s="78" t="s">
        <v>97</v>
      </c>
      <c r="CC891" s="78" t="s">
        <v>1673</v>
      </c>
      <c r="CD891" s="78">
        <v>1</v>
      </c>
      <c r="CE891" s="78" t="s">
        <v>1712</v>
      </c>
      <c r="CF891" s="78">
        <v>1</v>
      </c>
      <c r="CG891" s="78" t="s">
        <v>82</v>
      </c>
      <c r="CH891" s="78">
        <v>1</v>
      </c>
      <c r="CI891" s="78" t="s">
        <v>1465</v>
      </c>
      <c r="CJ891" s="78" t="s">
        <v>98</v>
      </c>
      <c r="CK891" s="78">
        <v>79</v>
      </c>
      <c r="CL891" s="78">
        <v>0</v>
      </c>
      <c r="CM891" s="78">
        <v>0</v>
      </c>
      <c r="CN891" s="78" t="s">
        <v>99</v>
      </c>
      <c r="CO891" s="78" t="s">
        <v>97</v>
      </c>
      <c r="CP891" s="78" t="s">
        <v>100</v>
      </c>
      <c r="CQ891" s="78" t="s">
        <v>126</v>
      </c>
      <c r="CR891" s="80">
        <v>46234</v>
      </c>
      <c r="CT891" s="78" t="s">
        <v>552</v>
      </c>
    </row>
    <row r="892" spans="1:98" s="78" customFormat="1" x14ac:dyDescent="0.35">
      <c r="A892" s="77" t="s">
        <v>1666</v>
      </c>
      <c r="B892" s="77" t="s">
        <v>1685</v>
      </c>
      <c r="C892" s="77" t="s">
        <v>1667</v>
      </c>
      <c r="D892" s="78">
        <v>2022</v>
      </c>
      <c r="E892" s="79" t="s">
        <v>1672</v>
      </c>
      <c r="F892" s="77" t="s">
        <v>1668</v>
      </c>
      <c r="G892" s="78" t="s">
        <v>78</v>
      </c>
      <c r="H892" s="78">
        <v>1</v>
      </c>
      <c r="I892" s="78" t="s">
        <v>390</v>
      </c>
      <c r="J892" s="78" t="s">
        <v>79</v>
      </c>
      <c r="K892" s="78">
        <v>33</v>
      </c>
      <c r="L892" s="78" t="s">
        <v>104</v>
      </c>
      <c r="M892" s="78" t="s">
        <v>380</v>
      </c>
      <c r="N892" s="78">
        <v>-4.1200000000000004E-3</v>
      </c>
      <c r="O892" s="78">
        <v>1.4208999999999999E-3</v>
      </c>
      <c r="P892" s="95">
        <f t="shared" si="349"/>
        <v>-2.8995706946301643</v>
      </c>
      <c r="Q892" s="78" t="s">
        <v>312</v>
      </c>
      <c r="R892" s="95">
        <f t="shared" si="350"/>
        <v>-6.9049639999999995E-3</v>
      </c>
      <c r="S892" s="95">
        <f t="shared" si="351"/>
        <v>-1.3350360000000008E-3</v>
      </c>
      <c r="T892" s="78">
        <v>1</v>
      </c>
      <c r="U892" s="78">
        <v>633165</v>
      </c>
      <c r="V892" s="78" t="s">
        <v>312</v>
      </c>
      <c r="W892" s="78" t="s">
        <v>312</v>
      </c>
      <c r="X892" s="78">
        <f t="shared" si="347"/>
        <v>633165</v>
      </c>
      <c r="Y892" s="95">
        <f t="shared" si="352"/>
        <v>-3.6439496574748593E-3</v>
      </c>
      <c r="Z892" s="95">
        <f t="shared" si="353"/>
        <v>1.2567204049286473E-3</v>
      </c>
      <c r="AA892" s="95">
        <f t="shared" si="356"/>
        <v>-3.6439496574748593E-3</v>
      </c>
      <c r="AB892" s="78" t="s">
        <v>81</v>
      </c>
      <c r="AC892" s="95">
        <f t="shared" si="357"/>
        <v>-2.7414480000000001E-2</v>
      </c>
      <c r="AD892" s="95" cm="1">
        <f t="array" ref="AD892">_xlfn.IFS(
AND(L892="marginal_effect",M892="level"),N892*AN892/BF892,
AND(L892="marginal_effect",M892="sd (Y)"),N892*BI892*AN892/BF892,
AND(L892="marginal_effect",M892="sd (X)"),N892/AQ892*AN892/BF892,
AND(L892="semi_elasticity",M892="level"),N892*AN892,
AND(L892="semi_elasticity",M892="sd (Y)"),N892*AN892*BI892,
AND(L892="semi_elasticity",M892="sd (X)"),N892*AN892/AQ892,
AND(L892="level-log",M892="level"),N892/BF892,
AND(L892="level-log",M892="sd (X)"),N892/BF892/AQ892,
AND(L892="level-log",M892="sd (Y)"),N892/BF892*BI892,
AND(L892="elasticity",M892="level"),N892,
AND(L892="elasticity",M892="sd (X)"),N892/AQ892,
AND(L892="elasticity",M892="sd (Y)"),N892*BI892,
AND(L892="marginal_effect",M892="percent_of_mean"),N892*AN892/BF892/10)</f>
        <v>-2.7414480000000001E-2</v>
      </c>
      <c r="AE892" s="105">
        <f t="shared" si="346"/>
        <v>1</v>
      </c>
      <c r="AF892" s="95">
        <f t="shared" si="358"/>
        <v>9.4546685999999987E-3</v>
      </c>
      <c r="AG892" s="95" cm="1">
        <f t="array" ref="AG892">_xlfn.IFS(
AND(L892="marginal_effect",M892="level"),O892*AN892/BF892,
AND(L892="marginal_effect",M892="sd (Y)"),O892*BI892*AN892/BF892,
AND(L892="marginal_effect",M892="sd (X)"),O892/AQ892*AN892/BF892,
AND(L892="semi_elasticity",M892="level"),O892*AN892,
AND(L892="semi_elasticity",M892="sd (Y)"),O892*AN892*BI892,
AND(L892="semi_elasticity",M892="sd (X)"),O892*AN892/AQ892,
AND(L892="level-log",M892="level"),O892/BF892,
AND(L892="level-log",M892="sd (X)"),O892/BF892/AQ892,
AND(L892="level-log",M892="sd (Y)"),O892/BF892*BI892,
AND(L892="elasticity",M892="level"),O892,
AND(L892="elasticity",M892="sd (X)"),O892/AQ892,
AND(L892="elasticity",M892="sd (Y)"),O892*BI892,
AND(L892="marginal_effect",M892="percent_of_mean"),O892*AN892/BF892/10)</f>
        <v>9.4546685999999987E-3</v>
      </c>
      <c r="AH892" s="105">
        <f t="shared" si="354"/>
        <v>1</v>
      </c>
      <c r="AI892" s="95">
        <f t="shared" si="359"/>
        <v>-2.7414480000000001E-2</v>
      </c>
      <c r="AJ892" s="78">
        <v>0</v>
      </c>
      <c r="AK892" s="78">
        <f t="shared" si="355"/>
        <v>1</v>
      </c>
      <c r="AL892" s="78" t="s">
        <v>82</v>
      </c>
      <c r="AM892" s="78" t="s">
        <v>1333</v>
      </c>
      <c r="AN892" s="78">
        <v>6.6539999999999999</v>
      </c>
      <c r="AO892" s="78">
        <v>0</v>
      </c>
      <c r="AP892" s="78">
        <f t="shared" si="348"/>
        <v>6.6539999999999999</v>
      </c>
      <c r="AQ892" s="78">
        <v>2.7320000000000002</v>
      </c>
      <c r="AR892" s="78">
        <v>0.69099999999999995</v>
      </c>
      <c r="AS892" s="78">
        <v>21.341999999999999</v>
      </c>
      <c r="AT892" s="78" t="s">
        <v>83</v>
      </c>
      <c r="AU892" s="78" t="s">
        <v>109</v>
      </c>
      <c r="AV892" s="78" t="s">
        <v>133</v>
      </c>
      <c r="AW892" s="78" t="s">
        <v>109</v>
      </c>
      <c r="AX892" s="78" t="s">
        <v>86</v>
      </c>
      <c r="AY892" s="78">
        <v>0</v>
      </c>
      <c r="AZ892" s="78">
        <v>0</v>
      </c>
      <c r="BA892" s="78" t="s">
        <v>87</v>
      </c>
      <c r="BB892" s="78" t="s">
        <v>88</v>
      </c>
      <c r="BC892" s="78" t="s">
        <v>89</v>
      </c>
      <c r="BD892" s="78" t="s">
        <v>90</v>
      </c>
      <c r="BE892" s="78" t="s">
        <v>1669</v>
      </c>
      <c r="BF892" s="78">
        <v>6.8559999999999999</v>
      </c>
      <c r="BG892" s="78">
        <v>0</v>
      </c>
      <c r="BH892" s="78">
        <v>3.2730000000000001</v>
      </c>
      <c r="BI892" s="78">
        <v>1</v>
      </c>
      <c r="BJ892" s="78">
        <v>20</v>
      </c>
      <c r="BK892" s="78" t="s">
        <v>91</v>
      </c>
      <c r="BL892" s="78" t="s">
        <v>84</v>
      </c>
      <c r="BM892" s="78">
        <v>1</v>
      </c>
      <c r="BN892" s="78" t="s">
        <v>484</v>
      </c>
      <c r="BO892" s="78" t="s">
        <v>1670</v>
      </c>
      <c r="BP892" s="78" t="s">
        <v>1671</v>
      </c>
      <c r="BQ892" s="78" t="s">
        <v>92</v>
      </c>
      <c r="BR892" s="78" t="s">
        <v>118</v>
      </c>
      <c r="BS892" s="78">
        <v>29.169</v>
      </c>
      <c r="BT892" s="78">
        <f t="shared" si="360"/>
        <v>0.30900000000000005</v>
      </c>
      <c r="BU892" s="78">
        <v>2010</v>
      </c>
      <c r="BV892" s="78">
        <v>2015</v>
      </c>
      <c r="BW892" s="78" t="s">
        <v>94</v>
      </c>
      <c r="BX892" s="78" t="s">
        <v>95</v>
      </c>
      <c r="BY892" s="78" t="s">
        <v>96</v>
      </c>
      <c r="BZ892" s="78">
        <v>0</v>
      </c>
      <c r="CA892" s="78">
        <v>0</v>
      </c>
      <c r="CB892" s="78" t="s">
        <v>97</v>
      </c>
      <c r="CC892" s="78" t="s">
        <v>1673</v>
      </c>
      <c r="CD892" s="78">
        <v>1</v>
      </c>
      <c r="CE892" s="78" t="s">
        <v>1712</v>
      </c>
      <c r="CF892" s="78">
        <v>1</v>
      </c>
      <c r="CG892" s="78" t="s">
        <v>1125</v>
      </c>
      <c r="CH892" s="78">
        <v>1</v>
      </c>
      <c r="CI892" s="78" t="s">
        <v>1465</v>
      </c>
      <c r="CJ892" s="78" t="s">
        <v>98</v>
      </c>
      <c r="CK892" s="78">
        <v>79</v>
      </c>
      <c r="CL892" s="78">
        <v>1</v>
      </c>
      <c r="CM892" s="78">
        <v>1</v>
      </c>
      <c r="CN892" s="78" t="s">
        <v>99</v>
      </c>
      <c r="CO892" s="78" t="s">
        <v>97</v>
      </c>
      <c r="CP892" s="78" t="s">
        <v>100</v>
      </c>
      <c r="CQ892" s="78" t="s">
        <v>126</v>
      </c>
      <c r="CR892" s="80">
        <v>46234</v>
      </c>
      <c r="CT892" s="78" t="s">
        <v>553</v>
      </c>
    </row>
    <row r="893" spans="1:98" s="78" customFormat="1" x14ac:dyDescent="0.35">
      <c r="A893" s="77" t="s">
        <v>1666</v>
      </c>
      <c r="B893" s="77" t="s">
        <v>1686</v>
      </c>
      <c r="C893" s="77" t="s">
        <v>1667</v>
      </c>
      <c r="D893" s="78">
        <v>2022</v>
      </c>
      <c r="E893" s="79" t="s">
        <v>1672</v>
      </c>
      <c r="F893" s="77" t="s">
        <v>1668</v>
      </c>
      <c r="G893" s="78" t="s">
        <v>78</v>
      </c>
      <c r="H893" s="78">
        <v>1</v>
      </c>
      <c r="I893" s="78" t="s">
        <v>390</v>
      </c>
      <c r="J893" s="78" t="s">
        <v>79</v>
      </c>
      <c r="K893" s="78">
        <v>33</v>
      </c>
      <c r="L893" s="78" t="s">
        <v>104</v>
      </c>
      <c r="M893" s="78" t="s">
        <v>380</v>
      </c>
      <c r="N893" s="78">
        <v>-2.2200000000000002E-3</v>
      </c>
      <c r="O893" s="78">
        <v>7.5989999999999999E-4</v>
      </c>
      <c r="P893" s="95">
        <f t="shared" si="349"/>
        <v>-2.9214370311883147</v>
      </c>
      <c r="Q893" s="78" t="s">
        <v>312</v>
      </c>
      <c r="R893" s="95">
        <f t="shared" si="350"/>
        <v>-3.7094040000000003E-3</v>
      </c>
      <c r="S893" s="95">
        <f t="shared" si="351"/>
        <v>-7.3059600000000024E-4</v>
      </c>
      <c r="T893" s="78">
        <v>1</v>
      </c>
      <c r="U893" s="78">
        <v>633165</v>
      </c>
      <c r="V893" s="78" t="s">
        <v>312</v>
      </c>
      <c r="W893" s="78" t="s">
        <v>312</v>
      </c>
      <c r="X893" s="78">
        <f t="shared" si="347"/>
        <v>633165</v>
      </c>
      <c r="Y893" s="95">
        <f t="shared" si="352"/>
        <v>-3.6714291597827733E-3</v>
      </c>
      <c r="Z893" s="95">
        <f t="shared" si="353"/>
        <v>1.2567202786121301E-3</v>
      </c>
      <c r="AA893" s="95">
        <f t="shared" si="356"/>
        <v>-3.6714291597827733E-3</v>
      </c>
      <c r="AB893" s="78" t="s">
        <v>81</v>
      </c>
      <c r="AC893" s="95">
        <f t="shared" si="357"/>
        <v>-8.5363439999999999E-2</v>
      </c>
      <c r="AD893" s="95" cm="1">
        <f t="array" ref="AD893">_xlfn.IFS(
AND(L893="marginal_effect",M893="level"),N893*AN893/BF893,
AND(L893="marginal_effect",M893="sd (Y)"),N893*BI893*AN893/BF893,
AND(L893="marginal_effect",M893="sd (X)"),N893/AQ893*AN893/BF893,
AND(L893="semi_elasticity",M893="level"),N893*AN893,
AND(L893="semi_elasticity",M893="sd (Y)"),N893*AN893*BI893,
AND(L893="semi_elasticity",M893="sd (X)"),N893*AN893/AQ893,
AND(L893="level-log",M893="level"),N893/BF893,
AND(L893="level-log",M893="sd (X)"),N893/BF893/AQ893,
AND(L893="level-log",M893="sd (Y)"),N893/BF893*BI893,
AND(L893="elasticity",M893="level"),N893,
AND(L893="elasticity",M893="sd (X)"),N893/AQ893,
AND(L893="elasticity",M893="sd (Y)"),N893*BI893,
AND(L893="marginal_effect",M893="percent_of_mean"),N893*AN893/BF893/10)</f>
        <v>-8.5363439999999999E-2</v>
      </c>
      <c r="AE893" s="105">
        <f t="shared" si="346"/>
        <v>1</v>
      </c>
      <c r="AF893" s="95">
        <f t="shared" si="358"/>
        <v>2.9219674799999998E-2</v>
      </c>
      <c r="AG893" s="95" cm="1">
        <f t="array" ref="AG893">_xlfn.IFS(
AND(L893="marginal_effect",M893="level"),O893*AN893/BF893,
AND(L893="marginal_effect",M893="sd (Y)"),O893*BI893*AN893/BF893,
AND(L893="marginal_effect",M893="sd (X)"),O893/AQ893*AN893/BF893,
AND(L893="semi_elasticity",M893="level"),O893*AN893,
AND(L893="semi_elasticity",M893="sd (Y)"),O893*AN893*BI893,
AND(L893="semi_elasticity",M893="sd (X)"),O893*AN893/AQ893,
AND(L893="level-log",M893="level"),O893/BF893,
AND(L893="level-log",M893="sd (X)"),O893/BF893/AQ893,
AND(L893="level-log",M893="sd (Y)"),O893/BF893*BI893,
AND(L893="elasticity",M893="level"),O893,
AND(L893="elasticity",M893="sd (X)"),O893/AQ893,
AND(L893="elasticity",M893="sd (Y)"),O893*BI893,
AND(L893="marginal_effect",M893="percent_of_mean"),O893*AN893/BF893/10)</f>
        <v>2.9219674799999998E-2</v>
      </c>
      <c r="AH893" s="105">
        <f t="shared" si="354"/>
        <v>1</v>
      </c>
      <c r="AI893" s="95">
        <f t="shared" si="359"/>
        <v>-8.5363439999999999E-2</v>
      </c>
      <c r="AJ893" s="78">
        <v>0</v>
      </c>
      <c r="AK893" s="78">
        <f t="shared" si="355"/>
        <v>1</v>
      </c>
      <c r="AL893" s="76" t="s">
        <v>1674</v>
      </c>
      <c r="AM893" s="78" t="s">
        <v>410</v>
      </c>
      <c r="AN893" s="78">
        <v>38.451999999999998</v>
      </c>
      <c r="AO893" s="78">
        <v>0</v>
      </c>
      <c r="AP893" s="78">
        <f t="shared" si="348"/>
        <v>38.451999999999998</v>
      </c>
      <c r="AQ893" s="78">
        <v>9.109</v>
      </c>
      <c r="AR893" s="78">
        <v>14</v>
      </c>
      <c r="AS893" s="78">
        <v>83</v>
      </c>
      <c r="AT893" s="78" t="s">
        <v>83</v>
      </c>
      <c r="AU893" s="78" t="s">
        <v>109</v>
      </c>
      <c r="AV893" s="78" t="s">
        <v>133</v>
      </c>
      <c r="AW893" s="78" t="s">
        <v>109</v>
      </c>
      <c r="AX893" s="78" t="s">
        <v>86</v>
      </c>
      <c r="AY893" s="78">
        <v>0</v>
      </c>
      <c r="AZ893" s="78">
        <v>0</v>
      </c>
      <c r="BA893" s="78" t="s">
        <v>87</v>
      </c>
      <c r="BB893" s="78" t="s">
        <v>88</v>
      </c>
      <c r="BC893" s="78" t="s">
        <v>89</v>
      </c>
      <c r="BD893" s="78" t="s">
        <v>90</v>
      </c>
      <c r="BE893" s="78" t="s">
        <v>1669</v>
      </c>
      <c r="BF893" s="78">
        <v>6.8559999999999999</v>
      </c>
      <c r="BG893" s="78">
        <v>0</v>
      </c>
      <c r="BH893" s="78">
        <v>3.2730000000000001</v>
      </c>
      <c r="BI893" s="78">
        <v>1</v>
      </c>
      <c r="BJ893" s="78">
        <v>20</v>
      </c>
      <c r="BK893" s="78" t="s">
        <v>91</v>
      </c>
      <c r="BL893" s="78" t="s">
        <v>84</v>
      </c>
      <c r="BM893" s="78">
        <v>1</v>
      </c>
      <c r="BN893" s="78" t="s">
        <v>484</v>
      </c>
      <c r="BO893" s="78" t="s">
        <v>1670</v>
      </c>
      <c r="BP893" s="78" t="s">
        <v>1671</v>
      </c>
      <c r="BQ893" s="78" t="s">
        <v>92</v>
      </c>
      <c r="BR893" s="78" t="s">
        <v>118</v>
      </c>
      <c r="BS893" s="78">
        <v>29.169</v>
      </c>
      <c r="BT893" s="78">
        <f t="shared" si="360"/>
        <v>0.30900000000000005</v>
      </c>
      <c r="BU893" s="78">
        <v>2010</v>
      </c>
      <c r="BV893" s="78">
        <v>2015</v>
      </c>
      <c r="BW893" s="78" t="s">
        <v>94</v>
      </c>
      <c r="BX893" s="78" t="s">
        <v>95</v>
      </c>
      <c r="BY893" s="78" t="s">
        <v>96</v>
      </c>
      <c r="BZ893" s="78">
        <v>0</v>
      </c>
      <c r="CA893" s="78">
        <v>0</v>
      </c>
      <c r="CB893" s="78" t="s">
        <v>97</v>
      </c>
      <c r="CC893" s="78" t="s">
        <v>1673</v>
      </c>
      <c r="CD893" s="78">
        <v>1</v>
      </c>
      <c r="CE893" s="78" t="s">
        <v>1712</v>
      </c>
      <c r="CF893" s="78">
        <v>1</v>
      </c>
      <c r="CG893" s="78" t="s">
        <v>1688</v>
      </c>
      <c r="CH893" s="78">
        <v>1</v>
      </c>
      <c r="CI893" s="78" t="s">
        <v>1465</v>
      </c>
      <c r="CJ893" s="78" t="s">
        <v>98</v>
      </c>
      <c r="CK893" s="78">
        <v>79</v>
      </c>
      <c r="CL893" s="78">
        <v>1</v>
      </c>
      <c r="CM893" s="78">
        <v>1</v>
      </c>
      <c r="CN893" s="78" t="s">
        <v>99</v>
      </c>
      <c r="CO893" s="78" t="s">
        <v>97</v>
      </c>
      <c r="CP893" s="78" t="s">
        <v>100</v>
      </c>
      <c r="CQ893" s="78" t="s">
        <v>126</v>
      </c>
      <c r="CR893" s="80">
        <v>46234</v>
      </c>
      <c r="CT893" s="78" t="s">
        <v>553</v>
      </c>
    </row>
    <row r="894" spans="1:98" s="78" customFormat="1" x14ac:dyDescent="0.35">
      <c r="A894" s="77" t="s">
        <v>1666</v>
      </c>
      <c r="B894" s="77" t="s">
        <v>1687</v>
      </c>
      <c r="C894" s="77" t="s">
        <v>1667</v>
      </c>
      <c r="D894" s="78">
        <v>2022</v>
      </c>
      <c r="E894" s="79" t="s">
        <v>1672</v>
      </c>
      <c r="F894" s="77" t="s">
        <v>1668</v>
      </c>
      <c r="G894" s="78" t="s">
        <v>78</v>
      </c>
      <c r="H894" s="78">
        <v>1</v>
      </c>
      <c r="I894" s="78" t="s">
        <v>390</v>
      </c>
      <c r="J894" s="78" t="s">
        <v>79</v>
      </c>
      <c r="K894" s="78">
        <v>33</v>
      </c>
      <c r="L894" s="78" t="s">
        <v>104</v>
      </c>
      <c r="M894" s="78" t="s">
        <v>380</v>
      </c>
      <c r="N894" s="78">
        <v>-8.9999999999999998E-4</v>
      </c>
      <c r="O894" s="78">
        <v>1.1244E-3</v>
      </c>
      <c r="P894" s="95">
        <f t="shared" si="349"/>
        <v>-0.80042689434364989</v>
      </c>
      <c r="Q894" s="78" t="s">
        <v>312</v>
      </c>
      <c r="R894" s="95">
        <f t="shared" si="350"/>
        <v>-3.1038239999999998E-3</v>
      </c>
      <c r="S894" s="95">
        <f t="shared" si="351"/>
        <v>1.3038240000000001E-3</v>
      </c>
      <c r="T894" s="78">
        <v>1</v>
      </c>
      <c r="U894" s="78">
        <v>633165</v>
      </c>
      <c r="V894" s="78" t="s">
        <v>312</v>
      </c>
      <c r="W894" s="78" t="s">
        <v>312</v>
      </c>
      <c r="X894" s="78">
        <f t="shared" si="347"/>
        <v>633165</v>
      </c>
      <c r="Y894" s="95">
        <f t="shared" si="352"/>
        <v>-1.0059189803511242E-3</v>
      </c>
      <c r="Z894" s="95">
        <f t="shared" si="353"/>
        <v>1.2567281127853379E-3</v>
      </c>
      <c r="AA894" s="95">
        <f t="shared" si="356"/>
        <v>-1.0059189803511242E-3</v>
      </c>
      <c r="AB894" s="78" t="s">
        <v>81</v>
      </c>
      <c r="AC894" s="95">
        <f t="shared" si="357"/>
        <v>-5.4998999999999994E-3</v>
      </c>
      <c r="AD894" s="95" cm="1">
        <f t="array" ref="AD894">_xlfn.IFS(
AND(L894="marginal_effect",M894="level"),N894*AN894/BF894,
AND(L894="marginal_effect",M894="sd (Y)"),N894*BI894*AN894/BF894,
AND(L894="marginal_effect",M894="sd (X)"),N894/AQ894*AN894/BF894,
AND(L894="semi_elasticity",M894="level"),N894*AN894,
AND(L894="semi_elasticity",M894="sd (Y)"),N894*AN894*BI894,
AND(L894="semi_elasticity",M894="sd (X)"),N894*AN894/AQ894,
AND(L894="level-log",M894="level"),N894/BF894,
AND(L894="level-log",M894="sd (X)"),N894/BF894/AQ894,
AND(L894="level-log",M894="sd (Y)"),N894/BF894*BI894,
AND(L894="elasticity",M894="level"),N894,
AND(L894="elasticity",M894="sd (X)"),N894/AQ894,
AND(L894="elasticity",M894="sd (Y)"),N894*BI894,
AND(L894="marginal_effect",M894="percent_of_mean"),N894*AN894/BF894/10)</f>
        <v>-5.4998999999999994E-3</v>
      </c>
      <c r="AE894" s="105">
        <f t="shared" si="346"/>
        <v>1</v>
      </c>
      <c r="AF894" s="95">
        <f t="shared" si="358"/>
        <v>6.8712083999999994E-3</v>
      </c>
      <c r="AG894" s="95" cm="1">
        <f t="array" ref="AG894">_xlfn.IFS(
AND(L894="marginal_effect",M894="level"),O894*AN894/BF894,
AND(L894="marginal_effect",M894="sd (Y)"),O894*BI894*AN894/BF894,
AND(L894="marginal_effect",M894="sd (X)"),O894/AQ894*AN894/BF894,
AND(L894="semi_elasticity",M894="level"),O894*AN894,
AND(L894="semi_elasticity",M894="sd (Y)"),O894*AN894*BI894,
AND(L894="semi_elasticity",M894="sd (X)"),O894*AN894/AQ894,
AND(L894="level-log",M894="level"),O894/BF894,
AND(L894="level-log",M894="sd (X)"),O894/BF894/AQ894,
AND(L894="level-log",M894="sd (Y)"),O894/BF894*BI894,
AND(L894="elasticity",M894="level"),O894,
AND(L894="elasticity",M894="sd (X)"),O894/AQ894,
AND(L894="elasticity",M894="sd (Y)"),O894*BI894,
AND(L894="marginal_effect",M894="percent_of_mean"),O894*AN894/BF894/10)</f>
        <v>6.8712083999999994E-3</v>
      </c>
      <c r="AH894" s="105">
        <f t="shared" si="354"/>
        <v>1</v>
      </c>
      <c r="AI894" s="95">
        <f t="shared" si="359"/>
        <v>-5.4998999999999994E-3</v>
      </c>
      <c r="AJ894" s="78">
        <v>0</v>
      </c>
      <c r="AK894" s="78">
        <f t="shared" si="355"/>
        <v>1</v>
      </c>
      <c r="AL894" s="76" t="s">
        <v>1689</v>
      </c>
      <c r="AM894" s="78" t="s">
        <v>410</v>
      </c>
      <c r="AN894" s="78">
        <v>6.1109999999999998</v>
      </c>
      <c r="AO894" s="78">
        <v>0</v>
      </c>
      <c r="AP894" s="78">
        <f t="shared" si="348"/>
        <v>6.1109999999999998</v>
      </c>
      <c r="AQ894" s="78">
        <v>5.0839999999999996</v>
      </c>
      <c r="AR894" s="78">
        <v>0</v>
      </c>
      <c r="AS894" s="78">
        <v>36</v>
      </c>
      <c r="AT894" s="78" t="s">
        <v>83</v>
      </c>
      <c r="AU894" s="78" t="s">
        <v>109</v>
      </c>
      <c r="AV894" s="78" t="s">
        <v>133</v>
      </c>
      <c r="AW894" s="78" t="s">
        <v>109</v>
      </c>
      <c r="AX894" s="78" t="s">
        <v>86</v>
      </c>
      <c r="AY894" s="78">
        <v>0</v>
      </c>
      <c r="AZ894" s="78">
        <v>0</v>
      </c>
      <c r="BA894" s="78" t="s">
        <v>87</v>
      </c>
      <c r="BB894" s="78" t="s">
        <v>88</v>
      </c>
      <c r="BC894" s="78" t="s">
        <v>89</v>
      </c>
      <c r="BD894" s="78" t="s">
        <v>90</v>
      </c>
      <c r="BE894" s="78" t="s">
        <v>1669</v>
      </c>
      <c r="BF894" s="78">
        <v>6.8559999999999999</v>
      </c>
      <c r="BG894" s="78">
        <v>0</v>
      </c>
      <c r="BH894" s="78">
        <v>3.2730000000000001</v>
      </c>
      <c r="BI894" s="78">
        <v>1</v>
      </c>
      <c r="BJ894" s="78">
        <v>20</v>
      </c>
      <c r="BK894" s="78" t="s">
        <v>91</v>
      </c>
      <c r="BL894" s="78" t="s">
        <v>84</v>
      </c>
      <c r="BM894" s="78">
        <v>1</v>
      </c>
      <c r="BN894" s="78" t="s">
        <v>484</v>
      </c>
      <c r="BO894" s="78" t="s">
        <v>1670</v>
      </c>
      <c r="BP894" s="78" t="s">
        <v>1671</v>
      </c>
      <c r="BQ894" s="78" t="s">
        <v>92</v>
      </c>
      <c r="BR894" s="78" t="s">
        <v>118</v>
      </c>
      <c r="BS894" s="78">
        <v>29.169</v>
      </c>
      <c r="BT894" s="78">
        <f t="shared" si="360"/>
        <v>0.30900000000000005</v>
      </c>
      <c r="BU894" s="78">
        <v>2010</v>
      </c>
      <c r="BV894" s="78">
        <v>2015</v>
      </c>
      <c r="BW894" s="78" t="s">
        <v>94</v>
      </c>
      <c r="BX894" s="78" t="s">
        <v>95</v>
      </c>
      <c r="BY894" s="78" t="s">
        <v>96</v>
      </c>
      <c r="BZ894" s="78">
        <v>0</v>
      </c>
      <c r="CA894" s="78">
        <v>0</v>
      </c>
      <c r="CB894" s="78" t="s">
        <v>97</v>
      </c>
      <c r="CC894" s="78" t="s">
        <v>1673</v>
      </c>
      <c r="CD894" s="78">
        <v>1</v>
      </c>
      <c r="CE894" s="78" t="s">
        <v>1712</v>
      </c>
      <c r="CF894" s="78">
        <v>1</v>
      </c>
      <c r="CG894" s="78" t="s">
        <v>598</v>
      </c>
      <c r="CH894" s="78">
        <v>1</v>
      </c>
      <c r="CI894" s="78" t="s">
        <v>1465</v>
      </c>
      <c r="CJ894" s="78" t="s">
        <v>98</v>
      </c>
      <c r="CK894" s="78">
        <v>79</v>
      </c>
      <c r="CL894" s="78">
        <v>0</v>
      </c>
      <c r="CM894" s="78">
        <v>0</v>
      </c>
      <c r="CN894" s="78" t="s">
        <v>99</v>
      </c>
      <c r="CO894" s="78" t="s">
        <v>97</v>
      </c>
      <c r="CP894" s="78" t="s">
        <v>100</v>
      </c>
      <c r="CQ894" s="78" t="s">
        <v>126</v>
      </c>
      <c r="CR894" s="80">
        <v>46234</v>
      </c>
      <c r="CT894" s="78" t="s">
        <v>553</v>
      </c>
    </row>
    <row r="895" spans="1:98" s="78" customFormat="1" x14ac:dyDescent="0.35">
      <c r="A895" s="77" t="s">
        <v>1666</v>
      </c>
      <c r="B895" s="77" t="s">
        <v>1690</v>
      </c>
      <c r="C895" s="77" t="s">
        <v>1667</v>
      </c>
      <c r="D895" s="78">
        <v>2022</v>
      </c>
      <c r="E895" s="79" t="s">
        <v>1672</v>
      </c>
      <c r="F895" s="77" t="s">
        <v>1668</v>
      </c>
      <c r="G895" s="78" t="s">
        <v>78</v>
      </c>
      <c r="H895" s="78">
        <v>1</v>
      </c>
      <c r="I895" s="78" t="s">
        <v>390</v>
      </c>
      <c r="J895" s="78" t="s">
        <v>79</v>
      </c>
      <c r="K895" s="78">
        <v>33</v>
      </c>
      <c r="L895" s="78" t="s">
        <v>104</v>
      </c>
      <c r="M895" s="78" t="s">
        <v>380</v>
      </c>
      <c r="N895" s="78">
        <v>-4.4299999999999999E-3</v>
      </c>
      <c r="O895" s="78">
        <v>1.4342999999999999E-3</v>
      </c>
      <c r="P895" s="95">
        <v>0.65965092402464054</v>
      </c>
      <c r="Q895" s="78" t="s">
        <v>312</v>
      </c>
      <c r="R895" s="95">
        <v>-5.0661600000000001E-3</v>
      </c>
      <c r="S895" s="95">
        <v>1.0206160000000001E-2</v>
      </c>
      <c r="T895" s="78">
        <v>1</v>
      </c>
      <c r="U895" s="78">
        <v>633165</v>
      </c>
      <c r="V895" s="78" t="s">
        <v>312</v>
      </c>
      <c r="W895" s="78" t="s">
        <v>312</v>
      </c>
      <c r="X895" s="78">
        <v>633165</v>
      </c>
      <c r="Y895" s="95">
        <v>8.2900199540560885E-4</v>
      </c>
      <c r="Z895" s="95">
        <v>1.2567283167705262E-3</v>
      </c>
      <c r="AA895" s="95">
        <v>8.2900199540560885E-4</v>
      </c>
      <c r="AB895" s="78" t="s">
        <v>81</v>
      </c>
      <c r="AC895" s="95">
        <v>1.7100779999999999E-2</v>
      </c>
      <c r="AD895" s="95">
        <v>1.7100779999999999E-2</v>
      </c>
      <c r="AE895" s="105">
        <v>1</v>
      </c>
      <c r="AF895" s="95">
        <v>2.5923984000000001E-2</v>
      </c>
      <c r="AG895" s="95">
        <v>2.5923984000000001E-2</v>
      </c>
      <c r="AH895" s="105">
        <v>1</v>
      </c>
      <c r="AI895" s="95">
        <v>1.7100779999999999E-2</v>
      </c>
      <c r="AJ895" s="78">
        <v>0</v>
      </c>
      <c r="AK895" s="78">
        <v>1</v>
      </c>
      <c r="AL895" s="78" t="s">
        <v>82</v>
      </c>
      <c r="AM895" s="78" t="s">
        <v>1333</v>
      </c>
      <c r="AN895" s="78">
        <v>6.6539999999999999</v>
      </c>
      <c r="AO895" s="78">
        <v>0</v>
      </c>
      <c r="AP895" s="78">
        <v>6.6539999999999999</v>
      </c>
      <c r="AQ895" s="78">
        <v>2.7320000000000002</v>
      </c>
      <c r="AR895" s="78">
        <v>0.69099999999999995</v>
      </c>
      <c r="AS895" s="78">
        <v>21.341999999999999</v>
      </c>
      <c r="AT895" s="78" t="s">
        <v>83</v>
      </c>
      <c r="AU895" s="78" t="s">
        <v>109</v>
      </c>
      <c r="AV895" s="78" t="s">
        <v>133</v>
      </c>
      <c r="AW895" s="78" t="s">
        <v>109</v>
      </c>
      <c r="AX895" s="78" t="s">
        <v>86</v>
      </c>
      <c r="AY895" s="78">
        <v>0</v>
      </c>
      <c r="AZ895" s="78">
        <v>0</v>
      </c>
      <c r="BA895" s="78" t="s">
        <v>87</v>
      </c>
      <c r="BB895" s="78" t="s">
        <v>88</v>
      </c>
      <c r="BC895" s="78" t="s">
        <v>89</v>
      </c>
      <c r="BD895" s="78" t="s">
        <v>90</v>
      </c>
      <c r="BE895" s="78" t="s">
        <v>1669</v>
      </c>
      <c r="BF895" s="78">
        <v>6.8559999999999999</v>
      </c>
      <c r="BG895" s="78">
        <v>0</v>
      </c>
      <c r="BH895" s="78">
        <v>3.2730000000000001</v>
      </c>
      <c r="BI895" s="78">
        <v>1</v>
      </c>
      <c r="BJ895" s="78">
        <v>20</v>
      </c>
      <c r="BK895" s="78" t="s">
        <v>91</v>
      </c>
      <c r="BL895" s="78" t="s">
        <v>84</v>
      </c>
      <c r="BM895" s="78">
        <v>1</v>
      </c>
      <c r="BN895" s="78" t="s">
        <v>484</v>
      </c>
      <c r="BO895" s="78" t="s">
        <v>1670</v>
      </c>
      <c r="BP895" s="78" t="s">
        <v>1671</v>
      </c>
      <c r="BQ895" s="78" t="s">
        <v>92</v>
      </c>
      <c r="BR895" s="78" t="s">
        <v>118</v>
      </c>
      <c r="BS895" s="78">
        <v>29.169</v>
      </c>
      <c r="BT895" s="78">
        <v>0.30900000000000005</v>
      </c>
      <c r="BU895" s="78">
        <v>2010</v>
      </c>
      <c r="BV895" s="78">
        <v>2015</v>
      </c>
      <c r="BW895" s="78" t="s">
        <v>94</v>
      </c>
      <c r="BX895" s="78" t="s">
        <v>95</v>
      </c>
      <c r="BY895" s="78" t="s">
        <v>96</v>
      </c>
      <c r="BZ895" s="78">
        <v>0</v>
      </c>
      <c r="CA895" s="78">
        <v>0</v>
      </c>
      <c r="CB895" s="78" t="s">
        <v>97</v>
      </c>
      <c r="CC895" s="78" t="s">
        <v>1673</v>
      </c>
      <c r="CD895" s="78">
        <v>1</v>
      </c>
      <c r="CE895" s="78" t="s">
        <v>1712</v>
      </c>
      <c r="CF895" s="78">
        <v>0</v>
      </c>
      <c r="CG895" s="78" t="s">
        <v>97</v>
      </c>
      <c r="CH895" s="78">
        <v>1</v>
      </c>
      <c r="CI895" s="78" t="s">
        <v>1465</v>
      </c>
      <c r="CJ895" s="78" t="s">
        <v>98</v>
      </c>
      <c r="CK895" s="78">
        <v>79</v>
      </c>
      <c r="CL895" s="78">
        <v>0</v>
      </c>
      <c r="CM895" s="78">
        <v>0</v>
      </c>
      <c r="CN895" s="78" t="s">
        <v>99</v>
      </c>
      <c r="CO895" s="78" t="s">
        <v>97</v>
      </c>
      <c r="CP895" s="78" t="s">
        <v>100</v>
      </c>
      <c r="CQ895" s="78" t="s">
        <v>126</v>
      </c>
      <c r="CR895" s="80">
        <v>46234</v>
      </c>
      <c r="CT895" s="78" t="s">
        <v>437</v>
      </c>
    </row>
    <row r="896" spans="1:98" s="78" customFormat="1" x14ac:dyDescent="0.35">
      <c r="A896" s="77" t="s">
        <v>1666</v>
      </c>
      <c r="B896" s="77" t="s">
        <v>1691</v>
      </c>
      <c r="C896" s="77" t="s">
        <v>1667</v>
      </c>
      <c r="D896" s="78">
        <v>2022</v>
      </c>
      <c r="E896" s="79" t="s">
        <v>1672</v>
      </c>
      <c r="F896" s="77" t="s">
        <v>1668</v>
      </c>
      <c r="G896" s="78" t="s">
        <v>78</v>
      </c>
      <c r="H896" s="78">
        <v>1</v>
      </c>
      <c r="I896" s="78" t="s">
        <v>390</v>
      </c>
      <c r="J896" s="78" t="s">
        <v>79</v>
      </c>
      <c r="K896" s="78">
        <v>33</v>
      </c>
      <c r="L896" s="78" t="s">
        <v>104</v>
      </c>
      <c r="M896" s="78" t="s">
        <v>380</v>
      </c>
      <c r="N896" s="78">
        <v>-2.2499999999999998E-3</v>
      </c>
      <c r="O896" s="78">
        <v>7.1670000000000002E-4</v>
      </c>
      <c r="P896" s="95">
        <v>-4.5155502392344502</v>
      </c>
      <c r="Q896" s="78" t="s">
        <v>312</v>
      </c>
      <c r="R896" s="95">
        <v>-8.661696E-3</v>
      </c>
      <c r="S896" s="95">
        <v>-3.4183040000000005E-3</v>
      </c>
      <c r="T896" s="78">
        <v>1</v>
      </c>
      <c r="U896" s="78">
        <v>633165</v>
      </c>
      <c r="V896" s="78" t="s">
        <v>312</v>
      </c>
      <c r="W896" s="78" t="s">
        <v>312</v>
      </c>
      <c r="X896" s="78">
        <v>633165</v>
      </c>
      <c r="Y896" s="95">
        <v>-5.674730428794861E-3</v>
      </c>
      <c r="Z896" s="95">
        <v>1.25670851350265E-3</v>
      </c>
      <c r="AA896" s="95">
        <v>-5.674730428794861E-3</v>
      </c>
      <c r="AB896" s="78" t="s">
        <v>81</v>
      </c>
      <c r="AC896" s="95">
        <v>-0.23225008</v>
      </c>
      <c r="AD896" s="95">
        <v>-0.23225008</v>
      </c>
      <c r="AE896" s="105">
        <v>1</v>
      </c>
      <c r="AF896" s="95">
        <v>5.1433395199999996E-2</v>
      </c>
      <c r="AG896" s="95">
        <v>5.1433395199999996E-2</v>
      </c>
      <c r="AH896" s="105">
        <v>1</v>
      </c>
      <c r="AI896" s="95">
        <v>-0.23225008</v>
      </c>
      <c r="AJ896" s="78">
        <v>0</v>
      </c>
      <c r="AK896" s="78">
        <v>1</v>
      </c>
      <c r="AL896" s="76" t="s">
        <v>1674</v>
      </c>
      <c r="AM896" s="78" t="s">
        <v>410</v>
      </c>
      <c r="AN896" s="78">
        <v>38.451999999999998</v>
      </c>
      <c r="AO896" s="78">
        <v>0</v>
      </c>
      <c r="AP896" s="78">
        <v>38.451999999999998</v>
      </c>
      <c r="AQ896" s="78">
        <v>9.109</v>
      </c>
      <c r="AR896" s="78">
        <v>14</v>
      </c>
      <c r="AS896" s="78">
        <v>83</v>
      </c>
      <c r="AT896" s="78" t="s">
        <v>83</v>
      </c>
      <c r="AU896" s="78" t="s">
        <v>109</v>
      </c>
      <c r="AV896" s="78" t="s">
        <v>133</v>
      </c>
      <c r="AW896" s="78" t="s">
        <v>109</v>
      </c>
      <c r="AX896" s="78" t="s">
        <v>86</v>
      </c>
      <c r="AY896" s="78">
        <v>0</v>
      </c>
      <c r="AZ896" s="78">
        <v>0</v>
      </c>
      <c r="BA896" s="78" t="s">
        <v>87</v>
      </c>
      <c r="BB896" s="78" t="s">
        <v>88</v>
      </c>
      <c r="BC896" s="78" t="s">
        <v>89</v>
      </c>
      <c r="BD896" s="78" t="s">
        <v>90</v>
      </c>
      <c r="BE896" s="78" t="s">
        <v>1669</v>
      </c>
      <c r="BF896" s="78">
        <v>6.8559999999999999</v>
      </c>
      <c r="BG896" s="78">
        <v>0</v>
      </c>
      <c r="BH896" s="78">
        <v>3.2730000000000001</v>
      </c>
      <c r="BI896" s="78">
        <v>1</v>
      </c>
      <c r="BJ896" s="78">
        <v>20</v>
      </c>
      <c r="BK896" s="78" t="s">
        <v>91</v>
      </c>
      <c r="BL896" s="78" t="s">
        <v>84</v>
      </c>
      <c r="BM896" s="78">
        <v>1</v>
      </c>
      <c r="BN896" s="78" t="s">
        <v>484</v>
      </c>
      <c r="BO896" s="78" t="s">
        <v>1670</v>
      </c>
      <c r="BP896" s="78" t="s">
        <v>1671</v>
      </c>
      <c r="BQ896" s="78" t="s">
        <v>92</v>
      </c>
      <c r="BR896" s="78" t="s">
        <v>118</v>
      </c>
      <c r="BS896" s="78">
        <v>29.169</v>
      </c>
      <c r="BT896" s="78">
        <v>0.30900000000000005</v>
      </c>
      <c r="BU896" s="78">
        <v>2010</v>
      </c>
      <c r="BV896" s="78">
        <v>2015</v>
      </c>
      <c r="BW896" s="78" t="s">
        <v>94</v>
      </c>
      <c r="BX896" s="78" t="s">
        <v>95</v>
      </c>
      <c r="BY896" s="78" t="s">
        <v>96</v>
      </c>
      <c r="BZ896" s="78">
        <v>0</v>
      </c>
      <c r="CA896" s="78">
        <v>0</v>
      </c>
      <c r="CB896" s="78" t="s">
        <v>97</v>
      </c>
      <c r="CC896" s="78" t="s">
        <v>1673</v>
      </c>
      <c r="CD896" s="78">
        <v>1</v>
      </c>
      <c r="CE896" s="78" t="s">
        <v>1712</v>
      </c>
      <c r="CF896" s="78">
        <v>0</v>
      </c>
      <c r="CG896" s="78" t="s">
        <v>97</v>
      </c>
      <c r="CH896" s="78">
        <v>1</v>
      </c>
      <c r="CI896" s="78" t="s">
        <v>1465</v>
      </c>
      <c r="CJ896" s="78" t="s">
        <v>98</v>
      </c>
      <c r="CK896" s="78">
        <v>79</v>
      </c>
      <c r="CL896" s="78">
        <v>0</v>
      </c>
      <c r="CM896" s="78">
        <v>0</v>
      </c>
      <c r="CN896" s="78" t="s">
        <v>99</v>
      </c>
      <c r="CO896" s="78" t="s">
        <v>97</v>
      </c>
      <c r="CP896" s="78" t="s">
        <v>100</v>
      </c>
      <c r="CQ896" s="78" t="s">
        <v>126</v>
      </c>
      <c r="CR896" s="80">
        <v>46234</v>
      </c>
      <c r="CT896" s="78" t="s">
        <v>438</v>
      </c>
    </row>
    <row r="897" spans="1:98" s="78" customFormat="1" x14ac:dyDescent="0.35">
      <c r="A897" s="77" t="s">
        <v>1666</v>
      </c>
      <c r="B897" s="77" t="s">
        <v>1692</v>
      </c>
      <c r="C897" s="77" t="s">
        <v>1667</v>
      </c>
      <c r="D897" s="78">
        <v>2022</v>
      </c>
      <c r="E897" s="79" t="s">
        <v>1672</v>
      </c>
      <c r="F897" s="77" t="s">
        <v>1668</v>
      </c>
      <c r="G897" s="78" t="s">
        <v>78</v>
      </c>
      <c r="H897" s="78">
        <v>1</v>
      </c>
      <c r="I897" s="78" t="s">
        <v>390</v>
      </c>
      <c r="J897" s="78" t="s">
        <v>79</v>
      </c>
      <c r="K897" s="78">
        <v>33</v>
      </c>
      <c r="L897" s="78" t="s">
        <v>104</v>
      </c>
      <c r="M897" s="78" t="s">
        <v>380</v>
      </c>
      <c r="N897" s="78">
        <v>-1.2800000000000001E-3</v>
      </c>
      <c r="O897" s="78">
        <v>1.0977999999999999E-3</v>
      </c>
      <c r="P897" s="95">
        <v>-0.80042689434364989</v>
      </c>
      <c r="Q897" s="78" t="s">
        <v>312</v>
      </c>
      <c r="R897" s="95">
        <v>-3.1038239999999998E-3</v>
      </c>
      <c r="S897" s="95">
        <v>1.3038240000000001E-3</v>
      </c>
      <c r="T897" s="78">
        <v>1</v>
      </c>
      <c r="U897" s="78">
        <v>633165</v>
      </c>
      <c r="V897" s="78" t="s">
        <v>312</v>
      </c>
      <c r="W897" s="78" t="s">
        <v>312</v>
      </c>
      <c r="X897" s="78">
        <v>633165</v>
      </c>
      <c r="Y897" s="95">
        <v>-1.0059189803511242E-3</v>
      </c>
      <c r="Z897" s="95">
        <v>1.2567281127853379E-3</v>
      </c>
      <c r="AA897" s="95">
        <v>-1.0059189803511242E-3</v>
      </c>
      <c r="AB897" s="78" t="s">
        <v>81</v>
      </c>
      <c r="AC897" s="95">
        <v>-5.4998999999999994E-3</v>
      </c>
      <c r="AD897" s="95">
        <v>-5.4998999999999994E-3</v>
      </c>
      <c r="AE897" s="105">
        <v>1</v>
      </c>
      <c r="AF897" s="95">
        <v>6.8712083999999994E-3</v>
      </c>
      <c r="AG897" s="95">
        <v>6.8712083999999994E-3</v>
      </c>
      <c r="AH897" s="105">
        <v>1</v>
      </c>
      <c r="AI897" s="95">
        <v>-5.4998999999999994E-3</v>
      </c>
      <c r="AJ897" s="78">
        <v>0</v>
      </c>
      <c r="AK897" s="78">
        <v>1</v>
      </c>
      <c r="AL897" s="76" t="s">
        <v>1689</v>
      </c>
      <c r="AM897" s="78" t="s">
        <v>410</v>
      </c>
      <c r="AN897" s="78">
        <v>6.1109999999999998</v>
      </c>
      <c r="AO897" s="78">
        <v>0</v>
      </c>
      <c r="AP897" s="78">
        <v>6.1109999999999998</v>
      </c>
      <c r="AQ897" s="78">
        <v>5.0839999999999996</v>
      </c>
      <c r="AR897" s="78">
        <v>0</v>
      </c>
      <c r="AS897" s="78">
        <v>36</v>
      </c>
      <c r="AT897" s="78" t="s">
        <v>83</v>
      </c>
      <c r="AU897" s="78" t="s">
        <v>109</v>
      </c>
      <c r="AV897" s="78" t="s">
        <v>133</v>
      </c>
      <c r="AW897" s="78" t="s">
        <v>109</v>
      </c>
      <c r="AX897" s="78" t="s">
        <v>86</v>
      </c>
      <c r="AY897" s="78">
        <v>0</v>
      </c>
      <c r="AZ897" s="78">
        <v>0</v>
      </c>
      <c r="BA897" s="78" t="s">
        <v>87</v>
      </c>
      <c r="BB897" s="78" t="s">
        <v>88</v>
      </c>
      <c r="BC897" s="78" t="s">
        <v>89</v>
      </c>
      <c r="BD897" s="78" t="s">
        <v>90</v>
      </c>
      <c r="BE897" s="78" t="s">
        <v>1669</v>
      </c>
      <c r="BF897" s="78">
        <v>6.8559999999999999</v>
      </c>
      <c r="BG897" s="78">
        <v>0</v>
      </c>
      <c r="BH897" s="78">
        <v>3.2730000000000001</v>
      </c>
      <c r="BI897" s="78">
        <v>1</v>
      </c>
      <c r="BJ897" s="78">
        <v>20</v>
      </c>
      <c r="BK897" s="78" t="s">
        <v>91</v>
      </c>
      <c r="BL897" s="78" t="s">
        <v>84</v>
      </c>
      <c r="BM897" s="78">
        <v>1</v>
      </c>
      <c r="BN897" s="78" t="s">
        <v>484</v>
      </c>
      <c r="BO897" s="78" t="s">
        <v>1670</v>
      </c>
      <c r="BP897" s="78" t="s">
        <v>1671</v>
      </c>
      <c r="BQ897" s="78" t="s">
        <v>92</v>
      </c>
      <c r="BR897" s="78" t="s">
        <v>118</v>
      </c>
      <c r="BS897" s="78">
        <v>29.169</v>
      </c>
      <c r="BT897" s="78">
        <v>0.30900000000000005</v>
      </c>
      <c r="BU897" s="78">
        <v>2010</v>
      </c>
      <c r="BV897" s="78">
        <v>2015</v>
      </c>
      <c r="BW897" s="78" t="s">
        <v>94</v>
      </c>
      <c r="BX897" s="78" t="s">
        <v>95</v>
      </c>
      <c r="BY897" s="78" t="s">
        <v>96</v>
      </c>
      <c r="BZ897" s="78">
        <v>0</v>
      </c>
      <c r="CA897" s="78">
        <v>0</v>
      </c>
      <c r="CB897" s="78" t="s">
        <v>97</v>
      </c>
      <c r="CC897" s="78" t="s">
        <v>1673</v>
      </c>
      <c r="CD897" s="78">
        <v>1</v>
      </c>
      <c r="CE897" s="78" t="s">
        <v>1712</v>
      </c>
      <c r="CF897" s="78">
        <v>0</v>
      </c>
      <c r="CG897" s="78" t="s">
        <v>97</v>
      </c>
      <c r="CH897" s="78">
        <v>1</v>
      </c>
      <c r="CI897" s="78" t="s">
        <v>1465</v>
      </c>
      <c r="CJ897" s="78" t="s">
        <v>98</v>
      </c>
      <c r="CK897" s="78">
        <v>79</v>
      </c>
      <c r="CL897" s="78">
        <v>0</v>
      </c>
      <c r="CM897" s="78">
        <v>0</v>
      </c>
      <c r="CN897" s="78" t="s">
        <v>99</v>
      </c>
      <c r="CO897" s="78" t="s">
        <v>97</v>
      </c>
      <c r="CP897" s="78" t="s">
        <v>100</v>
      </c>
      <c r="CQ897" s="78" t="s">
        <v>126</v>
      </c>
      <c r="CR897" s="80">
        <v>46234</v>
      </c>
      <c r="CT897" s="78" t="s">
        <v>439</v>
      </c>
    </row>
    <row r="898" spans="1:98" s="78" customFormat="1" x14ac:dyDescent="0.35">
      <c r="A898" s="77" t="s">
        <v>1666</v>
      </c>
      <c r="B898" s="77" t="s">
        <v>1693</v>
      </c>
      <c r="C898" s="77" t="s">
        <v>1667</v>
      </c>
      <c r="D898" s="78">
        <v>2022</v>
      </c>
      <c r="E898" s="79" t="s">
        <v>1672</v>
      </c>
      <c r="F898" s="77" t="s">
        <v>1668</v>
      </c>
      <c r="G898" s="78" t="s">
        <v>78</v>
      </c>
      <c r="H898" s="78">
        <v>1</v>
      </c>
      <c r="I898" s="78" t="s">
        <v>390</v>
      </c>
      <c r="J898" s="78" t="s">
        <v>79</v>
      </c>
      <c r="K898" s="78">
        <v>33</v>
      </c>
      <c r="L898" s="78" t="s">
        <v>104</v>
      </c>
      <c r="M898" s="78" t="s">
        <v>380</v>
      </c>
      <c r="N898" s="78">
        <v>-5.45E-3</v>
      </c>
      <c r="O898" s="78">
        <v>1.4706000000000001E-3</v>
      </c>
      <c r="P898" s="95">
        <f t="shared" ref="P898:P937" si="361">N898/O898</f>
        <v>-3.7059703522371819</v>
      </c>
      <c r="Q898" s="78" t="s">
        <v>312</v>
      </c>
      <c r="R898" s="95">
        <f t="shared" ref="R898:R937" si="362">N898-1.96*O898</f>
        <v>-8.3323760000000007E-3</v>
      </c>
      <c r="S898" s="95">
        <f t="shared" ref="S898:S937" si="363">N898+1.96*O898</f>
        <v>-2.5676239999999997E-3</v>
      </c>
      <c r="T898" s="78">
        <v>1</v>
      </c>
      <c r="U898" s="78">
        <v>633165</v>
      </c>
      <c r="V898" s="78" t="s">
        <v>312</v>
      </c>
      <c r="W898" s="78" t="s">
        <v>312</v>
      </c>
      <c r="X898" s="78">
        <f t="shared" ref="X898:X929" si="364">U898</f>
        <v>633165</v>
      </c>
      <c r="Y898" s="95">
        <f t="shared" ref="Y898:Y937" si="365">P898/(P898^2 + X898)^(1/2)</f>
        <v>-4.6573489712885907E-3</v>
      </c>
      <c r="Z898" s="95">
        <f t="shared" ref="Z898:Z937" si="366">((1-Y898^2)/X898)^(1/2)</f>
        <v>1.2567151187480739E-3</v>
      </c>
      <c r="AA898" s="95">
        <f t="shared" ref="AA898:AA929" si="367">Y898</f>
        <v>-4.6573489712885907E-3</v>
      </c>
      <c r="AB898" s="78" t="s">
        <v>81</v>
      </c>
      <c r="AC898" s="95">
        <f t="shared" ref="AC898:AC929" si="368">N898*AN898</f>
        <v>-3.6264299999999999E-2</v>
      </c>
      <c r="AD898" s="95" cm="1">
        <f t="array" ref="AD898">_xlfn.IFS(
AND(L898="marginal_effect",M898="level"),N898*AN898/BF898,
AND(L898="marginal_effect",M898="sd (Y)"),N898*BI898*AN898/BF898,
AND(L898="marginal_effect",M898="sd (X)"),N898/AQ898*AN898/BF898,
AND(L898="semi_elasticity",M898="level"),N898*AN898,
AND(L898="semi_elasticity",M898="sd (Y)"),N898*AN898*BI898,
AND(L898="semi_elasticity",M898="sd (X)"),N898*AN898/AQ898,
AND(L898="level-log",M898="level"),N898/BF898,
AND(L898="level-log",M898="sd (X)"),N898/BF898/AQ898,
AND(L898="level-log",M898="sd (Y)"),N898/BF898*BI898,
AND(L898="elasticity",M898="level"),N898,
AND(L898="elasticity",M898="sd (X)"),N898/AQ898,
AND(L898="elasticity",M898="sd (Y)"),N898*BI898,
AND(L898="marginal_effect",M898="percent_of_mean"),N898*AN898/BF898/10)</f>
        <v>-3.6264299999999999E-2</v>
      </c>
      <c r="AE898" s="105">
        <f t="shared" ref="AE898:AE929" si="369">IF(AC898=AD898,1,0)</f>
        <v>1</v>
      </c>
      <c r="AF898" s="95">
        <f t="shared" ref="AF898:AF937" si="370">O898*AN898</f>
        <v>9.7853724000000007E-3</v>
      </c>
      <c r="AG898" s="95" cm="1">
        <f t="array" ref="AG898">_xlfn.IFS(
AND(L898="marginal_effect",M898="level"),O898*AN898/BF898,
AND(L898="marginal_effect",M898="sd (Y)"),O898*BI898*AN898/BF898,
AND(L898="marginal_effect",M898="sd (X)"),O898/AQ898*AN898/BF898,
AND(L898="semi_elasticity",M898="level"),O898*AN898,
AND(L898="semi_elasticity",M898="sd (Y)"),O898*AN898*BI898,
AND(L898="semi_elasticity",M898="sd (X)"),O898*AN898/AQ898,
AND(L898="level-log",M898="level"),O898/BF898,
AND(L898="level-log",M898="sd (X)"),O898/BF898/AQ898,
AND(L898="level-log",M898="sd (Y)"),O898/BF898*BI898,
AND(L898="elasticity",M898="level"),O898,
AND(L898="elasticity",M898="sd (X)"),O898/AQ898,
AND(L898="elasticity",M898="sd (Y)"),O898*BI898,
AND(L898="marginal_effect",M898="percent_of_mean"),O898*AN898/BF898/10)</f>
        <v>9.7853724000000007E-3</v>
      </c>
      <c r="AH898" s="105">
        <f t="shared" ref="AH898:AH937" si="371">IF(AF898=AG898,1,0)</f>
        <v>1</v>
      </c>
      <c r="AI898" s="95">
        <f t="shared" ref="AI898:AI929" si="372">AC898</f>
        <v>-3.6264299999999999E-2</v>
      </c>
      <c r="AJ898" s="78">
        <v>0</v>
      </c>
      <c r="AK898" s="78">
        <f t="shared" ref="AK898:AK937" si="373">IF(P898=(AC898/AF898),1,0)</f>
        <v>1</v>
      </c>
      <c r="AL898" s="78" t="s">
        <v>82</v>
      </c>
      <c r="AM898" s="78" t="s">
        <v>1333</v>
      </c>
      <c r="AN898" s="78">
        <v>6.6539999999999999</v>
      </c>
      <c r="AO898" s="78">
        <v>0</v>
      </c>
      <c r="AP898" s="78">
        <f t="shared" ref="AP898:AP929" si="374">AN898</f>
        <v>6.6539999999999999</v>
      </c>
      <c r="AQ898" s="78">
        <v>2.7320000000000002</v>
      </c>
      <c r="AR898" s="78">
        <v>0.69099999999999995</v>
      </c>
      <c r="AS898" s="78">
        <v>21.341999999999999</v>
      </c>
      <c r="AT898" s="78" t="s">
        <v>83</v>
      </c>
      <c r="AU898" s="78" t="s">
        <v>109</v>
      </c>
      <c r="AV898" s="78" t="s">
        <v>133</v>
      </c>
      <c r="AW898" s="78" t="s">
        <v>109</v>
      </c>
      <c r="AX898" s="78" t="s">
        <v>86</v>
      </c>
      <c r="AY898" s="78">
        <v>0</v>
      </c>
      <c r="AZ898" s="78">
        <v>0</v>
      </c>
      <c r="BA898" s="78" t="s">
        <v>87</v>
      </c>
      <c r="BB898" s="78" t="s">
        <v>88</v>
      </c>
      <c r="BC898" s="78" t="s">
        <v>89</v>
      </c>
      <c r="BD898" s="78" t="s">
        <v>90</v>
      </c>
      <c r="BE898" s="78" t="s">
        <v>1669</v>
      </c>
      <c r="BF898" s="78">
        <v>6.8559999999999999</v>
      </c>
      <c r="BG898" s="78">
        <v>0</v>
      </c>
      <c r="BH898" s="78">
        <v>3.2730000000000001</v>
      </c>
      <c r="BI898" s="78">
        <v>1</v>
      </c>
      <c r="BJ898" s="78">
        <v>20</v>
      </c>
      <c r="BK898" s="78" t="s">
        <v>91</v>
      </c>
      <c r="BL898" s="78" t="s">
        <v>84</v>
      </c>
      <c r="BM898" s="78">
        <v>1</v>
      </c>
      <c r="BN898" s="78" t="s">
        <v>484</v>
      </c>
      <c r="BO898" s="78" t="s">
        <v>1670</v>
      </c>
      <c r="BP898" s="78" t="s">
        <v>1671</v>
      </c>
      <c r="BQ898" s="78" t="s">
        <v>92</v>
      </c>
      <c r="BR898" s="78" t="s">
        <v>118</v>
      </c>
      <c r="BS898" s="78">
        <v>29.169</v>
      </c>
      <c r="BT898" s="78">
        <f t="shared" ref="BT898:BT929" si="375">1-0.691</f>
        <v>0.30900000000000005</v>
      </c>
      <c r="BU898" s="78">
        <v>2010</v>
      </c>
      <c r="BV898" s="78">
        <v>2015</v>
      </c>
      <c r="BW898" s="78" t="s">
        <v>94</v>
      </c>
      <c r="BX898" s="78" t="s">
        <v>95</v>
      </c>
      <c r="BY898" s="78" t="s">
        <v>96</v>
      </c>
      <c r="BZ898" s="78">
        <v>0</v>
      </c>
      <c r="CA898" s="78">
        <v>0</v>
      </c>
      <c r="CB898" s="78" t="s">
        <v>97</v>
      </c>
      <c r="CC898" s="78" t="s">
        <v>1673</v>
      </c>
      <c r="CD898" s="78">
        <v>0</v>
      </c>
      <c r="CE898" s="78" t="s">
        <v>97</v>
      </c>
      <c r="CF898" s="78">
        <v>1</v>
      </c>
      <c r="CG898" s="78" t="s">
        <v>1125</v>
      </c>
      <c r="CH898" s="78">
        <v>1</v>
      </c>
      <c r="CI898" s="78" t="s">
        <v>1465</v>
      </c>
      <c r="CJ898" s="78" t="s">
        <v>98</v>
      </c>
      <c r="CK898" s="78">
        <v>79</v>
      </c>
      <c r="CL898" s="78">
        <v>0</v>
      </c>
      <c r="CM898" s="78">
        <v>0</v>
      </c>
      <c r="CN898" s="78" t="s">
        <v>99</v>
      </c>
      <c r="CO898" s="78" t="s">
        <v>97</v>
      </c>
      <c r="CP898" s="78" t="s">
        <v>100</v>
      </c>
      <c r="CQ898" s="78" t="s">
        <v>126</v>
      </c>
      <c r="CR898" s="80">
        <v>46234</v>
      </c>
      <c r="CT898" s="78" t="s">
        <v>449</v>
      </c>
    </row>
    <row r="899" spans="1:98" s="78" customFormat="1" x14ac:dyDescent="0.35">
      <c r="A899" s="77" t="s">
        <v>1666</v>
      </c>
      <c r="B899" s="77" t="s">
        <v>1695</v>
      </c>
      <c r="C899" s="77" t="s">
        <v>1667</v>
      </c>
      <c r="D899" s="78">
        <v>2022</v>
      </c>
      <c r="E899" s="79" t="s">
        <v>1672</v>
      </c>
      <c r="F899" s="77" t="s">
        <v>1668</v>
      </c>
      <c r="G899" s="78" t="s">
        <v>78</v>
      </c>
      <c r="H899" s="78">
        <v>1</v>
      </c>
      <c r="I899" s="78" t="s">
        <v>390</v>
      </c>
      <c r="J899" s="78" t="s">
        <v>79</v>
      </c>
      <c r="K899" s="78">
        <v>33</v>
      </c>
      <c r="L899" s="78" t="s">
        <v>104</v>
      </c>
      <c r="M899" s="78" t="s">
        <v>380</v>
      </c>
      <c r="N899" s="78">
        <v>-2.81E-3</v>
      </c>
      <c r="O899" s="78">
        <v>7.9350000000000004E-4</v>
      </c>
      <c r="P899" s="95">
        <f t="shared" si="361"/>
        <v>-3.5412728418399495</v>
      </c>
      <c r="Q899" s="78" t="s">
        <v>312</v>
      </c>
      <c r="R899" s="95">
        <f t="shared" si="362"/>
        <v>-4.3652600000000001E-3</v>
      </c>
      <c r="S899" s="95">
        <f t="shared" si="363"/>
        <v>-1.2547399999999998E-3</v>
      </c>
      <c r="T899" s="78">
        <v>1</v>
      </c>
      <c r="U899" s="78">
        <v>633165</v>
      </c>
      <c r="V899" s="78" t="s">
        <v>312</v>
      </c>
      <c r="W899" s="78" t="s">
        <v>312</v>
      </c>
      <c r="X899" s="78">
        <f t="shared" si="364"/>
        <v>633165</v>
      </c>
      <c r="Y899" s="95">
        <f t="shared" si="365"/>
        <v>-4.4503753146472955E-3</v>
      </c>
      <c r="Z899" s="95">
        <f t="shared" si="366"/>
        <v>1.2567163032642808E-3</v>
      </c>
      <c r="AA899" s="95">
        <f t="shared" si="367"/>
        <v>-4.4503753146472955E-3</v>
      </c>
      <c r="AB899" s="78" t="s">
        <v>81</v>
      </c>
      <c r="AC899" s="95">
        <f t="shared" si="368"/>
        <v>-0.10805012</v>
      </c>
      <c r="AD899" s="95" cm="1">
        <f t="array" ref="AD899">_xlfn.IFS(
AND(L899="marginal_effect",M899="level"),N899*AN899/BF899,
AND(L899="marginal_effect",M899="sd (Y)"),N899*BI899*AN899/BF899,
AND(L899="marginal_effect",M899="sd (X)"),N899/AQ899*AN899/BF899,
AND(L899="semi_elasticity",M899="level"),N899*AN899,
AND(L899="semi_elasticity",M899="sd (Y)"),N899*AN899*BI899,
AND(L899="semi_elasticity",M899="sd (X)"),N899*AN899/AQ899,
AND(L899="level-log",M899="level"),N899/BF899,
AND(L899="level-log",M899="sd (X)"),N899/BF899/AQ899,
AND(L899="level-log",M899="sd (Y)"),N899/BF899*BI899,
AND(L899="elasticity",M899="level"),N899,
AND(L899="elasticity",M899="sd (X)"),N899/AQ899,
AND(L899="elasticity",M899="sd (Y)"),N899*BI899,
AND(L899="marginal_effect",M899="percent_of_mean"),N899*AN899/BF899/10)</f>
        <v>-0.10805012</v>
      </c>
      <c r="AE899" s="105">
        <f t="shared" si="369"/>
        <v>1</v>
      </c>
      <c r="AF899" s="95">
        <f t="shared" si="370"/>
        <v>3.0511662000000002E-2</v>
      </c>
      <c r="AG899" s="95" cm="1">
        <f t="array" ref="AG899">_xlfn.IFS(
AND(L899="marginal_effect",M899="level"),O899*AN899/BF899,
AND(L899="marginal_effect",M899="sd (Y)"),O899*BI899*AN899/BF899,
AND(L899="marginal_effect",M899="sd (X)"),O899/AQ899*AN899/BF899,
AND(L899="semi_elasticity",M899="level"),O899*AN899,
AND(L899="semi_elasticity",M899="sd (Y)"),O899*AN899*BI899,
AND(L899="semi_elasticity",M899="sd (X)"),O899*AN899/AQ899,
AND(L899="level-log",M899="level"),O899/BF899,
AND(L899="level-log",M899="sd (X)"),O899/BF899/AQ899,
AND(L899="level-log",M899="sd (Y)"),O899/BF899*BI899,
AND(L899="elasticity",M899="level"),O899,
AND(L899="elasticity",M899="sd (X)"),O899/AQ899,
AND(L899="elasticity",M899="sd (Y)"),O899*BI899,
AND(L899="marginal_effect",M899="percent_of_mean"),O899*AN899/BF899/10)</f>
        <v>3.0511662000000002E-2</v>
      </c>
      <c r="AH899" s="105">
        <f t="shared" si="371"/>
        <v>1</v>
      </c>
      <c r="AI899" s="95">
        <f t="shared" si="372"/>
        <v>-0.10805012</v>
      </c>
      <c r="AJ899" s="78">
        <v>0</v>
      </c>
      <c r="AK899" s="78">
        <f t="shared" si="373"/>
        <v>1</v>
      </c>
      <c r="AL899" s="76" t="s">
        <v>1674</v>
      </c>
      <c r="AM899" s="78" t="s">
        <v>410</v>
      </c>
      <c r="AN899" s="78">
        <v>38.451999999999998</v>
      </c>
      <c r="AO899" s="78">
        <v>0</v>
      </c>
      <c r="AP899" s="78">
        <f t="shared" si="374"/>
        <v>38.451999999999998</v>
      </c>
      <c r="AQ899" s="78">
        <v>9.109</v>
      </c>
      <c r="AR899" s="78">
        <v>14</v>
      </c>
      <c r="AS899" s="78">
        <v>83</v>
      </c>
      <c r="AT899" s="78" t="s">
        <v>83</v>
      </c>
      <c r="AU899" s="78" t="s">
        <v>109</v>
      </c>
      <c r="AV899" s="78" t="s">
        <v>133</v>
      </c>
      <c r="AW899" s="78" t="s">
        <v>109</v>
      </c>
      <c r="AX899" s="78" t="s">
        <v>86</v>
      </c>
      <c r="AY899" s="78">
        <v>0</v>
      </c>
      <c r="AZ899" s="78">
        <v>0</v>
      </c>
      <c r="BA899" s="78" t="s">
        <v>87</v>
      </c>
      <c r="BB899" s="78" t="s">
        <v>88</v>
      </c>
      <c r="BC899" s="78" t="s">
        <v>89</v>
      </c>
      <c r="BD899" s="78" t="s">
        <v>90</v>
      </c>
      <c r="BE899" s="78" t="s">
        <v>1669</v>
      </c>
      <c r="BF899" s="78">
        <v>6.8559999999999999</v>
      </c>
      <c r="BG899" s="78">
        <v>0</v>
      </c>
      <c r="BH899" s="78">
        <v>3.2730000000000001</v>
      </c>
      <c r="BI899" s="78">
        <v>1</v>
      </c>
      <c r="BJ899" s="78">
        <v>20</v>
      </c>
      <c r="BK899" s="78" t="s">
        <v>91</v>
      </c>
      <c r="BL899" s="78" t="s">
        <v>84</v>
      </c>
      <c r="BM899" s="78">
        <v>1</v>
      </c>
      <c r="BN899" s="78" t="s">
        <v>484</v>
      </c>
      <c r="BO899" s="78" t="s">
        <v>1670</v>
      </c>
      <c r="BP899" s="78" t="s">
        <v>1671</v>
      </c>
      <c r="BQ899" s="78" t="s">
        <v>92</v>
      </c>
      <c r="BR899" s="78" t="s">
        <v>118</v>
      </c>
      <c r="BS899" s="78">
        <v>29.169</v>
      </c>
      <c r="BT899" s="78">
        <f t="shared" si="375"/>
        <v>0.30900000000000005</v>
      </c>
      <c r="BU899" s="78">
        <v>2010</v>
      </c>
      <c r="BV899" s="78">
        <v>2015</v>
      </c>
      <c r="BW899" s="78" t="s">
        <v>94</v>
      </c>
      <c r="BX899" s="78" t="s">
        <v>95</v>
      </c>
      <c r="BY899" s="78" t="s">
        <v>96</v>
      </c>
      <c r="BZ899" s="78">
        <v>0</v>
      </c>
      <c r="CA899" s="78">
        <v>0</v>
      </c>
      <c r="CB899" s="78" t="s">
        <v>97</v>
      </c>
      <c r="CC899" s="78" t="s">
        <v>1673</v>
      </c>
      <c r="CD899" s="78">
        <v>0</v>
      </c>
      <c r="CE899" s="78" t="s">
        <v>97</v>
      </c>
      <c r="CF899" s="78">
        <v>1</v>
      </c>
      <c r="CG899" s="78" t="s">
        <v>1688</v>
      </c>
      <c r="CH899" s="78">
        <v>1</v>
      </c>
      <c r="CI899" s="78" t="s">
        <v>1465</v>
      </c>
      <c r="CJ899" s="78" t="s">
        <v>98</v>
      </c>
      <c r="CK899" s="78">
        <v>79</v>
      </c>
      <c r="CL899" s="78">
        <v>0</v>
      </c>
      <c r="CM899" s="78">
        <v>0</v>
      </c>
      <c r="CN899" s="78" t="s">
        <v>99</v>
      </c>
      <c r="CO899" s="78" t="s">
        <v>97</v>
      </c>
      <c r="CP899" s="78" t="s">
        <v>100</v>
      </c>
      <c r="CQ899" s="78" t="s">
        <v>126</v>
      </c>
      <c r="CR899" s="80">
        <v>46234</v>
      </c>
      <c r="CT899" s="78" t="s">
        <v>449</v>
      </c>
    </row>
    <row r="900" spans="1:98" s="78" customFormat="1" x14ac:dyDescent="0.35">
      <c r="A900" s="77" t="s">
        <v>1666</v>
      </c>
      <c r="B900" s="77" t="s">
        <v>1694</v>
      </c>
      <c r="C900" s="77" t="s">
        <v>1667</v>
      </c>
      <c r="D900" s="78">
        <v>2022</v>
      </c>
      <c r="E900" s="79" t="s">
        <v>1672</v>
      </c>
      <c r="F900" s="77" t="s">
        <v>1668</v>
      </c>
      <c r="G900" s="78" t="s">
        <v>78</v>
      </c>
      <c r="H900" s="78">
        <v>1</v>
      </c>
      <c r="I900" s="78" t="s">
        <v>390</v>
      </c>
      <c r="J900" s="78" t="s">
        <v>79</v>
      </c>
      <c r="K900" s="78">
        <v>33</v>
      </c>
      <c r="L900" s="78" t="s">
        <v>104</v>
      </c>
      <c r="M900" s="78" t="s">
        <v>380</v>
      </c>
      <c r="N900" s="78">
        <v>-1.0499999999999999E-3</v>
      </c>
      <c r="O900" s="78">
        <v>1.1751000000000001E-3</v>
      </c>
      <c r="P900" s="95">
        <f t="shared" si="361"/>
        <v>-0.89354097523614995</v>
      </c>
      <c r="Q900" s="78" t="s">
        <v>312</v>
      </c>
      <c r="R900" s="95">
        <f t="shared" si="362"/>
        <v>-3.3531960000000001E-3</v>
      </c>
      <c r="S900" s="95">
        <f t="shared" si="363"/>
        <v>1.253196E-3</v>
      </c>
      <c r="T900" s="78">
        <v>1</v>
      </c>
      <c r="U900" s="78">
        <v>633165</v>
      </c>
      <c r="V900" s="78" t="s">
        <v>312</v>
      </c>
      <c r="W900" s="78" t="s">
        <v>312</v>
      </c>
      <c r="X900" s="78">
        <f t="shared" si="364"/>
        <v>633165</v>
      </c>
      <c r="Y900" s="95">
        <f t="shared" si="365"/>
        <v>-1.122937923633499E-3</v>
      </c>
      <c r="Z900" s="95">
        <f t="shared" si="366"/>
        <v>1.2567279562492619E-3</v>
      </c>
      <c r="AA900" s="95">
        <f t="shared" si="367"/>
        <v>-1.122937923633499E-3</v>
      </c>
      <c r="AB900" s="78" t="s">
        <v>81</v>
      </c>
      <c r="AC900" s="95">
        <f t="shared" si="368"/>
        <v>-6.4165499999999992E-3</v>
      </c>
      <c r="AD900" s="95" cm="1">
        <f t="array" ref="AD900">_xlfn.IFS(
AND(L900="marginal_effect",M900="level"),N900*AN900/BF900,
AND(L900="marginal_effect",M900="sd (Y)"),N900*BI900*AN900/BF900,
AND(L900="marginal_effect",M900="sd (X)"),N900/AQ900*AN900/BF900,
AND(L900="semi_elasticity",M900="level"),N900*AN900,
AND(L900="semi_elasticity",M900="sd (Y)"),N900*AN900*BI900,
AND(L900="semi_elasticity",M900="sd (X)"),N900*AN900/AQ900,
AND(L900="level-log",M900="level"),N900/BF900,
AND(L900="level-log",M900="sd (X)"),N900/BF900/AQ900,
AND(L900="level-log",M900="sd (Y)"),N900/BF900*BI900,
AND(L900="elasticity",M900="level"),N900,
AND(L900="elasticity",M900="sd (X)"),N900/AQ900,
AND(L900="elasticity",M900="sd (Y)"),N900*BI900,
AND(L900="marginal_effect",M900="percent_of_mean"),N900*AN900/BF900/10)</f>
        <v>-6.4165499999999992E-3</v>
      </c>
      <c r="AE900" s="105">
        <f t="shared" si="369"/>
        <v>1</v>
      </c>
      <c r="AF900" s="95">
        <f t="shared" si="370"/>
        <v>7.1810361000000005E-3</v>
      </c>
      <c r="AG900" s="95" cm="1">
        <f t="array" ref="AG900">_xlfn.IFS(
AND(L900="marginal_effect",M900="level"),O900*AN900/BF900,
AND(L900="marginal_effect",M900="sd (Y)"),O900*BI900*AN900/BF900,
AND(L900="marginal_effect",M900="sd (X)"),O900/AQ900*AN900/BF900,
AND(L900="semi_elasticity",M900="level"),O900*AN900,
AND(L900="semi_elasticity",M900="sd (Y)"),O900*AN900*BI900,
AND(L900="semi_elasticity",M900="sd (X)"),O900*AN900/AQ900,
AND(L900="level-log",M900="level"),O900/BF900,
AND(L900="level-log",M900="sd (X)"),O900/BF900/AQ900,
AND(L900="level-log",M900="sd (Y)"),O900/BF900*BI900,
AND(L900="elasticity",M900="level"),O900,
AND(L900="elasticity",M900="sd (X)"),O900/AQ900,
AND(L900="elasticity",M900="sd (Y)"),O900*BI900,
AND(L900="marginal_effect",M900="percent_of_mean"),O900*AN900/BF900/10)</f>
        <v>7.1810361000000005E-3</v>
      </c>
      <c r="AH900" s="105">
        <f t="shared" si="371"/>
        <v>1</v>
      </c>
      <c r="AI900" s="95">
        <f t="shared" si="372"/>
        <v>-6.4165499999999992E-3</v>
      </c>
      <c r="AJ900" s="78">
        <v>0</v>
      </c>
      <c r="AK900" s="78">
        <f t="shared" si="373"/>
        <v>1</v>
      </c>
      <c r="AL900" s="76" t="s">
        <v>1689</v>
      </c>
      <c r="AM900" s="78" t="s">
        <v>410</v>
      </c>
      <c r="AN900" s="78">
        <v>6.1109999999999998</v>
      </c>
      <c r="AO900" s="78">
        <v>0</v>
      </c>
      <c r="AP900" s="78">
        <f t="shared" si="374"/>
        <v>6.1109999999999998</v>
      </c>
      <c r="AQ900" s="78">
        <v>5.0839999999999996</v>
      </c>
      <c r="AR900" s="78">
        <v>0</v>
      </c>
      <c r="AS900" s="78">
        <v>36</v>
      </c>
      <c r="AT900" s="78" t="s">
        <v>83</v>
      </c>
      <c r="AU900" s="78" t="s">
        <v>109</v>
      </c>
      <c r="AV900" s="78" t="s">
        <v>133</v>
      </c>
      <c r="AW900" s="78" t="s">
        <v>109</v>
      </c>
      <c r="AX900" s="78" t="s">
        <v>86</v>
      </c>
      <c r="AY900" s="78">
        <v>0</v>
      </c>
      <c r="AZ900" s="78">
        <v>0</v>
      </c>
      <c r="BA900" s="78" t="s">
        <v>87</v>
      </c>
      <c r="BB900" s="78" t="s">
        <v>88</v>
      </c>
      <c r="BC900" s="78" t="s">
        <v>89</v>
      </c>
      <c r="BD900" s="78" t="s">
        <v>90</v>
      </c>
      <c r="BE900" s="78" t="s">
        <v>1669</v>
      </c>
      <c r="BF900" s="78">
        <v>6.8559999999999999</v>
      </c>
      <c r="BG900" s="78">
        <v>0</v>
      </c>
      <c r="BH900" s="78">
        <v>3.2730000000000001</v>
      </c>
      <c r="BI900" s="78">
        <v>1</v>
      </c>
      <c r="BJ900" s="78">
        <v>20</v>
      </c>
      <c r="BK900" s="78" t="s">
        <v>91</v>
      </c>
      <c r="BL900" s="78" t="s">
        <v>84</v>
      </c>
      <c r="BM900" s="78">
        <v>1</v>
      </c>
      <c r="BN900" s="78" t="s">
        <v>484</v>
      </c>
      <c r="BO900" s="78" t="s">
        <v>1670</v>
      </c>
      <c r="BP900" s="78" t="s">
        <v>1671</v>
      </c>
      <c r="BQ900" s="78" t="s">
        <v>92</v>
      </c>
      <c r="BR900" s="78" t="s">
        <v>118</v>
      </c>
      <c r="BS900" s="78">
        <v>29.169</v>
      </c>
      <c r="BT900" s="78">
        <f t="shared" si="375"/>
        <v>0.30900000000000005</v>
      </c>
      <c r="BU900" s="78">
        <v>2010</v>
      </c>
      <c r="BV900" s="78">
        <v>2015</v>
      </c>
      <c r="BW900" s="78" t="s">
        <v>94</v>
      </c>
      <c r="BX900" s="78" t="s">
        <v>95</v>
      </c>
      <c r="BY900" s="78" t="s">
        <v>96</v>
      </c>
      <c r="BZ900" s="78">
        <v>0</v>
      </c>
      <c r="CA900" s="78">
        <v>0</v>
      </c>
      <c r="CB900" s="78" t="s">
        <v>97</v>
      </c>
      <c r="CC900" s="78" t="s">
        <v>1673</v>
      </c>
      <c r="CD900" s="78">
        <v>0</v>
      </c>
      <c r="CE900" s="78" t="s">
        <v>97</v>
      </c>
      <c r="CF900" s="78">
        <v>1</v>
      </c>
      <c r="CG900" s="78" t="s">
        <v>598</v>
      </c>
      <c r="CH900" s="78">
        <v>1</v>
      </c>
      <c r="CI900" s="78" t="s">
        <v>1465</v>
      </c>
      <c r="CJ900" s="78" t="s">
        <v>98</v>
      </c>
      <c r="CK900" s="78">
        <v>79</v>
      </c>
      <c r="CL900" s="78">
        <v>0</v>
      </c>
      <c r="CM900" s="78">
        <v>0</v>
      </c>
      <c r="CN900" s="78" t="s">
        <v>99</v>
      </c>
      <c r="CO900" s="78" t="s">
        <v>97</v>
      </c>
      <c r="CP900" s="78" t="s">
        <v>100</v>
      </c>
      <c r="CQ900" s="78" t="s">
        <v>126</v>
      </c>
      <c r="CR900" s="80">
        <v>46234</v>
      </c>
      <c r="CT900" s="78" t="s">
        <v>449</v>
      </c>
    </row>
    <row r="901" spans="1:98" s="78" customFormat="1" x14ac:dyDescent="0.35">
      <c r="A901" s="77" t="s">
        <v>1666</v>
      </c>
      <c r="B901" s="77" t="s">
        <v>1696</v>
      </c>
      <c r="C901" s="77" t="s">
        <v>1667</v>
      </c>
      <c r="D901" s="78">
        <v>2022</v>
      </c>
      <c r="E901" s="79" t="s">
        <v>1672</v>
      </c>
      <c r="F901" s="77" t="s">
        <v>1668</v>
      </c>
      <c r="G901" s="78" t="s">
        <v>78</v>
      </c>
      <c r="H901" s="78">
        <v>1</v>
      </c>
      <c r="I901" s="78" t="s">
        <v>390</v>
      </c>
      <c r="J901" s="78" t="s">
        <v>79</v>
      </c>
      <c r="K901" s="78">
        <v>33</v>
      </c>
      <c r="L901" s="78" t="s">
        <v>104</v>
      </c>
      <c r="M901" s="78" t="s">
        <v>380</v>
      </c>
      <c r="N901" s="78">
        <v>-5.4400000000000004E-3</v>
      </c>
      <c r="O901" s="78">
        <v>1.4702999999999999E-3</v>
      </c>
      <c r="P901" s="95">
        <f t="shared" si="361"/>
        <v>-3.6999251853363266</v>
      </c>
      <c r="Q901" s="78" t="s">
        <v>312</v>
      </c>
      <c r="R901" s="95">
        <f t="shared" si="362"/>
        <v>-8.3217880000000001E-3</v>
      </c>
      <c r="S901" s="95">
        <f t="shared" si="363"/>
        <v>-2.5582120000000007E-3</v>
      </c>
      <c r="T901" s="78">
        <v>1</v>
      </c>
      <c r="U901" s="78">
        <v>633165</v>
      </c>
      <c r="V901" s="78" t="s">
        <v>312</v>
      </c>
      <c r="W901" s="78" t="s">
        <v>312</v>
      </c>
      <c r="X901" s="78">
        <f t="shared" si="364"/>
        <v>633165</v>
      </c>
      <c r="Y901" s="95">
        <f t="shared" si="365"/>
        <v>-4.6497520830328645E-3</v>
      </c>
      <c r="Z901" s="95">
        <f t="shared" si="366"/>
        <v>1.2567151631770622E-3</v>
      </c>
      <c r="AA901" s="95">
        <f t="shared" si="367"/>
        <v>-4.6497520830328645E-3</v>
      </c>
      <c r="AB901" s="78" t="s">
        <v>81</v>
      </c>
      <c r="AC901" s="95">
        <f t="shared" si="368"/>
        <v>-3.6197760000000002E-2</v>
      </c>
      <c r="AD901" s="95" cm="1">
        <f t="array" ref="AD901">_xlfn.IFS(
AND(L901="marginal_effect",M901="level"),N901*AN901/BF901,
AND(L901="marginal_effect",M901="sd (Y)"),N901*BI901*AN901/BF901,
AND(L901="marginal_effect",M901="sd (X)"),N901/AQ901*AN901/BF901,
AND(L901="semi_elasticity",M901="level"),N901*AN901,
AND(L901="semi_elasticity",M901="sd (Y)"),N901*AN901*BI901,
AND(L901="semi_elasticity",M901="sd (X)"),N901*AN901/AQ901,
AND(L901="level-log",M901="level"),N901/BF901,
AND(L901="level-log",M901="sd (X)"),N901/BF901/AQ901,
AND(L901="level-log",M901="sd (Y)"),N901/BF901*BI901,
AND(L901="elasticity",M901="level"),N901,
AND(L901="elasticity",M901="sd (X)"),N901/AQ901,
AND(L901="elasticity",M901="sd (Y)"),N901*BI901,
AND(L901="marginal_effect",M901="percent_of_mean"),N901*AN901/BF901/10)</f>
        <v>-3.6197760000000002E-2</v>
      </c>
      <c r="AE901" s="105">
        <f t="shared" si="369"/>
        <v>1</v>
      </c>
      <c r="AF901" s="95">
        <f t="shared" si="370"/>
        <v>9.7833761999999991E-3</v>
      </c>
      <c r="AG901" s="95" cm="1">
        <f t="array" ref="AG901">_xlfn.IFS(
AND(L901="marginal_effect",M901="level"),O901*AN901/BF901,
AND(L901="marginal_effect",M901="sd (Y)"),O901*BI901*AN901/BF901,
AND(L901="marginal_effect",M901="sd (X)"),O901/AQ901*AN901/BF901,
AND(L901="semi_elasticity",M901="level"),O901*AN901,
AND(L901="semi_elasticity",M901="sd (Y)"),O901*AN901*BI901,
AND(L901="semi_elasticity",M901="sd (X)"),O901*AN901/AQ901,
AND(L901="level-log",M901="level"),O901/BF901,
AND(L901="level-log",M901="sd (X)"),O901/BF901/AQ901,
AND(L901="level-log",M901="sd (Y)"),O901/BF901*BI901,
AND(L901="elasticity",M901="level"),O901,
AND(L901="elasticity",M901="sd (X)"),O901/AQ901,
AND(L901="elasticity",M901="sd (Y)"),O901*BI901,
AND(L901="marginal_effect",M901="percent_of_mean"),O901*AN901/BF901/10)</f>
        <v>9.7833761999999991E-3</v>
      </c>
      <c r="AH901" s="105">
        <f t="shared" si="371"/>
        <v>1</v>
      </c>
      <c r="AI901" s="95">
        <f t="shared" si="372"/>
        <v>-3.6197760000000002E-2</v>
      </c>
      <c r="AJ901" s="78">
        <v>0</v>
      </c>
      <c r="AK901" s="78">
        <f t="shared" si="373"/>
        <v>1</v>
      </c>
      <c r="AL901" s="78" t="s">
        <v>82</v>
      </c>
      <c r="AM901" s="78" t="s">
        <v>1333</v>
      </c>
      <c r="AN901" s="78">
        <v>6.6539999999999999</v>
      </c>
      <c r="AO901" s="78">
        <v>0</v>
      </c>
      <c r="AP901" s="78">
        <f t="shared" si="374"/>
        <v>6.6539999999999999</v>
      </c>
      <c r="AQ901" s="78">
        <v>2.7320000000000002</v>
      </c>
      <c r="AR901" s="78">
        <v>0.69099999999999995</v>
      </c>
      <c r="AS901" s="78">
        <v>21.341999999999999</v>
      </c>
      <c r="AT901" s="78" t="s">
        <v>83</v>
      </c>
      <c r="AU901" s="78" t="s">
        <v>109</v>
      </c>
      <c r="AV901" s="78" t="s">
        <v>133</v>
      </c>
      <c r="AW901" s="78" t="s">
        <v>109</v>
      </c>
      <c r="AX901" s="78" t="s">
        <v>86</v>
      </c>
      <c r="AY901" s="78">
        <v>0</v>
      </c>
      <c r="AZ901" s="78">
        <v>0</v>
      </c>
      <c r="BA901" s="78" t="s">
        <v>87</v>
      </c>
      <c r="BB901" s="78" t="s">
        <v>88</v>
      </c>
      <c r="BC901" s="78" t="s">
        <v>89</v>
      </c>
      <c r="BD901" s="78" t="s">
        <v>90</v>
      </c>
      <c r="BE901" s="78" t="s">
        <v>1669</v>
      </c>
      <c r="BF901" s="78">
        <v>6.8559999999999999</v>
      </c>
      <c r="BG901" s="78">
        <v>0</v>
      </c>
      <c r="BH901" s="78">
        <v>3.2730000000000001</v>
      </c>
      <c r="BI901" s="78">
        <v>1</v>
      </c>
      <c r="BJ901" s="78">
        <v>20</v>
      </c>
      <c r="BK901" s="78" t="s">
        <v>91</v>
      </c>
      <c r="BL901" s="78" t="s">
        <v>84</v>
      </c>
      <c r="BM901" s="78">
        <v>1</v>
      </c>
      <c r="BN901" s="78" t="s">
        <v>484</v>
      </c>
      <c r="BO901" s="78" t="s">
        <v>1670</v>
      </c>
      <c r="BP901" s="78" t="s">
        <v>1671</v>
      </c>
      <c r="BQ901" s="78" t="s">
        <v>92</v>
      </c>
      <c r="BR901" s="78" t="s">
        <v>118</v>
      </c>
      <c r="BS901" s="78">
        <v>29.169</v>
      </c>
      <c r="BT901" s="78">
        <f t="shared" si="375"/>
        <v>0.30900000000000005</v>
      </c>
      <c r="BU901" s="78">
        <v>2010</v>
      </c>
      <c r="BV901" s="78">
        <v>2015</v>
      </c>
      <c r="BW901" s="78" t="s">
        <v>94</v>
      </c>
      <c r="BX901" s="78" t="s">
        <v>95</v>
      </c>
      <c r="BY901" s="78" t="s">
        <v>96</v>
      </c>
      <c r="BZ901" s="78">
        <v>0</v>
      </c>
      <c r="CA901" s="78">
        <v>0</v>
      </c>
      <c r="CB901" s="78" t="s">
        <v>97</v>
      </c>
      <c r="CC901" s="78" t="s">
        <v>1673</v>
      </c>
      <c r="CD901" s="78">
        <v>0</v>
      </c>
      <c r="CE901" s="78" t="s">
        <v>97</v>
      </c>
      <c r="CF901" s="78">
        <v>1</v>
      </c>
      <c r="CG901" s="78" t="s">
        <v>1125</v>
      </c>
      <c r="CH901" s="78">
        <v>1</v>
      </c>
      <c r="CI901" s="78" t="s">
        <v>1465</v>
      </c>
      <c r="CJ901" s="78" t="s">
        <v>98</v>
      </c>
      <c r="CK901" s="78">
        <v>79</v>
      </c>
      <c r="CL901" s="78">
        <v>0</v>
      </c>
      <c r="CM901" s="78">
        <v>0</v>
      </c>
      <c r="CN901" s="78" t="s">
        <v>99</v>
      </c>
      <c r="CO901" s="78" t="s">
        <v>97</v>
      </c>
      <c r="CP901" s="78" t="s">
        <v>100</v>
      </c>
      <c r="CQ901" s="78" t="s">
        <v>126</v>
      </c>
      <c r="CR901" s="80">
        <v>46234</v>
      </c>
      <c r="CT901" s="78" t="s">
        <v>450</v>
      </c>
    </row>
    <row r="902" spans="1:98" s="78" customFormat="1" x14ac:dyDescent="0.35">
      <c r="A902" s="77" t="s">
        <v>1666</v>
      </c>
      <c r="B902" s="77" t="s">
        <v>1697</v>
      </c>
      <c r="C902" s="77" t="s">
        <v>1667</v>
      </c>
      <c r="D902" s="78">
        <v>2022</v>
      </c>
      <c r="E902" s="79" t="s">
        <v>1672</v>
      </c>
      <c r="F902" s="77" t="s">
        <v>1668</v>
      </c>
      <c r="G902" s="78" t="s">
        <v>78</v>
      </c>
      <c r="H902" s="78">
        <v>1</v>
      </c>
      <c r="I902" s="78" t="s">
        <v>390</v>
      </c>
      <c r="J902" s="78" t="s">
        <v>79</v>
      </c>
      <c r="K902" s="78">
        <v>33</v>
      </c>
      <c r="L902" s="78" t="s">
        <v>104</v>
      </c>
      <c r="M902" s="78" t="s">
        <v>380</v>
      </c>
      <c r="N902" s="78">
        <v>-2.81E-3</v>
      </c>
      <c r="O902" s="78">
        <v>7.9299999999999998E-4</v>
      </c>
      <c r="P902" s="95">
        <f t="shared" si="361"/>
        <v>-3.5435056746532156</v>
      </c>
      <c r="Q902" s="78" t="s">
        <v>312</v>
      </c>
      <c r="R902" s="95">
        <f t="shared" si="362"/>
        <v>-4.3642799999999999E-3</v>
      </c>
      <c r="S902" s="95">
        <f t="shared" si="363"/>
        <v>-1.2557200000000001E-3</v>
      </c>
      <c r="T902" s="78">
        <v>1</v>
      </c>
      <c r="U902" s="78">
        <v>633165</v>
      </c>
      <c r="V902" s="78" t="s">
        <v>312</v>
      </c>
      <c r="W902" s="78" t="s">
        <v>312</v>
      </c>
      <c r="X902" s="78">
        <f t="shared" si="364"/>
        <v>633165</v>
      </c>
      <c r="Y902" s="95">
        <f t="shared" si="365"/>
        <v>-4.4531812964176895E-3</v>
      </c>
      <c r="Z902" s="95">
        <f t="shared" si="366"/>
        <v>1.2567162875655614E-3</v>
      </c>
      <c r="AA902" s="95">
        <f t="shared" si="367"/>
        <v>-4.4531812964176895E-3</v>
      </c>
      <c r="AB902" s="78" t="s">
        <v>81</v>
      </c>
      <c r="AC902" s="95">
        <f t="shared" si="368"/>
        <v>-0.10805012</v>
      </c>
      <c r="AD902" s="95" cm="1">
        <f t="array" ref="AD902">_xlfn.IFS(
AND(L902="marginal_effect",M902="level"),N902*AN902/BF902,
AND(L902="marginal_effect",M902="sd (Y)"),N902*BI902*AN902/BF902,
AND(L902="marginal_effect",M902="sd (X)"),N902/AQ902*AN902/BF902,
AND(L902="semi_elasticity",M902="level"),N902*AN902,
AND(L902="semi_elasticity",M902="sd (Y)"),N902*AN902*BI902,
AND(L902="semi_elasticity",M902="sd (X)"),N902*AN902/AQ902,
AND(L902="level-log",M902="level"),N902/BF902,
AND(L902="level-log",M902="sd (X)"),N902/BF902/AQ902,
AND(L902="level-log",M902="sd (Y)"),N902/BF902*BI902,
AND(L902="elasticity",M902="level"),N902,
AND(L902="elasticity",M902="sd (X)"),N902/AQ902,
AND(L902="elasticity",M902="sd (Y)"),N902*BI902,
AND(L902="marginal_effect",M902="percent_of_mean"),N902*AN902/BF902/10)</f>
        <v>-0.10805012</v>
      </c>
      <c r="AE902" s="105">
        <f t="shared" si="369"/>
        <v>1</v>
      </c>
      <c r="AF902" s="95">
        <f t="shared" si="370"/>
        <v>3.0492435999999998E-2</v>
      </c>
      <c r="AG902" s="95" cm="1">
        <f t="array" ref="AG902">_xlfn.IFS(
AND(L902="marginal_effect",M902="level"),O902*AN902/BF902,
AND(L902="marginal_effect",M902="sd (Y)"),O902*BI902*AN902/BF902,
AND(L902="marginal_effect",M902="sd (X)"),O902/AQ902*AN902/BF902,
AND(L902="semi_elasticity",M902="level"),O902*AN902,
AND(L902="semi_elasticity",M902="sd (Y)"),O902*AN902*BI902,
AND(L902="semi_elasticity",M902="sd (X)"),O902*AN902/AQ902,
AND(L902="level-log",M902="level"),O902/BF902,
AND(L902="level-log",M902="sd (X)"),O902/BF902/AQ902,
AND(L902="level-log",M902="sd (Y)"),O902/BF902*BI902,
AND(L902="elasticity",M902="level"),O902,
AND(L902="elasticity",M902="sd (X)"),O902/AQ902,
AND(L902="elasticity",M902="sd (Y)"),O902*BI902,
AND(L902="marginal_effect",M902="percent_of_mean"),O902*AN902/BF902/10)</f>
        <v>3.0492435999999998E-2</v>
      </c>
      <c r="AH902" s="105">
        <f t="shared" si="371"/>
        <v>1</v>
      </c>
      <c r="AI902" s="95">
        <f t="shared" si="372"/>
        <v>-0.10805012</v>
      </c>
      <c r="AJ902" s="78">
        <v>0</v>
      </c>
      <c r="AK902" s="78">
        <f t="shared" si="373"/>
        <v>1</v>
      </c>
      <c r="AL902" s="76" t="s">
        <v>1674</v>
      </c>
      <c r="AM902" s="78" t="s">
        <v>410</v>
      </c>
      <c r="AN902" s="78">
        <v>38.451999999999998</v>
      </c>
      <c r="AO902" s="78">
        <v>0</v>
      </c>
      <c r="AP902" s="78">
        <f t="shared" si="374"/>
        <v>38.451999999999998</v>
      </c>
      <c r="AQ902" s="78">
        <v>9.109</v>
      </c>
      <c r="AR902" s="78">
        <v>14</v>
      </c>
      <c r="AS902" s="78">
        <v>83</v>
      </c>
      <c r="AT902" s="78" t="s">
        <v>83</v>
      </c>
      <c r="AU902" s="78" t="s">
        <v>109</v>
      </c>
      <c r="AV902" s="78" t="s">
        <v>133</v>
      </c>
      <c r="AW902" s="78" t="s">
        <v>109</v>
      </c>
      <c r="AX902" s="78" t="s">
        <v>86</v>
      </c>
      <c r="AY902" s="78">
        <v>0</v>
      </c>
      <c r="AZ902" s="78">
        <v>0</v>
      </c>
      <c r="BA902" s="78" t="s">
        <v>87</v>
      </c>
      <c r="BB902" s="78" t="s">
        <v>88</v>
      </c>
      <c r="BC902" s="78" t="s">
        <v>89</v>
      </c>
      <c r="BD902" s="78" t="s">
        <v>90</v>
      </c>
      <c r="BE902" s="78" t="s">
        <v>1669</v>
      </c>
      <c r="BF902" s="78">
        <v>6.8559999999999999</v>
      </c>
      <c r="BG902" s="78">
        <v>0</v>
      </c>
      <c r="BH902" s="78">
        <v>3.2730000000000001</v>
      </c>
      <c r="BI902" s="78">
        <v>1</v>
      </c>
      <c r="BJ902" s="78">
        <v>20</v>
      </c>
      <c r="BK902" s="78" t="s">
        <v>91</v>
      </c>
      <c r="BL902" s="78" t="s">
        <v>84</v>
      </c>
      <c r="BM902" s="78">
        <v>1</v>
      </c>
      <c r="BN902" s="78" t="s">
        <v>484</v>
      </c>
      <c r="BO902" s="78" t="s">
        <v>1670</v>
      </c>
      <c r="BP902" s="78" t="s">
        <v>1671</v>
      </c>
      <c r="BQ902" s="78" t="s">
        <v>92</v>
      </c>
      <c r="BR902" s="78" t="s">
        <v>118</v>
      </c>
      <c r="BS902" s="78">
        <v>29.169</v>
      </c>
      <c r="BT902" s="78">
        <f t="shared" si="375"/>
        <v>0.30900000000000005</v>
      </c>
      <c r="BU902" s="78">
        <v>2010</v>
      </c>
      <c r="BV902" s="78">
        <v>2015</v>
      </c>
      <c r="BW902" s="78" t="s">
        <v>94</v>
      </c>
      <c r="BX902" s="78" t="s">
        <v>95</v>
      </c>
      <c r="BY902" s="78" t="s">
        <v>96</v>
      </c>
      <c r="BZ902" s="78">
        <v>0</v>
      </c>
      <c r="CA902" s="78">
        <v>0</v>
      </c>
      <c r="CB902" s="78" t="s">
        <v>97</v>
      </c>
      <c r="CC902" s="78" t="s">
        <v>1673</v>
      </c>
      <c r="CD902" s="78">
        <v>0</v>
      </c>
      <c r="CE902" s="78" t="s">
        <v>97</v>
      </c>
      <c r="CF902" s="78">
        <v>1</v>
      </c>
      <c r="CG902" s="78" t="s">
        <v>1688</v>
      </c>
      <c r="CH902" s="78">
        <v>1</v>
      </c>
      <c r="CI902" s="78" t="s">
        <v>1465</v>
      </c>
      <c r="CJ902" s="78" t="s">
        <v>98</v>
      </c>
      <c r="CK902" s="78">
        <v>79</v>
      </c>
      <c r="CL902" s="78">
        <v>0</v>
      </c>
      <c r="CM902" s="78">
        <v>0</v>
      </c>
      <c r="CN902" s="78" t="s">
        <v>99</v>
      </c>
      <c r="CO902" s="78" t="s">
        <v>97</v>
      </c>
      <c r="CP902" s="78" t="s">
        <v>100</v>
      </c>
      <c r="CQ902" s="78" t="s">
        <v>126</v>
      </c>
      <c r="CR902" s="80">
        <v>46234</v>
      </c>
      <c r="CT902" s="78" t="s">
        <v>450</v>
      </c>
    </row>
    <row r="903" spans="1:98" s="78" customFormat="1" x14ac:dyDescent="0.35">
      <c r="A903" s="77" t="s">
        <v>1666</v>
      </c>
      <c r="B903" s="77" t="s">
        <v>1698</v>
      </c>
      <c r="C903" s="77" t="s">
        <v>1667</v>
      </c>
      <c r="D903" s="78">
        <v>2022</v>
      </c>
      <c r="E903" s="79" t="s">
        <v>1672</v>
      </c>
      <c r="F903" s="77" t="s">
        <v>1668</v>
      </c>
      <c r="G903" s="78" t="s">
        <v>78</v>
      </c>
      <c r="H903" s="78">
        <v>1</v>
      </c>
      <c r="I903" s="78" t="s">
        <v>390</v>
      </c>
      <c r="J903" s="78" t="s">
        <v>79</v>
      </c>
      <c r="K903" s="78">
        <v>33</v>
      </c>
      <c r="L903" s="78" t="s">
        <v>104</v>
      </c>
      <c r="M903" s="78" t="s">
        <v>380</v>
      </c>
      <c r="N903" s="78">
        <v>-1.09E-3</v>
      </c>
      <c r="O903" s="78">
        <v>1.1756E-3</v>
      </c>
      <c r="P903" s="95">
        <f t="shared" si="361"/>
        <v>-0.92718611772711812</v>
      </c>
      <c r="Q903" s="78" t="s">
        <v>312</v>
      </c>
      <c r="R903" s="95">
        <f t="shared" si="362"/>
        <v>-3.3941759999999996E-3</v>
      </c>
      <c r="S903" s="95">
        <f t="shared" si="363"/>
        <v>1.2141759999999998E-3</v>
      </c>
      <c r="T903" s="78">
        <v>1</v>
      </c>
      <c r="U903" s="78">
        <v>633165</v>
      </c>
      <c r="V903" s="78" t="s">
        <v>312</v>
      </c>
      <c r="W903" s="78" t="s">
        <v>312</v>
      </c>
      <c r="X903" s="78">
        <f t="shared" si="364"/>
        <v>633165</v>
      </c>
      <c r="Y903" s="95">
        <f t="shared" si="365"/>
        <v>-1.1652206584264956E-3</v>
      </c>
      <c r="Z903" s="95">
        <f t="shared" si="366"/>
        <v>1.2567278954552185E-3</v>
      </c>
      <c r="AA903" s="95">
        <f t="shared" si="367"/>
        <v>-1.1652206584264956E-3</v>
      </c>
      <c r="AB903" s="78" t="s">
        <v>81</v>
      </c>
      <c r="AC903" s="95">
        <f t="shared" si="368"/>
        <v>-6.6609900000000003E-3</v>
      </c>
      <c r="AD903" s="95" cm="1">
        <f t="array" ref="AD903">_xlfn.IFS(
AND(L903="marginal_effect",M903="level"),N903*AN903/BF903,
AND(L903="marginal_effect",M903="sd (Y)"),N903*BI903*AN903/BF903,
AND(L903="marginal_effect",M903="sd (X)"),N903/AQ903*AN903/BF903,
AND(L903="semi_elasticity",M903="level"),N903*AN903,
AND(L903="semi_elasticity",M903="sd (Y)"),N903*AN903*BI903,
AND(L903="semi_elasticity",M903="sd (X)"),N903*AN903/AQ903,
AND(L903="level-log",M903="level"),N903/BF903,
AND(L903="level-log",M903="sd (X)"),N903/BF903/AQ903,
AND(L903="level-log",M903="sd (Y)"),N903/BF903*BI903,
AND(L903="elasticity",M903="level"),N903,
AND(L903="elasticity",M903="sd (X)"),N903/AQ903,
AND(L903="elasticity",M903="sd (Y)"),N903*BI903,
AND(L903="marginal_effect",M903="percent_of_mean"),N903*AN903/BF903/10)</f>
        <v>-6.6609900000000003E-3</v>
      </c>
      <c r="AE903" s="105">
        <f t="shared" si="369"/>
        <v>1</v>
      </c>
      <c r="AF903" s="95">
        <f t="shared" si="370"/>
        <v>7.1840915999999994E-3</v>
      </c>
      <c r="AG903" s="95" cm="1">
        <f t="array" ref="AG903">_xlfn.IFS(
AND(L903="marginal_effect",M903="level"),O903*AN903/BF903,
AND(L903="marginal_effect",M903="sd (Y)"),O903*BI903*AN903/BF903,
AND(L903="marginal_effect",M903="sd (X)"),O903/AQ903*AN903/BF903,
AND(L903="semi_elasticity",M903="level"),O903*AN903,
AND(L903="semi_elasticity",M903="sd (Y)"),O903*AN903*BI903,
AND(L903="semi_elasticity",M903="sd (X)"),O903*AN903/AQ903,
AND(L903="level-log",M903="level"),O903/BF903,
AND(L903="level-log",M903="sd (X)"),O903/BF903/AQ903,
AND(L903="level-log",M903="sd (Y)"),O903/BF903*BI903,
AND(L903="elasticity",M903="level"),O903,
AND(L903="elasticity",M903="sd (X)"),O903/AQ903,
AND(L903="elasticity",M903="sd (Y)"),O903*BI903,
AND(L903="marginal_effect",M903="percent_of_mean"),O903*AN903/BF903/10)</f>
        <v>7.1840915999999994E-3</v>
      </c>
      <c r="AH903" s="105">
        <f t="shared" si="371"/>
        <v>1</v>
      </c>
      <c r="AI903" s="95">
        <f t="shared" si="372"/>
        <v>-6.6609900000000003E-3</v>
      </c>
      <c r="AJ903" s="78">
        <v>0</v>
      </c>
      <c r="AK903" s="78">
        <f t="shared" si="373"/>
        <v>1</v>
      </c>
      <c r="AL903" s="76" t="s">
        <v>1689</v>
      </c>
      <c r="AM903" s="78" t="s">
        <v>410</v>
      </c>
      <c r="AN903" s="78">
        <v>6.1109999999999998</v>
      </c>
      <c r="AO903" s="78">
        <v>0</v>
      </c>
      <c r="AP903" s="78">
        <f t="shared" si="374"/>
        <v>6.1109999999999998</v>
      </c>
      <c r="AQ903" s="78">
        <v>5.0839999999999996</v>
      </c>
      <c r="AR903" s="78">
        <v>0</v>
      </c>
      <c r="AS903" s="78">
        <v>36</v>
      </c>
      <c r="AT903" s="78" t="s">
        <v>83</v>
      </c>
      <c r="AU903" s="78" t="s">
        <v>109</v>
      </c>
      <c r="AV903" s="78" t="s">
        <v>133</v>
      </c>
      <c r="AW903" s="78" t="s">
        <v>109</v>
      </c>
      <c r="AX903" s="78" t="s">
        <v>86</v>
      </c>
      <c r="AY903" s="78">
        <v>0</v>
      </c>
      <c r="AZ903" s="78">
        <v>0</v>
      </c>
      <c r="BA903" s="78" t="s">
        <v>87</v>
      </c>
      <c r="BB903" s="78" t="s">
        <v>88</v>
      </c>
      <c r="BC903" s="78" t="s">
        <v>89</v>
      </c>
      <c r="BD903" s="78" t="s">
        <v>90</v>
      </c>
      <c r="BE903" s="78" t="s">
        <v>1669</v>
      </c>
      <c r="BF903" s="78">
        <v>6.8559999999999999</v>
      </c>
      <c r="BG903" s="78">
        <v>0</v>
      </c>
      <c r="BH903" s="78">
        <v>3.2730000000000001</v>
      </c>
      <c r="BI903" s="78">
        <v>1</v>
      </c>
      <c r="BJ903" s="78">
        <v>20</v>
      </c>
      <c r="BK903" s="78" t="s">
        <v>91</v>
      </c>
      <c r="BL903" s="78" t="s">
        <v>84</v>
      </c>
      <c r="BM903" s="78">
        <v>1</v>
      </c>
      <c r="BN903" s="78" t="s">
        <v>484</v>
      </c>
      <c r="BO903" s="78" t="s">
        <v>1670</v>
      </c>
      <c r="BP903" s="78" t="s">
        <v>1671</v>
      </c>
      <c r="BQ903" s="78" t="s">
        <v>92</v>
      </c>
      <c r="BR903" s="78" t="s">
        <v>118</v>
      </c>
      <c r="BS903" s="78">
        <v>29.169</v>
      </c>
      <c r="BT903" s="78">
        <f t="shared" si="375"/>
        <v>0.30900000000000005</v>
      </c>
      <c r="BU903" s="78">
        <v>2010</v>
      </c>
      <c r="BV903" s="78">
        <v>2015</v>
      </c>
      <c r="BW903" s="78" t="s">
        <v>94</v>
      </c>
      <c r="BX903" s="78" t="s">
        <v>95</v>
      </c>
      <c r="BY903" s="78" t="s">
        <v>96</v>
      </c>
      <c r="BZ903" s="78">
        <v>0</v>
      </c>
      <c r="CA903" s="78">
        <v>0</v>
      </c>
      <c r="CB903" s="78" t="s">
        <v>97</v>
      </c>
      <c r="CC903" s="78" t="s">
        <v>1673</v>
      </c>
      <c r="CD903" s="78">
        <v>0</v>
      </c>
      <c r="CE903" s="78" t="s">
        <v>97</v>
      </c>
      <c r="CF903" s="78">
        <v>1</v>
      </c>
      <c r="CG903" s="78" t="s">
        <v>598</v>
      </c>
      <c r="CH903" s="78">
        <v>1</v>
      </c>
      <c r="CI903" s="78" t="s">
        <v>1465</v>
      </c>
      <c r="CJ903" s="78" t="s">
        <v>98</v>
      </c>
      <c r="CK903" s="78">
        <v>79</v>
      </c>
      <c r="CL903" s="78">
        <v>0</v>
      </c>
      <c r="CM903" s="78">
        <v>0</v>
      </c>
      <c r="CN903" s="78" t="s">
        <v>99</v>
      </c>
      <c r="CO903" s="78" t="s">
        <v>97</v>
      </c>
      <c r="CP903" s="78" t="s">
        <v>100</v>
      </c>
      <c r="CQ903" s="78" t="s">
        <v>126</v>
      </c>
      <c r="CR903" s="80">
        <v>46234</v>
      </c>
      <c r="CT903" s="78" t="s">
        <v>450</v>
      </c>
    </row>
    <row r="904" spans="1:98" s="78" customFormat="1" x14ac:dyDescent="0.35">
      <c r="A904" s="77" t="s">
        <v>1666</v>
      </c>
      <c r="B904" s="77" t="s">
        <v>1699</v>
      </c>
      <c r="C904" s="77" t="s">
        <v>1667</v>
      </c>
      <c r="D904" s="78">
        <v>2022</v>
      </c>
      <c r="E904" s="79" t="s">
        <v>1672</v>
      </c>
      <c r="F904" s="77" t="s">
        <v>1668</v>
      </c>
      <c r="G904" s="78" t="s">
        <v>78</v>
      </c>
      <c r="H904" s="78">
        <v>1</v>
      </c>
      <c r="I904" s="78" t="s">
        <v>390</v>
      </c>
      <c r="J904" s="78" t="s">
        <v>79</v>
      </c>
      <c r="K904" s="78">
        <v>33</v>
      </c>
      <c r="L904" s="78" t="s">
        <v>104</v>
      </c>
      <c r="M904" s="78" t="s">
        <v>380</v>
      </c>
      <c r="N904" s="78">
        <v>-4.3899999999999998E-3</v>
      </c>
      <c r="O904" s="78">
        <v>1.4027E-3</v>
      </c>
      <c r="P904" s="95">
        <f t="shared" si="361"/>
        <v>-3.1296784772224995</v>
      </c>
      <c r="Q904" s="78" t="s">
        <v>312</v>
      </c>
      <c r="R904" s="95">
        <f t="shared" si="362"/>
        <v>-7.1392920000000002E-3</v>
      </c>
      <c r="S904" s="95">
        <f t="shared" si="363"/>
        <v>-1.6407079999999998E-3</v>
      </c>
      <c r="T904" s="78">
        <v>1</v>
      </c>
      <c r="U904" s="78">
        <v>633165</v>
      </c>
      <c r="V904" s="78" t="s">
        <v>312</v>
      </c>
      <c r="W904" s="78" t="s">
        <v>312</v>
      </c>
      <c r="X904" s="78">
        <f t="shared" si="364"/>
        <v>633165</v>
      </c>
      <c r="Y904" s="95">
        <f t="shared" si="365"/>
        <v>-3.9331264941611759E-3</v>
      </c>
      <c r="Z904" s="95">
        <f t="shared" si="366"/>
        <v>1.2567190281002009E-3</v>
      </c>
      <c r="AA904" s="95">
        <f t="shared" si="367"/>
        <v>-3.9331264941611759E-3</v>
      </c>
      <c r="AB904" s="78" t="s">
        <v>81</v>
      </c>
      <c r="AC904" s="95">
        <f t="shared" si="368"/>
        <v>-2.9211059999999997E-2</v>
      </c>
      <c r="AD904" s="95" cm="1">
        <f t="array" ref="AD904">_xlfn.IFS(
AND(L904="marginal_effect",M904="level"),N904*AN904/BF904,
AND(L904="marginal_effect",M904="sd (Y)"),N904*BI904*AN904/BF904,
AND(L904="marginal_effect",M904="sd (X)"),N904/AQ904*AN904/BF904,
AND(L904="semi_elasticity",M904="level"),N904*AN904,
AND(L904="semi_elasticity",M904="sd (Y)"),N904*AN904*BI904,
AND(L904="semi_elasticity",M904="sd (X)"),N904*AN904/AQ904,
AND(L904="level-log",M904="level"),N904/BF904,
AND(L904="level-log",M904="sd (X)"),N904/BF904/AQ904,
AND(L904="level-log",M904="sd (Y)"),N904/BF904*BI904,
AND(L904="elasticity",M904="level"),N904,
AND(L904="elasticity",M904="sd (X)"),N904/AQ904,
AND(L904="elasticity",M904="sd (Y)"),N904*BI904,
AND(L904="marginal_effect",M904="percent_of_mean"),N904*AN904/BF904/10)</f>
        <v>-2.9211059999999997E-2</v>
      </c>
      <c r="AE904" s="105">
        <f t="shared" si="369"/>
        <v>1</v>
      </c>
      <c r="AF904" s="95">
        <f t="shared" si="370"/>
        <v>9.3335658000000005E-3</v>
      </c>
      <c r="AG904" s="95" cm="1">
        <f t="array" ref="AG904">_xlfn.IFS(
AND(L904="marginal_effect",M904="level"),O904*AN904/BF904,
AND(L904="marginal_effect",M904="sd (Y)"),O904*BI904*AN904/BF904,
AND(L904="marginal_effect",M904="sd (X)"),O904/AQ904*AN904/BF904,
AND(L904="semi_elasticity",M904="level"),O904*AN904,
AND(L904="semi_elasticity",M904="sd (Y)"),O904*AN904*BI904,
AND(L904="semi_elasticity",M904="sd (X)"),O904*AN904/AQ904,
AND(L904="level-log",M904="level"),O904/BF904,
AND(L904="level-log",M904="sd (X)"),O904/BF904/AQ904,
AND(L904="level-log",M904="sd (Y)"),O904/BF904*BI904,
AND(L904="elasticity",M904="level"),O904,
AND(L904="elasticity",M904="sd (X)"),O904/AQ904,
AND(L904="elasticity",M904="sd (Y)"),O904*BI904,
AND(L904="marginal_effect",M904="percent_of_mean"),O904*AN904/BF904/10)</f>
        <v>9.3335658000000005E-3</v>
      </c>
      <c r="AH904" s="105">
        <f t="shared" si="371"/>
        <v>1</v>
      </c>
      <c r="AI904" s="95">
        <f t="shared" si="372"/>
        <v>-2.9211059999999997E-2</v>
      </c>
      <c r="AJ904" s="78">
        <v>0</v>
      </c>
      <c r="AK904" s="78">
        <f t="shared" si="373"/>
        <v>1</v>
      </c>
      <c r="AL904" s="78" t="s">
        <v>82</v>
      </c>
      <c r="AM904" s="78" t="s">
        <v>1333</v>
      </c>
      <c r="AN904" s="78">
        <v>6.6539999999999999</v>
      </c>
      <c r="AO904" s="78">
        <v>0</v>
      </c>
      <c r="AP904" s="78">
        <f t="shared" si="374"/>
        <v>6.6539999999999999</v>
      </c>
      <c r="AQ904" s="78">
        <v>2.7320000000000002</v>
      </c>
      <c r="AR904" s="78">
        <v>0.69099999999999995</v>
      </c>
      <c r="AS904" s="78">
        <v>21.341999999999999</v>
      </c>
      <c r="AT904" s="78" t="s">
        <v>83</v>
      </c>
      <c r="AU904" s="78" t="s">
        <v>109</v>
      </c>
      <c r="AV904" s="78" t="s">
        <v>133</v>
      </c>
      <c r="AW904" s="78" t="s">
        <v>109</v>
      </c>
      <c r="AX904" s="78" t="s">
        <v>86</v>
      </c>
      <c r="AY904" s="78">
        <v>0</v>
      </c>
      <c r="AZ904" s="78">
        <v>0</v>
      </c>
      <c r="BA904" s="78" t="s">
        <v>87</v>
      </c>
      <c r="BB904" s="78" t="s">
        <v>88</v>
      </c>
      <c r="BC904" s="78" t="s">
        <v>89</v>
      </c>
      <c r="BD904" s="78" t="s">
        <v>90</v>
      </c>
      <c r="BE904" s="78" t="s">
        <v>1669</v>
      </c>
      <c r="BF904" s="78">
        <v>6.8559999999999999</v>
      </c>
      <c r="BG904" s="78">
        <v>0</v>
      </c>
      <c r="BH904" s="78">
        <v>3.2730000000000001</v>
      </c>
      <c r="BI904" s="78">
        <v>1</v>
      </c>
      <c r="BJ904" s="78">
        <v>20</v>
      </c>
      <c r="BK904" s="78" t="s">
        <v>91</v>
      </c>
      <c r="BL904" s="78" t="s">
        <v>84</v>
      </c>
      <c r="BM904" s="78">
        <v>1</v>
      </c>
      <c r="BN904" s="78" t="s">
        <v>484</v>
      </c>
      <c r="BO904" s="78" t="s">
        <v>1670</v>
      </c>
      <c r="BP904" s="78" t="s">
        <v>1671</v>
      </c>
      <c r="BQ904" s="78" t="s">
        <v>92</v>
      </c>
      <c r="BR904" s="78" t="s">
        <v>118</v>
      </c>
      <c r="BS904" s="78">
        <v>29.169</v>
      </c>
      <c r="BT904" s="78">
        <f t="shared" si="375"/>
        <v>0.30900000000000005</v>
      </c>
      <c r="BU904" s="78">
        <v>2010</v>
      </c>
      <c r="BV904" s="78">
        <v>2015</v>
      </c>
      <c r="BW904" s="78" t="s">
        <v>94</v>
      </c>
      <c r="BX904" s="78" t="s">
        <v>95</v>
      </c>
      <c r="BY904" s="78" t="s">
        <v>96</v>
      </c>
      <c r="BZ904" s="78">
        <v>0</v>
      </c>
      <c r="CA904" s="78">
        <v>0</v>
      </c>
      <c r="CB904" s="78" t="s">
        <v>97</v>
      </c>
      <c r="CC904" s="78" t="s">
        <v>1673</v>
      </c>
      <c r="CD904" s="78">
        <v>1</v>
      </c>
      <c r="CE904" s="78" t="s">
        <v>1711</v>
      </c>
      <c r="CF904" s="78">
        <v>1</v>
      </c>
      <c r="CG904" s="78" t="s">
        <v>1125</v>
      </c>
      <c r="CH904" s="78">
        <v>1</v>
      </c>
      <c r="CI904" s="78" t="s">
        <v>1465</v>
      </c>
      <c r="CJ904" s="78" t="s">
        <v>98</v>
      </c>
      <c r="CK904" s="78">
        <v>79</v>
      </c>
      <c r="CL904" s="78">
        <v>0</v>
      </c>
      <c r="CM904" s="78">
        <v>0</v>
      </c>
      <c r="CN904" s="78" t="s">
        <v>99</v>
      </c>
      <c r="CO904" s="78" t="s">
        <v>97</v>
      </c>
      <c r="CP904" s="78" t="s">
        <v>100</v>
      </c>
      <c r="CQ904" s="78" t="s">
        <v>126</v>
      </c>
      <c r="CR904" s="80">
        <v>46234</v>
      </c>
      <c r="CT904" s="78" t="s">
        <v>451</v>
      </c>
    </row>
    <row r="905" spans="1:98" s="78" customFormat="1" x14ac:dyDescent="0.35">
      <c r="A905" s="77" t="s">
        <v>1666</v>
      </c>
      <c r="B905" s="77" t="s">
        <v>1700</v>
      </c>
      <c r="C905" s="77" t="s">
        <v>1667</v>
      </c>
      <c r="D905" s="78">
        <v>2022</v>
      </c>
      <c r="E905" s="79" t="s">
        <v>1672</v>
      </c>
      <c r="F905" s="77" t="s">
        <v>1668</v>
      </c>
      <c r="G905" s="78" t="s">
        <v>78</v>
      </c>
      <c r="H905" s="78">
        <v>1</v>
      </c>
      <c r="I905" s="78" t="s">
        <v>390</v>
      </c>
      <c r="J905" s="78" t="s">
        <v>79</v>
      </c>
      <c r="K905" s="78">
        <v>33</v>
      </c>
      <c r="L905" s="78" t="s">
        <v>104</v>
      </c>
      <c r="M905" s="78" t="s">
        <v>380</v>
      </c>
      <c r="N905" s="78">
        <v>-2.2200000000000002E-3</v>
      </c>
      <c r="O905" s="78">
        <v>7.4540000000000001E-4</v>
      </c>
      <c r="P905" s="95">
        <f t="shared" si="361"/>
        <v>-2.9782667024416423</v>
      </c>
      <c r="Q905" s="78" t="s">
        <v>312</v>
      </c>
      <c r="R905" s="95">
        <f t="shared" si="362"/>
        <v>-3.680984E-3</v>
      </c>
      <c r="S905" s="95">
        <f t="shared" si="363"/>
        <v>-7.5901600000000016E-4</v>
      </c>
      <c r="T905" s="78">
        <v>1</v>
      </c>
      <c r="U905" s="78">
        <v>633165</v>
      </c>
      <c r="V905" s="78" t="s">
        <v>312</v>
      </c>
      <c r="W905" s="78" t="s">
        <v>312</v>
      </c>
      <c r="X905" s="78">
        <f t="shared" si="364"/>
        <v>633165</v>
      </c>
      <c r="Y905" s="95">
        <f t="shared" si="365"/>
        <v>-3.7428471691170928E-3</v>
      </c>
      <c r="Z905" s="95">
        <f t="shared" si="366"/>
        <v>1.256719945882829E-3</v>
      </c>
      <c r="AA905" s="95">
        <f t="shared" si="367"/>
        <v>-3.7428471691170928E-3</v>
      </c>
      <c r="AB905" s="78" t="s">
        <v>81</v>
      </c>
      <c r="AC905" s="95">
        <f t="shared" si="368"/>
        <v>-8.5363439999999999E-2</v>
      </c>
      <c r="AD905" s="95" cm="1">
        <f t="array" ref="AD905">_xlfn.IFS(
AND(L905="marginal_effect",M905="level"),N905*AN905/BF905,
AND(L905="marginal_effect",M905="sd (Y)"),N905*BI905*AN905/BF905,
AND(L905="marginal_effect",M905="sd (X)"),N905/AQ905*AN905/BF905,
AND(L905="semi_elasticity",M905="level"),N905*AN905,
AND(L905="semi_elasticity",M905="sd (Y)"),N905*AN905*BI905,
AND(L905="semi_elasticity",M905="sd (X)"),N905*AN905/AQ905,
AND(L905="level-log",M905="level"),N905/BF905,
AND(L905="level-log",M905="sd (X)"),N905/BF905/AQ905,
AND(L905="level-log",M905="sd (Y)"),N905/BF905*BI905,
AND(L905="elasticity",M905="level"),N905,
AND(L905="elasticity",M905="sd (X)"),N905/AQ905,
AND(L905="elasticity",M905="sd (Y)"),N905*BI905,
AND(L905="marginal_effect",M905="percent_of_mean"),N905*AN905/BF905/10)</f>
        <v>-8.5363439999999999E-2</v>
      </c>
      <c r="AE905" s="105">
        <f t="shared" si="369"/>
        <v>1</v>
      </c>
      <c r="AF905" s="95">
        <f t="shared" si="370"/>
        <v>2.86621208E-2</v>
      </c>
      <c r="AG905" s="95" cm="1">
        <f t="array" ref="AG905">_xlfn.IFS(
AND(L905="marginal_effect",M905="level"),O905*AN905/BF905,
AND(L905="marginal_effect",M905="sd (Y)"),O905*BI905*AN905/BF905,
AND(L905="marginal_effect",M905="sd (X)"),O905/AQ905*AN905/BF905,
AND(L905="semi_elasticity",M905="level"),O905*AN905,
AND(L905="semi_elasticity",M905="sd (Y)"),O905*AN905*BI905,
AND(L905="semi_elasticity",M905="sd (X)"),O905*AN905/AQ905,
AND(L905="level-log",M905="level"),O905/BF905,
AND(L905="level-log",M905="sd (X)"),O905/BF905/AQ905,
AND(L905="level-log",M905="sd (Y)"),O905/BF905*BI905,
AND(L905="elasticity",M905="level"),O905,
AND(L905="elasticity",M905="sd (X)"),O905/AQ905,
AND(L905="elasticity",M905="sd (Y)"),O905*BI905,
AND(L905="marginal_effect",M905="percent_of_mean"),O905*AN905/BF905/10)</f>
        <v>2.86621208E-2</v>
      </c>
      <c r="AH905" s="105">
        <f t="shared" si="371"/>
        <v>1</v>
      </c>
      <c r="AI905" s="95">
        <f t="shared" si="372"/>
        <v>-8.5363439999999999E-2</v>
      </c>
      <c r="AJ905" s="78">
        <v>0</v>
      </c>
      <c r="AK905" s="78">
        <f t="shared" si="373"/>
        <v>1</v>
      </c>
      <c r="AL905" s="76" t="s">
        <v>1674</v>
      </c>
      <c r="AM905" s="78" t="s">
        <v>410</v>
      </c>
      <c r="AN905" s="78">
        <v>38.451999999999998</v>
      </c>
      <c r="AO905" s="78">
        <v>0</v>
      </c>
      <c r="AP905" s="78">
        <f t="shared" si="374"/>
        <v>38.451999999999998</v>
      </c>
      <c r="AQ905" s="78">
        <v>9.109</v>
      </c>
      <c r="AR905" s="78">
        <v>14</v>
      </c>
      <c r="AS905" s="78">
        <v>83</v>
      </c>
      <c r="AT905" s="78" t="s">
        <v>83</v>
      </c>
      <c r="AU905" s="78" t="s">
        <v>109</v>
      </c>
      <c r="AV905" s="78" t="s">
        <v>133</v>
      </c>
      <c r="AW905" s="78" t="s">
        <v>109</v>
      </c>
      <c r="AX905" s="78" t="s">
        <v>86</v>
      </c>
      <c r="AY905" s="78">
        <v>0</v>
      </c>
      <c r="AZ905" s="78">
        <v>0</v>
      </c>
      <c r="BA905" s="78" t="s">
        <v>87</v>
      </c>
      <c r="BB905" s="78" t="s">
        <v>88</v>
      </c>
      <c r="BC905" s="78" t="s">
        <v>89</v>
      </c>
      <c r="BD905" s="78" t="s">
        <v>90</v>
      </c>
      <c r="BE905" s="78" t="s">
        <v>1669</v>
      </c>
      <c r="BF905" s="78">
        <v>6.8559999999999999</v>
      </c>
      <c r="BG905" s="78">
        <v>0</v>
      </c>
      <c r="BH905" s="78">
        <v>3.2730000000000001</v>
      </c>
      <c r="BI905" s="78">
        <v>1</v>
      </c>
      <c r="BJ905" s="78">
        <v>20</v>
      </c>
      <c r="BK905" s="78" t="s">
        <v>91</v>
      </c>
      <c r="BL905" s="78" t="s">
        <v>84</v>
      </c>
      <c r="BM905" s="78">
        <v>1</v>
      </c>
      <c r="BN905" s="78" t="s">
        <v>484</v>
      </c>
      <c r="BO905" s="78" t="s">
        <v>1670</v>
      </c>
      <c r="BP905" s="78" t="s">
        <v>1671</v>
      </c>
      <c r="BQ905" s="78" t="s">
        <v>92</v>
      </c>
      <c r="BR905" s="78" t="s">
        <v>118</v>
      </c>
      <c r="BS905" s="78">
        <v>29.169</v>
      </c>
      <c r="BT905" s="78">
        <f t="shared" si="375"/>
        <v>0.30900000000000005</v>
      </c>
      <c r="BU905" s="78">
        <v>2010</v>
      </c>
      <c r="BV905" s="78">
        <v>2015</v>
      </c>
      <c r="BW905" s="78" t="s">
        <v>94</v>
      </c>
      <c r="BX905" s="78" t="s">
        <v>95</v>
      </c>
      <c r="BY905" s="78" t="s">
        <v>96</v>
      </c>
      <c r="BZ905" s="78">
        <v>0</v>
      </c>
      <c r="CA905" s="78">
        <v>0</v>
      </c>
      <c r="CB905" s="78" t="s">
        <v>97</v>
      </c>
      <c r="CC905" s="78" t="s">
        <v>1673</v>
      </c>
      <c r="CD905" s="78">
        <v>1</v>
      </c>
      <c r="CE905" s="78" t="s">
        <v>1711</v>
      </c>
      <c r="CF905" s="78">
        <v>1</v>
      </c>
      <c r="CG905" s="78" t="s">
        <v>1688</v>
      </c>
      <c r="CH905" s="78">
        <v>1</v>
      </c>
      <c r="CI905" s="78" t="s">
        <v>1465</v>
      </c>
      <c r="CJ905" s="78" t="s">
        <v>98</v>
      </c>
      <c r="CK905" s="78">
        <v>79</v>
      </c>
      <c r="CL905" s="78">
        <v>0</v>
      </c>
      <c r="CM905" s="78">
        <v>0</v>
      </c>
      <c r="CN905" s="78" t="s">
        <v>99</v>
      </c>
      <c r="CO905" s="78" t="s">
        <v>97</v>
      </c>
      <c r="CP905" s="78" t="s">
        <v>100</v>
      </c>
      <c r="CQ905" s="78" t="s">
        <v>126</v>
      </c>
      <c r="CR905" s="80">
        <v>46234</v>
      </c>
      <c r="CT905" s="78" t="s">
        <v>451</v>
      </c>
    </row>
    <row r="906" spans="1:98" s="78" customFormat="1" x14ac:dyDescent="0.35">
      <c r="A906" s="77" t="s">
        <v>1666</v>
      </c>
      <c r="B906" s="77" t="s">
        <v>1701</v>
      </c>
      <c r="C906" s="77" t="s">
        <v>1667</v>
      </c>
      <c r="D906" s="78">
        <v>2022</v>
      </c>
      <c r="E906" s="79" t="s">
        <v>1672</v>
      </c>
      <c r="F906" s="77" t="s">
        <v>1668</v>
      </c>
      <c r="G906" s="78" t="s">
        <v>78</v>
      </c>
      <c r="H906" s="78">
        <v>1</v>
      </c>
      <c r="I906" s="78" t="s">
        <v>390</v>
      </c>
      <c r="J906" s="78" t="s">
        <v>79</v>
      </c>
      <c r="K906" s="78">
        <v>33</v>
      </c>
      <c r="L906" s="78" t="s">
        <v>104</v>
      </c>
      <c r="M906" s="78" t="s">
        <v>380</v>
      </c>
      <c r="N906" s="78">
        <v>-5.9999999999999995E-4</v>
      </c>
      <c r="O906" s="78">
        <v>1.1360000000000001E-3</v>
      </c>
      <c r="P906" s="95">
        <f t="shared" si="361"/>
        <v>-0.528169014084507</v>
      </c>
      <c r="Q906" s="78" t="s">
        <v>312</v>
      </c>
      <c r="R906" s="95">
        <f t="shared" si="362"/>
        <v>-2.8265600000000001E-3</v>
      </c>
      <c r="S906" s="95">
        <f t="shared" si="363"/>
        <v>1.6265600000000004E-3</v>
      </c>
      <c r="T906" s="78">
        <v>1</v>
      </c>
      <c r="U906" s="78">
        <v>633165</v>
      </c>
      <c r="V906" s="78" t="s">
        <v>312</v>
      </c>
      <c r="W906" s="78" t="s">
        <v>312</v>
      </c>
      <c r="X906" s="78">
        <f t="shared" si="364"/>
        <v>633165</v>
      </c>
      <c r="Y906" s="95">
        <f t="shared" si="365"/>
        <v>-6.6376503790304786E-4</v>
      </c>
      <c r="Z906" s="95">
        <f t="shared" si="366"/>
        <v>1.2567284717631042E-3</v>
      </c>
      <c r="AA906" s="95">
        <f t="shared" si="367"/>
        <v>-6.6376503790304786E-4</v>
      </c>
      <c r="AB906" s="78" t="s">
        <v>81</v>
      </c>
      <c r="AC906" s="95">
        <f t="shared" si="368"/>
        <v>-3.6665999999999995E-3</v>
      </c>
      <c r="AD906" s="95" cm="1">
        <f t="array" ref="AD906">_xlfn.IFS(
AND(L906="marginal_effect",M906="level"),N906*AN906/BF906,
AND(L906="marginal_effect",M906="sd (Y)"),N906*BI906*AN906/BF906,
AND(L906="marginal_effect",M906="sd (X)"),N906/AQ906*AN906/BF906,
AND(L906="semi_elasticity",M906="level"),N906*AN906,
AND(L906="semi_elasticity",M906="sd (Y)"),N906*AN906*BI906,
AND(L906="semi_elasticity",M906="sd (X)"),N906*AN906/AQ906,
AND(L906="level-log",M906="level"),N906/BF906,
AND(L906="level-log",M906="sd (X)"),N906/BF906/AQ906,
AND(L906="level-log",M906="sd (Y)"),N906/BF906*BI906,
AND(L906="elasticity",M906="level"),N906,
AND(L906="elasticity",M906="sd (X)"),N906/AQ906,
AND(L906="elasticity",M906="sd (Y)"),N906*BI906,
AND(L906="marginal_effect",M906="percent_of_mean"),N906*AN906/BF906/10)</f>
        <v>-3.6665999999999995E-3</v>
      </c>
      <c r="AE906" s="105">
        <f t="shared" si="369"/>
        <v>1</v>
      </c>
      <c r="AF906" s="95">
        <f t="shared" si="370"/>
        <v>6.942096E-3</v>
      </c>
      <c r="AG906" s="95" cm="1">
        <f t="array" ref="AG906">_xlfn.IFS(
AND(L906="marginal_effect",M906="level"),O906*AN906/BF906,
AND(L906="marginal_effect",M906="sd (Y)"),O906*BI906*AN906/BF906,
AND(L906="marginal_effect",M906="sd (X)"),O906/AQ906*AN906/BF906,
AND(L906="semi_elasticity",M906="level"),O906*AN906,
AND(L906="semi_elasticity",M906="sd (Y)"),O906*AN906*BI906,
AND(L906="semi_elasticity",M906="sd (X)"),O906*AN906/AQ906,
AND(L906="level-log",M906="level"),O906/BF906,
AND(L906="level-log",M906="sd (X)"),O906/BF906/AQ906,
AND(L906="level-log",M906="sd (Y)"),O906/BF906*BI906,
AND(L906="elasticity",M906="level"),O906,
AND(L906="elasticity",M906="sd (X)"),O906/AQ906,
AND(L906="elasticity",M906="sd (Y)"),O906*BI906,
AND(L906="marginal_effect",M906="percent_of_mean"),O906*AN906/BF906/10)</f>
        <v>6.942096E-3</v>
      </c>
      <c r="AH906" s="105">
        <f t="shared" si="371"/>
        <v>1</v>
      </c>
      <c r="AI906" s="95">
        <f t="shared" si="372"/>
        <v>-3.6665999999999995E-3</v>
      </c>
      <c r="AJ906" s="78">
        <v>0</v>
      </c>
      <c r="AK906" s="78">
        <f t="shared" si="373"/>
        <v>1</v>
      </c>
      <c r="AL906" s="76" t="s">
        <v>1689</v>
      </c>
      <c r="AM906" s="78" t="s">
        <v>410</v>
      </c>
      <c r="AN906" s="78">
        <v>6.1109999999999998</v>
      </c>
      <c r="AO906" s="78">
        <v>0</v>
      </c>
      <c r="AP906" s="78">
        <f t="shared" si="374"/>
        <v>6.1109999999999998</v>
      </c>
      <c r="AQ906" s="78">
        <v>5.0839999999999996</v>
      </c>
      <c r="AR906" s="78">
        <v>0</v>
      </c>
      <c r="AS906" s="78">
        <v>36</v>
      </c>
      <c r="AT906" s="78" t="s">
        <v>83</v>
      </c>
      <c r="AU906" s="78" t="s">
        <v>109</v>
      </c>
      <c r="AV906" s="78" t="s">
        <v>133</v>
      </c>
      <c r="AW906" s="78" t="s">
        <v>109</v>
      </c>
      <c r="AX906" s="78" t="s">
        <v>86</v>
      </c>
      <c r="AY906" s="78">
        <v>0</v>
      </c>
      <c r="AZ906" s="78">
        <v>0</v>
      </c>
      <c r="BA906" s="78" t="s">
        <v>87</v>
      </c>
      <c r="BB906" s="78" t="s">
        <v>88</v>
      </c>
      <c r="BC906" s="78" t="s">
        <v>89</v>
      </c>
      <c r="BD906" s="78" t="s">
        <v>90</v>
      </c>
      <c r="BE906" s="78" t="s">
        <v>1669</v>
      </c>
      <c r="BF906" s="78">
        <v>6.8559999999999999</v>
      </c>
      <c r="BG906" s="78">
        <v>0</v>
      </c>
      <c r="BH906" s="78">
        <v>3.2730000000000001</v>
      </c>
      <c r="BI906" s="78">
        <v>1</v>
      </c>
      <c r="BJ906" s="78">
        <v>20</v>
      </c>
      <c r="BK906" s="78" t="s">
        <v>91</v>
      </c>
      <c r="BL906" s="78" t="s">
        <v>84</v>
      </c>
      <c r="BM906" s="78">
        <v>1</v>
      </c>
      <c r="BN906" s="78" t="s">
        <v>484</v>
      </c>
      <c r="BO906" s="78" t="s">
        <v>1670</v>
      </c>
      <c r="BP906" s="78" t="s">
        <v>1671</v>
      </c>
      <c r="BQ906" s="78" t="s">
        <v>92</v>
      </c>
      <c r="BR906" s="78" t="s">
        <v>118</v>
      </c>
      <c r="BS906" s="78">
        <v>29.169</v>
      </c>
      <c r="BT906" s="78">
        <f t="shared" si="375"/>
        <v>0.30900000000000005</v>
      </c>
      <c r="BU906" s="78">
        <v>2010</v>
      </c>
      <c r="BV906" s="78">
        <v>2015</v>
      </c>
      <c r="BW906" s="78" t="s">
        <v>94</v>
      </c>
      <c r="BX906" s="78" t="s">
        <v>95</v>
      </c>
      <c r="BY906" s="78" t="s">
        <v>96</v>
      </c>
      <c r="BZ906" s="78">
        <v>0</v>
      </c>
      <c r="CA906" s="78">
        <v>0</v>
      </c>
      <c r="CB906" s="78" t="s">
        <v>97</v>
      </c>
      <c r="CC906" s="78" t="s">
        <v>1673</v>
      </c>
      <c r="CD906" s="78">
        <v>1</v>
      </c>
      <c r="CE906" s="78" t="s">
        <v>1711</v>
      </c>
      <c r="CF906" s="78">
        <v>1</v>
      </c>
      <c r="CG906" s="78" t="s">
        <v>598</v>
      </c>
      <c r="CH906" s="78">
        <v>1</v>
      </c>
      <c r="CI906" s="78" t="s">
        <v>1465</v>
      </c>
      <c r="CJ906" s="78" t="s">
        <v>98</v>
      </c>
      <c r="CK906" s="78">
        <v>79</v>
      </c>
      <c r="CL906" s="78">
        <v>0</v>
      </c>
      <c r="CM906" s="78">
        <v>0</v>
      </c>
      <c r="CN906" s="78" t="s">
        <v>99</v>
      </c>
      <c r="CO906" s="78" t="s">
        <v>97</v>
      </c>
      <c r="CP906" s="78" t="s">
        <v>100</v>
      </c>
      <c r="CQ906" s="78" t="s">
        <v>126</v>
      </c>
      <c r="CR906" s="80">
        <v>46234</v>
      </c>
      <c r="CT906" s="78" t="s">
        <v>451</v>
      </c>
    </row>
    <row r="907" spans="1:98" s="78" customFormat="1" x14ac:dyDescent="0.35">
      <c r="A907" s="77" t="s">
        <v>1666</v>
      </c>
      <c r="B907" s="77" t="s">
        <v>1702</v>
      </c>
      <c r="C907" s="77" t="s">
        <v>1667</v>
      </c>
      <c r="D907" s="78">
        <v>2022</v>
      </c>
      <c r="E907" s="79" t="s">
        <v>1672</v>
      </c>
      <c r="F907" s="77" t="s">
        <v>1668</v>
      </c>
      <c r="G907" s="78" t="s">
        <v>78</v>
      </c>
      <c r="H907" s="78">
        <v>1</v>
      </c>
      <c r="I907" s="78" t="s">
        <v>390</v>
      </c>
      <c r="J907" s="78" t="s">
        <v>79</v>
      </c>
      <c r="K907" s="78">
        <v>33</v>
      </c>
      <c r="L907" s="78" t="s">
        <v>104</v>
      </c>
      <c r="M907" s="78" t="s">
        <v>380</v>
      </c>
      <c r="N907" s="78">
        <v>-4.1200000000000004E-3</v>
      </c>
      <c r="O907" s="78">
        <v>1.4208999999999999E-3</v>
      </c>
      <c r="P907" s="95">
        <f t="shared" si="361"/>
        <v>-2.8995706946301643</v>
      </c>
      <c r="Q907" s="78" t="s">
        <v>312</v>
      </c>
      <c r="R907" s="95">
        <f t="shared" si="362"/>
        <v>-6.9049639999999995E-3</v>
      </c>
      <c r="S907" s="95">
        <f t="shared" si="363"/>
        <v>-1.3350360000000008E-3</v>
      </c>
      <c r="T907" s="78">
        <v>1</v>
      </c>
      <c r="U907" s="78">
        <v>633165</v>
      </c>
      <c r="V907" s="78" t="s">
        <v>312</v>
      </c>
      <c r="W907" s="78" t="s">
        <v>312</v>
      </c>
      <c r="X907" s="78">
        <f t="shared" si="364"/>
        <v>633165</v>
      </c>
      <c r="Y907" s="95">
        <f t="shared" si="365"/>
        <v>-3.6439496574748593E-3</v>
      </c>
      <c r="Z907" s="95">
        <f t="shared" si="366"/>
        <v>1.2567204049286473E-3</v>
      </c>
      <c r="AA907" s="95">
        <f t="shared" si="367"/>
        <v>-3.6439496574748593E-3</v>
      </c>
      <c r="AB907" s="78" t="s">
        <v>81</v>
      </c>
      <c r="AC907" s="95">
        <f t="shared" si="368"/>
        <v>-2.7414480000000001E-2</v>
      </c>
      <c r="AD907" s="95" cm="1">
        <f t="array" ref="AD907">_xlfn.IFS(
AND(L907="marginal_effect",M907="level"),N907*AN907/BF907,
AND(L907="marginal_effect",M907="sd (Y)"),N907*BI907*AN907/BF907,
AND(L907="marginal_effect",M907="sd (X)"),N907/AQ907*AN907/BF907,
AND(L907="semi_elasticity",M907="level"),N907*AN907,
AND(L907="semi_elasticity",M907="sd (Y)"),N907*AN907*BI907,
AND(L907="semi_elasticity",M907="sd (X)"),N907*AN907/AQ907,
AND(L907="level-log",M907="level"),N907/BF907,
AND(L907="level-log",M907="sd (X)"),N907/BF907/AQ907,
AND(L907="level-log",M907="sd (Y)"),N907/BF907*BI907,
AND(L907="elasticity",M907="level"),N907,
AND(L907="elasticity",M907="sd (X)"),N907/AQ907,
AND(L907="elasticity",M907="sd (Y)"),N907*BI907,
AND(L907="marginal_effect",M907="percent_of_mean"),N907*AN907/BF907/10)</f>
        <v>-2.7414480000000001E-2</v>
      </c>
      <c r="AE907" s="105">
        <f t="shared" si="369"/>
        <v>1</v>
      </c>
      <c r="AF907" s="95">
        <f t="shared" si="370"/>
        <v>9.4546685999999987E-3</v>
      </c>
      <c r="AG907" s="95" cm="1">
        <f t="array" ref="AG907">_xlfn.IFS(
AND(L907="marginal_effect",M907="level"),O907*AN907/BF907,
AND(L907="marginal_effect",M907="sd (Y)"),O907*BI907*AN907/BF907,
AND(L907="marginal_effect",M907="sd (X)"),O907/AQ907*AN907/BF907,
AND(L907="semi_elasticity",M907="level"),O907*AN907,
AND(L907="semi_elasticity",M907="sd (Y)"),O907*AN907*BI907,
AND(L907="semi_elasticity",M907="sd (X)"),O907*AN907/AQ907,
AND(L907="level-log",M907="level"),O907/BF907,
AND(L907="level-log",M907="sd (X)"),O907/BF907/AQ907,
AND(L907="level-log",M907="sd (Y)"),O907/BF907*BI907,
AND(L907="elasticity",M907="level"),O907,
AND(L907="elasticity",M907="sd (X)"),O907/AQ907,
AND(L907="elasticity",M907="sd (Y)"),O907*BI907,
AND(L907="marginal_effect",M907="percent_of_mean"),O907*AN907/BF907/10)</f>
        <v>9.4546685999999987E-3</v>
      </c>
      <c r="AH907" s="105">
        <f t="shared" si="371"/>
        <v>1</v>
      </c>
      <c r="AI907" s="95">
        <f t="shared" si="372"/>
        <v>-2.7414480000000001E-2</v>
      </c>
      <c r="AJ907" s="78">
        <v>0</v>
      </c>
      <c r="AK907" s="78">
        <f t="shared" si="373"/>
        <v>1</v>
      </c>
      <c r="AL907" s="78" t="s">
        <v>82</v>
      </c>
      <c r="AM907" s="78" t="s">
        <v>1333</v>
      </c>
      <c r="AN907" s="78">
        <v>6.6539999999999999</v>
      </c>
      <c r="AO907" s="78">
        <v>0</v>
      </c>
      <c r="AP907" s="78">
        <f t="shared" si="374"/>
        <v>6.6539999999999999</v>
      </c>
      <c r="AQ907" s="78">
        <v>2.7320000000000002</v>
      </c>
      <c r="AR907" s="78">
        <v>0.69099999999999995</v>
      </c>
      <c r="AS907" s="78">
        <v>21.341999999999999</v>
      </c>
      <c r="AT907" s="78" t="s">
        <v>83</v>
      </c>
      <c r="AU907" s="78" t="s">
        <v>109</v>
      </c>
      <c r="AV907" s="78" t="s">
        <v>133</v>
      </c>
      <c r="AW907" s="78" t="s">
        <v>109</v>
      </c>
      <c r="AX907" s="78" t="s">
        <v>86</v>
      </c>
      <c r="AY907" s="78">
        <v>0</v>
      </c>
      <c r="AZ907" s="78">
        <v>0</v>
      </c>
      <c r="BA907" s="78" t="s">
        <v>87</v>
      </c>
      <c r="BB907" s="78" t="s">
        <v>88</v>
      </c>
      <c r="BC907" s="78" t="s">
        <v>89</v>
      </c>
      <c r="BD907" s="78" t="s">
        <v>90</v>
      </c>
      <c r="BE907" s="78" t="s">
        <v>1669</v>
      </c>
      <c r="BF907" s="78">
        <v>6.8559999999999999</v>
      </c>
      <c r="BG907" s="78">
        <v>0</v>
      </c>
      <c r="BH907" s="78">
        <v>3.2730000000000001</v>
      </c>
      <c r="BI907" s="78">
        <v>1</v>
      </c>
      <c r="BJ907" s="78">
        <v>20</v>
      </c>
      <c r="BK907" s="78" t="s">
        <v>91</v>
      </c>
      <c r="BL907" s="78" t="s">
        <v>84</v>
      </c>
      <c r="BM907" s="78">
        <v>1</v>
      </c>
      <c r="BN907" s="78" t="s">
        <v>484</v>
      </c>
      <c r="BO907" s="78" t="s">
        <v>1670</v>
      </c>
      <c r="BP907" s="78" t="s">
        <v>1671</v>
      </c>
      <c r="BQ907" s="78" t="s">
        <v>92</v>
      </c>
      <c r="BR907" s="78" t="s">
        <v>118</v>
      </c>
      <c r="BS907" s="78">
        <v>29.169</v>
      </c>
      <c r="BT907" s="78">
        <f t="shared" si="375"/>
        <v>0.30900000000000005</v>
      </c>
      <c r="BU907" s="78">
        <v>2010</v>
      </c>
      <c r="BV907" s="78">
        <v>2015</v>
      </c>
      <c r="BW907" s="78" t="s">
        <v>94</v>
      </c>
      <c r="BX907" s="78" t="s">
        <v>95</v>
      </c>
      <c r="BY907" s="78" t="s">
        <v>96</v>
      </c>
      <c r="BZ907" s="78">
        <v>0</v>
      </c>
      <c r="CA907" s="78">
        <v>0</v>
      </c>
      <c r="CB907" s="78" t="s">
        <v>97</v>
      </c>
      <c r="CC907" s="78" t="s">
        <v>1673</v>
      </c>
      <c r="CD907" s="78">
        <v>1</v>
      </c>
      <c r="CE907" s="78" t="s">
        <v>1712</v>
      </c>
      <c r="CF907" s="78">
        <v>1</v>
      </c>
      <c r="CG907" s="78" t="s">
        <v>1125</v>
      </c>
      <c r="CH907" s="78">
        <v>1</v>
      </c>
      <c r="CI907" s="78" t="s">
        <v>1465</v>
      </c>
      <c r="CJ907" s="78" t="s">
        <v>98</v>
      </c>
      <c r="CK907" s="78">
        <v>79</v>
      </c>
      <c r="CL907" s="78">
        <v>0</v>
      </c>
      <c r="CM907" s="78">
        <v>0</v>
      </c>
      <c r="CN907" s="78" t="s">
        <v>99</v>
      </c>
      <c r="CO907" s="78" t="s">
        <v>97</v>
      </c>
      <c r="CP907" s="78" t="s">
        <v>100</v>
      </c>
      <c r="CQ907" s="78" t="s">
        <v>126</v>
      </c>
      <c r="CR907" s="80">
        <v>46234</v>
      </c>
      <c r="CT907" s="78" t="s">
        <v>452</v>
      </c>
    </row>
    <row r="908" spans="1:98" s="78" customFormat="1" x14ac:dyDescent="0.35">
      <c r="A908" s="77" t="s">
        <v>1666</v>
      </c>
      <c r="B908" s="77" t="s">
        <v>1703</v>
      </c>
      <c r="C908" s="77" t="s">
        <v>1667</v>
      </c>
      <c r="D908" s="78">
        <v>2022</v>
      </c>
      <c r="E908" s="79" t="s">
        <v>1672</v>
      </c>
      <c r="F908" s="77" t="s">
        <v>1668</v>
      </c>
      <c r="G908" s="78" t="s">
        <v>78</v>
      </c>
      <c r="H908" s="78">
        <v>1</v>
      </c>
      <c r="I908" s="78" t="s">
        <v>390</v>
      </c>
      <c r="J908" s="78" t="s">
        <v>79</v>
      </c>
      <c r="K908" s="78">
        <v>33</v>
      </c>
      <c r="L908" s="78" t="s">
        <v>104</v>
      </c>
      <c r="M908" s="78" t="s">
        <v>380</v>
      </c>
      <c r="N908" s="78">
        <v>-2.2200000000000002E-3</v>
      </c>
      <c r="O908" s="78">
        <v>7.5989999999999999E-4</v>
      </c>
      <c r="P908" s="95">
        <f t="shared" si="361"/>
        <v>-2.9214370311883147</v>
      </c>
      <c r="Q908" s="78" t="s">
        <v>312</v>
      </c>
      <c r="R908" s="95">
        <f t="shared" si="362"/>
        <v>-3.7094040000000003E-3</v>
      </c>
      <c r="S908" s="95">
        <f t="shared" si="363"/>
        <v>-7.3059600000000024E-4</v>
      </c>
      <c r="T908" s="78">
        <v>1</v>
      </c>
      <c r="U908" s="78">
        <v>633165</v>
      </c>
      <c r="V908" s="78" t="s">
        <v>312</v>
      </c>
      <c r="W908" s="78" t="s">
        <v>312</v>
      </c>
      <c r="X908" s="78">
        <f t="shared" si="364"/>
        <v>633165</v>
      </c>
      <c r="Y908" s="95">
        <f t="shared" si="365"/>
        <v>-3.6714291597827733E-3</v>
      </c>
      <c r="Z908" s="95">
        <f t="shared" si="366"/>
        <v>1.2567202786121301E-3</v>
      </c>
      <c r="AA908" s="95">
        <f t="shared" si="367"/>
        <v>-3.6714291597827733E-3</v>
      </c>
      <c r="AB908" s="78" t="s">
        <v>81</v>
      </c>
      <c r="AC908" s="95">
        <f t="shared" si="368"/>
        <v>-8.5363439999999999E-2</v>
      </c>
      <c r="AD908" s="95" cm="1">
        <f t="array" ref="AD908">_xlfn.IFS(
AND(L908="marginal_effect",M908="level"),N908*AN908/BF908,
AND(L908="marginal_effect",M908="sd (Y)"),N908*BI908*AN908/BF908,
AND(L908="marginal_effect",M908="sd (X)"),N908/AQ908*AN908/BF908,
AND(L908="semi_elasticity",M908="level"),N908*AN908,
AND(L908="semi_elasticity",M908="sd (Y)"),N908*AN908*BI908,
AND(L908="semi_elasticity",M908="sd (X)"),N908*AN908/AQ908,
AND(L908="level-log",M908="level"),N908/BF908,
AND(L908="level-log",M908="sd (X)"),N908/BF908/AQ908,
AND(L908="level-log",M908="sd (Y)"),N908/BF908*BI908,
AND(L908="elasticity",M908="level"),N908,
AND(L908="elasticity",M908="sd (X)"),N908/AQ908,
AND(L908="elasticity",M908="sd (Y)"),N908*BI908,
AND(L908="marginal_effect",M908="percent_of_mean"),N908*AN908/BF908/10)</f>
        <v>-8.5363439999999999E-2</v>
      </c>
      <c r="AE908" s="105">
        <f t="shared" si="369"/>
        <v>1</v>
      </c>
      <c r="AF908" s="95">
        <f t="shared" si="370"/>
        <v>2.9219674799999998E-2</v>
      </c>
      <c r="AG908" s="95" cm="1">
        <f t="array" ref="AG908">_xlfn.IFS(
AND(L908="marginal_effect",M908="level"),O908*AN908/BF908,
AND(L908="marginal_effect",M908="sd (Y)"),O908*BI908*AN908/BF908,
AND(L908="marginal_effect",M908="sd (X)"),O908/AQ908*AN908/BF908,
AND(L908="semi_elasticity",M908="level"),O908*AN908,
AND(L908="semi_elasticity",M908="sd (Y)"),O908*AN908*BI908,
AND(L908="semi_elasticity",M908="sd (X)"),O908*AN908/AQ908,
AND(L908="level-log",M908="level"),O908/BF908,
AND(L908="level-log",M908="sd (X)"),O908/BF908/AQ908,
AND(L908="level-log",M908="sd (Y)"),O908/BF908*BI908,
AND(L908="elasticity",M908="level"),O908,
AND(L908="elasticity",M908="sd (X)"),O908/AQ908,
AND(L908="elasticity",M908="sd (Y)"),O908*BI908,
AND(L908="marginal_effect",M908="percent_of_mean"),O908*AN908/BF908/10)</f>
        <v>2.9219674799999998E-2</v>
      </c>
      <c r="AH908" s="105">
        <f t="shared" si="371"/>
        <v>1</v>
      </c>
      <c r="AI908" s="95">
        <f t="shared" si="372"/>
        <v>-8.5363439999999999E-2</v>
      </c>
      <c r="AJ908" s="78">
        <v>0</v>
      </c>
      <c r="AK908" s="78">
        <f t="shared" si="373"/>
        <v>1</v>
      </c>
      <c r="AL908" s="76" t="s">
        <v>1674</v>
      </c>
      <c r="AM908" s="78" t="s">
        <v>410</v>
      </c>
      <c r="AN908" s="78">
        <v>38.451999999999998</v>
      </c>
      <c r="AO908" s="78">
        <v>0</v>
      </c>
      <c r="AP908" s="78">
        <f t="shared" si="374"/>
        <v>38.451999999999998</v>
      </c>
      <c r="AQ908" s="78">
        <v>9.109</v>
      </c>
      <c r="AR908" s="78">
        <v>14</v>
      </c>
      <c r="AS908" s="78">
        <v>83</v>
      </c>
      <c r="AT908" s="78" t="s">
        <v>83</v>
      </c>
      <c r="AU908" s="78" t="s">
        <v>109</v>
      </c>
      <c r="AV908" s="78" t="s">
        <v>133</v>
      </c>
      <c r="AW908" s="78" t="s">
        <v>109</v>
      </c>
      <c r="AX908" s="78" t="s">
        <v>86</v>
      </c>
      <c r="AY908" s="78">
        <v>0</v>
      </c>
      <c r="AZ908" s="78">
        <v>0</v>
      </c>
      <c r="BA908" s="78" t="s">
        <v>87</v>
      </c>
      <c r="BB908" s="78" t="s">
        <v>88</v>
      </c>
      <c r="BC908" s="78" t="s">
        <v>89</v>
      </c>
      <c r="BD908" s="78" t="s">
        <v>90</v>
      </c>
      <c r="BE908" s="78" t="s">
        <v>1669</v>
      </c>
      <c r="BF908" s="78">
        <v>6.8559999999999999</v>
      </c>
      <c r="BG908" s="78">
        <v>0</v>
      </c>
      <c r="BH908" s="78">
        <v>3.2730000000000001</v>
      </c>
      <c r="BI908" s="78">
        <v>1</v>
      </c>
      <c r="BJ908" s="78">
        <v>20</v>
      </c>
      <c r="BK908" s="78" t="s">
        <v>91</v>
      </c>
      <c r="BL908" s="78" t="s">
        <v>84</v>
      </c>
      <c r="BM908" s="78">
        <v>1</v>
      </c>
      <c r="BN908" s="78" t="s">
        <v>484</v>
      </c>
      <c r="BO908" s="78" t="s">
        <v>1670</v>
      </c>
      <c r="BP908" s="78" t="s">
        <v>1671</v>
      </c>
      <c r="BQ908" s="78" t="s">
        <v>92</v>
      </c>
      <c r="BR908" s="78" t="s">
        <v>118</v>
      </c>
      <c r="BS908" s="78">
        <v>29.169</v>
      </c>
      <c r="BT908" s="78">
        <f t="shared" si="375"/>
        <v>0.30900000000000005</v>
      </c>
      <c r="BU908" s="78">
        <v>2010</v>
      </c>
      <c r="BV908" s="78">
        <v>2015</v>
      </c>
      <c r="BW908" s="78" t="s">
        <v>94</v>
      </c>
      <c r="BX908" s="78" t="s">
        <v>95</v>
      </c>
      <c r="BY908" s="78" t="s">
        <v>96</v>
      </c>
      <c r="BZ908" s="78">
        <v>0</v>
      </c>
      <c r="CA908" s="78">
        <v>0</v>
      </c>
      <c r="CB908" s="78" t="s">
        <v>97</v>
      </c>
      <c r="CC908" s="78" t="s">
        <v>1673</v>
      </c>
      <c r="CD908" s="78">
        <v>1</v>
      </c>
      <c r="CE908" s="78" t="s">
        <v>1712</v>
      </c>
      <c r="CF908" s="78">
        <v>1</v>
      </c>
      <c r="CG908" s="78" t="s">
        <v>1688</v>
      </c>
      <c r="CH908" s="78">
        <v>1</v>
      </c>
      <c r="CI908" s="78" t="s">
        <v>1465</v>
      </c>
      <c r="CJ908" s="78" t="s">
        <v>98</v>
      </c>
      <c r="CK908" s="78">
        <v>79</v>
      </c>
      <c r="CL908" s="78">
        <v>0</v>
      </c>
      <c r="CM908" s="78">
        <v>0</v>
      </c>
      <c r="CN908" s="78" t="s">
        <v>99</v>
      </c>
      <c r="CO908" s="78" t="s">
        <v>97</v>
      </c>
      <c r="CP908" s="78" t="s">
        <v>100</v>
      </c>
      <c r="CQ908" s="78" t="s">
        <v>126</v>
      </c>
      <c r="CR908" s="80">
        <v>46234</v>
      </c>
      <c r="CT908" s="78" t="s">
        <v>452</v>
      </c>
    </row>
    <row r="909" spans="1:98" s="78" customFormat="1" x14ac:dyDescent="0.35">
      <c r="A909" s="77" t="s">
        <v>1666</v>
      </c>
      <c r="B909" s="77" t="s">
        <v>1704</v>
      </c>
      <c r="C909" s="77" t="s">
        <v>1667</v>
      </c>
      <c r="D909" s="78">
        <v>2022</v>
      </c>
      <c r="E909" s="79" t="s">
        <v>1672</v>
      </c>
      <c r="F909" s="77" t="s">
        <v>1668</v>
      </c>
      <c r="G909" s="78" t="s">
        <v>78</v>
      </c>
      <c r="H909" s="78">
        <v>1</v>
      </c>
      <c r="I909" s="78" t="s">
        <v>390</v>
      </c>
      <c r="J909" s="78" t="s">
        <v>79</v>
      </c>
      <c r="K909" s="78">
        <v>33</v>
      </c>
      <c r="L909" s="78" t="s">
        <v>104</v>
      </c>
      <c r="M909" s="78" t="s">
        <v>380</v>
      </c>
      <c r="N909" s="78">
        <v>-8.9999999999999998E-4</v>
      </c>
      <c r="O909" s="78">
        <v>1.1360000000000001E-3</v>
      </c>
      <c r="P909" s="95">
        <f t="shared" si="361"/>
        <v>-0.79225352112676051</v>
      </c>
      <c r="Q909" s="78" t="s">
        <v>312</v>
      </c>
      <c r="R909" s="95">
        <f t="shared" si="362"/>
        <v>-3.1265600000000004E-3</v>
      </c>
      <c r="S909" s="95">
        <f t="shared" si="363"/>
        <v>1.3265600000000003E-3</v>
      </c>
      <c r="T909" s="78">
        <v>1</v>
      </c>
      <c r="U909" s="78">
        <v>633165</v>
      </c>
      <c r="V909" s="78" t="s">
        <v>312</v>
      </c>
      <c r="W909" s="78" t="s">
        <v>312</v>
      </c>
      <c r="X909" s="78">
        <f t="shared" si="364"/>
        <v>633165</v>
      </c>
      <c r="Y909" s="95">
        <f t="shared" si="365"/>
        <v>-9.9564728268817983E-4</v>
      </c>
      <c r="Z909" s="95">
        <f t="shared" si="366"/>
        <v>1.2567281257041916E-3</v>
      </c>
      <c r="AA909" s="95">
        <f t="shared" si="367"/>
        <v>-9.9564728268817983E-4</v>
      </c>
      <c r="AB909" s="78" t="s">
        <v>81</v>
      </c>
      <c r="AC909" s="95">
        <f t="shared" si="368"/>
        <v>-5.4998999999999994E-3</v>
      </c>
      <c r="AD909" s="95" cm="1">
        <f t="array" ref="AD909">_xlfn.IFS(
AND(L909="marginal_effect",M909="level"),N909*AN909/BF909,
AND(L909="marginal_effect",M909="sd (Y)"),N909*BI909*AN909/BF909,
AND(L909="marginal_effect",M909="sd (X)"),N909/AQ909*AN909/BF909,
AND(L909="semi_elasticity",M909="level"),N909*AN909,
AND(L909="semi_elasticity",M909="sd (Y)"),N909*AN909*BI909,
AND(L909="semi_elasticity",M909="sd (X)"),N909*AN909/AQ909,
AND(L909="level-log",M909="level"),N909/BF909,
AND(L909="level-log",M909="sd (X)"),N909/BF909/AQ909,
AND(L909="level-log",M909="sd (Y)"),N909/BF909*BI909,
AND(L909="elasticity",M909="level"),N909,
AND(L909="elasticity",M909="sd (X)"),N909/AQ909,
AND(L909="elasticity",M909="sd (Y)"),N909*BI909,
AND(L909="marginal_effect",M909="percent_of_mean"),N909*AN909/BF909/10)</f>
        <v>-5.4998999999999994E-3</v>
      </c>
      <c r="AE909" s="105">
        <f t="shared" si="369"/>
        <v>1</v>
      </c>
      <c r="AF909" s="95">
        <f t="shared" si="370"/>
        <v>6.942096E-3</v>
      </c>
      <c r="AG909" s="95" cm="1">
        <f t="array" ref="AG909">_xlfn.IFS(
AND(L909="marginal_effect",M909="level"),O909*AN909/BF909,
AND(L909="marginal_effect",M909="sd (Y)"),O909*BI909*AN909/BF909,
AND(L909="marginal_effect",M909="sd (X)"),O909/AQ909*AN909/BF909,
AND(L909="semi_elasticity",M909="level"),O909*AN909,
AND(L909="semi_elasticity",M909="sd (Y)"),O909*AN909*BI909,
AND(L909="semi_elasticity",M909="sd (X)"),O909*AN909/AQ909,
AND(L909="level-log",M909="level"),O909/BF909,
AND(L909="level-log",M909="sd (X)"),O909/BF909/AQ909,
AND(L909="level-log",M909="sd (Y)"),O909/BF909*BI909,
AND(L909="elasticity",M909="level"),O909,
AND(L909="elasticity",M909="sd (X)"),O909/AQ909,
AND(L909="elasticity",M909="sd (Y)"),O909*BI909,
AND(L909="marginal_effect",M909="percent_of_mean"),O909*AN909/BF909/10)</f>
        <v>6.942096E-3</v>
      </c>
      <c r="AH909" s="105">
        <f t="shared" si="371"/>
        <v>1</v>
      </c>
      <c r="AI909" s="95">
        <f t="shared" si="372"/>
        <v>-5.4998999999999994E-3</v>
      </c>
      <c r="AJ909" s="78">
        <v>0</v>
      </c>
      <c r="AK909" s="78">
        <f t="shared" si="373"/>
        <v>1</v>
      </c>
      <c r="AL909" s="76" t="s">
        <v>1689</v>
      </c>
      <c r="AM909" s="78" t="s">
        <v>410</v>
      </c>
      <c r="AN909" s="78">
        <v>6.1109999999999998</v>
      </c>
      <c r="AO909" s="78">
        <v>0</v>
      </c>
      <c r="AP909" s="78">
        <f t="shared" si="374"/>
        <v>6.1109999999999998</v>
      </c>
      <c r="AQ909" s="78">
        <v>5.0839999999999996</v>
      </c>
      <c r="AR909" s="78">
        <v>0</v>
      </c>
      <c r="AS909" s="78">
        <v>36</v>
      </c>
      <c r="AT909" s="78" t="s">
        <v>83</v>
      </c>
      <c r="AU909" s="78" t="s">
        <v>109</v>
      </c>
      <c r="AV909" s="78" t="s">
        <v>133</v>
      </c>
      <c r="AW909" s="78" t="s">
        <v>109</v>
      </c>
      <c r="AX909" s="78" t="s">
        <v>86</v>
      </c>
      <c r="AY909" s="78">
        <v>0</v>
      </c>
      <c r="AZ909" s="78">
        <v>0</v>
      </c>
      <c r="BA909" s="78" t="s">
        <v>87</v>
      </c>
      <c r="BB909" s="78" t="s">
        <v>88</v>
      </c>
      <c r="BC909" s="78" t="s">
        <v>89</v>
      </c>
      <c r="BD909" s="78" t="s">
        <v>90</v>
      </c>
      <c r="BE909" s="78" t="s">
        <v>1669</v>
      </c>
      <c r="BF909" s="78">
        <v>6.8559999999999999</v>
      </c>
      <c r="BG909" s="78">
        <v>0</v>
      </c>
      <c r="BH909" s="78">
        <v>3.2730000000000001</v>
      </c>
      <c r="BI909" s="78">
        <v>1</v>
      </c>
      <c r="BJ909" s="78">
        <v>20</v>
      </c>
      <c r="BK909" s="78" t="s">
        <v>91</v>
      </c>
      <c r="BL909" s="78" t="s">
        <v>84</v>
      </c>
      <c r="BM909" s="78">
        <v>1</v>
      </c>
      <c r="BN909" s="78" t="s">
        <v>484</v>
      </c>
      <c r="BO909" s="78" t="s">
        <v>1670</v>
      </c>
      <c r="BP909" s="78" t="s">
        <v>1671</v>
      </c>
      <c r="BQ909" s="78" t="s">
        <v>92</v>
      </c>
      <c r="BR909" s="78" t="s">
        <v>118</v>
      </c>
      <c r="BS909" s="78">
        <v>29.169</v>
      </c>
      <c r="BT909" s="78">
        <f t="shared" si="375"/>
        <v>0.30900000000000005</v>
      </c>
      <c r="BU909" s="78">
        <v>2010</v>
      </c>
      <c r="BV909" s="78">
        <v>2015</v>
      </c>
      <c r="BW909" s="78" t="s">
        <v>94</v>
      </c>
      <c r="BX909" s="78" t="s">
        <v>95</v>
      </c>
      <c r="BY909" s="78" t="s">
        <v>96</v>
      </c>
      <c r="BZ909" s="78">
        <v>0</v>
      </c>
      <c r="CA909" s="78">
        <v>0</v>
      </c>
      <c r="CB909" s="78" t="s">
        <v>97</v>
      </c>
      <c r="CC909" s="78" t="s">
        <v>1673</v>
      </c>
      <c r="CD909" s="78">
        <v>1</v>
      </c>
      <c r="CE909" s="78" t="s">
        <v>1712</v>
      </c>
      <c r="CF909" s="78">
        <v>1</v>
      </c>
      <c r="CG909" s="78" t="s">
        <v>598</v>
      </c>
      <c r="CH909" s="78">
        <v>1</v>
      </c>
      <c r="CI909" s="78" t="s">
        <v>1465</v>
      </c>
      <c r="CJ909" s="78" t="s">
        <v>98</v>
      </c>
      <c r="CK909" s="78">
        <v>79</v>
      </c>
      <c r="CL909" s="78">
        <v>0</v>
      </c>
      <c r="CM909" s="78">
        <v>0</v>
      </c>
      <c r="CN909" s="78" t="s">
        <v>99</v>
      </c>
      <c r="CO909" s="78" t="s">
        <v>97</v>
      </c>
      <c r="CP909" s="78" t="s">
        <v>100</v>
      </c>
      <c r="CQ909" s="78" t="s">
        <v>126</v>
      </c>
      <c r="CR909" s="80">
        <v>46234</v>
      </c>
      <c r="CT909" s="78" t="s">
        <v>452</v>
      </c>
    </row>
    <row r="910" spans="1:98" s="78" customFormat="1" x14ac:dyDescent="0.35">
      <c r="A910" s="77" t="s">
        <v>1666</v>
      </c>
      <c r="B910" s="77" t="s">
        <v>1705</v>
      </c>
      <c r="C910" s="77" t="s">
        <v>1667</v>
      </c>
      <c r="D910" s="78">
        <v>2022</v>
      </c>
      <c r="E910" s="79" t="s">
        <v>1672</v>
      </c>
      <c r="F910" s="77" t="s">
        <v>1668</v>
      </c>
      <c r="G910" s="78" t="s">
        <v>78</v>
      </c>
      <c r="H910" s="78">
        <v>1</v>
      </c>
      <c r="I910" s="78" t="s">
        <v>390</v>
      </c>
      <c r="J910" s="78" t="s">
        <v>79</v>
      </c>
      <c r="K910" s="78">
        <v>33</v>
      </c>
      <c r="L910" s="78" t="s">
        <v>104</v>
      </c>
      <c r="M910" s="78" t="s">
        <v>380</v>
      </c>
      <c r="N910" s="78">
        <v>-4.1200000000000004E-3</v>
      </c>
      <c r="O910" s="78">
        <v>1.4132000000000001E-3</v>
      </c>
      <c r="P910" s="95">
        <f t="shared" si="361"/>
        <v>-2.9153693744692895</v>
      </c>
      <c r="Q910" s="78" t="s">
        <v>312</v>
      </c>
      <c r="R910" s="95">
        <f t="shared" si="362"/>
        <v>-6.889872E-3</v>
      </c>
      <c r="S910" s="95">
        <f t="shared" si="363"/>
        <v>-1.3501280000000004E-3</v>
      </c>
      <c r="T910" s="78">
        <v>1</v>
      </c>
      <c r="U910" s="78">
        <v>633165</v>
      </c>
      <c r="V910" s="78" t="s">
        <v>312</v>
      </c>
      <c r="W910" s="78" t="s">
        <v>312</v>
      </c>
      <c r="X910" s="78">
        <f t="shared" si="364"/>
        <v>633165</v>
      </c>
      <c r="Y910" s="95">
        <f t="shared" si="365"/>
        <v>-3.6638039150053703E-3</v>
      </c>
      <c r="Z910" s="95">
        <f t="shared" si="366"/>
        <v>1.2567203137586382E-3</v>
      </c>
      <c r="AA910" s="95">
        <f t="shared" si="367"/>
        <v>-3.6638039150053703E-3</v>
      </c>
      <c r="AB910" s="78" t="s">
        <v>81</v>
      </c>
      <c r="AC910" s="95">
        <f t="shared" si="368"/>
        <v>-2.7414480000000001E-2</v>
      </c>
      <c r="AD910" s="95" cm="1">
        <f t="array" ref="AD910">_xlfn.IFS(
AND(L910="marginal_effect",M910="level"),N910*AN910/BF910,
AND(L910="marginal_effect",M910="sd (Y)"),N910*BI910*AN910/BF910,
AND(L910="marginal_effect",M910="sd (X)"),N910/AQ910*AN910/BF910,
AND(L910="semi_elasticity",M910="level"),N910*AN910,
AND(L910="semi_elasticity",M910="sd (Y)"),N910*AN910*BI910,
AND(L910="semi_elasticity",M910="sd (X)"),N910*AN910/AQ910,
AND(L910="level-log",M910="level"),N910/BF910,
AND(L910="level-log",M910="sd (X)"),N910/BF910/AQ910,
AND(L910="level-log",M910="sd (Y)"),N910/BF910*BI910,
AND(L910="elasticity",M910="level"),N910,
AND(L910="elasticity",M910="sd (X)"),N910/AQ910,
AND(L910="elasticity",M910="sd (Y)"),N910*BI910,
AND(L910="marginal_effect",M910="percent_of_mean"),N910*AN910/BF910/10)</f>
        <v>-2.7414480000000001E-2</v>
      </c>
      <c r="AE910" s="105">
        <f t="shared" si="369"/>
        <v>1</v>
      </c>
      <c r="AF910" s="95">
        <f t="shared" si="370"/>
        <v>9.4034328E-3</v>
      </c>
      <c r="AG910" s="95" cm="1">
        <f t="array" ref="AG910">_xlfn.IFS(
AND(L910="marginal_effect",M910="level"),O910*AN910/BF910,
AND(L910="marginal_effect",M910="sd (Y)"),O910*BI910*AN910/BF910,
AND(L910="marginal_effect",M910="sd (X)"),O910/AQ910*AN910/BF910,
AND(L910="semi_elasticity",M910="level"),O910*AN910,
AND(L910="semi_elasticity",M910="sd (Y)"),O910*AN910*BI910,
AND(L910="semi_elasticity",M910="sd (X)"),O910*AN910/AQ910,
AND(L910="level-log",M910="level"),O910/BF910,
AND(L910="level-log",M910="sd (X)"),O910/BF910/AQ910,
AND(L910="level-log",M910="sd (Y)"),O910/BF910*BI910,
AND(L910="elasticity",M910="level"),O910,
AND(L910="elasticity",M910="sd (X)"),O910/AQ910,
AND(L910="elasticity",M910="sd (Y)"),O910*BI910,
AND(L910="marginal_effect",M910="percent_of_mean"),O910*AN910/BF910/10)</f>
        <v>9.4034328E-3</v>
      </c>
      <c r="AH910" s="105">
        <f t="shared" si="371"/>
        <v>1</v>
      </c>
      <c r="AI910" s="95">
        <f t="shared" si="372"/>
        <v>-2.7414480000000001E-2</v>
      </c>
      <c r="AJ910" s="78">
        <v>0</v>
      </c>
      <c r="AK910" s="78">
        <f t="shared" si="373"/>
        <v>1</v>
      </c>
      <c r="AL910" s="78" t="s">
        <v>82</v>
      </c>
      <c r="AM910" s="78" t="s">
        <v>1333</v>
      </c>
      <c r="AN910" s="78">
        <v>6.6539999999999999</v>
      </c>
      <c r="AO910" s="78">
        <v>0</v>
      </c>
      <c r="AP910" s="78">
        <f t="shared" si="374"/>
        <v>6.6539999999999999</v>
      </c>
      <c r="AQ910" s="78">
        <v>2.7320000000000002</v>
      </c>
      <c r="AR910" s="78">
        <v>0.69099999999999995</v>
      </c>
      <c r="AS910" s="78">
        <v>21.341999999999999</v>
      </c>
      <c r="AT910" s="78" t="s">
        <v>83</v>
      </c>
      <c r="AU910" s="78" t="s">
        <v>109</v>
      </c>
      <c r="AV910" s="78" t="s">
        <v>133</v>
      </c>
      <c r="AW910" s="78" t="s">
        <v>109</v>
      </c>
      <c r="AX910" s="78" t="s">
        <v>86</v>
      </c>
      <c r="AY910" s="78">
        <v>0</v>
      </c>
      <c r="AZ910" s="78">
        <v>0</v>
      </c>
      <c r="BA910" s="78" t="s">
        <v>87</v>
      </c>
      <c r="BB910" s="78" t="s">
        <v>88</v>
      </c>
      <c r="BC910" s="78" t="s">
        <v>89</v>
      </c>
      <c r="BD910" s="78" t="s">
        <v>90</v>
      </c>
      <c r="BE910" s="78" t="s">
        <v>1669</v>
      </c>
      <c r="BF910" s="78">
        <v>6.8559999999999999</v>
      </c>
      <c r="BG910" s="78">
        <v>0</v>
      </c>
      <c r="BH910" s="78">
        <v>3.2730000000000001</v>
      </c>
      <c r="BI910" s="78">
        <v>1</v>
      </c>
      <c r="BJ910" s="78">
        <v>20</v>
      </c>
      <c r="BK910" s="78" t="s">
        <v>91</v>
      </c>
      <c r="BL910" s="78" t="s">
        <v>84</v>
      </c>
      <c r="BM910" s="78">
        <v>1</v>
      </c>
      <c r="BN910" s="78" t="s">
        <v>484</v>
      </c>
      <c r="BO910" s="78" t="s">
        <v>1670</v>
      </c>
      <c r="BP910" s="78" t="s">
        <v>1671</v>
      </c>
      <c r="BQ910" s="78" t="s">
        <v>92</v>
      </c>
      <c r="BR910" s="78" t="s">
        <v>118</v>
      </c>
      <c r="BS910" s="78">
        <v>29.169</v>
      </c>
      <c r="BT910" s="78">
        <f t="shared" si="375"/>
        <v>0.30900000000000005</v>
      </c>
      <c r="BU910" s="78">
        <v>2010</v>
      </c>
      <c r="BV910" s="78">
        <v>2015</v>
      </c>
      <c r="BW910" s="78" t="s">
        <v>94</v>
      </c>
      <c r="BX910" s="78" t="s">
        <v>95</v>
      </c>
      <c r="BY910" s="78" t="s">
        <v>96</v>
      </c>
      <c r="BZ910" s="78">
        <v>0</v>
      </c>
      <c r="CA910" s="78">
        <v>0</v>
      </c>
      <c r="CB910" s="78" t="s">
        <v>97</v>
      </c>
      <c r="CC910" s="78" t="s">
        <v>1673</v>
      </c>
      <c r="CD910" s="78">
        <v>1</v>
      </c>
      <c r="CE910" s="78" t="s">
        <v>1712</v>
      </c>
      <c r="CF910" s="78">
        <v>1</v>
      </c>
      <c r="CG910" s="78" t="s">
        <v>1125</v>
      </c>
      <c r="CH910" s="78">
        <v>1</v>
      </c>
      <c r="CI910" s="78" t="s">
        <v>1465</v>
      </c>
      <c r="CJ910" s="78" t="s">
        <v>98</v>
      </c>
      <c r="CK910" s="78">
        <v>79</v>
      </c>
      <c r="CL910" s="78">
        <v>0</v>
      </c>
      <c r="CM910" s="78">
        <v>0</v>
      </c>
      <c r="CN910" s="78" t="s">
        <v>99</v>
      </c>
      <c r="CO910" s="78" t="s">
        <v>97</v>
      </c>
      <c r="CP910" s="78" t="s">
        <v>100</v>
      </c>
      <c r="CQ910" s="78" t="s">
        <v>126</v>
      </c>
      <c r="CR910" s="80">
        <v>46234</v>
      </c>
      <c r="CT910" s="78" t="s">
        <v>521</v>
      </c>
    </row>
    <row r="911" spans="1:98" s="78" customFormat="1" x14ac:dyDescent="0.35">
      <c r="A911" s="77" t="s">
        <v>1666</v>
      </c>
      <c r="B911" s="77" t="s">
        <v>1706</v>
      </c>
      <c r="C911" s="77" t="s">
        <v>1667</v>
      </c>
      <c r="D911" s="78">
        <v>2022</v>
      </c>
      <c r="E911" s="79" t="s">
        <v>1672</v>
      </c>
      <c r="F911" s="77" t="s">
        <v>1668</v>
      </c>
      <c r="G911" s="78" t="s">
        <v>78</v>
      </c>
      <c r="H911" s="78">
        <v>1</v>
      </c>
      <c r="I911" s="78" t="s">
        <v>390</v>
      </c>
      <c r="J911" s="78" t="s">
        <v>79</v>
      </c>
      <c r="K911" s="78">
        <v>33</v>
      </c>
      <c r="L911" s="78" t="s">
        <v>104</v>
      </c>
      <c r="M911" s="78" t="s">
        <v>380</v>
      </c>
      <c r="N911" s="78">
        <v>-2.0300000000000001E-3</v>
      </c>
      <c r="O911" s="78">
        <v>7.6389999999999997E-4</v>
      </c>
      <c r="P911" s="95">
        <f t="shared" si="361"/>
        <v>-2.6574158921324784</v>
      </c>
      <c r="Q911" s="78" t="s">
        <v>312</v>
      </c>
      <c r="R911" s="95">
        <f t="shared" si="362"/>
        <v>-3.5272440000000001E-3</v>
      </c>
      <c r="S911" s="95">
        <f t="shared" si="363"/>
        <v>-5.3275600000000011E-4</v>
      </c>
      <c r="T911" s="78">
        <v>1</v>
      </c>
      <c r="U911" s="78">
        <v>633165</v>
      </c>
      <c r="V911" s="78" t="s">
        <v>312</v>
      </c>
      <c r="W911" s="78" t="s">
        <v>312</v>
      </c>
      <c r="X911" s="78">
        <f t="shared" si="364"/>
        <v>633165</v>
      </c>
      <c r="Y911" s="95">
        <f t="shared" si="365"/>
        <v>-3.3396323248011395E-3</v>
      </c>
      <c r="Z911" s="95">
        <f t="shared" si="366"/>
        <v>1.2567217403525073E-3</v>
      </c>
      <c r="AA911" s="95">
        <f t="shared" si="367"/>
        <v>-3.3396323248011395E-3</v>
      </c>
      <c r="AB911" s="78" t="s">
        <v>81</v>
      </c>
      <c r="AC911" s="95">
        <f t="shared" si="368"/>
        <v>-7.8057559999999998E-2</v>
      </c>
      <c r="AD911" s="95" cm="1">
        <f t="array" ref="AD911">_xlfn.IFS(
AND(L911="marginal_effect",M911="level"),N911*AN911/BF911,
AND(L911="marginal_effect",M911="sd (Y)"),N911*BI911*AN911/BF911,
AND(L911="marginal_effect",M911="sd (X)"),N911/AQ911*AN911/BF911,
AND(L911="semi_elasticity",M911="level"),N911*AN911,
AND(L911="semi_elasticity",M911="sd (Y)"),N911*AN911*BI911,
AND(L911="semi_elasticity",M911="sd (X)"),N911*AN911/AQ911,
AND(L911="level-log",M911="level"),N911/BF911,
AND(L911="level-log",M911="sd (X)"),N911/BF911/AQ911,
AND(L911="level-log",M911="sd (Y)"),N911/BF911*BI911,
AND(L911="elasticity",M911="level"),N911,
AND(L911="elasticity",M911="sd (X)"),N911/AQ911,
AND(L911="elasticity",M911="sd (Y)"),N911*BI911,
AND(L911="marginal_effect",M911="percent_of_mean"),N911*AN911/BF911/10)</f>
        <v>-7.8057559999999998E-2</v>
      </c>
      <c r="AE911" s="105">
        <f t="shared" si="369"/>
        <v>1</v>
      </c>
      <c r="AF911" s="95">
        <f t="shared" si="370"/>
        <v>2.9373482799999996E-2</v>
      </c>
      <c r="AG911" s="95" cm="1">
        <f t="array" ref="AG911">_xlfn.IFS(
AND(L911="marginal_effect",M911="level"),O911*AN911/BF911,
AND(L911="marginal_effect",M911="sd (Y)"),O911*BI911*AN911/BF911,
AND(L911="marginal_effect",M911="sd (X)"),O911/AQ911*AN911/BF911,
AND(L911="semi_elasticity",M911="level"),O911*AN911,
AND(L911="semi_elasticity",M911="sd (Y)"),O911*AN911*BI911,
AND(L911="semi_elasticity",M911="sd (X)"),O911*AN911/AQ911,
AND(L911="level-log",M911="level"),O911/BF911,
AND(L911="level-log",M911="sd (X)"),O911/BF911/AQ911,
AND(L911="level-log",M911="sd (Y)"),O911/BF911*BI911,
AND(L911="elasticity",M911="level"),O911,
AND(L911="elasticity",M911="sd (X)"),O911/AQ911,
AND(L911="elasticity",M911="sd (Y)"),O911*BI911,
AND(L911="marginal_effect",M911="percent_of_mean"),O911*AN911/BF911/10)</f>
        <v>2.9373482799999996E-2</v>
      </c>
      <c r="AH911" s="105">
        <f t="shared" si="371"/>
        <v>1</v>
      </c>
      <c r="AI911" s="95">
        <f t="shared" si="372"/>
        <v>-7.8057559999999998E-2</v>
      </c>
      <c r="AJ911" s="78">
        <v>0</v>
      </c>
      <c r="AK911" s="78">
        <f t="shared" si="373"/>
        <v>1</v>
      </c>
      <c r="AL911" s="76" t="s">
        <v>1674</v>
      </c>
      <c r="AM911" s="78" t="s">
        <v>410</v>
      </c>
      <c r="AN911" s="78">
        <v>38.451999999999998</v>
      </c>
      <c r="AO911" s="78">
        <v>0</v>
      </c>
      <c r="AP911" s="78">
        <f t="shared" si="374"/>
        <v>38.451999999999998</v>
      </c>
      <c r="AQ911" s="78">
        <v>9.109</v>
      </c>
      <c r="AR911" s="78">
        <v>14</v>
      </c>
      <c r="AS911" s="78">
        <v>83</v>
      </c>
      <c r="AT911" s="78" t="s">
        <v>83</v>
      </c>
      <c r="AU911" s="78" t="s">
        <v>109</v>
      </c>
      <c r="AV911" s="78" t="s">
        <v>133</v>
      </c>
      <c r="AW911" s="78" t="s">
        <v>109</v>
      </c>
      <c r="AX911" s="78" t="s">
        <v>86</v>
      </c>
      <c r="AY911" s="78">
        <v>0</v>
      </c>
      <c r="AZ911" s="78">
        <v>0</v>
      </c>
      <c r="BA911" s="78" t="s">
        <v>87</v>
      </c>
      <c r="BB911" s="78" t="s">
        <v>88</v>
      </c>
      <c r="BC911" s="78" t="s">
        <v>89</v>
      </c>
      <c r="BD911" s="78" t="s">
        <v>90</v>
      </c>
      <c r="BE911" s="78" t="s">
        <v>1669</v>
      </c>
      <c r="BF911" s="78">
        <v>6.8559999999999999</v>
      </c>
      <c r="BG911" s="78">
        <v>0</v>
      </c>
      <c r="BH911" s="78">
        <v>3.2730000000000001</v>
      </c>
      <c r="BI911" s="78">
        <v>1</v>
      </c>
      <c r="BJ911" s="78">
        <v>20</v>
      </c>
      <c r="BK911" s="78" t="s">
        <v>91</v>
      </c>
      <c r="BL911" s="78" t="s">
        <v>84</v>
      </c>
      <c r="BM911" s="78">
        <v>1</v>
      </c>
      <c r="BN911" s="78" t="s">
        <v>484</v>
      </c>
      <c r="BO911" s="78" t="s">
        <v>1670</v>
      </c>
      <c r="BP911" s="78" t="s">
        <v>1671</v>
      </c>
      <c r="BQ911" s="78" t="s">
        <v>92</v>
      </c>
      <c r="BR911" s="78" t="s">
        <v>118</v>
      </c>
      <c r="BS911" s="78">
        <v>29.169</v>
      </c>
      <c r="BT911" s="78">
        <f t="shared" si="375"/>
        <v>0.30900000000000005</v>
      </c>
      <c r="BU911" s="78">
        <v>2010</v>
      </c>
      <c r="BV911" s="78">
        <v>2015</v>
      </c>
      <c r="BW911" s="78" t="s">
        <v>94</v>
      </c>
      <c r="BX911" s="78" t="s">
        <v>95</v>
      </c>
      <c r="BY911" s="78" t="s">
        <v>96</v>
      </c>
      <c r="BZ911" s="78">
        <v>0</v>
      </c>
      <c r="CA911" s="78">
        <v>0</v>
      </c>
      <c r="CB911" s="78" t="s">
        <v>97</v>
      </c>
      <c r="CC911" s="78" t="s">
        <v>1673</v>
      </c>
      <c r="CD911" s="78">
        <v>1</v>
      </c>
      <c r="CE911" s="78" t="s">
        <v>1712</v>
      </c>
      <c r="CF911" s="78">
        <v>1</v>
      </c>
      <c r="CG911" s="78" t="s">
        <v>1688</v>
      </c>
      <c r="CH911" s="78">
        <v>1</v>
      </c>
      <c r="CI911" s="78" t="s">
        <v>1465</v>
      </c>
      <c r="CJ911" s="78" t="s">
        <v>98</v>
      </c>
      <c r="CK911" s="78">
        <v>79</v>
      </c>
      <c r="CL911" s="78">
        <v>0</v>
      </c>
      <c r="CM911" s="78">
        <v>0</v>
      </c>
      <c r="CN911" s="78" t="s">
        <v>99</v>
      </c>
      <c r="CO911" s="78" t="s">
        <v>97</v>
      </c>
      <c r="CP911" s="78" t="s">
        <v>100</v>
      </c>
      <c r="CQ911" s="78" t="s">
        <v>126</v>
      </c>
      <c r="CR911" s="80">
        <v>46234</v>
      </c>
      <c r="CT911" s="78" t="s">
        <v>521</v>
      </c>
    </row>
    <row r="912" spans="1:98" s="78" customFormat="1" x14ac:dyDescent="0.35">
      <c r="A912" s="77" t="s">
        <v>1666</v>
      </c>
      <c r="B912" s="77" t="s">
        <v>1707</v>
      </c>
      <c r="C912" s="77" t="s">
        <v>1667</v>
      </c>
      <c r="D912" s="78">
        <v>2022</v>
      </c>
      <c r="E912" s="79" t="s">
        <v>1672</v>
      </c>
      <c r="F912" s="77" t="s">
        <v>1668</v>
      </c>
      <c r="G912" s="78" t="s">
        <v>78</v>
      </c>
      <c r="H912" s="78">
        <v>1</v>
      </c>
      <c r="I912" s="78" t="s">
        <v>390</v>
      </c>
      <c r="J912" s="78" t="s">
        <v>79</v>
      </c>
      <c r="K912" s="78">
        <v>33</v>
      </c>
      <c r="L912" s="78" t="s">
        <v>104</v>
      </c>
      <c r="M912" s="78" t="s">
        <v>380</v>
      </c>
      <c r="N912" s="78">
        <v>-5.6999999999999998E-4</v>
      </c>
      <c r="O912" s="78">
        <v>1.1244E-3</v>
      </c>
      <c r="P912" s="95">
        <f t="shared" si="361"/>
        <v>-0.50693703308431159</v>
      </c>
      <c r="Q912" s="78" t="s">
        <v>312</v>
      </c>
      <c r="R912" s="95">
        <f t="shared" si="362"/>
        <v>-2.7738240000000003E-3</v>
      </c>
      <c r="S912" s="95">
        <f t="shared" si="363"/>
        <v>1.6338240000000001E-3</v>
      </c>
      <c r="T912" s="78">
        <v>1</v>
      </c>
      <c r="U912" s="78">
        <v>633165</v>
      </c>
      <c r="V912" s="78" t="s">
        <v>312</v>
      </c>
      <c r="W912" s="78" t="s">
        <v>312</v>
      </c>
      <c r="X912" s="78">
        <f t="shared" si="364"/>
        <v>633165</v>
      </c>
      <c r="Y912" s="95">
        <f t="shared" si="365"/>
        <v>-6.3708221392482411E-4</v>
      </c>
      <c r="Z912" s="95">
        <f t="shared" si="366"/>
        <v>1.2567284935738111E-3</v>
      </c>
      <c r="AA912" s="95">
        <f t="shared" si="367"/>
        <v>-6.3708221392482411E-4</v>
      </c>
      <c r="AB912" s="78" t="s">
        <v>81</v>
      </c>
      <c r="AC912" s="95">
        <f t="shared" si="368"/>
        <v>-3.4832699999999997E-3</v>
      </c>
      <c r="AD912" s="95" cm="1">
        <f t="array" ref="AD912">_xlfn.IFS(
AND(L912="marginal_effect",M912="level"),N912*AN912/BF912,
AND(L912="marginal_effect",M912="sd (Y)"),N912*BI912*AN912/BF912,
AND(L912="marginal_effect",M912="sd (X)"),N912/AQ912*AN912/BF912,
AND(L912="semi_elasticity",M912="level"),N912*AN912,
AND(L912="semi_elasticity",M912="sd (Y)"),N912*AN912*BI912,
AND(L912="semi_elasticity",M912="sd (X)"),N912*AN912/AQ912,
AND(L912="level-log",M912="level"),N912/BF912,
AND(L912="level-log",M912="sd (X)"),N912/BF912/AQ912,
AND(L912="level-log",M912="sd (Y)"),N912/BF912*BI912,
AND(L912="elasticity",M912="level"),N912,
AND(L912="elasticity",M912="sd (X)"),N912/AQ912,
AND(L912="elasticity",M912="sd (Y)"),N912*BI912,
AND(L912="marginal_effect",M912="percent_of_mean"),N912*AN912/BF912/10)</f>
        <v>-3.4832699999999997E-3</v>
      </c>
      <c r="AE912" s="105">
        <f t="shared" si="369"/>
        <v>1</v>
      </c>
      <c r="AF912" s="95">
        <f t="shared" si="370"/>
        <v>6.8712083999999994E-3</v>
      </c>
      <c r="AG912" s="95" cm="1">
        <f t="array" ref="AG912">_xlfn.IFS(
AND(L912="marginal_effect",M912="level"),O912*AN912/BF912,
AND(L912="marginal_effect",M912="sd (Y)"),O912*BI912*AN912/BF912,
AND(L912="marginal_effect",M912="sd (X)"),O912/AQ912*AN912/BF912,
AND(L912="semi_elasticity",M912="level"),O912*AN912,
AND(L912="semi_elasticity",M912="sd (Y)"),O912*AN912*BI912,
AND(L912="semi_elasticity",M912="sd (X)"),O912*AN912/AQ912,
AND(L912="level-log",M912="level"),O912/BF912,
AND(L912="level-log",M912="sd (X)"),O912/BF912/AQ912,
AND(L912="level-log",M912="sd (Y)"),O912/BF912*BI912,
AND(L912="elasticity",M912="level"),O912,
AND(L912="elasticity",M912="sd (X)"),O912/AQ912,
AND(L912="elasticity",M912="sd (Y)"),O912*BI912,
AND(L912="marginal_effect",M912="percent_of_mean"),O912*AN912/BF912/10)</f>
        <v>6.8712083999999994E-3</v>
      </c>
      <c r="AH912" s="105">
        <f t="shared" si="371"/>
        <v>1</v>
      </c>
      <c r="AI912" s="95">
        <f t="shared" si="372"/>
        <v>-3.4832699999999997E-3</v>
      </c>
      <c r="AJ912" s="78">
        <v>0</v>
      </c>
      <c r="AK912" s="78">
        <f t="shared" si="373"/>
        <v>1</v>
      </c>
      <c r="AL912" s="76" t="s">
        <v>1689</v>
      </c>
      <c r="AM912" s="78" t="s">
        <v>410</v>
      </c>
      <c r="AN912" s="78">
        <v>6.1109999999999998</v>
      </c>
      <c r="AO912" s="78">
        <v>0</v>
      </c>
      <c r="AP912" s="78">
        <f t="shared" si="374"/>
        <v>6.1109999999999998</v>
      </c>
      <c r="AQ912" s="78">
        <v>5.0839999999999996</v>
      </c>
      <c r="AR912" s="78">
        <v>0</v>
      </c>
      <c r="AS912" s="78">
        <v>36</v>
      </c>
      <c r="AT912" s="78" t="s">
        <v>83</v>
      </c>
      <c r="AU912" s="78" t="s">
        <v>109</v>
      </c>
      <c r="AV912" s="78" t="s">
        <v>133</v>
      </c>
      <c r="AW912" s="78" t="s">
        <v>109</v>
      </c>
      <c r="AX912" s="78" t="s">
        <v>86</v>
      </c>
      <c r="AY912" s="78">
        <v>0</v>
      </c>
      <c r="AZ912" s="78">
        <v>0</v>
      </c>
      <c r="BA912" s="78" t="s">
        <v>87</v>
      </c>
      <c r="BB912" s="78" t="s">
        <v>88</v>
      </c>
      <c r="BC912" s="78" t="s">
        <v>89</v>
      </c>
      <c r="BD912" s="78" t="s">
        <v>90</v>
      </c>
      <c r="BE912" s="78" t="s">
        <v>1669</v>
      </c>
      <c r="BF912" s="78">
        <v>6.8559999999999999</v>
      </c>
      <c r="BG912" s="78">
        <v>0</v>
      </c>
      <c r="BH912" s="78">
        <v>3.2730000000000001</v>
      </c>
      <c r="BI912" s="78">
        <v>1</v>
      </c>
      <c r="BJ912" s="78">
        <v>20</v>
      </c>
      <c r="BK912" s="78" t="s">
        <v>91</v>
      </c>
      <c r="BL912" s="78" t="s">
        <v>84</v>
      </c>
      <c r="BM912" s="78">
        <v>1</v>
      </c>
      <c r="BN912" s="78" t="s">
        <v>484</v>
      </c>
      <c r="BO912" s="78" t="s">
        <v>1670</v>
      </c>
      <c r="BP912" s="78" t="s">
        <v>1671</v>
      </c>
      <c r="BQ912" s="78" t="s">
        <v>92</v>
      </c>
      <c r="BR912" s="78" t="s">
        <v>118</v>
      </c>
      <c r="BS912" s="78">
        <v>29.169</v>
      </c>
      <c r="BT912" s="78">
        <f t="shared" si="375"/>
        <v>0.30900000000000005</v>
      </c>
      <c r="BU912" s="78">
        <v>2010</v>
      </c>
      <c r="BV912" s="78">
        <v>2015</v>
      </c>
      <c r="BW912" s="78" t="s">
        <v>94</v>
      </c>
      <c r="BX912" s="78" t="s">
        <v>95</v>
      </c>
      <c r="BY912" s="78" t="s">
        <v>96</v>
      </c>
      <c r="BZ912" s="78">
        <v>0</v>
      </c>
      <c r="CA912" s="78">
        <v>0</v>
      </c>
      <c r="CB912" s="78" t="s">
        <v>97</v>
      </c>
      <c r="CC912" s="78" t="s">
        <v>1673</v>
      </c>
      <c r="CD912" s="78">
        <v>1</v>
      </c>
      <c r="CE912" s="78" t="s">
        <v>1712</v>
      </c>
      <c r="CF912" s="78">
        <v>1</v>
      </c>
      <c r="CG912" s="78" t="s">
        <v>598</v>
      </c>
      <c r="CH912" s="78">
        <v>1</v>
      </c>
      <c r="CI912" s="78" t="s">
        <v>1465</v>
      </c>
      <c r="CJ912" s="78" t="s">
        <v>98</v>
      </c>
      <c r="CK912" s="78">
        <v>79</v>
      </c>
      <c r="CL912" s="78">
        <v>0</v>
      </c>
      <c r="CM912" s="78">
        <v>0</v>
      </c>
      <c r="CN912" s="78" t="s">
        <v>99</v>
      </c>
      <c r="CO912" s="78" t="s">
        <v>97</v>
      </c>
      <c r="CP912" s="78" t="s">
        <v>100</v>
      </c>
      <c r="CQ912" s="78" t="s">
        <v>126</v>
      </c>
      <c r="CR912" s="80">
        <v>46234</v>
      </c>
      <c r="CT912" s="78" t="s">
        <v>521</v>
      </c>
    </row>
    <row r="913" spans="1:98" s="78" customFormat="1" x14ac:dyDescent="0.35">
      <c r="A913" s="77" t="s">
        <v>1666</v>
      </c>
      <c r="B913" s="77" t="s">
        <v>1708</v>
      </c>
      <c r="C913" s="77" t="s">
        <v>1667</v>
      </c>
      <c r="D913" s="78">
        <v>2022</v>
      </c>
      <c r="E913" s="79" t="s">
        <v>1672</v>
      </c>
      <c r="F913" s="77" t="s">
        <v>1668</v>
      </c>
      <c r="G913" s="78" t="s">
        <v>78</v>
      </c>
      <c r="H913" s="78">
        <v>1</v>
      </c>
      <c r="I913" s="78" t="s">
        <v>390</v>
      </c>
      <c r="J913" s="78" t="s">
        <v>79</v>
      </c>
      <c r="K913" s="78">
        <v>33</v>
      </c>
      <c r="L913" s="78" t="s">
        <v>104</v>
      </c>
      <c r="M913" s="78" t="s">
        <v>380</v>
      </c>
      <c r="N913" s="78">
        <v>-4.0899999999999999E-3</v>
      </c>
      <c r="O913" s="78">
        <v>1.4094000000000001E-3</v>
      </c>
      <c r="P913" s="95">
        <f t="shared" si="361"/>
        <v>-2.9019440896835529</v>
      </c>
      <c r="Q913" s="78" t="s">
        <v>312</v>
      </c>
      <c r="R913" s="95">
        <f t="shared" si="362"/>
        <v>-6.8524240000000002E-3</v>
      </c>
      <c r="S913" s="95">
        <f t="shared" si="363"/>
        <v>-1.3275759999999996E-3</v>
      </c>
      <c r="T913" s="78">
        <v>1</v>
      </c>
      <c r="U913" s="78">
        <v>633165</v>
      </c>
      <c r="V913" s="78" t="s">
        <v>312</v>
      </c>
      <c r="W913" s="78" t="s">
        <v>312</v>
      </c>
      <c r="X913" s="78">
        <f t="shared" si="364"/>
        <v>633165</v>
      </c>
      <c r="Y913" s="95">
        <f t="shared" si="365"/>
        <v>-3.6469323118134573E-3</v>
      </c>
      <c r="Z913" s="95">
        <f t="shared" si="366"/>
        <v>1.2567203912640312E-3</v>
      </c>
      <c r="AA913" s="95">
        <f t="shared" si="367"/>
        <v>-3.6469323118134573E-3</v>
      </c>
      <c r="AB913" s="78" t="s">
        <v>81</v>
      </c>
      <c r="AC913" s="95">
        <f t="shared" si="368"/>
        <v>-2.721486E-2</v>
      </c>
      <c r="AD913" s="95" cm="1">
        <f t="array" ref="AD913">_xlfn.IFS(
AND(L913="marginal_effect",M913="level"),N913*AN913/BF913,
AND(L913="marginal_effect",M913="sd (Y)"),N913*BI913*AN913/BF913,
AND(L913="marginal_effect",M913="sd (X)"),N913/AQ913*AN913/BF913,
AND(L913="semi_elasticity",M913="level"),N913*AN913,
AND(L913="semi_elasticity",M913="sd (Y)"),N913*AN913*BI913,
AND(L913="semi_elasticity",M913="sd (X)"),N913*AN913/AQ913,
AND(L913="level-log",M913="level"),N913/BF913,
AND(L913="level-log",M913="sd (X)"),N913/BF913/AQ913,
AND(L913="level-log",M913="sd (Y)"),N913/BF913*BI913,
AND(L913="elasticity",M913="level"),N913,
AND(L913="elasticity",M913="sd (X)"),N913/AQ913,
AND(L913="elasticity",M913="sd (Y)"),N913*BI913,
AND(L913="marginal_effect",M913="percent_of_mean"),N913*AN913/BF913/10)</f>
        <v>-2.721486E-2</v>
      </c>
      <c r="AE913" s="105">
        <f t="shared" si="369"/>
        <v>1</v>
      </c>
      <c r="AF913" s="95">
        <f t="shared" si="370"/>
        <v>9.3781476000000009E-3</v>
      </c>
      <c r="AG913" s="95" cm="1">
        <f t="array" ref="AG913">_xlfn.IFS(
AND(L913="marginal_effect",M913="level"),O913*AN913/BF913,
AND(L913="marginal_effect",M913="sd (Y)"),O913*BI913*AN913/BF913,
AND(L913="marginal_effect",M913="sd (X)"),O913/AQ913*AN913/BF913,
AND(L913="semi_elasticity",M913="level"),O913*AN913,
AND(L913="semi_elasticity",M913="sd (Y)"),O913*AN913*BI913,
AND(L913="semi_elasticity",M913="sd (X)"),O913*AN913/AQ913,
AND(L913="level-log",M913="level"),O913/BF913,
AND(L913="level-log",M913="sd (X)"),O913/BF913/AQ913,
AND(L913="level-log",M913="sd (Y)"),O913/BF913*BI913,
AND(L913="elasticity",M913="level"),O913,
AND(L913="elasticity",M913="sd (X)"),O913/AQ913,
AND(L913="elasticity",M913="sd (Y)"),O913*BI913,
AND(L913="marginal_effect",M913="percent_of_mean"),O913*AN913/BF913/10)</f>
        <v>9.3781476000000009E-3</v>
      </c>
      <c r="AH913" s="105">
        <f t="shared" si="371"/>
        <v>1</v>
      </c>
      <c r="AI913" s="95">
        <f t="shared" si="372"/>
        <v>-2.721486E-2</v>
      </c>
      <c r="AJ913" s="78">
        <v>0</v>
      </c>
      <c r="AK913" s="78">
        <f t="shared" si="373"/>
        <v>1</v>
      </c>
      <c r="AL913" s="78" t="s">
        <v>82</v>
      </c>
      <c r="AM913" s="78" t="s">
        <v>1333</v>
      </c>
      <c r="AN913" s="78">
        <v>6.6539999999999999</v>
      </c>
      <c r="AO913" s="78">
        <v>0</v>
      </c>
      <c r="AP913" s="78">
        <f t="shared" si="374"/>
        <v>6.6539999999999999</v>
      </c>
      <c r="AQ913" s="78">
        <v>2.7320000000000002</v>
      </c>
      <c r="AR913" s="78">
        <v>0.69099999999999995</v>
      </c>
      <c r="AS913" s="78">
        <v>21.341999999999999</v>
      </c>
      <c r="AT913" s="78" t="s">
        <v>83</v>
      </c>
      <c r="AU913" s="78" t="s">
        <v>109</v>
      </c>
      <c r="AV913" s="78" t="s">
        <v>133</v>
      </c>
      <c r="AW913" s="78" t="s">
        <v>109</v>
      </c>
      <c r="AX913" s="78" t="s">
        <v>86</v>
      </c>
      <c r="AY913" s="78">
        <v>0</v>
      </c>
      <c r="AZ913" s="78">
        <v>0</v>
      </c>
      <c r="BA913" s="78" t="s">
        <v>87</v>
      </c>
      <c r="BB913" s="78" t="s">
        <v>88</v>
      </c>
      <c r="BC913" s="78" t="s">
        <v>89</v>
      </c>
      <c r="BD913" s="78" t="s">
        <v>90</v>
      </c>
      <c r="BE913" s="78" t="s">
        <v>1669</v>
      </c>
      <c r="BF913" s="78">
        <v>6.8559999999999999</v>
      </c>
      <c r="BG913" s="78">
        <v>0</v>
      </c>
      <c r="BH913" s="78">
        <v>3.2730000000000001</v>
      </c>
      <c r="BI913" s="78">
        <v>1</v>
      </c>
      <c r="BJ913" s="78">
        <v>20</v>
      </c>
      <c r="BK913" s="78" t="s">
        <v>91</v>
      </c>
      <c r="BL913" s="78" t="s">
        <v>84</v>
      </c>
      <c r="BM913" s="78">
        <v>1</v>
      </c>
      <c r="BN913" s="78" t="s">
        <v>484</v>
      </c>
      <c r="BO913" s="78" t="s">
        <v>1670</v>
      </c>
      <c r="BP913" s="78" t="s">
        <v>1671</v>
      </c>
      <c r="BQ913" s="78" t="s">
        <v>92</v>
      </c>
      <c r="BR913" s="78" t="s">
        <v>118</v>
      </c>
      <c r="BS913" s="78">
        <v>29.169</v>
      </c>
      <c r="BT913" s="78">
        <f t="shared" si="375"/>
        <v>0.30900000000000005</v>
      </c>
      <c r="BU913" s="78">
        <v>2010</v>
      </c>
      <c r="BV913" s="78">
        <v>2015</v>
      </c>
      <c r="BW913" s="78" t="s">
        <v>94</v>
      </c>
      <c r="BX913" s="78" t="s">
        <v>95</v>
      </c>
      <c r="BY913" s="78" t="s">
        <v>96</v>
      </c>
      <c r="BZ913" s="78">
        <v>0</v>
      </c>
      <c r="CA913" s="78">
        <v>0</v>
      </c>
      <c r="CB913" s="78" t="s">
        <v>97</v>
      </c>
      <c r="CC913" s="78" t="s">
        <v>1673</v>
      </c>
      <c r="CD913" s="78">
        <v>1</v>
      </c>
      <c r="CE913" s="78" t="s">
        <v>1712</v>
      </c>
      <c r="CF913" s="78">
        <v>1</v>
      </c>
      <c r="CG913" s="78" t="s">
        <v>1125</v>
      </c>
      <c r="CH913" s="78">
        <v>1</v>
      </c>
      <c r="CI913" s="78" t="s">
        <v>1465</v>
      </c>
      <c r="CJ913" s="78" t="s">
        <v>98</v>
      </c>
      <c r="CK913" s="78">
        <v>79</v>
      </c>
      <c r="CL913" s="78">
        <v>0</v>
      </c>
      <c r="CM913" s="78">
        <v>0</v>
      </c>
      <c r="CN913" s="78" t="s">
        <v>99</v>
      </c>
      <c r="CO913" s="78" t="s">
        <v>97</v>
      </c>
      <c r="CP913" s="78" t="s">
        <v>100</v>
      </c>
      <c r="CQ913" s="78" t="s">
        <v>126</v>
      </c>
      <c r="CR913" s="80">
        <v>46234</v>
      </c>
      <c r="CT913" s="78" t="s">
        <v>510</v>
      </c>
    </row>
    <row r="914" spans="1:98" s="78" customFormat="1" x14ac:dyDescent="0.35">
      <c r="A914" s="77" t="s">
        <v>1666</v>
      </c>
      <c r="B914" s="77" t="s">
        <v>1709</v>
      </c>
      <c r="C914" s="77" t="s">
        <v>1667</v>
      </c>
      <c r="D914" s="78">
        <v>2022</v>
      </c>
      <c r="E914" s="79" t="s">
        <v>1672</v>
      </c>
      <c r="F914" s="77" t="s">
        <v>1668</v>
      </c>
      <c r="G914" s="78" t="s">
        <v>78</v>
      </c>
      <c r="H914" s="78">
        <v>1</v>
      </c>
      <c r="I914" s="78" t="s">
        <v>390</v>
      </c>
      <c r="J914" s="78" t="s">
        <v>79</v>
      </c>
      <c r="K914" s="78">
        <v>33</v>
      </c>
      <c r="L914" s="78" t="s">
        <v>104</v>
      </c>
      <c r="M914" s="78" t="s">
        <v>380</v>
      </c>
      <c r="N914" s="78">
        <v>-2.0300000000000001E-3</v>
      </c>
      <c r="O914" s="78">
        <v>7.6150000000000002E-4</v>
      </c>
      <c r="P914" s="95">
        <f t="shared" si="361"/>
        <v>-2.6657912015758374</v>
      </c>
      <c r="Q914" s="78" t="s">
        <v>312</v>
      </c>
      <c r="R914" s="95">
        <f t="shared" si="362"/>
        <v>-3.5225400000000002E-3</v>
      </c>
      <c r="S914" s="95">
        <f t="shared" si="363"/>
        <v>-5.3746000000000002E-4</v>
      </c>
      <c r="T914" s="78">
        <v>1</v>
      </c>
      <c r="U914" s="78">
        <v>633165</v>
      </c>
      <c r="V914" s="78" t="s">
        <v>312</v>
      </c>
      <c r="W914" s="78" t="s">
        <v>312</v>
      </c>
      <c r="X914" s="78">
        <f t="shared" si="364"/>
        <v>633165</v>
      </c>
      <c r="Y914" s="95">
        <f t="shared" si="365"/>
        <v>-3.3501576403135651E-3</v>
      </c>
      <c r="Z914" s="95">
        <f t="shared" si="366"/>
        <v>1.2567216961077731E-3</v>
      </c>
      <c r="AA914" s="95">
        <f t="shared" si="367"/>
        <v>-3.3501576403135651E-3</v>
      </c>
      <c r="AB914" s="78" t="s">
        <v>81</v>
      </c>
      <c r="AC914" s="95">
        <f t="shared" si="368"/>
        <v>-7.8057559999999998E-2</v>
      </c>
      <c r="AD914" s="95" cm="1">
        <f t="array" ref="AD914">_xlfn.IFS(
AND(L914="marginal_effect",M914="level"),N914*AN914/BF914,
AND(L914="marginal_effect",M914="sd (Y)"),N914*BI914*AN914/BF914,
AND(L914="marginal_effect",M914="sd (X)"),N914/AQ914*AN914/BF914,
AND(L914="semi_elasticity",M914="level"),N914*AN914,
AND(L914="semi_elasticity",M914="sd (Y)"),N914*AN914*BI914,
AND(L914="semi_elasticity",M914="sd (X)"),N914*AN914/AQ914,
AND(L914="level-log",M914="level"),N914/BF914,
AND(L914="level-log",M914="sd (X)"),N914/BF914/AQ914,
AND(L914="level-log",M914="sd (Y)"),N914/BF914*BI914,
AND(L914="elasticity",M914="level"),N914,
AND(L914="elasticity",M914="sd (X)"),N914/AQ914,
AND(L914="elasticity",M914="sd (Y)"),N914*BI914,
AND(L914="marginal_effect",M914="percent_of_mean"),N914*AN914/BF914/10)</f>
        <v>-7.8057559999999998E-2</v>
      </c>
      <c r="AE914" s="105">
        <f t="shared" si="369"/>
        <v>1</v>
      </c>
      <c r="AF914" s="95">
        <f t="shared" si="370"/>
        <v>2.9281197999999998E-2</v>
      </c>
      <c r="AG914" s="95" cm="1">
        <f t="array" ref="AG914">_xlfn.IFS(
AND(L914="marginal_effect",M914="level"),O914*AN914/BF914,
AND(L914="marginal_effect",M914="sd (Y)"),O914*BI914*AN914/BF914,
AND(L914="marginal_effect",M914="sd (X)"),O914/AQ914*AN914/BF914,
AND(L914="semi_elasticity",M914="level"),O914*AN914,
AND(L914="semi_elasticity",M914="sd (Y)"),O914*AN914*BI914,
AND(L914="semi_elasticity",M914="sd (X)"),O914*AN914/AQ914,
AND(L914="level-log",M914="level"),O914/BF914,
AND(L914="level-log",M914="sd (X)"),O914/BF914/AQ914,
AND(L914="level-log",M914="sd (Y)"),O914/BF914*BI914,
AND(L914="elasticity",M914="level"),O914,
AND(L914="elasticity",M914="sd (X)"),O914/AQ914,
AND(L914="elasticity",M914="sd (Y)"),O914*BI914,
AND(L914="marginal_effect",M914="percent_of_mean"),O914*AN914/BF914/10)</f>
        <v>2.9281197999999998E-2</v>
      </c>
      <c r="AH914" s="105">
        <f t="shared" si="371"/>
        <v>1</v>
      </c>
      <c r="AI914" s="95">
        <f t="shared" si="372"/>
        <v>-7.8057559999999998E-2</v>
      </c>
      <c r="AJ914" s="78">
        <v>0</v>
      </c>
      <c r="AK914" s="78">
        <f t="shared" si="373"/>
        <v>1</v>
      </c>
      <c r="AL914" s="76" t="s">
        <v>1674</v>
      </c>
      <c r="AM914" s="78" t="s">
        <v>410</v>
      </c>
      <c r="AN914" s="78">
        <v>38.451999999999998</v>
      </c>
      <c r="AO914" s="78">
        <v>0</v>
      </c>
      <c r="AP914" s="78">
        <f t="shared" si="374"/>
        <v>38.451999999999998</v>
      </c>
      <c r="AQ914" s="78">
        <v>9.109</v>
      </c>
      <c r="AR914" s="78">
        <v>14</v>
      </c>
      <c r="AS914" s="78">
        <v>83</v>
      </c>
      <c r="AT914" s="78" t="s">
        <v>83</v>
      </c>
      <c r="AU914" s="78" t="s">
        <v>109</v>
      </c>
      <c r="AV914" s="78" t="s">
        <v>133</v>
      </c>
      <c r="AW914" s="78" t="s">
        <v>109</v>
      </c>
      <c r="AX914" s="78" t="s">
        <v>86</v>
      </c>
      <c r="AY914" s="78">
        <v>0</v>
      </c>
      <c r="AZ914" s="78">
        <v>0</v>
      </c>
      <c r="BA914" s="78" t="s">
        <v>87</v>
      </c>
      <c r="BB914" s="78" t="s">
        <v>88</v>
      </c>
      <c r="BC914" s="78" t="s">
        <v>89</v>
      </c>
      <c r="BD914" s="78" t="s">
        <v>90</v>
      </c>
      <c r="BE914" s="78" t="s">
        <v>1669</v>
      </c>
      <c r="BF914" s="78">
        <v>6.8559999999999999</v>
      </c>
      <c r="BG914" s="78">
        <v>0</v>
      </c>
      <c r="BH914" s="78">
        <v>3.2730000000000001</v>
      </c>
      <c r="BI914" s="78">
        <v>1</v>
      </c>
      <c r="BJ914" s="78">
        <v>20</v>
      </c>
      <c r="BK914" s="78" t="s">
        <v>91</v>
      </c>
      <c r="BL914" s="78" t="s">
        <v>84</v>
      </c>
      <c r="BM914" s="78">
        <v>1</v>
      </c>
      <c r="BN914" s="78" t="s">
        <v>484</v>
      </c>
      <c r="BO914" s="78" t="s">
        <v>1670</v>
      </c>
      <c r="BP914" s="78" t="s">
        <v>1671</v>
      </c>
      <c r="BQ914" s="78" t="s">
        <v>92</v>
      </c>
      <c r="BR914" s="78" t="s">
        <v>118</v>
      </c>
      <c r="BS914" s="78">
        <v>29.169</v>
      </c>
      <c r="BT914" s="78">
        <f t="shared" si="375"/>
        <v>0.30900000000000005</v>
      </c>
      <c r="BU914" s="78">
        <v>2010</v>
      </c>
      <c r="BV914" s="78">
        <v>2015</v>
      </c>
      <c r="BW914" s="78" t="s">
        <v>94</v>
      </c>
      <c r="BX914" s="78" t="s">
        <v>95</v>
      </c>
      <c r="BY914" s="78" t="s">
        <v>96</v>
      </c>
      <c r="BZ914" s="78">
        <v>0</v>
      </c>
      <c r="CA914" s="78">
        <v>0</v>
      </c>
      <c r="CB914" s="78" t="s">
        <v>97</v>
      </c>
      <c r="CC914" s="78" t="s">
        <v>1673</v>
      </c>
      <c r="CD914" s="78">
        <v>1</v>
      </c>
      <c r="CE914" s="78" t="s">
        <v>1712</v>
      </c>
      <c r="CF914" s="78">
        <v>1</v>
      </c>
      <c r="CG914" s="78" t="s">
        <v>1688</v>
      </c>
      <c r="CH914" s="78">
        <v>1</v>
      </c>
      <c r="CI914" s="78" t="s">
        <v>1465</v>
      </c>
      <c r="CJ914" s="78" t="s">
        <v>98</v>
      </c>
      <c r="CK914" s="78">
        <v>79</v>
      </c>
      <c r="CL914" s="78">
        <v>0</v>
      </c>
      <c r="CM914" s="78">
        <v>0</v>
      </c>
      <c r="CN914" s="78" t="s">
        <v>99</v>
      </c>
      <c r="CO914" s="78" t="s">
        <v>97</v>
      </c>
      <c r="CP914" s="78" t="s">
        <v>100</v>
      </c>
      <c r="CQ914" s="78" t="s">
        <v>126</v>
      </c>
      <c r="CR914" s="80">
        <v>46234</v>
      </c>
      <c r="CT914" s="78" t="s">
        <v>510</v>
      </c>
    </row>
    <row r="915" spans="1:98" s="78" customFormat="1" x14ac:dyDescent="0.35">
      <c r="A915" s="77" t="s">
        <v>1666</v>
      </c>
      <c r="B915" s="77" t="s">
        <v>1710</v>
      </c>
      <c r="C915" s="77" t="s">
        <v>1667</v>
      </c>
      <c r="D915" s="78">
        <v>2022</v>
      </c>
      <c r="E915" s="79" t="s">
        <v>1672</v>
      </c>
      <c r="F915" s="77" t="s">
        <v>1668</v>
      </c>
      <c r="G915" s="78" t="s">
        <v>78</v>
      </c>
      <c r="H915" s="78">
        <v>1</v>
      </c>
      <c r="I915" s="78" t="s">
        <v>390</v>
      </c>
      <c r="J915" s="78" t="s">
        <v>79</v>
      </c>
      <c r="K915" s="78">
        <v>33</v>
      </c>
      <c r="L915" s="78" t="s">
        <v>104</v>
      </c>
      <c r="M915" s="78" t="s">
        <v>380</v>
      </c>
      <c r="N915" s="78">
        <v>-5.9999999999999995E-4</v>
      </c>
      <c r="O915" s="78">
        <v>1.1325E-3</v>
      </c>
      <c r="P915" s="95">
        <f t="shared" si="361"/>
        <v>-0.52980132450331119</v>
      </c>
      <c r="Q915" s="78" t="s">
        <v>312</v>
      </c>
      <c r="R915" s="95">
        <f t="shared" si="362"/>
        <v>-2.8197000000000001E-3</v>
      </c>
      <c r="S915" s="95">
        <f t="shared" si="363"/>
        <v>1.6197000000000004E-3</v>
      </c>
      <c r="T915" s="78">
        <v>1</v>
      </c>
      <c r="U915" s="78">
        <v>633165</v>
      </c>
      <c r="V915" s="78" t="s">
        <v>312</v>
      </c>
      <c r="W915" s="78" t="s">
        <v>312</v>
      </c>
      <c r="X915" s="78">
        <f t="shared" si="364"/>
        <v>633165</v>
      </c>
      <c r="Y915" s="95">
        <f t="shared" si="365"/>
        <v>-6.6581640797311933E-4</v>
      </c>
      <c r="Z915" s="95">
        <f t="shared" si="366"/>
        <v>1.2567284700492629E-3</v>
      </c>
      <c r="AA915" s="95">
        <f t="shared" si="367"/>
        <v>-6.6581640797311933E-4</v>
      </c>
      <c r="AB915" s="78" t="s">
        <v>81</v>
      </c>
      <c r="AC915" s="95">
        <f t="shared" si="368"/>
        <v>-3.6665999999999995E-3</v>
      </c>
      <c r="AD915" s="95" cm="1">
        <f t="array" ref="AD915">_xlfn.IFS(
AND(L915="marginal_effect",M915="level"),N915*AN915/BF915,
AND(L915="marginal_effect",M915="sd (Y)"),N915*BI915*AN915/BF915,
AND(L915="marginal_effect",M915="sd (X)"),N915/AQ915*AN915/BF915,
AND(L915="semi_elasticity",M915="level"),N915*AN915,
AND(L915="semi_elasticity",M915="sd (Y)"),N915*AN915*BI915,
AND(L915="semi_elasticity",M915="sd (X)"),N915*AN915/AQ915,
AND(L915="level-log",M915="level"),N915/BF915,
AND(L915="level-log",M915="sd (X)"),N915/BF915/AQ915,
AND(L915="level-log",M915="sd (Y)"),N915/BF915*BI915,
AND(L915="elasticity",M915="level"),N915,
AND(L915="elasticity",M915="sd (X)"),N915/AQ915,
AND(L915="elasticity",M915="sd (Y)"),N915*BI915,
AND(L915="marginal_effect",M915="percent_of_mean"),N915*AN915/BF915/10)</f>
        <v>-3.6665999999999995E-3</v>
      </c>
      <c r="AE915" s="105">
        <f t="shared" si="369"/>
        <v>1</v>
      </c>
      <c r="AF915" s="95">
        <f t="shared" si="370"/>
        <v>6.9207074999999996E-3</v>
      </c>
      <c r="AG915" s="95" cm="1">
        <f t="array" ref="AG915">_xlfn.IFS(
AND(L915="marginal_effect",M915="level"),O915*AN915/BF915,
AND(L915="marginal_effect",M915="sd (Y)"),O915*BI915*AN915/BF915,
AND(L915="marginal_effect",M915="sd (X)"),O915/AQ915*AN915/BF915,
AND(L915="semi_elasticity",M915="level"),O915*AN915,
AND(L915="semi_elasticity",M915="sd (Y)"),O915*AN915*BI915,
AND(L915="semi_elasticity",M915="sd (X)"),O915*AN915/AQ915,
AND(L915="level-log",M915="level"),O915/BF915,
AND(L915="level-log",M915="sd (X)"),O915/BF915/AQ915,
AND(L915="level-log",M915="sd (Y)"),O915/BF915*BI915,
AND(L915="elasticity",M915="level"),O915,
AND(L915="elasticity",M915="sd (X)"),O915/AQ915,
AND(L915="elasticity",M915="sd (Y)"),O915*BI915,
AND(L915="marginal_effect",M915="percent_of_mean"),O915*AN915/BF915/10)</f>
        <v>6.9207074999999996E-3</v>
      </c>
      <c r="AH915" s="105">
        <f t="shared" si="371"/>
        <v>1</v>
      </c>
      <c r="AI915" s="95">
        <f t="shared" si="372"/>
        <v>-3.6665999999999995E-3</v>
      </c>
      <c r="AJ915" s="78">
        <v>0</v>
      </c>
      <c r="AK915" s="78">
        <f t="shared" si="373"/>
        <v>1</v>
      </c>
      <c r="AL915" s="76" t="s">
        <v>1689</v>
      </c>
      <c r="AM915" s="78" t="s">
        <v>410</v>
      </c>
      <c r="AN915" s="78">
        <v>6.1109999999999998</v>
      </c>
      <c r="AO915" s="78">
        <v>0</v>
      </c>
      <c r="AP915" s="78">
        <f t="shared" si="374"/>
        <v>6.1109999999999998</v>
      </c>
      <c r="AQ915" s="78">
        <v>5.0839999999999996</v>
      </c>
      <c r="AR915" s="78">
        <v>0</v>
      </c>
      <c r="AS915" s="78">
        <v>36</v>
      </c>
      <c r="AT915" s="78" t="s">
        <v>83</v>
      </c>
      <c r="AU915" s="78" t="s">
        <v>109</v>
      </c>
      <c r="AV915" s="78" t="s">
        <v>133</v>
      </c>
      <c r="AW915" s="78" t="s">
        <v>109</v>
      </c>
      <c r="AX915" s="78" t="s">
        <v>86</v>
      </c>
      <c r="AY915" s="78">
        <v>0</v>
      </c>
      <c r="AZ915" s="78">
        <v>0</v>
      </c>
      <c r="BA915" s="78" t="s">
        <v>87</v>
      </c>
      <c r="BB915" s="78" t="s">
        <v>88</v>
      </c>
      <c r="BC915" s="78" t="s">
        <v>89</v>
      </c>
      <c r="BD915" s="78" t="s">
        <v>90</v>
      </c>
      <c r="BE915" s="78" t="s">
        <v>1669</v>
      </c>
      <c r="BF915" s="78">
        <v>6.8559999999999999</v>
      </c>
      <c r="BG915" s="78">
        <v>0</v>
      </c>
      <c r="BH915" s="78">
        <v>3.2730000000000001</v>
      </c>
      <c r="BI915" s="78">
        <v>1</v>
      </c>
      <c r="BJ915" s="78">
        <v>20</v>
      </c>
      <c r="BK915" s="78" t="s">
        <v>91</v>
      </c>
      <c r="BL915" s="78" t="s">
        <v>84</v>
      </c>
      <c r="BM915" s="78">
        <v>1</v>
      </c>
      <c r="BN915" s="78" t="s">
        <v>484</v>
      </c>
      <c r="BO915" s="78" t="s">
        <v>1670</v>
      </c>
      <c r="BP915" s="78" t="s">
        <v>1671</v>
      </c>
      <c r="BQ915" s="78" t="s">
        <v>92</v>
      </c>
      <c r="BR915" s="78" t="s">
        <v>118</v>
      </c>
      <c r="BS915" s="78">
        <v>29.169</v>
      </c>
      <c r="BT915" s="78">
        <f t="shared" si="375"/>
        <v>0.30900000000000005</v>
      </c>
      <c r="BU915" s="78">
        <v>2010</v>
      </c>
      <c r="BV915" s="78">
        <v>2015</v>
      </c>
      <c r="BW915" s="78" t="s">
        <v>94</v>
      </c>
      <c r="BX915" s="78" t="s">
        <v>95</v>
      </c>
      <c r="BY915" s="78" t="s">
        <v>96</v>
      </c>
      <c r="BZ915" s="78">
        <v>0</v>
      </c>
      <c r="CA915" s="78">
        <v>0</v>
      </c>
      <c r="CB915" s="78" t="s">
        <v>97</v>
      </c>
      <c r="CC915" s="78" t="s">
        <v>1673</v>
      </c>
      <c r="CD915" s="78">
        <v>1</v>
      </c>
      <c r="CE915" s="78" t="s">
        <v>1712</v>
      </c>
      <c r="CF915" s="78">
        <v>1</v>
      </c>
      <c r="CG915" s="78" t="s">
        <v>598</v>
      </c>
      <c r="CH915" s="78">
        <v>1</v>
      </c>
      <c r="CI915" s="78" t="s">
        <v>1465</v>
      </c>
      <c r="CJ915" s="78" t="s">
        <v>98</v>
      </c>
      <c r="CK915" s="78">
        <v>79</v>
      </c>
      <c r="CL915" s="78">
        <v>0</v>
      </c>
      <c r="CM915" s="78">
        <v>0</v>
      </c>
      <c r="CN915" s="78" t="s">
        <v>99</v>
      </c>
      <c r="CO915" s="78" t="s">
        <v>97</v>
      </c>
      <c r="CP915" s="78" t="s">
        <v>100</v>
      </c>
      <c r="CQ915" s="78" t="s">
        <v>126</v>
      </c>
      <c r="CR915" s="80">
        <v>46234</v>
      </c>
      <c r="CT915" s="78" t="s">
        <v>510</v>
      </c>
    </row>
    <row r="916" spans="1:98" s="78" customFormat="1" x14ac:dyDescent="0.35">
      <c r="A916" s="77" t="s">
        <v>1666</v>
      </c>
      <c r="B916" s="81" t="s">
        <v>1713</v>
      </c>
      <c r="C916" s="77" t="s">
        <v>1667</v>
      </c>
      <c r="D916" s="78">
        <v>2022</v>
      </c>
      <c r="E916" s="79" t="s">
        <v>1672</v>
      </c>
      <c r="F916" s="77" t="s">
        <v>1668</v>
      </c>
      <c r="G916" s="78" t="s">
        <v>78</v>
      </c>
      <c r="H916" s="78">
        <v>1</v>
      </c>
      <c r="I916" s="78" t="s">
        <v>390</v>
      </c>
      <c r="J916" s="78" t="s">
        <v>79</v>
      </c>
      <c r="K916" s="78">
        <v>33</v>
      </c>
      <c r="L916" s="78" t="s">
        <v>104</v>
      </c>
      <c r="M916" s="78" t="s">
        <v>380</v>
      </c>
      <c r="N916" s="78">
        <v>-3.7499999999999999E-3</v>
      </c>
      <c r="O916" s="78">
        <v>1.3829999999999999E-3</v>
      </c>
      <c r="P916" s="95">
        <f t="shared" si="361"/>
        <v>-2.7114967462039048</v>
      </c>
      <c r="Q916" s="78" t="s">
        <v>312</v>
      </c>
      <c r="R916" s="95">
        <f t="shared" si="362"/>
        <v>-6.4606799999999999E-3</v>
      </c>
      <c r="S916" s="95">
        <f t="shared" si="363"/>
        <v>-1.0393200000000003E-3</v>
      </c>
      <c r="T916" s="78">
        <v>1</v>
      </c>
      <c r="U916" s="78">
        <v>633165</v>
      </c>
      <c r="V916" s="78" t="s">
        <v>312</v>
      </c>
      <c r="W916" s="78" t="s">
        <v>312</v>
      </c>
      <c r="X916" s="78">
        <f t="shared" si="364"/>
        <v>633165</v>
      </c>
      <c r="Y916" s="95">
        <f t="shared" si="365"/>
        <v>-3.4075961285344541E-3</v>
      </c>
      <c r="Z916" s="95">
        <f t="shared" si="366"/>
        <v>1.2567214522035063E-3</v>
      </c>
      <c r="AA916" s="95">
        <f t="shared" si="367"/>
        <v>-3.4075961285344541E-3</v>
      </c>
      <c r="AB916" s="78" t="s">
        <v>81</v>
      </c>
      <c r="AC916" s="95">
        <f t="shared" si="368"/>
        <v>-2.4952499999999999E-2</v>
      </c>
      <c r="AD916" s="95" cm="1">
        <f t="array" ref="AD916">_xlfn.IFS(
AND(L916="marginal_effect",M916="level"),N916*AN916/BF916,
AND(L916="marginal_effect",M916="sd (Y)"),N916*BI916*AN916/BF916,
AND(L916="marginal_effect",M916="sd (X)"),N916/AQ916*AN916/BF916,
AND(L916="semi_elasticity",M916="level"),N916*AN916,
AND(L916="semi_elasticity",M916="sd (Y)"),N916*AN916*BI916,
AND(L916="semi_elasticity",M916="sd (X)"),N916*AN916/AQ916,
AND(L916="level-log",M916="level"),N916/BF916,
AND(L916="level-log",M916="sd (X)"),N916/BF916/AQ916,
AND(L916="level-log",M916="sd (Y)"),N916/BF916*BI916,
AND(L916="elasticity",M916="level"),N916,
AND(L916="elasticity",M916="sd (X)"),N916/AQ916,
AND(L916="elasticity",M916="sd (Y)"),N916*BI916,
AND(L916="marginal_effect",M916="percent_of_mean"),N916*AN916/BF916/10)</f>
        <v>-2.4952499999999999E-2</v>
      </c>
      <c r="AE916" s="105">
        <f t="shared" si="369"/>
        <v>1</v>
      </c>
      <c r="AF916" s="95">
        <f t="shared" si="370"/>
        <v>9.2024819999999997E-3</v>
      </c>
      <c r="AG916" s="95" cm="1">
        <f t="array" ref="AG916">_xlfn.IFS(
AND(L916="marginal_effect",M916="level"),O916*AN916/BF916,
AND(L916="marginal_effect",M916="sd (Y)"),O916*BI916*AN916/BF916,
AND(L916="marginal_effect",M916="sd (X)"),O916/AQ916*AN916/BF916,
AND(L916="semi_elasticity",M916="level"),O916*AN916,
AND(L916="semi_elasticity",M916="sd (Y)"),O916*AN916*BI916,
AND(L916="semi_elasticity",M916="sd (X)"),O916*AN916/AQ916,
AND(L916="level-log",M916="level"),O916/BF916,
AND(L916="level-log",M916="sd (X)"),O916/BF916/AQ916,
AND(L916="level-log",M916="sd (Y)"),O916/BF916*BI916,
AND(L916="elasticity",M916="level"),O916,
AND(L916="elasticity",M916="sd (X)"),O916/AQ916,
AND(L916="elasticity",M916="sd (Y)"),O916*BI916,
AND(L916="marginal_effect",M916="percent_of_mean"),O916*AN916/BF916/10)</f>
        <v>9.2024819999999997E-3</v>
      </c>
      <c r="AH916" s="105">
        <f t="shared" si="371"/>
        <v>1</v>
      </c>
      <c r="AI916" s="95">
        <f t="shared" si="372"/>
        <v>-2.4952499999999999E-2</v>
      </c>
      <c r="AJ916" s="78">
        <v>0</v>
      </c>
      <c r="AK916" s="78">
        <f t="shared" si="373"/>
        <v>1</v>
      </c>
      <c r="AL916" s="78" t="s">
        <v>82</v>
      </c>
      <c r="AM916" s="78" t="s">
        <v>1333</v>
      </c>
      <c r="AN916" s="78">
        <v>6.6539999999999999</v>
      </c>
      <c r="AO916" s="78">
        <v>0</v>
      </c>
      <c r="AP916" s="78">
        <f t="shared" si="374"/>
        <v>6.6539999999999999</v>
      </c>
      <c r="AQ916" s="78">
        <v>2.7320000000000002</v>
      </c>
      <c r="AR916" s="78">
        <v>0.69099999999999995</v>
      </c>
      <c r="AS916" s="78">
        <v>21.341999999999999</v>
      </c>
      <c r="AT916" s="78" t="s">
        <v>83</v>
      </c>
      <c r="AU916" s="78" t="s">
        <v>109</v>
      </c>
      <c r="AV916" s="78" t="s">
        <v>133</v>
      </c>
      <c r="AW916" s="78" t="s">
        <v>109</v>
      </c>
      <c r="AX916" s="78" t="s">
        <v>86</v>
      </c>
      <c r="AY916" s="78">
        <v>0</v>
      </c>
      <c r="AZ916" s="78">
        <v>0</v>
      </c>
      <c r="BA916" s="78" t="s">
        <v>87</v>
      </c>
      <c r="BB916" s="78" t="s">
        <v>88</v>
      </c>
      <c r="BC916" s="78" t="s">
        <v>89</v>
      </c>
      <c r="BD916" s="78" t="s">
        <v>90</v>
      </c>
      <c r="BE916" s="78" t="s">
        <v>1669</v>
      </c>
      <c r="BF916" s="78">
        <v>6.8559999999999999</v>
      </c>
      <c r="BG916" s="78">
        <v>0</v>
      </c>
      <c r="BH916" s="78">
        <v>3.2730000000000001</v>
      </c>
      <c r="BI916" s="78">
        <v>1</v>
      </c>
      <c r="BJ916" s="78">
        <v>20</v>
      </c>
      <c r="BK916" s="78" t="s">
        <v>91</v>
      </c>
      <c r="BL916" s="78" t="s">
        <v>84</v>
      </c>
      <c r="BM916" s="78">
        <v>1</v>
      </c>
      <c r="BN916" s="78" t="s">
        <v>484</v>
      </c>
      <c r="BO916" s="78" t="s">
        <v>1670</v>
      </c>
      <c r="BP916" s="78" t="s">
        <v>1671</v>
      </c>
      <c r="BQ916" s="78" t="s">
        <v>92</v>
      </c>
      <c r="BR916" s="78" t="s">
        <v>118</v>
      </c>
      <c r="BS916" s="78">
        <v>29.169</v>
      </c>
      <c r="BT916" s="78">
        <f t="shared" si="375"/>
        <v>0.30900000000000005</v>
      </c>
      <c r="BU916" s="78">
        <v>2010</v>
      </c>
      <c r="BV916" s="78">
        <v>2015</v>
      </c>
      <c r="BW916" s="78" t="s">
        <v>94</v>
      </c>
      <c r="BX916" s="78" t="s">
        <v>95</v>
      </c>
      <c r="BY916" s="78" t="s">
        <v>96</v>
      </c>
      <c r="BZ916" s="78">
        <v>0</v>
      </c>
      <c r="CA916" s="78">
        <v>0</v>
      </c>
      <c r="CB916" s="78" t="s">
        <v>97</v>
      </c>
      <c r="CC916" s="78" t="s">
        <v>1673</v>
      </c>
      <c r="CD916" s="78">
        <v>0</v>
      </c>
      <c r="CE916" s="78" t="s">
        <v>1712</v>
      </c>
      <c r="CF916" s="78">
        <v>1</v>
      </c>
      <c r="CG916" s="78" t="s">
        <v>1125</v>
      </c>
      <c r="CH916" s="78">
        <v>1</v>
      </c>
      <c r="CI916" s="78" t="s">
        <v>1465</v>
      </c>
      <c r="CJ916" s="78" t="s">
        <v>98</v>
      </c>
      <c r="CK916" s="78">
        <v>79</v>
      </c>
      <c r="CL916" s="78">
        <v>0</v>
      </c>
      <c r="CM916" s="78">
        <v>0</v>
      </c>
      <c r="CN916" s="78" t="s">
        <v>99</v>
      </c>
      <c r="CO916" s="78" t="s">
        <v>1318</v>
      </c>
      <c r="CP916" s="78" t="s">
        <v>100</v>
      </c>
      <c r="CQ916" s="78" t="s">
        <v>126</v>
      </c>
      <c r="CR916" s="80">
        <v>46251</v>
      </c>
      <c r="CT916" s="78" t="s">
        <v>704</v>
      </c>
    </row>
    <row r="917" spans="1:98" s="78" customFormat="1" x14ac:dyDescent="0.35">
      <c r="A917" s="77" t="s">
        <v>1666</v>
      </c>
      <c r="B917" s="81" t="s">
        <v>1714</v>
      </c>
      <c r="C917" s="77" t="s">
        <v>1667</v>
      </c>
      <c r="D917" s="78">
        <v>2022</v>
      </c>
      <c r="E917" s="79" t="s">
        <v>1672</v>
      </c>
      <c r="F917" s="77" t="s">
        <v>1668</v>
      </c>
      <c r="G917" s="78" t="s">
        <v>78</v>
      </c>
      <c r="H917" s="78">
        <v>1</v>
      </c>
      <c r="I917" s="78" t="s">
        <v>390</v>
      </c>
      <c r="J917" s="78" t="s">
        <v>79</v>
      </c>
      <c r="K917" s="78">
        <v>33</v>
      </c>
      <c r="L917" s="78" t="s">
        <v>104</v>
      </c>
      <c r="M917" s="78" t="s">
        <v>380</v>
      </c>
      <c r="N917" s="78">
        <v>-3.0899999999999999E-3</v>
      </c>
      <c r="O917" s="78">
        <v>8.7679999999999995E-4</v>
      </c>
      <c r="P917" s="95">
        <f t="shared" si="361"/>
        <v>-3.5241788321167884</v>
      </c>
      <c r="Q917" s="78" t="s">
        <v>312</v>
      </c>
      <c r="R917" s="95">
        <f t="shared" si="362"/>
        <v>-4.8085279999999994E-3</v>
      </c>
      <c r="S917" s="95">
        <f t="shared" si="363"/>
        <v>-1.3714719999999999E-3</v>
      </c>
      <c r="T917" s="78">
        <v>1</v>
      </c>
      <c r="U917" s="78">
        <v>633165</v>
      </c>
      <c r="V917" s="78" t="s">
        <v>312</v>
      </c>
      <c r="W917" s="78" t="s">
        <v>312</v>
      </c>
      <c r="X917" s="78">
        <f t="shared" si="364"/>
        <v>633165</v>
      </c>
      <c r="Y917" s="95">
        <f t="shared" si="365"/>
        <v>-4.4288934163397679E-3</v>
      </c>
      <c r="Z917" s="95">
        <f t="shared" si="366"/>
        <v>1.2567164231219122E-3</v>
      </c>
      <c r="AA917" s="95">
        <f t="shared" si="367"/>
        <v>-4.4288934163397679E-3</v>
      </c>
      <c r="AB917" s="78" t="s">
        <v>81</v>
      </c>
      <c r="AC917" s="95">
        <f t="shared" si="368"/>
        <v>-0.11881667999999999</v>
      </c>
      <c r="AD917" s="95" cm="1">
        <f t="array" ref="AD917">_xlfn.IFS(
AND(L917="marginal_effect",M917="level"),N917*AN917/BF917,
AND(L917="marginal_effect",M917="sd (Y)"),N917*BI917*AN917/BF917,
AND(L917="marginal_effect",M917="sd (X)"),N917/AQ917*AN917/BF917,
AND(L917="semi_elasticity",M917="level"),N917*AN917,
AND(L917="semi_elasticity",M917="sd (Y)"),N917*AN917*BI917,
AND(L917="semi_elasticity",M917="sd (X)"),N917*AN917/AQ917,
AND(L917="level-log",M917="level"),N917/BF917,
AND(L917="level-log",M917="sd (X)"),N917/BF917/AQ917,
AND(L917="level-log",M917="sd (Y)"),N917/BF917*BI917,
AND(L917="elasticity",M917="level"),N917,
AND(L917="elasticity",M917="sd (X)"),N917/AQ917,
AND(L917="elasticity",M917="sd (Y)"),N917*BI917,
AND(L917="marginal_effect",M917="percent_of_mean"),N917*AN917/BF917/10)</f>
        <v>-0.11881667999999999</v>
      </c>
      <c r="AE917" s="105">
        <f t="shared" si="369"/>
        <v>1</v>
      </c>
      <c r="AF917" s="95">
        <f t="shared" si="370"/>
        <v>3.3714713599999994E-2</v>
      </c>
      <c r="AG917" s="95" cm="1">
        <f t="array" ref="AG917">_xlfn.IFS(
AND(L917="marginal_effect",M917="level"),O917*AN917/BF917,
AND(L917="marginal_effect",M917="sd (Y)"),O917*BI917*AN917/BF917,
AND(L917="marginal_effect",M917="sd (X)"),O917/AQ917*AN917/BF917,
AND(L917="semi_elasticity",M917="level"),O917*AN917,
AND(L917="semi_elasticity",M917="sd (Y)"),O917*AN917*BI917,
AND(L917="semi_elasticity",M917="sd (X)"),O917*AN917/AQ917,
AND(L917="level-log",M917="level"),O917/BF917,
AND(L917="level-log",M917="sd (X)"),O917/BF917/AQ917,
AND(L917="level-log",M917="sd (Y)"),O917/BF917*BI917,
AND(L917="elasticity",M917="level"),O917,
AND(L917="elasticity",M917="sd (X)"),O917/AQ917,
AND(L917="elasticity",M917="sd (Y)"),O917*BI917,
AND(L917="marginal_effect",M917="percent_of_mean"),O917*AN917/BF917/10)</f>
        <v>3.3714713599999994E-2</v>
      </c>
      <c r="AH917" s="105">
        <f t="shared" si="371"/>
        <v>1</v>
      </c>
      <c r="AI917" s="95">
        <f t="shared" si="372"/>
        <v>-0.11881667999999999</v>
      </c>
      <c r="AJ917" s="78">
        <v>0</v>
      </c>
      <c r="AK917" s="78">
        <f t="shared" si="373"/>
        <v>1</v>
      </c>
      <c r="AL917" s="76" t="s">
        <v>1674</v>
      </c>
      <c r="AM917" s="78" t="s">
        <v>410</v>
      </c>
      <c r="AN917" s="78">
        <v>38.451999999999998</v>
      </c>
      <c r="AO917" s="78">
        <v>0</v>
      </c>
      <c r="AP917" s="78">
        <f t="shared" si="374"/>
        <v>38.451999999999998</v>
      </c>
      <c r="AQ917" s="78">
        <v>9.109</v>
      </c>
      <c r="AR917" s="78">
        <v>14</v>
      </c>
      <c r="AS917" s="78">
        <v>83</v>
      </c>
      <c r="AT917" s="78" t="s">
        <v>83</v>
      </c>
      <c r="AU917" s="78" t="s">
        <v>109</v>
      </c>
      <c r="AV917" s="78" t="s">
        <v>133</v>
      </c>
      <c r="AW917" s="78" t="s">
        <v>109</v>
      </c>
      <c r="AX917" s="78" t="s">
        <v>86</v>
      </c>
      <c r="AY917" s="78">
        <v>0</v>
      </c>
      <c r="AZ917" s="78">
        <v>0</v>
      </c>
      <c r="BA917" s="78" t="s">
        <v>87</v>
      </c>
      <c r="BB917" s="78" t="s">
        <v>88</v>
      </c>
      <c r="BC917" s="78" t="s">
        <v>89</v>
      </c>
      <c r="BD917" s="78" t="s">
        <v>90</v>
      </c>
      <c r="BE917" s="78" t="s">
        <v>1669</v>
      </c>
      <c r="BF917" s="78">
        <v>6.8559999999999999</v>
      </c>
      <c r="BG917" s="78">
        <v>0</v>
      </c>
      <c r="BH917" s="78">
        <v>3.2730000000000001</v>
      </c>
      <c r="BI917" s="78">
        <v>1</v>
      </c>
      <c r="BJ917" s="78">
        <v>20</v>
      </c>
      <c r="BK917" s="78" t="s">
        <v>91</v>
      </c>
      <c r="BL917" s="78" t="s">
        <v>84</v>
      </c>
      <c r="BM917" s="78">
        <v>1</v>
      </c>
      <c r="BN917" s="78" t="s">
        <v>484</v>
      </c>
      <c r="BO917" s="78" t="s">
        <v>1670</v>
      </c>
      <c r="BP917" s="78" t="s">
        <v>1671</v>
      </c>
      <c r="BQ917" s="78" t="s">
        <v>92</v>
      </c>
      <c r="BR917" s="78" t="s">
        <v>118</v>
      </c>
      <c r="BS917" s="78">
        <v>29.169</v>
      </c>
      <c r="BT917" s="78">
        <f t="shared" si="375"/>
        <v>0.30900000000000005</v>
      </c>
      <c r="BU917" s="78">
        <v>2010</v>
      </c>
      <c r="BV917" s="78">
        <v>2015</v>
      </c>
      <c r="BW917" s="78" t="s">
        <v>94</v>
      </c>
      <c r="BX917" s="78" t="s">
        <v>95</v>
      </c>
      <c r="BY917" s="78" t="s">
        <v>96</v>
      </c>
      <c r="BZ917" s="78">
        <v>0</v>
      </c>
      <c r="CA917" s="78">
        <v>0</v>
      </c>
      <c r="CB917" s="78" t="s">
        <v>97</v>
      </c>
      <c r="CC917" s="78" t="s">
        <v>1673</v>
      </c>
      <c r="CD917" s="78">
        <v>0</v>
      </c>
      <c r="CE917" s="78" t="s">
        <v>1712</v>
      </c>
      <c r="CF917" s="78">
        <v>1</v>
      </c>
      <c r="CG917" s="78" t="s">
        <v>1688</v>
      </c>
      <c r="CH917" s="78">
        <v>1</v>
      </c>
      <c r="CI917" s="78" t="s">
        <v>1465</v>
      </c>
      <c r="CJ917" s="78" t="s">
        <v>98</v>
      </c>
      <c r="CK917" s="78">
        <v>79</v>
      </c>
      <c r="CL917" s="78">
        <v>0</v>
      </c>
      <c r="CM917" s="78">
        <v>0</v>
      </c>
      <c r="CN917" s="78" t="s">
        <v>99</v>
      </c>
      <c r="CO917" s="78" t="s">
        <v>1318</v>
      </c>
      <c r="CP917" s="78" t="s">
        <v>100</v>
      </c>
      <c r="CQ917" s="78" t="s">
        <v>126</v>
      </c>
      <c r="CR917" s="80">
        <v>46251</v>
      </c>
      <c r="CT917" s="78" t="s">
        <v>704</v>
      </c>
    </row>
    <row r="918" spans="1:98" s="78" customFormat="1" x14ac:dyDescent="0.35">
      <c r="A918" s="77" t="s">
        <v>1666</v>
      </c>
      <c r="B918" s="81" t="s">
        <v>1718</v>
      </c>
      <c r="C918" s="77" t="s">
        <v>1667</v>
      </c>
      <c r="D918" s="78">
        <v>2022</v>
      </c>
      <c r="E918" s="79" t="s">
        <v>1672</v>
      </c>
      <c r="F918" s="77" t="s">
        <v>1668</v>
      </c>
      <c r="G918" s="78" t="s">
        <v>78</v>
      </c>
      <c r="H918" s="78">
        <v>1</v>
      </c>
      <c r="I918" s="78" t="s">
        <v>390</v>
      </c>
      <c r="J918" s="78" t="s">
        <v>79</v>
      </c>
      <c r="K918" s="78">
        <v>33</v>
      </c>
      <c r="L918" s="78" t="s">
        <v>104</v>
      </c>
      <c r="M918" s="78" t="s">
        <v>380</v>
      </c>
      <c r="N918" s="78">
        <v>-2.7000000000000001E-3</v>
      </c>
      <c r="O918" s="78">
        <v>8.2209999999999998E-4</v>
      </c>
      <c r="P918" s="95">
        <f t="shared" si="361"/>
        <v>-3.2842719863763534</v>
      </c>
      <c r="Q918" s="78" t="s">
        <v>312</v>
      </c>
      <c r="R918" s="95">
        <f t="shared" si="362"/>
        <v>-4.3113159999999999E-3</v>
      </c>
      <c r="S918" s="95">
        <f t="shared" si="363"/>
        <v>-1.0886840000000001E-3</v>
      </c>
      <c r="T918" s="78">
        <v>1</v>
      </c>
      <c r="U918" s="78">
        <v>633165</v>
      </c>
      <c r="V918" s="78" t="s">
        <v>312</v>
      </c>
      <c r="W918" s="78" t="s">
        <v>312</v>
      </c>
      <c r="X918" s="78">
        <f t="shared" si="364"/>
        <v>633165</v>
      </c>
      <c r="Y918" s="95">
        <f t="shared" si="365"/>
        <v>-4.1274038669686253E-3</v>
      </c>
      <c r="Z918" s="95">
        <f t="shared" si="366"/>
        <v>1.2567180440870023E-3</v>
      </c>
      <c r="AA918" s="95">
        <f t="shared" si="367"/>
        <v>-4.1274038669686253E-3</v>
      </c>
      <c r="AB918" s="78" t="s">
        <v>81</v>
      </c>
      <c r="AC918" s="95">
        <f t="shared" si="368"/>
        <v>-0.10382040000000001</v>
      </c>
      <c r="AD918" s="95" cm="1">
        <f t="array" ref="AD918">_xlfn.IFS(
AND(L918="marginal_effect",M918="level"),N918*AN918/BF918,
AND(L918="marginal_effect",M918="sd (Y)"),N918*BI918*AN918/BF918,
AND(L918="marginal_effect",M918="sd (X)"),N918/AQ918*AN918/BF918,
AND(L918="semi_elasticity",M918="level"),N918*AN918,
AND(L918="semi_elasticity",M918="sd (Y)"),N918*AN918*BI918,
AND(L918="semi_elasticity",M918="sd (X)"),N918*AN918/AQ918,
AND(L918="level-log",M918="level"),N918/BF918,
AND(L918="level-log",M918="sd (X)"),N918/BF918/AQ918,
AND(L918="level-log",M918="sd (Y)"),N918/BF918*BI918,
AND(L918="elasticity",M918="level"),N918,
AND(L918="elasticity",M918="sd (X)"),N918/AQ918,
AND(L918="elasticity",M918="sd (Y)"),N918*BI918,
AND(L918="marginal_effect",M918="percent_of_mean"),N918*AN918/BF918/10)</f>
        <v>-0.10382040000000001</v>
      </c>
      <c r="AE918" s="105">
        <f t="shared" si="369"/>
        <v>1</v>
      </c>
      <c r="AF918" s="95">
        <f t="shared" si="370"/>
        <v>3.1611389199999999E-2</v>
      </c>
      <c r="AG918" s="95" cm="1">
        <f t="array" ref="AG918">_xlfn.IFS(
AND(L918="marginal_effect",M918="level"),O918*AN918/BF918,
AND(L918="marginal_effect",M918="sd (Y)"),O918*BI918*AN918/BF918,
AND(L918="marginal_effect",M918="sd (X)"),O918/AQ918*AN918/BF918,
AND(L918="semi_elasticity",M918="level"),O918*AN918,
AND(L918="semi_elasticity",M918="sd (Y)"),O918*AN918*BI918,
AND(L918="semi_elasticity",M918="sd (X)"),O918*AN918/AQ918,
AND(L918="level-log",M918="level"),O918/BF918,
AND(L918="level-log",M918="sd (X)"),O918/BF918/AQ918,
AND(L918="level-log",M918="sd (Y)"),O918/BF918*BI918,
AND(L918="elasticity",M918="level"),O918,
AND(L918="elasticity",M918="sd (X)"),O918/AQ918,
AND(L918="elasticity",M918="sd (Y)"),O918*BI918,
AND(L918="marginal_effect",M918="percent_of_mean"),O918*AN918/BF918/10)</f>
        <v>3.1611389199999999E-2</v>
      </c>
      <c r="AH918" s="105">
        <f t="shared" si="371"/>
        <v>1</v>
      </c>
      <c r="AI918" s="95">
        <f t="shared" si="372"/>
        <v>-0.10382040000000001</v>
      </c>
      <c r="AJ918" s="78">
        <v>0</v>
      </c>
      <c r="AK918" s="78">
        <f t="shared" si="373"/>
        <v>1</v>
      </c>
      <c r="AL918" s="76" t="s">
        <v>1674</v>
      </c>
      <c r="AM918" s="78" t="s">
        <v>410</v>
      </c>
      <c r="AN918" s="78">
        <v>38.451999999999998</v>
      </c>
      <c r="AO918" s="78">
        <v>0</v>
      </c>
      <c r="AP918" s="78">
        <f t="shared" si="374"/>
        <v>38.451999999999998</v>
      </c>
      <c r="AQ918" s="78">
        <v>9.109</v>
      </c>
      <c r="AR918" s="78">
        <v>14</v>
      </c>
      <c r="AS918" s="78">
        <v>83</v>
      </c>
      <c r="AT918" s="78" t="s">
        <v>83</v>
      </c>
      <c r="AU918" s="78" t="s">
        <v>109</v>
      </c>
      <c r="AV918" s="78" t="s">
        <v>133</v>
      </c>
      <c r="AW918" s="78" t="s">
        <v>109</v>
      </c>
      <c r="AX918" s="78" t="s">
        <v>86</v>
      </c>
      <c r="AY918" s="78">
        <v>0</v>
      </c>
      <c r="AZ918" s="78">
        <v>0</v>
      </c>
      <c r="BA918" s="78" t="s">
        <v>87</v>
      </c>
      <c r="BB918" s="78" t="s">
        <v>88</v>
      </c>
      <c r="BC918" s="78" t="s">
        <v>89</v>
      </c>
      <c r="BD918" s="78" t="s">
        <v>90</v>
      </c>
      <c r="BE918" s="78" t="s">
        <v>1669</v>
      </c>
      <c r="BF918" s="78">
        <v>6.8559999999999999</v>
      </c>
      <c r="BG918" s="78">
        <v>0</v>
      </c>
      <c r="BH918" s="78">
        <v>3.2730000000000001</v>
      </c>
      <c r="BI918" s="78">
        <v>1</v>
      </c>
      <c r="BJ918" s="78">
        <v>20</v>
      </c>
      <c r="BK918" s="78" t="s">
        <v>91</v>
      </c>
      <c r="BL918" s="78" t="s">
        <v>84</v>
      </c>
      <c r="BM918" s="78">
        <v>1</v>
      </c>
      <c r="BN918" s="78" t="s">
        <v>484</v>
      </c>
      <c r="BO918" s="78" t="s">
        <v>1670</v>
      </c>
      <c r="BP918" s="78" t="s">
        <v>1671</v>
      </c>
      <c r="BQ918" s="78" t="s">
        <v>92</v>
      </c>
      <c r="BR918" s="78" t="s">
        <v>118</v>
      </c>
      <c r="BS918" s="78">
        <v>29.169</v>
      </c>
      <c r="BT918" s="78">
        <f t="shared" si="375"/>
        <v>0.30900000000000005</v>
      </c>
      <c r="BU918" s="78">
        <v>2010</v>
      </c>
      <c r="BV918" s="78">
        <v>2015</v>
      </c>
      <c r="BW918" s="78" t="s">
        <v>94</v>
      </c>
      <c r="BX918" s="78" t="s">
        <v>95</v>
      </c>
      <c r="BY918" s="78" t="s">
        <v>96</v>
      </c>
      <c r="BZ918" s="78">
        <v>0</v>
      </c>
      <c r="CA918" s="78">
        <v>0</v>
      </c>
      <c r="CB918" s="78" t="s">
        <v>97</v>
      </c>
      <c r="CC918" s="78" t="s">
        <v>1673</v>
      </c>
      <c r="CD918" s="78">
        <v>0</v>
      </c>
      <c r="CE918" s="78" t="s">
        <v>1712</v>
      </c>
      <c r="CF918" s="78">
        <v>1</v>
      </c>
      <c r="CG918" s="78" t="s">
        <v>1688</v>
      </c>
      <c r="CH918" s="78">
        <v>1</v>
      </c>
      <c r="CI918" s="78" t="s">
        <v>1465</v>
      </c>
      <c r="CJ918" s="78" t="s">
        <v>98</v>
      </c>
      <c r="CK918" s="78">
        <v>79</v>
      </c>
      <c r="CL918" s="78">
        <v>0</v>
      </c>
      <c r="CM918" s="78">
        <v>0</v>
      </c>
      <c r="CN918" s="78" t="s">
        <v>99</v>
      </c>
      <c r="CO918" s="78" t="s">
        <v>1318</v>
      </c>
      <c r="CP918" s="78" t="s">
        <v>100</v>
      </c>
      <c r="CQ918" s="78" t="s">
        <v>126</v>
      </c>
      <c r="CR918" s="80">
        <v>46251</v>
      </c>
      <c r="CT918" s="78" t="s">
        <v>704</v>
      </c>
    </row>
    <row r="919" spans="1:98" s="78" customFormat="1" x14ac:dyDescent="0.35">
      <c r="A919" s="77" t="s">
        <v>1666</v>
      </c>
      <c r="B919" s="81" t="s">
        <v>1715</v>
      </c>
      <c r="C919" s="77" t="s">
        <v>1667</v>
      </c>
      <c r="D919" s="78">
        <v>2022</v>
      </c>
      <c r="E919" s="79" t="s">
        <v>1672</v>
      </c>
      <c r="F919" s="77" t="s">
        <v>1668</v>
      </c>
      <c r="G919" s="78" t="s">
        <v>78</v>
      </c>
      <c r="H919" s="78">
        <v>1</v>
      </c>
      <c r="I919" s="78" t="s">
        <v>390</v>
      </c>
      <c r="J919" s="78" t="s">
        <v>79</v>
      </c>
      <c r="K919" s="78">
        <v>33</v>
      </c>
      <c r="L919" s="78" t="s">
        <v>104</v>
      </c>
      <c r="M919" s="78" t="s">
        <v>380</v>
      </c>
      <c r="N919" s="78">
        <v>-3.65E-3</v>
      </c>
      <c r="O919" s="78">
        <v>1.3557E-3</v>
      </c>
      <c r="P919" s="95">
        <f t="shared" si="361"/>
        <v>-2.6923360625507118</v>
      </c>
      <c r="Q919" s="78" t="s">
        <v>312</v>
      </c>
      <c r="R919" s="95">
        <f t="shared" si="362"/>
        <v>-6.3071719999999998E-3</v>
      </c>
      <c r="S919" s="95">
        <f t="shared" si="363"/>
        <v>-9.9282799999999985E-4</v>
      </c>
      <c r="T919" s="78">
        <v>1</v>
      </c>
      <c r="U919" s="78">
        <v>633165</v>
      </c>
      <c r="V919" s="78" t="s">
        <v>312</v>
      </c>
      <c r="W919" s="78" t="s">
        <v>312</v>
      </c>
      <c r="X919" s="78">
        <f t="shared" si="364"/>
        <v>633165</v>
      </c>
      <c r="Y919" s="95">
        <f t="shared" si="365"/>
        <v>-3.3835167629977353E-3</v>
      </c>
      <c r="Z919" s="95">
        <f t="shared" si="366"/>
        <v>1.2567215549578164E-3</v>
      </c>
      <c r="AA919" s="95">
        <f t="shared" si="367"/>
        <v>-3.3835167629977353E-3</v>
      </c>
      <c r="AB919" s="78" t="s">
        <v>81</v>
      </c>
      <c r="AC919" s="95">
        <f t="shared" si="368"/>
        <v>-2.4287099999999999E-2</v>
      </c>
      <c r="AD919" s="95" cm="1">
        <f t="array" ref="AD919">_xlfn.IFS(
AND(L919="marginal_effect",M919="level"),N919*AN919/BF919,
AND(L919="marginal_effect",M919="sd (Y)"),N919*BI919*AN919/BF919,
AND(L919="marginal_effect",M919="sd (X)"),N919/AQ919*AN919/BF919,
AND(L919="semi_elasticity",M919="level"),N919*AN919,
AND(L919="semi_elasticity",M919="sd (Y)"),N919*AN919*BI919,
AND(L919="semi_elasticity",M919="sd (X)"),N919*AN919/AQ919,
AND(L919="level-log",M919="level"),N919/BF919,
AND(L919="level-log",M919="sd (X)"),N919/BF919/AQ919,
AND(L919="level-log",M919="sd (Y)"),N919/BF919*BI919,
AND(L919="elasticity",M919="level"),N919,
AND(L919="elasticity",M919="sd (X)"),N919/AQ919,
AND(L919="elasticity",M919="sd (Y)"),N919*BI919,
AND(L919="marginal_effect",M919="percent_of_mean"),N919*AN919/BF919/10)</f>
        <v>-2.4287099999999999E-2</v>
      </c>
      <c r="AE919" s="105">
        <f t="shared" si="369"/>
        <v>1</v>
      </c>
      <c r="AF919" s="95">
        <f t="shared" si="370"/>
        <v>9.0208278000000006E-3</v>
      </c>
      <c r="AG919" s="95" cm="1">
        <f t="array" ref="AG919">_xlfn.IFS(
AND(L919="marginal_effect",M919="level"),O919*AN919/BF919,
AND(L919="marginal_effect",M919="sd (Y)"),O919*BI919*AN919/BF919,
AND(L919="marginal_effect",M919="sd (X)"),O919/AQ919*AN919/BF919,
AND(L919="semi_elasticity",M919="level"),O919*AN919,
AND(L919="semi_elasticity",M919="sd (Y)"),O919*AN919*BI919,
AND(L919="semi_elasticity",M919="sd (X)"),O919*AN919/AQ919,
AND(L919="level-log",M919="level"),O919/BF919,
AND(L919="level-log",M919="sd (X)"),O919/BF919/AQ919,
AND(L919="level-log",M919="sd (Y)"),O919/BF919*BI919,
AND(L919="elasticity",M919="level"),O919,
AND(L919="elasticity",M919="sd (X)"),O919/AQ919,
AND(L919="elasticity",M919="sd (Y)"),O919*BI919,
AND(L919="marginal_effect",M919="percent_of_mean"),O919*AN919/BF919/10)</f>
        <v>9.0208278000000006E-3</v>
      </c>
      <c r="AH919" s="105">
        <f t="shared" si="371"/>
        <v>1</v>
      </c>
      <c r="AI919" s="95">
        <f t="shared" si="372"/>
        <v>-2.4287099999999999E-2</v>
      </c>
      <c r="AJ919" s="78">
        <v>0</v>
      </c>
      <c r="AK919" s="78">
        <f t="shared" si="373"/>
        <v>1</v>
      </c>
      <c r="AL919" s="78" t="s">
        <v>82</v>
      </c>
      <c r="AM919" s="78" t="s">
        <v>1333</v>
      </c>
      <c r="AN919" s="78">
        <v>6.6539999999999999</v>
      </c>
      <c r="AO919" s="78">
        <v>0</v>
      </c>
      <c r="AP919" s="78">
        <f t="shared" si="374"/>
        <v>6.6539999999999999</v>
      </c>
      <c r="AQ919" s="78">
        <v>2.7320000000000002</v>
      </c>
      <c r="AR919" s="78">
        <v>0.69099999999999995</v>
      </c>
      <c r="AS919" s="78">
        <v>21.341999999999999</v>
      </c>
      <c r="AT919" s="78" t="s">
        <v>83</v>
      </c>
      <c r="AU919" s="78" t="s">
        <v>109</v>
      </c>
      <c r="AV919" s="78" t="s">
        <v>133</v>
      </c>
      <c r="AW919" s="78" t="s">
        <v>109</v>
      </c>
      <c r="AX919" s="78" t="s">
        <v>86</v>
      </c>
      <c r="AY919" s="78">
        <v>0</v>
      </c>
      <c r="AZ919" s="78">
        <v>0</v>
      </c>
      <c r="BA919" s="78" t="s">
        <v>87</v>
      </c>
      <c r="BB919" s="78" t="s">
        <v>88</v>
      </c>
      <c r="BC919" s="78" t="s">
        <v>89</v>
      </c>
      <c r="BD919" s="78" t="s">
        <v>90</v>
      </c>
      <c r="BE919" s="78" t="s">
        <v>1669</v>
      </c>
      <c r="BF919" s="78">
        <v>6.8559999999999999</v>
      </c>
      <c r="BG919" s="78">
        <v>0</v>
      </c>
      <c r="BH919" s="78">
        <v>3.2730000000000001</v>
      </c>
      <c r="BI919" s="78">
        <v>1</v>
      </c>
      <c r="BJ919" s="78">
        <v>20</v>
      </c>
      <c r="BK919" s="78" t="s">
        <v>91</v>
      </c>
      <c r="BL919" s="78" t="s">
        <v>84</v>
      </c>
      <c r="BM919" s="78">
        <v>1</v>
      </c>
      <c r="BN919" s="78" t="s">
        <v>484</v>
      </c>
      <c r="BO919" s="78" t="s">
        <v>1670</v>
      </c>
      <c r="BP919" s="78" t="s">
        <v>1671</v>
      </c>
      <c r="BQ919" s="78" t="s">
        <v>92</v>
      </c>
      <c r="BR919" s="78" t="s">
        <v>118</v>
      </c>
      <c r="BS919" s="78">
        <v>29.169</v>
      </c>
      <c r="BT919" s="78">
        <f t="shared" si="375"/>
        <v>0.30900000000000005</v>
      </c>
      <c r="BU919" s="78">
        <v>2010</v>
      </c>
      <c r="BV919" s="78">
        <v>2015</v>
      </c>
      <c r="BW919" s="78" t="s">
        <v>94</v>
      </c>
      <c r="BX919" s="78" t="s">
        <v>95</v>
      </c>
      <c r="BY919" s="78" t="s">
        <v>96</v>
      </c>
      <c r="BZ919" s="78">
        <v>0</v>
      </c>
      <c r="CA919" s="78">
        <v>0</v>
      </c>
      <c r="CB919" s="78" t="s">
        <v>97</v>
      </c>
      <c r="CC919" s="78" t="s">
        <v>1673</v>
      </c>
      <c r="CD919" s="78">
        <v>0</v>
      </c>
      <c r="CE919" s="78" t="s">
        <v>1712</v>
      </c>
      <c r="CF919" s="78">
        <v>1</v>
      </c>
      <c r="CG919" s="78" t="s">
        <v>1125</v>
      </c>
      <c r="CH919" s="78">
        <v>1</v>
      </c>
      <c r="CI919" s="78" t="s">
        <v>1465</v>
      </c>
      <c r="CJ919" s="78" t="s">
        <v>98</v>
      </c>
      <c r="CK919" s="78">
        <v>79</v>
      </c>
      <c r="CL919" s="78">
        <v>0</v>
      </c>
      <c r="CM919" s="78">
        <v>0</v>
      </c>
      <c r="CN919" s="78" t="s">
        <v>99</v>
      </c>
      <c r="CO919" s="78" t="s">
        <v>1318</v>
      </c>
      <c r="CP919" s="78" t="s">
        <v>100</v>
      </c>
      <c r="CQ919" s="78" t="s">
        <v>126</v>
      </c>
      <c r="CR919" s="80">
        <v>46251</v>
      </c>
      <c r="CT919" s="78" t="s">
        <v>457</v>
      </c>
    </row>
    <row r="920" spans="1:98" s="78" customFormat="1" x14ac:dyDescent="0.35">
      <c r="A920" s="77" t="s">
        <v>1666</v>
      </c>
      <c r="B920" s="81" t="s">
        <v>1716</v>
      </c>
      <c r="C920" s="77" t="s">
        <v>1667</v>
      </c>
      <c r="D920" s="78">
        <v>2022</v>
      </c>
      <c r="E920" s="79" t="s">
        <v>1672</v>
      </c>
      <c r="F920" s="77" t="s">
        <v>1668</v>
      </c>
      <c r="G920" s="78" t="s">
        <v>78</v>
      </c>
      <c r="H920" s="78">
        <v>1</v>
      </c>
      <c r="I920" s="78" t="s">
        <v>390</v>
      </c>
      <c r="J920" s="78" t="s">
        <v>79</v>
      </c>
      <c r="K920" s="78">
        <v>33</v>
      </c>
      <c r="L920" s="78" t="s">
        <v>104</v>
      </c>
      <c r="M920" s="78" t="s">
        <v>380</v>
      </c>
      <c r="N920" s="78">
        <v>-2.6199999999999999E-3</v>
      </c>
      <c r="O920" s="78">
        <v>8.0929999999999999E-4</v>
      </c>
      <c r="P920" s="95">
        <f t="shared" si="361"/>
        <v>-3.2373656246138638</v>
      </c>
      <c r="Q920" s="78" t="s">
        <v>312</v>
      </c>
      <c r="R920" s="95">
        <f t="shared" si="362"/>
        <v>-4.2062279999999994E-3</v>
      </c>
      <c r="S920" s="95">
        <f t="shared" si="363"/>
        <v>-1.0337720000000001E-3</v>
      </c>
      <c r="T920" s="78">
        <v>1</v>
      </c>
      <c r="U920" s="78">
        <v>633165</v>
      </c>
      <c r="V920" s="78" t="s">
        <v>312</v>
      </c>
      <c r="W920" s="78" t="s">
        <v>312</v>
      </c>
      <c r="X920" s="78">
        <f t="shared" si="364"/>
        <v>633165</v>
      </c>
      <c r="Y920" s="95">
        <f t="shared" si="365"/>
        <v>-4.0684567785563537E-3</v>
      </c>
      <c r="Z920" s="95">
        <f t="shared" si="366"/>
        <v>1.2567183476662814E-3</v>
      </c>
      <c r="AA920" s="95">
        <f t="shared" si="367"/>
        <v>-4.0684567785563537E-3</v>
      </c>
      <c r="AB920" s="78" t="s">
        <v>81</v>
      </c>
      <c r="AC920" s="95">
        <f t="shared" si="368"/>
        <v>-0.10074424</v>
      </c>
      <c r="AD920" s="95" cm="1">
        <f t="array" ref="AD920">_xlfn.IFS(
AND(L920="marginal_effect",M920="level"),N920*AN920/BF920,
AND(L920="marginal_effect",M920="sd (Y)"),N920*BI920*AN920/BF920,
AND(L920="marginal_effect",M920="sd (X)"),N920/AQ920*AN920/BF920,
AND(L920="semi_elasticity",M920="level"),N920*AN920,
AND(L920="semi_elasticity",M920="sd (Y)"),N920*AN920*BI920,
AND(L920="semi_elasticity",M920="sd (X)"),N920*AN920/AQ920,
AND(L920="level-log",M920="level"),N920/BF920,
AND(L920="level-log",M920="sd (X)"),N920/BF920/AQ920,
AND(L920="level-log",M920="sd (Y)"),N920/BF920*BI920,
AND(L920="elasticity",M920="level"),N920,
AND(L920="elasticity",M920="sd (X)"),N920/AQ920,
AND(L920="elasticity",M920="sd (Y)"),N920*BI920,
AND(L920="marginal_effect",M920="percent_of_mean"),N920*AN920/BF920/10)</f>
        <v>-0.10074424</v>
      </c>
      <c r="AE920" s="105">
        <f t="shared" si="369"/>
        <v>1</v>
      </c>
      <c r="AF920" s="95">
        <f t="shared" si="370"/>
        <v>3.1119203599999999E-2</v>
      </c>
      <c r="AG920" s="95" cm="1">
        <f t="array" ref="AG920">_xlfn.IFS(
AND(L920="marginal_effect",M920="level"),O920*AN920/BF920,
AND(L920="marginal_effect",M920="sd (Y)"),O920*BI920*AN920/BF920,
AND(L920="marginal_effect",M920="sd (X)"),O920/AQ920*AN920/BF920,
AND(L920="semi_elasticity",M920="level"),O920*AN920,
AND(L920="semi_elasticity",M920="sd (Y)"),O920*AN920*BI920,
AND(L920="semi_elasticity",M920="sd (X)"),O920*AN920/AQ920,
AND(L920="level-log",M920="level"),O920/BF920,
AND(L920="level-log",M920="sd (X)"),O920/BF920/AQ920,
AND(L920="level-log",M920="sd (Y)"),O920/BF920*BI920,
AND(L920="elasticity",M920="level"),O920,
AND(L920="elasticity",M920="sd (X)"),O920/AQ920,
AND(L920="elasticity",M920="sd (Y)"),O920*BI920,
AND(L920="marginal_effect",M920="percent_of_mean"),O920*AN920/BF920/10)</f>
        <v>3.1119203599999999E-2</v>
      </c>
      <c r="AH920" s="105">
        <f t="shared" si="371"/>
        <v>1</v>
      </c>
      <c r="AI920" s="95">
        <f t="shared" si="372"/>
        <v>-0.10074424</v>
      </c>
      <c r="AJ920" s="78">
        <v>0</v>
      </c>
      <c r="AK920" s="78">
        <f t="shared" si="373"/>
        <v>1</v>
      </c>
      <c r="AL920" s="76" t="s">
        <v>1674</v>
      </c>
      <c r="AM920" s="78" t="s">
        <v>410</v>
      </c>
      <c r="AN920" s="78">
        <v>38.451999999999998</v>
      </c>
      <c r="AO920" s="78">
        <v>0</v>
      </c>
      <c r="AP920" s="78">
        <f t="shared" si="374"/>
        <v>38.451999999999998</v>
      </c>
      <c r="AQ920" s="78">
        <v>9.109</v>
      </c>
      <c r="AR920" s="78">
        <v>14</v>
      </c>
      <c r="AS920" s="78">
        <v>83</v>
      </c>
      <c r="AT920" s="78" t="s">
        <v>83</v>
      </c>
      <c r="AU920" s="78" t="s">
        <v>109</v>
      </c>
      <c r="AV920" s="78" t="s">
        <v>133</v>
      </c>
      <c r="AW920" s="78" t="s">
        <v>109</v>
      </c>
      <c r="AX920" s="78" t="s">
        <v>86</v>
      </c>
      <c r="AY920" s="78">
        <v>0</v>
      </c>
      <c r="AZ920" s="78">
        <v>0</v>
      </c>
      <c r="BA920" s="78" t="s">
        <v>87</v>
      </c>
      <c r="BB920" s="78" t="s">
        <v>88</v>
      </c>
      <c r="BC920" s="78" t="s">
        <v>89</v>
      </c>
      <c r="BD920" s="78" t="s">
        <v>90</v>
      </c>
      <c r="BE920" s="78" t="s">
        <v>1669</v>
      </c>
      <c r="BF920" s="78">
        <v>6.8559999999999999</v>
      </c>
      <c r="BG920" s="78">
        <v>0</v>
      </c>
      <c r="BH920" s="78">
        <v>3.2730000000000001</v>
      </c>
      <c r="BI920" s="78">
        <v>1</v>
      </c>
      <c r="BJ920" s="78">
        <v>20</v>
      </c>
      <c r="BK920" s="78" t="s">
        <v>91</v>
      </c>
      <c r="BL920" s="78" t="s">
        <v>84</v>
      </c>
      <c r="BM920" s="78">
        <v>1</v>
      </c>
      <c r="BN920" s="78" t="s">
        <v>484</v>
      </c>
      <c r="BO920" s="78" t="s">
        <v>1670</v>
      </c>
      <c r="BP920" s="78" t="s">
        <v>1671</v>
      </c>
      <c r="BQ920" s="78" t="s">
        <v>92</v>
      </c>
      <c r="BR920" s="78" t="s">
        <v>118</v>
      </c>
      <c r="BS920" s="78">
        <v>29.169</v>
      </c>
      <c r="BT920" s="78">
        <f t="shared" si="375"/>
        <v>0.30900000000000005</v>
      </c>
      <c r="BU920" s="78">
        <v>2010</v>
      </c>
      <c r="BV920" s="78">
        <v>2015</v>
      </c>
      <c r="BW920" s="78" t="s">
        <v>94</v>
      </c>
      <c r="BX920" s="78" t="s">
        <v>95</v>
      </c>
      <c r="BY920" s="78" t="s">
        <v>96</v>
      </c>
      <c r="BZ920" s="78">
        <v>0</v>
      </c>
      <c r="CA920" s="78">
        <v>0</v>
      </c>
      <c r="CB920" s="78" t="s">
        <v>97</v>
      </c>
      <c r="CC920" s="78" t="s">
        <v>1673</v>
      </c>
      <c r="CD920" s="78">
        <v>0</v>
      </c>
      <c r="CE920" s="78" t="s">
        <v>1712</v>
      </c>
      <c r="CF920" s="78">
        <v>1</v>
      </c>
      <c r="CG920" s="78" t="s">
        <v>1688</v>
      </c>
      <c r="CH920" s="78">
        <v>1</v>
      </c>
      <c r="CI920" s="78" t="s">
        <v>1465</v>
      </c>
      <c r="CJ920" s="78" t="s">
        <v>98</v>
      </c>
      <c r="CK920" s="78">
        <v>79</v>
      </c>
      <c r="CL920" s="78">
        <v>0</v>
      </c>
      <c r="CM920" s="78">
        <v>0</v>
      </c>
      <c r="CN920" s="78" t="s">
        <v>99</v>
      </c>
      <c r="CO920" s="78" t="s">
        <v>1318</v>
      </c>
      <c r="CP920" s="78" t="s">
        <v>100</v>
      </c>
      <c r="CQ920" s="78" t="s">
        <v>126</v>
      </c>
      <c r="CR920" s="80">
        <v>46251</v>
      </c>
      <c r="CT920" s="78" t="s">
        <v>457</v>
      </c>
    </row>
    <row r="921" spans="1:98" s="78" customFormat="1" x14ac:dyDescent="0.35">
      <c r="A921" s="77" t="s">
        <v>1666</v>
      </c>
      <c r="B921" s="81" t="s">
        <v>1717</v>
      </c>
      <c r="C921" s="77" t="s">
        <v>1667</v>
      </c>
      <c r="D921" s="78">
        <v>2022</v>
      </c>
      <c r="E921" s="79" t="s">
        <v>1672</v>
      </c>
      <c r="F921" s="77" t="s">
        <v>1668</v>
      </c>
      <c r="G921" s="78" t="s">
        <v>78</v>
      </c>
      <c r="H921" s="78">
        <v>1</v>
      </c>
      <c r="I921" s="78" t="s">
        <v>390</v>
      </c>
      <c r="J921" s="78" t="s">
        <v>79</v>
      </c>
      <c r="K921" s="78">
        <v>33</v>
      </c>
      <c r="L921" s="78" t="s">
        <v>104</v>
      </c>
      <c r="M921" s="78" t="s">
        <v>380</v>
      </c>
      <c r="N921" s="78">
        <v>-2.3E-3</v>
      </c>
      <c r="O921" s="78">
        <v>8.0929999999999999E-4</v>
      </c>
      <c r="P921" s="95">
        <f t="shared" si="361"/>
        <v>-2.8419621895465217</v>
      </c>
      <c r="Q921" s="78" t="s">
        <v>312</v>
      </c>
      <c r="R921" s="95">
        <f t="shared" si="362"/>
        <v>-3.8862279999999998E-3</v>
      </c>
      <c r="S921" s="95">
        <f t="shared" si="363"/>
        <v>-7.137720000000001E-4</v>
      </c>
      <c r="T921" s="78">
        <v>1</v>
      </c>
      <c r="U921" s="78">
        <v>633165</v>
      </c>
      <c r="V921" s="78" t="s">
        <v>312</v>
      </c>
      <c r="W921" s="78" t="s">
        <v>312</v>
      </c>
      <c r="X921" s="78">
        <f t="shared" si="364"/>
        <v>633165</v>
      </c>
      <c r="Y921" s="95">
        <f t="shared" si="365"/>
        <v>-3.5715528065040957E-3</v>
      </c>
      <c r="Z921" s="95">
        <f t="shared" si="366"/>
        <v>1.2567207331755498E-3</v>
      </c>
      <c r="AA921" s="95">
        <f t="shared" si="367"/>
        <v>-3.5715528065040957E-3</v>
      </c>
      <c r="AB921" s="78" t="s">
        <v>81</v>
      </c>
      <c r="AC921" s="95">
        <f t="shared" si="368"/>
        <v>-8.8439599999999993E-2</v>
      </c>
      <c r="AD921" s="95" cm="1">
        <f t="array" ref="AD921">_xlfn.IFS(
AND(L921="marginal_effect",M921="level"),N921*AN921/BF921,
AND(L921="marginal_effect",M921="sd (Y)"),N921*BI921*AN921/BF921,
AND(L921="marginal_effect",M921="sd (X)"),N921/AQ921*AN921/BF921,
AND(L921="semi_elasticity",M921="level"),N921*AN921,
AND(L921="semi_elasticity",M921="sd (Y)"),N921*AN921*BI921,
AND(L921="semi_elasticity",M921="sd (X)"),N921*AN921/AQ921,
AND(L921="level-log",M921="level"),N921/BF921,
AND(L921="level-log",M921="sd (X)"),N921/BF921/AQ921,
AND(L921="level-log",M921="sd (Y)"),N921/BF921*BI921,
AND(L921="elasticity",M921="level"),N921,
AND(L921="elasticity",M921="sd (X)"),N921/AQ921,
AND(L921="elasticity",M921="sd (Y)"),N921*BI921,
AND(L921="marginal_effect",M921="percent_of_mean"),N921*AN921/BF921/10)</f>
        <v>-8.8439599999999993E-2</v>
      </c>
      <c r="AE921" s="105">
        <f t="shared" si="369"/>
        <v>1</v>
      </c>
      <c r="AF921" s="95">
        <f t="shared" si="370"/>
        <v>3.1119203599999999E-2</v>
      </c>
      <c r="AG921" s="95" cm="1">
        <f t="array" ref="AG921">_xlfn.IFS(
AND(L921="marginal_effect",M921="level"),O921*AN921/BF921,
AND(L921="marginal_effect",M921="sd (Y)"),O921*BI921*AN921/BF921,
AND(L921="marginal_effect",M921="sd (X)"),O921/AQ921*AN921/BF921,
AND(L921="semi_elasticity",M921="level"),O921*AN921,
AND(L921="semi_elasticity",M921="sd (Y)"),O921*AN921*BI921,
AND(L921="semi_elasticity",M921="sd (X)"),O921*AN921/AQ921,
AND(L921="level-log",M921="level"),O921/BF921,
AND(L921="level-log",M921="sd (X)"),O921/BF921/AQ921,
AND(L921="level-log",M921="sd (Y)"),O921/BF921*BI921,
AND(L921="elasticity",M921="level"),O921,
AND(L921="elasticity",M921="sd (X)"),O921/AQ921,
AND(L921="elasticity",M921="sd (Y)"),O921*BI921,
AND(L921="marginal_effect",M921="percent_of_mean"),O921*AN921/BF921/10)</f>
        <v>3.1119203599999999E-2</v>
      </c>
      <c r="AH921" s="105">
        <f t="shared" si="371"/>
        <v>1</v>
      </c>
      <c r="AI921" s="95">
        <f t="shared" si="372"/>
        <v>-8.8439599999999993E-2</v>
      </c>
      <c r="AJ921" s="78">
        <v>0</v>
      </c>
      <c r="AK921" s="78">
        <f t="shared" si="373"/>
        <v>1</v>
      </c>
      <c r="AL921" s="76" t="s">
        <v>1674</v>
      </c>
      <c r="AM921" s="78" t="s">
        <v>410</v>
      </c>
      <c r="AN921" s="78">
        <v>38.451999999999998</v>
      </c>
      <c r="AO921" s="78">
        <v>0</v>
      </c>
      <c r="AP921" s="78">
        <f t="shared" si="374"/>
        <v>38.451999999999998</v>
      </c>
      <c r="AQ921" s="78">
        <v>9.109</v>
      </c>
      <c r="AR921" s="78">
        <v>14</v>
      </c>
      <c r="AS921" s="78">
        <v>83</v>
      </c>
      <c r="AT921" s="78" t="s">
        <v>83</v>
      </c>
      <c r="AU921" s="78" t="s">
        <v>109</v>
      </c>
      <c r="AV921" s="78" t="s">
        <v>133</v>
      </c>
      <c r="AW921" s="78" t="s">
        <v>109</v>
      </c>
      <c r="AX921" s="78" t="s">
        <v>86</v>
      </c>
      <c r="AY921" s="78">
        <v>0</v>
      </c>
      <c r="AZ921" s="78">
        <v>0</v>
      </c>
      <c r="BA921" s="78" t="s">
        <v>87</v>
      </c>
      <c r="BB921" s="78" t="s">
        <v>88</v>
      </c>
      <c r="BC921" s="78" t="s">
        <v>89</v>
      </c>
      <c r="BD921" s="78" t="s">
        <v>90</v>
      </c>
      <c r="BE921" s="78" t="s">
        <v>1669</v>
      </c>
      <c r="BF921" s="78">
        <v>6.8559999999999999</v>
      </c>
      <c r="BG921" s="78">
        <v>0</v>
      </c>
      <c r="BH921" s="78">
        <v>3.2730000000000001</v>
      </c>
      <c r="BI921" s="78">
        <v>1</v>
      </c>
      <c r="BJ921" s="78">
        <v>20</v>
      </c>
      <c r="BK921" s="78" t="s">
        <v>91</v>
      </c>
      <c r="BL921" s="78" t="s">
        <v>84</v>
      </c>
      <c r="BM921" s="78">
        <v>1</v>
      </c>
      <c r="BN921" s="78" t="s">
        <v>484</v>
      </c>
      <c r="BO921" s="78" t="s">
        <v>1670</v>
      </c>
      <c r="BP921" s="78" t="s">
        <v>1671</v>
      </c>
      <c r="BQ921" s="78" t="s">
        <v>92</v>
      </c>
      <c r="BR921" s="78" t="s">
        <v>118</v>
      </c>
      <c r="BS921" s="78">
        <v>29.169</v>
      </c>
      <c r="BT921" s="78">
        <f t="shared" si="375"/>
        <v>0.30900000000000005</v>
      </c>
      <c r="BU921" s="78">
        <v>2010</v>
      </c>
      <c r="BV921" s="78">
        <v>2015</v>
      </c>
      <c r="BW921" s="78" t="s">
        <v>94</v>
      </c>
      <c r="BX921" s="78" t="s">
        <v>95</v>
      </c>
      <c r="BY921" s="78" t="s">
        <v>96</v>
      </c>
      <c r="BZ921" s="78">
        <v>0</v>
      </c>
      <c r="CA921" s="78">
        <v>0</v>
      </c>
      <c r="CB921" s="78" t="s">
        <v>97</v>
      </c>
      <c r="CC921" s="78" t="s">
        <v>1673</v>
      </c>
      <c r="CD921" s="78">
        <v>0</v>
      </c>
      <c r="CE921" s="78" t="s">
        <v>1712</v>
      </c>
      <c r="CF921" s="78">
        <v>1</v>
      </c>
      <c r="CG921" s="78" t="s">
        <v>1688</v>
      </c>
      <c r="CH921" s="78">
        <v>1</v>
      </c>
      <c r="CI921" s="78" t="s">
        <v>1465</v>
      </c>
      <c r="CJ921" s="78" t="s">
        <v>98</v>
      </c>
      <c r="CK921" s="78">
        <v>79</v>
      </c>
      <c r="CL921" s="78">
        <v>0</v>
      </c>
      <c r="CM921" s="78">
        <v>0</v>
      </c>
      <c r="CN921" s="78" t="s">
        <v>99</v>
      </c>
      <c r="CO921" s="78" t="s">
        <v>1318</v>
      </c>
      <c r="CP921" s="78" t="s">
        <v>100</v>
      </c>
      <c r="CQ921" s="78" t="s">
        <v>126</v>
      </c>
      <c r="CR921" s="80">
        <v>46251</v>
      </c>
      <c r="CT921" s="78" t="s">
        <v>457</v>
      </c>
    </row>
    <row r="922" spans="1:98" s="78" customFormat="1" x14ac:dyDescent="0.35">
      <c r="A922" s="77" t="s">
        <v>1666</v>
      </c>
      <c r="B922" s="81" t="s">
        <v>1719</v>
      </c>
      <c r="C922" s="77" t="s">
        <v>1667</v>
      </c>
      <c r="D922" s="78">
        <v>2022</v>
      </c>
      <c r="E922" s="79" t="s">
        <v>1672</v>
      </c>
      <c r="F922" s="77" t="s">
        <v>1668</v>
      </c>
      <c r="G922" s="78" t="s">
        <v>78</v>
      </c>
      <c r="H922" s="78">
        <v>1</v>
      </c>
      <c r="I922" s="78" t="s">
        <v>390</v>
      </c>
      <c r="J922" s="78" t="s">
        <v>79</v>
      </c>
      <c r="K922" s="78">
        <v>33</v>
      </c>
      <c r="L922" s="78" t="s">
        <v>104</v>
      </c>
      <c r="M922" s="78" t="s">
        <v>380</v>
      </c>
      <c r="N922" s="78">
        <v>-4.0400000000000002E-3</v>
      </c>
      <c r="O922" s="78">
        <v>1.4307E-3</v>
      </c>
      <c r="P922" s="95">
        <f t="shared" si="361"/>
        <v>-2.8237925491018383</v>
      </c>
      <c r="Q922" s="78" t="s">
        <v>312</v>
      </c>
      <c r="R922" s="95">
        <f t="shared" si="362"/>
        <v>-6.8441720000000008E-3</v>
      </c>
      <c r="S922" s="95">
        <f t="shared" si="363"/>
        <v>-1.235828E-3</v>
      </c>
      <c r="T922" s="78">
        <v>1</v>
      </c>
      <c r="U922" s="78">
        <v>633165</v>
      </c>
      <c r="V922" s="78" t="s">
        <v>312</v>
      </c>
      <c r="W922" s="78" t="s">
        <v>312</v>
      </c>
      <c r="X922" s="78">
        <f t="shared" si="364"/>
        <v>633165</v>
      </c>
      <c r="Y922" s="95">
        <f t="shared" si="365"/>
        <v>-3.5487189311279518E-3</v>
      </c>
      <c r="Z922" s="95">
        <f t="shared" si="366"/>
        <v>1.2567208353378122E-3</v>
      </c>
      <c r="AA922" s="95">
        <f t="shared" si="367"/>
        <v>-3.5487189311279518E-3</v>
      </c>
      <c r="AB922" s="78" t="s">
        <v>81</v>
      </c>
      <c r="AC922" s="95">
        <f t="shared" si="368"/>
        <v>-2.6882160000000002E-2</v>
      </c>
      <c r="AD922" s="95" cm="1">
        <f t="array" ref="AD922">_xlfn.IFS(
AND(L922="marginal_effect",M922="level"),N922*AN922/BF922,
AND(L922="marginal_effect",M922="sd (Y)"),N922*BI922*AN922/BF922,
AND(L922="marginal_effect",M922="sd (X)"),N922/AQ922*AN922/BF922,
AND(L922="semi_elasticity",M922="level"),N922*AN922,
AND(L922="semi_elasticity",M922="sd (Y)"),N922*AN922*BI922,
AND(L922="semi_elasticity",M922="sd (X)"),N922*AN922/AQ922,
AND(L922="level-log",M922="level"),N922/BF922,
AND(L922="level-log",M922="sd (X)"),N922/BF922/AQ922,
AND(L922="level-log",M922="sd (Y)"),N922/BF922*BI922,
AND(L922="elasticity",M922="level"),N922,
AND(L922="elasticity",M922="sd (X)"),N922/AQ922,
AND(L922="elasticity",M922="sd (Y)"),N922*BI922,
AND(L922="marginal_effect",M922="percent_of_mean"),N922*AN922/BF922/10)</f>
        <v>-2.6882160000000002E-2</v>
      </c>
      <c r="AE922" s="105">
        <f t="shared" si="369"/>
        <v>1</v>
      </c>
      <c r="AF922" s="95">
        <f t="shared" si="370"/>
        <v>9.5198777999999998E-3</v>
      </c>
      <c r="AG922" s="95" cm="1">
        <f t="array" ref="AG922">_xlfn.IFS(
AND(L922="marginal_effect",M922="level"),O922*AN922/BF922,
AND(L922="marginal_effect",M922="sd (Y)"),O922*BI922*AN922/BF922,
AND(L922="marginal_effect",M922="sd (X)"),O922/AQ922*AN922/BF922,
AND(L922="semi_elasticity",M922="level"),O922*AN922,
AND(L922="semi_elasticity",M922="sd (Y)"),O922*AN922*BI922,
AND(L922="semi_elasticity",M922="sd (X)"),O922*AN922/AQ922,
AND(L922="level-log",M922="level"),O922/BF922,
AND(L922="level-log",M922="sd (X)"),O922/BF922/AQ922,
AND(L922="level-log",M922="sd (Y)"),O922/BF922*BI922,
AND(L922="elasticity",M922="level"),O922,
AND(L922="elasticity",M922="sd (X)"),O922/AQ922,
AND(L922="elasticity",M922="sd (Y)"),O922*BI922,
AND(L922="marginal_effect",M922="percent_of_mean"),O922*AN922/BF922/10)</f>
        <v>9.5198777999999998E-3</v>
      </c>
      <c r="AH922" s="105">
        <f t="shared" si="371"/>
        <v>1</v>
      </c>
      <c r="AI922" s="95">
        <f t="shared" si="372"/>
        <v>-2.6882160000000002E-2</v>
      </c>
      <c r="AJ922" s="78">
        <v>0</v>
      </c>
      <c r="AK922" s="78">
        <f t="shared" si="373"/>
        <v>1</v>
      </c>
      <c r="AL922" s="78" t="s">
        <v>82</v>
      </c>
      <c r="AM922" s="78" t="s">
        <v>1333</v>
      </c>
      <c r="AN922" s="78">
        <v>6.6539999999999999</v>
      </c>
      <c r="AO922" s="78">
        <v>0</v>
      </c>
      <c r="AP922" s="78">
        <f t="shared" si="374"/>
        <v>6.6539999999999999</v>
      </c>
      <c r="AQ922" s="78">
        <v>2.7320000000000002</v>
      </c>
      <c r="AR922" s="78">
        <v>0.69099999999999995</v>
      </c>
      <c r="AS922" s="78">
        <v>21.341999999999999</v>
      </c>
      <c r="AT922" s="78" t="s">
        <v>83</v>
      </c>
      <c r="AU922" s="78" t="s">
        <v>109</v>
      </c>
      <c r="AV922" s="78" t="s">
        <v>133</v>
      </c>
      <c r="AW922" s="78" t="s">
        <v>109</v>
      </c>
      <c r="AX922" s="78" t="s">
        <v>86</v>
      </c>
      <c r="AY922" s="78">
        <v>0</v>
      </c>
      <c r="AZ922" s="78">
        <v>0</v>
      </c>
      <c r="BA922" s="78" t="s">
        <v>87</v>
      </c>
      <c r="BB922" s="78" t="s">
        <v>88</v>
      </c>
      <c r="BC922" s="78" t="s">
        <v>89</v>
      </c>
      <c r="BD922" s="78" t="s">
        <v>90</v>
      </c>
      <c r="BE922" s="78" t="s">
        <v>1669</v>
      </c>
      <c r="BF922" s="78">
        <v>6.8559999999999999</v>
      </c>
      <c r="BG922" s="78">
        <v>0</v>
      </c>
      <c r="BH922" s="78">
        <v>3.2730000000000001</v>
      </c>
      <c r="BI922" s="78">
        <v>1</v>
      </c>
      <c r="BJ922" s="78">
        <v>20</v>
      </c>
      <c r="BK922" s="78" t="s">
        <v>91</v>
      </c>
      <c r="BL922" s="78" t="s">
        <v>84</v>
      </c>
      <c r="BM922" s="78">
        <v>1</v>
      </c>
      <c r="BN922" s="78" t="s">
        <v>484</v>
      </c>
      <c r="BO922" s="78" t="s">
        <v>1670</v>
      </c>
      <c r="BP922" s="78" t="s">
        <v>1671</v>
      </c>
      <c r="BQ922" s="78" t="s">
        <v>92</v>
      </c>
      <c r="BR922" s="78" t="s">
        <v>118</v>
      </c>
      <c r="BS922" s="78">
        <v>29.169</v>
      </c>
      <c r="BT922" s="78">
        <f t="shared" si="375"/>
        <v>0.30900000000000005</v>
      </c>
      <c r="BU922" s="78">
        <v>2010</v>
      </c>
      <c r="BV922" s="78">
        <v>2015</v>
      </c>
      <c r="BW922" s="78" t="s">
        <v>94</v>
      </c>
      <c r="BX922" s="78" t="s">
        <v>95</v>
      </c>
      <c r="BY922" s="78" t="s">
        <v>96</v>
      </c>
      <c r="BZ922" s="78">
        <v>0</v>
      </c>
      <c r="CA922" s="78">
        <v>0</v>
      </c>
      <c r="CB922" s="78" t="s">
        <v>97</v>
      </c>
      <c r="CC922" s="78" t="s">
        <v>1673</v>
      </c>
      <c r="CD922" s="78">
        <v>0</v>
      </c>
      <c r="CE922" s="78" t="s">
        <v>1712</v>
      </c>
      <c r="CF922" s="78">
        <v>1</v>
      </c>
      <c r="CG922" s="78" t="s">
        <v>1125</v>
      </c>
      <c r="CH922" s="78">
        <v>1</v>
      </c>
      <c r="CI922" s="78" t="s">
        <v>1465</v>
      </c>
      <c r="CJ922" s="78" t="s">
        <v>98</v>
      </c>
      <c r="CK922" s="78">
        <v>79</v>
      </c>
      <c r="CL922" s="78">
        <v>0</v>
      </c>
      <c r="CM922" s="78">
        <v>0</v>
      </c>
      <c r="CN922" s="78" t="s">
        <v>99</v>
      </c>
      <c r="CO922" s="78" t="s">
        <v>1318</v>
      </c>
      <c r="CP922" s="78" t="s">
        <v>100</v>
      </c>
      <c r="CQ922" s="78" t="s">
        <v>126</v>
      </c>
      <c r="CR922" s="80">
        <v>46251</v>
      </c>
      <c r="CT922" s="78" t="s">
        <v>660</v>
      </c>
    </row>
    <row r="923" spans="1:98" s="78" customFormat="1" x14ac:dyDescent="0.35">
      <c r="A923" s="77" t="s">
        <v>1666</v>
      </c>
      <c r="B923" s="81" t="s">
        <v>1720</v>
      </c>
      <c r="C923" s="77" t="s">
        <v>1667</v>
      </c>
      <c r="D923" s="78">
        <v>2022</v>
      </c>
      <c r="E923" s="79" t="s">
        <v>1672</v>
      </c>
      <c r="F923" s="77" t="s">
        <v>1668</v>
      </c>
      <c r="G923" s="78" t="s">
        <v>78</v>
      </c>
      <c r="H923" s="78">
        <v>1</v>
      </c>
      <c r="I923" s="78" t="s">
        <v>390</v>
      </c>
      <c r="J923" s="78" t="s">
        <v>79</v>
      </c>
      <c r="K923" s="78">
        <v>33</v>
      </c>
      <c r="L923" s="78" t="s">
        <v>104</v>
      </c>
      <c r="M923" s="78" t="s">
        <v>380</v>
      </c>
      <c r="N923" s="78">
        <v>-2.3999999999999998E-3</v>
      </c>
      <c r="O923" s="78">
        <v>7.9920000000000002E-4</v>
      </c>
      <c r="P923" s="95">
        <f t="shared" si="361"/>
        <v>-3.0030030030030028</v>
      </c>
      <c r="Q923" s="78" t="s">
        <v>312</v>
      </c>
      <c r="R923" s="95">
        <f t="shared" si="362"/>
        <v>-3.9664319999999998E-3</v>
      </c>
      <c r="S923" s="95">
        <f t="shared" si="363"/>
        <v>-8.3356799999999981E-4</v>
      </c>
      <c r="T923" s="78">
        <v>1</v>
      </c>
      <c r="U923" s="78">
        <v>633165</v>
      </c>
      <c r="V923" s="78" t="s">
        <v>312</v>
      </c>
      <c r="W923" s="78" t="s">
        <v>312</v>
      </c>
      <c r="X923" s="78">
        <f t="shared" si="364"/>
        <v>633165</v>
      </c>
      <c r="Y923" s="95">
        <f t="shared" si="365"/>
        <v>-3.7739333304902057E-3</v>
      </c>
      <c r="Z923" s="95">
        <f t="shared" si="366"/>
        <v>1.2567197990532388E-3</v>
      </c>
      <c r="AA923" s="95">
        <f t="shared" si="367"/>
        <v>-3.7739333304902057E-3</v>
      </c>
      <c r="AB923" s="78" t="s">
        <v>81</v>
      </c>
      <c r="AC923" s="95">
        <f t="shared" si="368"/>
        <v>-9.2284799999999986E-2</v>
      </c>
      <c r="AD923" s="95" cm="1">
        <f t="array" ref="AD923">_xlfn.IFS(
AND(L923="marginal_effect",M923="level"),N923*AN923/BF923,
AND(L923="marginal_effect",M923="sd (Y)"),N923*BI923*AN923/BF923,
AND(L923="marginal_effect",M923="sd (X)"),N923/AQ923*AN923/BF923,
AND(L923="semi_elasticity",M923="level"),N923*AN923,
AND(L923="semi_elasticity",M923="sd (Y)"),N923*AN923*BI923,
AND(L923="semi_elasticity",M923="sd (X)"),N923*AN923/AQ923,
AND(L923="level-log",M923="level"),N923/BF923,
AND(L923="level-log",M923="sd (X)"),N923/BF923/AQ923,
AND(L923="level-log",M923="sd (Y)"),N923/BF923*BI923,
AND(L923="elasticity",M923="level"),N923,
AND(L923="elasticity",M923="sd (X)"),N923/AQ923,
AND(L923="elasticity",M923="sd (Y)"),N923*BI923,
AND(L923="marginal_effect",M923="percent_of_mean"),N923*AN923/BF923/10)</f>
        <v>-9.2284799999999986E-2</v>
      </c>
      <c r="AE923" s="105">
        <f t="shared" si="369"/>
        <v>1</v>
      </c>
      <c r="AF923" s="95">
        <f t="shared" si="370"/>
        <v>3.0730838399999998E-2</v>
      </c>
      <c r="AG923" s="95" cm="1">
        <f t="array" ref="AG923">_xlfn.IFS(
AND(L923="marginal_effect",M923="level"),O923*AN923/BF923,
AND(L923="marginal_effect",M923="sd (Y)"),O923*BI923*AN923/BF923,
AND(L923="marginal_effect",M923="sd (X)"),O923/AQ923*AN923/BF923,
AND(L923="semi_elasticity",M923="level"),O923*AN923,
AND(L923="semi_elasticity",M923="sd (Y)"),O923*AN923*BI923,
AND(L923="semi_elasticity",M923="sd (X)"),O923*AN923/AQ923,
AND(L923="level-log",M923="level"),O923/BF923,
AND(L923="level-log",M923="sd (X)"),O923/BF923/AQ923,
AND(L923="level-log",M923="sd (Y)"),O923/BF923*BI923,
AND(L923="elasticity",M923="level"),O923,
AND(L923="elasticity",M923="sd (X)"),O923/AQ923,
AND(L923="elasticity",M923="sd (Y)"),O923*BI923,
AND(L923="marginal_effect",M923="percent_of_mean"),O923*AN923/BF923/10)</f>
        <v>3.0730838399999998E-2</v>
      </c>
      <c r="AH923" s="105">
        <f t="shared" si="371"/>
        <v>1</v>
      </c>
      <c r="AI923" s="95">
        <f t="shared" si="372"/>
        <v>-9.2284799999999986E-2</v>
      </c>
      <c r="AJ923" s="78">
        <v>0</v>
      </c>
      <c r="AK923" s="78">
        <f t="shared" si="373"/>
        <v>1</v>
      </c>
      <c r="AL923" s="76" t="s">
        <v>1674</v>
      </c>
      <c r="AM923" s="78" t="s">
        <v>410</v>
      </c>
      <c r="AN923" s="78">
        <v>38.451999999999998</v>
      </c>
      <c r="AO923" s="78">
        <v>0</v>
      </c>
      <c r="AP923" s="78">
        <f t="shared" si="374"/>
        <v>38.451999999999998</v>
      </c>
      <c r="AQ923" s="78">
        <v>9.109</v>
      </c>
      <c r="AR923" s="78">
        <v>14</v>
      </c>
      <c r="AS923" s="78">
        <v>83</v>
      </c>
      <c r="AT923" s="78" t="s">
        <v>83</v>
      </c>
      <c r="AU923" s="78" t="s">
        <v>109</v>
      </c>
      <c r="AV923" s="78" t="s">
        <v>133</v>
      </c>
      <c r="AW923" s="78" t="s">
        <v>109</v>
      </c>
      <c r="AX923" s="78" t="s">
        <v>86</v>
      </c>
      <c r="AY923" s="78">
        <v>0</v>
      </c>
      <c r="AZ923" s="78">
        <v>0</v>
      </c>
      <c r="BA923" s="78" t="s">
        <v>87</v>
      </c>
      <c r="BB923" s="78" t="s">
        <v>88</v>
      </c>
      <c r="BC923" s="78" t="s">
        <v>89</v>
      </c>
      <c r="BD923" s="78" t="s">
        <v>90</v>
      </c>
      <c r="BE923" s="78" t="s">
        <v>1669</v>
      </c>
      <c r="BF923" s="78">
        <v>6.8559999999999999</v>
      </c>
      <c r="BG923" s="78">
        <v>0</v>
      </c>
      <c r="BH923" s="78">
        <v>3.2730000000000001</v>
      </c>
      <c r="BI923" s="78">
        <v>1</v>
      </c>
      <c r="BJ923" s="78">
        <v>20</v>
      </c>
      <c r="BK923" s="78" t="s">
        <v>91</v>
      </c>
      <c r="BL923" s="78" t="s">
        <v>84</v>
      </c>
      <c r="BM923" s="78">
        <v>1</v>
      </c>
      <c r="BN923" s="78" t="s">
        <v>484</v>
      </c>
      <c r="BO923" s="78" t="s">
        <v>1670</v>
      </c>
      <c r="BP923" s="78" t="s">
        <v>1671</v>
      </c>
      <c r="BQ923" s="78" t="s">
        <v>92</v>
      </c>
      <c r="BR923" s="78" t="s">
        <v>118</v>
      </c>
      <c r="BS923" s="78">
        <v>29.169</v>
      </c>
      <c r="BT923" s="78">
        <f t="shared" si="375"/>
        <v>0.30900000000000005</v>
      </c>
      <c r="BU923" s="78">
        <v>2010</v>
      </c>
      <c r="BV923" s="78">
        <v>2015</v>
      </c>
      <c r="BW923" s="78" t="s">
        <v>94</v>
      </c>
      <c r="BX923" s="78" t="s">
        <v>95</v>
      </c>
      <c r="BY923" s="78" t="s">
        <v>96</v>
      </c>
      <c r="BZ923" s="78">
        <v>0</v>
      </c>
      <c r="CA923" s="78">
        <v>0</v>
      </c>
      <c r="CB923" s="78" t="s">
        <v>97</v>
      </c>
      <c r="CC923" s="78" t="s">
        <v>1673</v>
      </c>
      <c r="CD923" s="78">
        <v>0</v>
      </c>
      <c r="CE923" s="78" t="s">
        <v>1712</v>
      </c>
      <c r="CF923" s="78">
        <v>1</v>
      </c>
      <c r="CG923" s="78" t="s">
        <v>1688</v>
      </c>
      <c r="CH923" s="78">
        <v>1</v>
      </c>
      <c r="CI923" s="78" t="s">
        <v>1465</v>
      </c>
      <c r="CJ923" s="78" t="s">
        <v>98</v>
      </c>
      <c r="CK923" s="78">
        <v>79</v>
      </c>
      <c r="CL923" s="78">
        <v>0</v>
      </c>
      <c r="CM923" s="78">
        <v>0</v>
      </c>
      <c r="CN923" s="78" t="s">
        <v>99</v>
      </c>
      <c r="CO923" s="78" t="s">
        <v>1318</v>
      </c>
      <c r="CP923" s="78" t="s">
        <v>100</v>
      </c>
      <c r="CQ923" s="78" t="s">
        <v>126</v>
      </c>
      <c r="CR923" s="80">
        <v>46251</v>
      </c>
      <c r="CT923" s="78" t="s">
        <v>660</v>
      </c>
    </row>
    <row r="924" spans="1:98" s="78" customFormat="1" x14ac:dyDescent="0.35">
      <c r="A924" s="77" t="s">
        <v>1666</v>
      </c>
      <c r="B924" s="81" t="s">
        <v>1721</v>
      </c>
      <c r="C924" s="77" t="s">
        <v>1667</v>
      </c>
      <c r="D924" s="78">
        <v>2022</v>
      </c>
      <c r="E924" s="79" t="s">
        <v>1672</v>
      </c>
      <c r="F924" s="77" t="s">
        <v>1668</v>
      </c>
      <c r="G924" s="78" t="s">
        <v>78</v>
      </c>
      <c r="H924" s="78">
        <v>1</v>
      </c>
      <c r="I924" s="78" t="s">
        <v>390</v>
      </c>
      <c r="J924" s="78" t="s">
        <v>79</v>
      </c>
      <c r="K924" s="78">
        <v>33</v>
      </c>
      <c r="L924" s="78" t="s">
        <v>104</v>
      </c>
      <c r="M924" s="78" t="s">
        <v>380</v>
      </c>
      <c r="N924" s="78">
        <v>-4.5199999999999997E-3</v>
      </c>
      <c r="O924" s="78">
        <v>2.1676E-3</v>
      </c>
      <c r="P924" s="95">
        <f t="shared" si="361"/>
        <v>-2.0852555822107397</v>
      </c>
      <c r="Q924" s="78" t="s">
        <v>312</v>
      </c>
      <c r="R924" s="95">
        <f t="shared" si="362"/>
        <v>-8.7684960000000006E-3</v>
      </c>
      <c r="S924" s="95">
        <f t="shared" si="363"/>
        <v>-2.7150399999999967E-4</v>
      </c>
      <c r="T924" s="78">
        <v>1</v>
      </c>
      <c r="U924" s="78">
        <v>633165</v>
      </c>
      <c r="V924" s="78" t="s">
        <v>312</v>
      </c>
      <c r="W924" s="78" t="s">
        <v>312</v>
      </c>
      <c r="X924" s="78">
        <f t="shared" si="364"/>
        <v>633165</v>
      </c>
      <c r="Y924" s="95">
        <f t="shared" si="365"/>
        <v>-2.6205916398610351E-3</v>
      </c>
      <c r="Z924" s="95">
        <f t="shared" si="366"/>
        <v>1.2567244333103497E-3</v>
      </c>
      <c r="AA924" s="95">
        <f t="shared" si="367"/>
        <v>-2.6205916398610351E-3</v>
      </c>
      <c r="AB924" s="78" t="s">
        <v>81</v>
      </c>
      <c r="AC924" s="95">
        <f t="shared" si="368"/>
        <v>-0.17380303999999999</v>
      </c>
      <c r="AD924" s="95" cm="1">
        <f t="array" ref="AD924">_xlfn.IFS(
AND(L924="marginal_effect",M924="level"),N924*AN924/BF924,
AND(L924="marginal_effect",M924="sd (Y)"),N924*BI924*AN924/BF924,
AND(L924="marginal_effect",M924="sd (X)"),N924/AQ924*AN924/BF924,
AND(L924="semi_elasticity",M924="level"),N924*AN924,
AND(L924="semi_elasticity",M924="sd (Y)"),N924*AN924*BI924,
AND(L924="semi_elasticity",M924="sd (X)"),N924*AN924/AQ924,
AND(L924="level-log",M924="level"),N924/BF924,
AND(L924="level-log",M924="sd (X)"),N924/BF924/AQ924,
AND(L924="level-log",M924="sd (Y)"),N924/BF924*BI924,
AND(L924="elasticity",M924="level"),N924,
AND(L924="elasticity",M924="sd (X)"),N924/AQ924,
AND(L924="elasticity",M924="sd (Y)"),N924*BI924,
AND(L924="marginal_effect",M924="percent_of_mean"),N924*AN924/BF924/10)</f>
        <v>-0.17380303999999999</v>
      </c>
      <c r="AE924" s="105">
        <f t="shared" si="369"/>
        <v>1</v>
      </c>
      <c r="AF924" s="95">
        <f t="shared" si="370"/>
        <v>8.3348555199999994E-2</v>
      </c>
      <c r="AG924" s="95" cm="1">
        <f t="array" ref="AG924">_xlfn.IFS(
AND(L924="marginal_effect",M924="level"),O924*AN924/BF924,
AND(L924="marginal_effect",M924="sd (Y)"),O924*BI924*AN924/BF924,
AND(L924="marginal_effect",M924="sd (X)"),O924/AQ924*AN924/BF924,
AND(L924="semi_elasticity",M924="level"),O924*AN924,
AND(L924="semi_elasticity",M924="sd (Y)"),O924*AN924*BI924,
AND(L924="semi_elasticity",M924="sd (X)"),O924*AN924/AQ924,
AND(L924="level-log",M924="level"),O924/BF924,
AND(L924="level-log",M924="sd (X)"),O924/BF924/AQ924,
AND(L924="level-log",M924="sd (Y)"),O924/BF924*BI924,
AND(L924="elasticity",M924="level"),O924,
AND(L924="elasticity",M924="sd (X)"),O924/AQ924,
AND(L924="elasticity",M924="sd (Y)"),O924*BI924,
AND(L924="marginal_effect",M924="percent_of_mean"),O924*AN924/BF924/10)</f>
        <v>8.3348555199999994E-2</v>
      </c>
      <c r="AH924" s="105">
        <f t="shared" si="371"/>
        <v>1</v>
      </c>
      <c r="AI924" s="95">
        <f t="shared" si="372"/>
        <v>-0.17380303999999999</v>
      </c>
      <c r="AJ924" s="78">
        <v>0</v>
      </c>
      <c r="AK924" s="78">
        <f t="shared" si="373"/>
        <v>1</v>
      </c>
      <c r="AL924" s="76" t="s">
        <v>1674</v>
      </c>
      <c r="AM924" s="78" t="s">
        <v>410</v>
      </c>
      <c r="AN924" s="78">
        <v>38.451999999999998</v>
      </c>
      <c r="AO924" s="78">
        <v>0</v>
      </c>
      <c r="AP924" s="78">
        <f t="shared" si="374"/>
        <v>38.451999999999998</v>
      </c>
      <c r="AQ924" s="78">
        <v>9.109</v>
      </c>
      <c r="AR924" s="78">
        <v>14</v>
      </c>
      <c r="AS924" s="78">
        <v>83</v>
      </c>
      <c r="AT924" s="78" t="s">
        <v>83</v>
      </c>
      <c r="AU924" s="78" t="s">
        <v>109</v>
      </c>
      <c r="AV924" s="78" t="s">
        <v>133</v>
      </c>
      <c r="AW924" s="78" t="s">
        <v>109</v>
      </c>
      <c r="AX924" s="78" t="s">
        <v>86</v>
      </c>
      <c r="AY924" s="78">
        <v>0</v>
      </c>
      <c r="AZ924" s="78">
        <v>0</v>
      </c>
      <c r="BA924" s="78" t="s">
        <v>87</v>
      </c>
      <c r="BB924" s="78" t="s">
        <v>88</v>
      </c>
      <c r="BC924" s="78" t="s">
        <v>89</v>
      </c>
      <c r="BD924" s="78" t="s">
        <v>90</v>
      </c>
      <c r="BE924" s="78" t="s">
        <v>1669</v>
      </c>
      <c r="BF924" s="78">
        <v>6.8559999999999999</v>
      </c>
      <c r="BG924" s="78">
        <v>0</v>
      </c>
      <c r="BH924" s="78">
        <v>3.2730000000000001</v>
      </c>
      <c r="BI924" s="78">
        <v>1</v>
      </c>
      <c r="BJ924" s="78">
        <v>20</v>
      </c>
      <c r="BK924" s="78" t="s">
        <v>91</v>
      </c>
      <c r="BL924" s="78" t="s">
        <v>84</v>
      </c>
      <c r="BM924" s="78">
        <v>1</v>
      </c>
      <c r="BN924" s="78" t="s">
        <v>484</v>
      </c>
      <c r="BO924" s="78" t="s">
        <v>1670</v>
      </c>
      <c r="BP924" s="78" t="s">
        <v>1671</v>
      </c>
      <c r="BQ924" s="78" t="s">
        <v>92</v>
      </c>
      <c r="BR924" s="78" t="s">
        <v>118</v>
      </c>
      <c r="BS924" s="78">
        <v>29.169</v>
      </c>
      <c r="BT924" s="78">
        <f t="shared" si="375"/>
        <v>0.30900000000000005</v>
      </c>
      <c r="BU924" s="78">
        <v>2010</v>
      </c>
      <c r="BV924" s="78">
        <v>2015</v>
      </c>
      <c r="BW924" s="78" t="s">
        <v>94</v>
      </c>
      <c r="BX924" s="78" t="s">
        <v>95</v>
      </c>
      <c r="BY924" s="78" t="s">
        <v>96</v>
      </c>
      <c r="BZ924" s="78">
        <v>0</v>
      </c>
      <c r="CA924" s="78">
        <v>0</v>
      </c>
      <c r="CB924" s="78" t="s">
        <v>97</v>
      </c>
      <c r="CC924" s="78" t="s">
        <v>1673</v>
      </c>
      <c r="CD924" s="78">
        <v>0</v>
      </c>
      <c r="CE924" s="78" t="s">
        <v>1712</v>
      </c>
      <c r="CF924" s="78">
        <v>1</v>
      </c>
      <c r="CG924" s="78" t="s">
        <v>1688</v>
      </c>
      <c r="CH924" s="78">
        <v>1</v>
      </c>
      <c r="CI924" s="78" t="s">
        <v>1465</v>
      </c>
      <c r="CJ924" s="78" t="s">
        <v>98</v>
      </c>
      <c r="CK924" s="78">
        <v>79</v>
      </c>
      <c r="CL924" s="78">
        <v>0</v>
      </c>
      <c r="CM924" s="78">
        <v>0</v>
      </c>
      <c r="CN924" s="78" t="s">
        <v>99</v>
      </c>
      <c r="CO924" s="78" t="s">
        <v>1318</v>
      </c>
      <c r="CP924" s="78" t="s">
        <v>100</v>
      </c>
      <c r="CQ924" s="78" t="s">
        <v>126</v>
      </c>
      <c r="CR924" s="80">
        <v>46251</v>
      </c>
      <c r="CT924" s="78" t="s">
        <v>660</v>
      </c>
    </row>
    <row r="925" spans="1:98" s="78" customFormat="1" x14ac:dyDescent="0.35">
      <c r="A925" s="77" t="s">
        <v>1666</v>
      </c>
      <c r="B925" s="81" t="s">
        <v>1722</v>
      </c>
      <c r="C925" s="77" t="s">
        <v>1667</v>
      </c>
      <c r="D925" s="78">
        <v>2022</v>
      </c>
      <c r="E925" s="79" t="s">
        <v>1672</v>
      </c>
      <c r="F925" s="77" t="s">
        <v>1668</v>
      </c>
      <c r="G925" s="78" t="s">
        <v>78</v>
      </c>
      <c r="H925" s="78">
        <v>1</v>
      </c>
      <c r="I925" s="78" t="s">
        <v>390</v>
      </c>
      <c r="J925" s="78" t="s">
        <v>79</v>
      </c>
      <c r="K925" s="78">
        <v>33</v>
      </c>
      <c r="L925" s="78" t="s">
        <v>104</v>
      </c>
      <c r="M925" s="78" t="s">
        <v>380</v>
      </c>
      <c r="N925" s="78">
        <v>-4.3E-3</v>
      </c>
      <c r="O925" s="78">
        <v>1.4189999999999999E-3</v>
      </c>
      <c r="P925" s="95">
        <f t="shared" si="361"/>
        <v>-3.0303030303030307</v>
      </c>
      <c r="Q925" s="78" t="s">
        <v>312</v>
      </c>
      <c r="R925" s="95">
        <f t="shared" si="362"/>
        <v>-7.0812399999999999E-3</v>
      </c>
      <c r="S925" s="95">
        <f t="shared" si="363"/>
        <v>-1.5187600000000001E-3</v>
      </c>
      <c r="T925" s="78">
        <v>1</v>
      </c>
      <c r="U925" s="78">
        <v>633165</v>
      </c>
      <c r="V925" s="78" t="s">
        <v>312</v>
      </c>
      <c r="W925" s="78" t="s">
        <v>312</v>
      </c>
      <c r="X925" s="78">
        <f t="shared" si="364"/>
        <v>633165</v>
      </c>
      <c r="Y925" s="95">
        <f t="shared" si="365"/>
        <v>-3.80824131998837E-3</v>
      </c>
      <c r="Z925" s="95">
        <f t="shared" si="366"/>
        <v>1.256719635596162E-3</v>
      </c>
      <c r="AA925" s="95">
        <f t="shared" si="367"/>
        <v>-3.80824131998837E-3</v>
      </c>
      <c r="AB925" s="78" t="s">
        <v>81</v>
      </c>
      <c r="AC925" s="95">
        <f t="shared" si="368"/>
        <v>-2.8612200000000001E-2</v>
      </c>
      <c r="AD925" s="95" cm="1">
        <f t="array" ref="AD925">_xlfn.IFS(
AND(L925="marginal_effect",M925="level"),N925*AN925/BF925,
AND(L925="marginal_effect",M925="sd (Y)"),N925*BI925*AN925/BF925,
AND(L925="marginal_effect",M925="sd (X)"),N925/AQ925*AN925/BF925,
AND(L925="semi_elasticity",M925="level"),N925*AN925,
AND(L925="semi_elasticity",M925="sd (Y)"),N925*AN925*BI925,
AND(L925="semi_elasticity",M925="sd (X)"),N925*AN925/AQ925,
AND(L925="level-log",M925="level"),N925/BF925,
AND(L925="level-log",M925="sd (X)"),N925/BF925/AQ925,
AND(L925="level-log",M925="sd (Y)"),N925/BF925*BI925,
AND(L925="elasticity",M925="level"),N925,
AND(L925="elasticity",M925="sd (X)"),N925/AQ925,
AND(L925="elasticity",M925="sd (Y)"),N925*BI925,
AND(L925="marginal_effect",M925="percent_of_mean"),N925*AN925/BF925/10)</f>
        <v>-2.8612200000000001E-2</v>
      </c>
      <c r="AE925" s="105">
        <f t="shared" si="369"/>
        <v>1</v>
      </c>
      <c r="AF925" s="95">
        <f t="shared" si="370"/>
        <v>9.4420259999999992E-3</v>
      </c>
      <c r="AG925" s="95" cm="1">
        <f t="array" ref="AG925">_xlfn.IFS(
AND(L925="marginal_effect",M925="level"),O925*AN925/BF925,
AND(L925="marginal_effect",M925="sd (Y)"),O925*BI925*AN925/BF925,
AND(L925="marginal_effect",M925="sd (X)"),O925/AQ925*AN925/BF925,
AND(L925="semi_elasticity",M925="level"),O925*AN925,
AND(L925="semi_elasticity",M925="sd (Y)"),O925*AN925*BI925,
AND(L925="semi_elasticity",M925="sd (X)"),O925*AN925/AQ925,
AND(L925="level-log",M925="level"),O925/BF925,
AND(L925="level-log",M925="sd (X)"),O925/BF925/AQ925,
AND(L925="level-log",M925="sd (Y)"),O925/BF925*BI925,
AND(L925="elasticity",M925="level"),O925,
AND(L925="elasticity",M925="sd (X)"),O925/AQ925,
AND(L925="elasticity",M925="sd (Y)"),O925*BI925,
AND(L925="marginal_effect",M925="percent_of_mean"),O925*AN925/BF925/10)</f>
        <v>9.4420259999999992E-3</v>
      </c>
      <c r="AH925" s="105">
        <f t="shared" si="371"/>
        <v>1</v>
      </c>
      <c r="AI925" s="95">
        <f t="shared" si="372"/>
        <v>-2.8612200000000001E-2</v>
      </c>
      <c r="AJ925" s="78">
        <v>0</v>
      </c>
      <c r="AK925" s="78">
        <f t="shared" si="373"/>
        <v>1</v>
      </c>
      <c r="AL925" s="78" t="s">
        <v>82</v>
      </c>
      <c r="AM925" s="78" t="s">
        <v>1333</v>
      </c>
      <c r="AN925" s="78">
        <v>6.6539999999999999</v>
      </c>
      <c r="AO925" s="78">
        <v>0</v>
      </c>
      <c r="AP925" s="78">
        <f t="shared" si="374"/>
        <v>6.6539999999999999</v>
      </c>
      <c r="AQ925" s="78">
        <v>2.7320000000000002</v>
      </c>
      <c r="AR925" s="78">
        <v>0.69099999999999995</v>
      </c>
      <c r="AS925" s="78">
        <v>21.341999999999999</v>
      </c>
      <c r="AT925" s="78" t="s">
        <v>83</v>
      </c>
      <c r="AU925" s="78" t="s">
        <v>109</v>
      </c>
      <c r="AV925" s="78" t="s">
        <v>133</v>
      </c>
      <c r="AW925" s="78" t="s">
        <v>109</v>
      </c>
      <c r="AX925" s="78" t="s">
        <v>86</v>
      </c>
      <c r="AY925" s="78">
        <v>0</v>
      </c>
      <c r="AZ925" s="78">
        <v>0</v>
      </c>
      <c r="BA925" s="78" t="s">
        <v>87</v>
      </c>
      <c r="BB925" s="78" t="s">
        <v>88</v>
      </c>
      <c r="BC925" s="78" t="s">
        <v>89</v>
      </c>
      <c r="BD925" s="78" t="s">
        <v>90</v>
      </c>
      <c r="BE925" s="78" t="s">
        <v>1669</v>
      </c>
      <c r="BF925" s="78">
        <v>6.8559999999999999</v>
      </c>
      <c r="BG925" s="78">
        <v>0</v>
      </c>
      <c r="BH925" s="78">
        <v>3.2730000000000001</v>
      </c>
      <c r="BI925" s="78">
        <v>1</v>
      </c>
      <c r="BJ925" s="78">
        <v>20</v>
      </c>
      <c r="BK925" s="78" t="s">
        <v>91</v>
      </c>
      <c r="BL925" s="78" t="s">
        <v>84</v>
      </c>
      <c r="BM925" s="78">
        <v>1</v>
      </c>
      <c r="BN925" s="78" t="s">
        <v>484</v>
      </c>
      <c r="BO925" s="78" t="s">
        <v>1670</v>
      </c>
      <c r="BP925" s="78" t="s">
        <v>1671</v>
      </c>
      <c r="BQ925" s="78" t="s">
        <v>92</v>
      </c>
      <c r="BR925" s="78" t="s">
        <v>118</v>
      </c>
      <c r="BS925" s="78">
        <v>29.169</v>
      </c>
      <c r="BT925" s="78">
        <f t="shared" si="375"/>
        <v>0.30900000000000005</v>
      </c>
      <c r="BU925" s="78">
        <v>2010</v>
      </c>
      <c r="BV925" s="78">
        <v>2015</v>
      </c>
      <c r="BW925" s="78" t="s">
        <v>94</v>
      </c>
      <c r="BX925" s="78" t="s">
        <v>95</v>
      </c>
      <c r="BY925" s="78" t="s">
        <v>96</v>
      </c>
      <c r="BZ925" s="78">
        <v>0</v>
      </c>
      <c r="CA925" s="78">
        <v>0</v>
      </c>
      <c r="CB925" s="78" t="s">
        <v>97</v>
      </c>
      <c r="CC925" s="78" t="s">
        <v>1673</v>
      </c>
      <c r="CD925" s="78">
        <v>0</v>
      </c>
      <c r="CE925" s="78" t="s">
        <v>1712</v>
      </c>
      <c r="CF925" s="78">
        <v>1</v>
      </c>
      <c r="CG925" s="78" t="s">
        <v>1125</v>
      </c>
      <c r="CH925" s="78">
        <v>1</v>
      </c>
      <c r="CI925" s="78" t="s">
        <v>1465</v>
      </c>
      <c r="CJ925" s="78" t="s">
        <v>98</v>
      </c>
      <c r="CK925" s="78">
        <v>79</v>
      </c>
      <c r="CL925" s="78">
        <v>0</v>
      </c>
      <c r="CM925" s="78">
        <v>0</v>
      </c>
      <c r="CN925" s="78" t="s">
        <v>99</v>
      </c>
      <c r="CO925" s="78" t="s">
        <v>1318</v>
      </c>
      <c r="CP925" s="78" t="s">
        <v>100</v>
      </c>
      <c r="CQ925" s="78" t="s">
        <v>126</v>
      </c>
      <c r="CR925" s="80">
        <v>46251</v>
      </c>
      <c r="CT925" s="78" t="s">
        <v>780</v>
      </c>
    </row>
    <row r="926" spans="1:98" s="78" customFormat="1" x14ac:dyDescent="0.35">
      <c r="A926" s="77" t="s">
        <v>1666</v>
      </c>
      <c r="B926" s="81" t="s">
        <v>1723</v>
      </c>
      <c r="C926" s="77" t="s">
        <v>1667</v>
      </c>
      <c r="D926" s="78">
        <v>2022</v>
      </c>
      <c r="E926" s="79" t="s">
        <v>1672</v>
      </c>
      <c r="F926" s="77" t="s">
        <v>1668</v>
      </c>
      <c r="G926" s="78" t="s">
        <v>78</v>
      </c>
      <c r="H926" s="78">
        <v>1</v>
      </c>
      <c r="I926" s="78" t="s">
        <v>390</v>
      </c>
      <c r="J926" s="78" t="s">
        <v>79</v>
      </c>
      <c r="K926" s="78">
        <v>33</v>
      </c>
      <c r="L926" s="78" t="s">
        <v>104</v>
      </c>
      <c r="M926" s="78" t="s">
        <v>380</v>
      </c>
      <c r="N926" s="78">
        <v>-1.8600000000000001E-3</v>
      </c>
      <c r="O926" s="78">
        <v>7.6349999999999996E-4</v>
      </c>
      <c r="P926" s="95">
        <f t="shared" si="361"/>
        <v>-2.4361493123772107</v>
      </c>
      <c r="Q926" s="78" t="s">
        <v>312</v>
      </c>
      <c r="R926" s="95">
        <f t="shared" si="362"/>
        <v>-3.3564599999999999E-3</v>
      </c>
      <c r="S926" s="95">
        <f t="shared" si="363"/>
        <v>-3.635400000000003E-4</v>
      </c>
      <c r="T926" s="78">
        <v>1</v>
      </c>
      <c r="U926" s="78">
        <v>633165</v>
      </c>
      <c r="V926" s="78" t="s">
        <v>312</v>
      </c>
      <c r="W926" s="78" t="s">
        <v>312</v>
      </c>
      <c r="X926" s="78">
        <f t="shared" si="364"/>
        <v>633165</v>
      </c>
      <c r="Y926" s="95">
        <f t="shared" si="365"/>
        <v>-3.0615645283774647E-3</v>
      </c>
      <c r="Z926" s="95">
        <f t="shared" si="366"/>
        <v>1.2567228588259108E-3</v>
      </c>
      <c r="AA926" s="95">
        <f t="shared" si="367"/>
        <v>-3.0615645283774647E-3</v>
      </c>
      <c r="AB926" s="78" t="s">
        <v>81</v>
      </c>
      <c r="AC926" s="95">
        <f t="shared" si="368"/>
        <v>-7.1520719999999996E-2</v>
      </c>
      <c r="AD926" s="95" cm="1">
        <f t="array" ref="AD926">_xlfn.IFS(
AND(L926="marginal_effect",M926="level"),N926*AN926/BF926,
AND(L926="marginal_effect",M926="sd (Y)"),N926*BI926*AN926/BF926,
AND(L926="marginal_effect",M926="sd (X)"),N926/AQ926*AN926/BF926,
AND(L926="semi_elasticity",M926="level"),N926*AN926,
AND(L926="semi_elasticity",M926="sd (Y)"),N926*AN926*BI926,
AND(L926="semi_elasticity",M926="sd (X)"),N926*AN926/AQ926,
AND(L926="level-log",M926="level"),N926/BF926,
AND(L926="level-log",M926="sd (X)"),N926/BF926/AQ926,
AND(L926="level-log",M926="sd (Y)"),N926/BF926*BI926,
AND(L926="elasticity",M926="level"),N926,
AND(L926="elasticity",M926="sd (X)"),N926/AQ926,
AND(L926="elasticity",M926="sd (Y)"),N926*BI926,
AND(L926="marginal_effect",M926="percent_of_mean"),N926*AN926/BF926/10)</f>
        <v>-7.1520719999999996E-2</v>
      </c>
      <c r="AE926" s="105">
        <f t="shared" si="369"/>
        <v>1</v>
      </c>
      <c r="AF926" s="95">
        <f t="shared" si="370"/>
        <v>2.9358101999999997E-2</v>
      </c>
      <c r="AG926" s="95" cm="1">
        <f t="array" ref="AG926">_xlfn.IFS(
AND(L926="marginal_effect",M926="level"),O926*AN926/BF926,
AND(L926="marginal_effect",M926="sd (Y)"),O926*BI926*AN926/BF926,
AND(L926="marginal_effect",M926="sd (X)"),O926/AQ926*AN926/BF926,
AND(L926="semi_elasticity",M926="level"),O926*AN926,
AND(L926="semi_elasticity",M926="sd (Y)"),O926*AN926*BI926,
AND(L926="semi_elasticity",M926="sd (X)"),O926*AN926/AQ926,
AND(L926="level-log",M926="level"),O926/BF926,
AND(L926="level-log",M926="sd (X)"),O926/BF926/AQ926,
AND(L926="level-log",M926="sd (Y)"),O926/BF926*BI926,
AND(L926="elasticity",M926="level"),O926,
AND(L926="elasticity",M926="sd (X)"),O926/AQ926,
AND(L926="elasticity",M926="sd (Y)"),O926*BI926,
AND(L926="marginal_effect",M926="percent_of_mean"),O926*AN926/BF926/10)</f>
        <v>2.9358101999999997E-2</v>
      </c>
      <c r="AH926" s="105">
        <f t="shared" si="371"/>
        <v>1</v>
      </c>
      <c r="AI926" s="95">
        <f t="shared" si="372"/>
        <v>-7.1520719999999996E-2</v>
      </c>
      <c r="AJ926" s="78">
        <v>0</v>
      </c>
      <c r="AK926" s="78">
        <f t="shared" si="373"/>
        <v>1</v>
      </c>
      <c r="AL926" s="76" t="s">
        <v>1674</v>
      </c>
      <c r="AM926" s="78" t="s">
        <v>410</v>
      </c>
      <c r="AN926" s="78">
        <v>38.451999999999998</v>
      </c>
      <c r="AO926" s="78">
        <v>0</v>
      </c>
      <c r="AP926" s="78">
        <f t="shared" si="374"/>
        <v>38.451999999999998</v>
      </c>
      <c r="AQ926" s="78">
        <v>9.109</v>
      </c>
      <c r="AR926" s="78">
        <v>14</v>
      </c>
      <c r="AS926" s="78">
        <v>83</v>
      </c>
      <c r="AT926" s="78" t="s">
        <v>83</v>
      </c>
      <c r="AU926" s="78" t="s">
        <v>109</v>
      </c>
      <c r="AV926" s="78" t="s">
        <v>133</v>
      </c>
      <c r="AW926" s="78" t="s">
        <v>109</v>
      </c>
      <c r="AX926" s="78" t="s">
        <v>86</v>
      </c>
      <c r="AY926" s="78">
        <v>0</v>
      </c>
      <c r="AZ926" s="78">
        <v>0</v>
      </c>
      <c r="BA926" s="78" t="s">
        <v>87</v>
      </c>
      <c r="BB926" s="78" t="s">
        <v>88</v>
      </c>
      <c r="BC926" s="78" t="s">
        <v>89</v>
      </c>
      <c r="BD926" s="78" t="s">
        <v>90</v>
      </c>
      <c r="BE926" s="78" t="s">
        <v>1669</v>
      </c>
      <c r="BF926" s="78">
        <v>6.8559999999999999</v>
      </c>
      <c r="BG926" s="78">
        <v>0</v>
      </c>
      <c r="BH926" s="78">
        <v>3.2730000000000001</v>
      </c>
      <c r="BI926" s="78">
        <v>1</v>
      </c>
      <c r="BJ926" s="78">
        <v>20</v>
      </c>
      <c r="BK926" s="78" t="s">
        <v>91</v>
      </c>
      <c r="BL926" s="78" t="s">
        <v>84</v>
      </c>
      <c r="BM926" s="78">
        <v>1</v>
      </c>
      <c r="BN926" s="78" t="s">
        <v>484</v>
      </c>
      <c r="BO926" s="78" t="s">
        <v>1670</v>
      </c>
      <c r="BP926" s="78" t="s">
        <v>1671</v>
      </c>
      <c r="BQ926" s="78" t="s">
        <v>92</v>
      </c>
      <c r="BR926" s="78" t="s">
        <v>118</v>
      </c>
      <c r="BS926" s="78">
        <v>29.169</v>
      </c>
      <c r="BT926" s="78">
        <f t="shared" si="375"/>
        <v>0.30900000000000005</v>
      </c>
      <c r="BU926" s="78">
        <v>2010</v>
      </c>
      <c r="BV926" s="78">
        <v>2015</v>
      </c>
      <c r="BW926" s="78" t="s">
        <v>94</v>
      </c>
      <c r="BX926" s="78" t="s">
        <v>95</v>
      </c>
      <c r="BY926" s="78" t="s">
        <v>96</v>
      </c>
      <c r="BZ926" s="78">
        <v>0</v>
      </c>
      <c r="CA926" s="78">
        <v>0</v>
      </c>
      <c r="CB926" s="78" t="s">
        <v>97</v>
      </c>
      <c r="CC926" s="78" t="s">
        <v>1673</v>
      </c>
      <c r="CD926" s="78">
        <v>0</v>
      </c>
      <c r="CE926" s="78" t="s">
        <v>1712</v>
      </c>
      <c r="CF926" s="78">
        <v>1</v>
      </c>
      <c r="CG926" s="78" t="s">
        <v>1688</v>
      </c>
      <c r="CH926" s="78">
        <v>1</v>
      </c>
      <c r="CI926" s="78" t="s">
        <v>1465</v>
      </c>
      <c r="CJ926" s="78" t="s">
        <v>98</v>
      </c>
      <c r="CK926" s="78">
        <v>79</v>
      </c>
      <c r="CL926" s="78">
        <v>0</v>
      </c>
      <c r="CM926" s="78">
        <v>0</v>
      </c>
      <c r="CN926" s="78" t="s">
        <v>99</v>
      </c>
      <c r="CO926" s="78" t="s">
        <v>1318</v>
      </c>
      <c r="CP926" s="78" t="s">
        <v>100</v>
      </c>
      <c r="CQ926" s="78" t="s">
        <v>126</v>
      </c>
      <c r="CR926" s="80">
        <v>46251</v>
      </c>
      <c r="CT926" s="78" t="s">
        <v>780</v>
      </c>
    </row>
    <row r="927" spans="1:98" s="78" customFormat="1" x14ac:dyDescent="0.35">
      <c r="A927" s="77" t="s">
        <v>1666</v>
      </c>
      <c r="B927" s="81" t="s">
        <v>1724</v>
      </c>
      <c r="C927" s="77" t="s">
        <v>1667</v>
      </c>
      <c r="D927" s="78">
        <v>2022</v>
      </c>
      <c r="E927" s="79" t="s">
        <v>1672</v>
      </c>
      <c r="F927" s="77" t="s">
        <v>1668</v>
      </c>
      <c r="G927" s="78" t="s">
        <v>78</v>
      </c>
      <c r="H927" s="78">
        <v>1</v>
      </c>
      <c r="I927" s="78" t="s">
        <v>390</v>
      </c>
      <c r="J927" s="78" t="s">
        <v>79</v>
      </c>
      <c r="K927" s="78">
        <v>33</v>
      </c>
      <c r="L927" s="78" t="s">
        <v>104</v>
      </c>
      <c r="M927" s="78" t="s">
        <v>380</v>
      </c>
      <c r="N927" s="78">
        <v>-1.8400000000000001E-3</v>
      </c>
      <c r="O927" s="78">
        <v>7.6300000000000001E-4</v>
      </c>
      <c r="P927" s="95">
        <f t="shared" si="361"/>
        <v>-2.4115334207077326</v>
      </c>
      <c r="Q927" s="78" t="s">
        <v>312</v>
      </c>
      <c r="R927" s="95">
        <f t="shared" si="362"/>
        <v>-3.33548E-3</v>
      </c>
      <c r="S927" s="95">
        <f t="shared" si="363"/>
        <v>-3.4452000000000007E-4</v>
      </c>
      <c r="T927" s="78">
        <v>1</v>
      </c>
      <c r="U927" s="78">
        <v>633165</v>
      </c>
      <c r="V927" s="78" t="s">
        <v>312</v>
      </c>
      <c r="W927" s="78" t="s">
        <v>312</v>
      </c>
      <c r="X927" s="78">
        <f t="shared" si="364"/>
        <v>633165</v>
      </c>
      <c r="Y927" s="95">
        <f t="shared" si="365"/>
        <v>-3.0306294602085917E-3</v>
      </c>
      <c r="Z927" s="95">
        <f t="shared" si="366"/>
        <v>1.2567229772495411E-3</v>
      </c>
      <c r="AA927" s="95">
        <f t="shared" si="367"/>
        <v>-3.0306294602085917E-3</v>
      </c>
      <c r="AB927" s="78" t="s">
        <v>81</v>
      </c>
      <c r="AC927" s="95">
        <f t="shared" si="368"/>
        <v>-7.0751679999999997E-2</v>
      </c>
      <c r="AD927" s="95" cm="1">
        <f t="array" ref="AD927">_xlfn.IFS(
AND(L927="marginal_effect",M927="level"),N927*AN927/BF927,
AND(L927="marginal_effect",M927="sd (Y)"),N927*BI927*AN927/BF927,
AND(L927="marginal_effect",M927="sd (X)"),N927/AQ927*AN927/BF927,
AND(L927="semi_elasticity",M927="level"),N927*AN927,
AND(L927="semi_elasticity",M927="sd (Y)"),N927*AN927*BI927,
AND(L927="semi_elasticity",M927="sd (X)"),N927*AN927/AQ927,
AND(L927="level-log",M927="level"),N927/BF927,
AND(L927="level-log",M927="sd (X)"),N927/BF927/AQ927,
AND(L927="level-log",M927="sd (Y)"),N927/BF927*BI927,
AND(L927="elasticity",M927="level"),N927,
AND(L927="elasticity",M927="sd (X)"),N927/AQ927,
AND(L927="elasticity",M927="sd (Y)"),N927*BI927,
AND(L927="marginal_effect",M927="percent_of_mean"),N927*AN927/BF927/10)</f>
        <v>-7.0751679999999997E-2</v>
      </c>
      <c r="AE927" s="105">
        <f t="shared" si="369"/>
        <v>1</v>
      </c>
      <c r="AF927" s="95">
        <f t="shared" si="370"/>
        <v>2.9338876E-2</v>
      </c>
      <c r="AG927" s="95" cm="1">
        <f t="array" ref="AG927">_xlfn.IFS(
AND(L927="marginal_effect",M927="level"),O927*AN927/BF927,
AND(L927="marginal_effect",M927="sd (Y)"),O927*BI927*AN927/BF927,
AND(L927="marginal_effect",M927="sd (X)"),O927/AQ927*AN927/BF927,
AND(L927="semi_elasticity",M927="level"),O927*AN927,
AND(L927="semi_elasticity",M927="sd (Y)"),O927*AN927*BI927,
AND(L927="semi_elasticity",M927="sd (X)"),O927*AN927/AQ927,
AND(L927="level-log",M927="level"),O927/BF927,
AND(L927="level-log",M927="sd (X)"),O927/BF927/AQ927,
AND(L927="level-log",M927="sd (Y)"),O927/BF927*BI927,
AND(L927="elasticity",M927="level"),O927,
AND(L927="elasticity",M927="sd (X)"),O927/AQ927,
AND(L927="elasticity",M927="sd (Y)"),O927*BI927,
AND(L927="marginal_effect",M927="percent_of_mean"),O927*AN927/BF927/10)</f>
        <v>2.9338876E-2</v>
      </c>
      <c r="AH927" s="105">
        <f t="shared" si="371"/>
        <v>1</v>
      </c>
      <c r="AI927" s="95">
        <f t="shared" si="372"/>
        <v>-7.0751679999999997E-2</v>
      </c>
      <c r="AJ927" s="78">
        <v>0</v>
      </c>
      <c r="AK927" s="78">
        <f t="shared" si="373"/>
        <v>1</v>
      </c>
      <c r="AL927" s="76" t="s">
        <v>1674</v>
      </c>
      <c r="AM927" s="78" t="s">
        <v>410</v>
      </c>
      <c r="AN927" s="78">
        <v>38.451999999999998</v>
      </c>
      <c r="AO927" s="78">
        <v>0</v>
      </c>
      <c r="AP927" s="78">
        <f t="shared" si="374"/>
        <v>38.451999999999998</v>
      </c>
      <c r="AQ927" s="78">
        <v>9.109</v>
      </c>
      <c r="AR927" s="78">
        <v>14</v>
      </c>
      <c r="AS927" s="78">
        <v>83</v>
      </c>
      <c r="AT927" s="78" t="s">
        <v>83</v>
      </c>
      <c r="AU927" s="78" t="s">
        <v>109</v>
      </c>
      <c r="AV927" s="78" t="s">
        <v>133</v>
      </c>
      <c r="AW927" s="78" t="s">
        <v>109</v>
      </c>
      <c r="AX927" s="78" t="s">
        <v>86</v>
      </c>
      <c r="AY927" s="78">
        <v>0</v>
      </c>
      <c r="AZ927" s="78">
        <v>0</v>
      </c>
      <c r="BA927" s="78" t="s">
        <v>87</v>
      </c>
      <c r="BB927" s="78" t="s">
        <v>88</v>
      </c>
      <c r="BC927" s="78" t="s">
        <v>89</v>
      </c>
      <c r="BD927" s="78" t="s">
        <v>90</v>
      </c>
      <c r="BE927" s="78" t="s">
        <v>1669</v>
      </c>
      <c r="BF927" s="78">
        <v>6.8559999999999999</v>
      </c>
      <c r="BG927" s="78">
        <v>0</v>
      </c>
      <c r="BH927" s="78">
        <v>3.2730000000000001</v>
      </c>
      <c r="BI927" s="78">
        <v>1</v>
      </c>
      <c r="BJ927" s="78">
        <v>20</v>
      </c>
      <c r="BK927" s="78" t="s">
        <v>91</v>
      </c>
      <c r="BL927" s="78" t="s">
        <v>84</v>
      </c>
      <c r="BM927" s="78">
        <v>1</v>
      </c>
      <c r="BN927" s="78" t="s">
        <v>484</v>
      </c>
      <c r="BO927" s="78" t="s">
        <v>1670</v>
      </c>
      <c r="BP927" s="78" t="s">
        <v>1671</v>
      </c>
      <c r="BQ927" s="78" t="s">
        <v>92</v>
      </c>
      <c r="BR927" s="78" t="s">
        <v>118</v>
      </c>
      <c r="BS927" s="78">
        <v>29.169</v>
      </c>
      <c r="BT927" s="78">
        <f t="shared" si="375"/>
        <v>0.30900000000000005</v>
      </c>
      <c r="BU927" s="78">
        <v>2010</v>
      </c>
      <c r="BV927" s="78">
        <v>2015</v>
      </c>
      <c r="BW927" s="78" t="s">
        <v>94</v>
      </c>
      <c r="BX927" s="78" t="s">
        <v>95</v>
      </c>
      <c r="BY927" s="78" t="s">
        <v>96</v>
      </c>
      <c r="BZ927" s="78">
        <v>0</v>
      </c>
      <c r="CA927" s="78">
        <v>0</v>
      </c>
      <c r="CB927" s="78" t="s">
        <v>97</v>
      </c>
      <c r="CC927" s="78" t="s">
        <v>1673</v>
      </c>
      <c r="CD927" s="78">
        <v>0</v>
      </c>
      <c r="CE927" s="78" t="s">
        <v>1712</v>
      </c>
      <c r="CF927" s="78">
        <v>1</v>
      </c>
      <c r="CG927" s="78" t="s">
        <v>1688</v>
      </c>
      <c r="CH927" s="78">
        <v>1</v>
      </c>
      <c r="CI927" s="78" t="s">
        <v>1465</v>
      </c>
      <c r="CJ927" s="78" t="s">
        <v>98</v>
      </c>
      <c r="CK927" s="78">
        <v>79</v>
      </c>
      <c r="CL927" s="78">
        <v>0</v>
      </c>
      <c r="CM927" s="78">
        <v>0</v>
      </c>
      <c r="CN927" s="78" t="s">
        <v>99</v>
      </c>
      <c r="CO927" s="78" t="s">
        <v>1318</v>
      </c>
      <c r="CP927" s="78" t="s">
        <v>100</v>
      </c>
      <c r="CQ927" s="78" t="s">
        <v>126</v>
      </c>
      <c r="CR927" s="80">
        <v>46251</v>
      </c>
      <c r="CT927" s="78" t="s">
        <v>780</v>
      </c>
    </row>
    <row r="928" spans="1:98" s="78" customFormat="1" x14ac:dyDescent="0.35">
      <c r="A928" s="77" t="s">
        <v>1666</v>
      </c>
      <c r="B928" s="81" t="s">
        <v>1725</v>
      </c>
      <c r="C928" s="77" t="s">
        <v>1667</v>
      </c>
      <c r="D928" s="78">
        <v>2022</v>
      </c>
      <c r="E928" s="79" t="s">
        <v>1672</v>
      </c>
      <c r="F928" s="77" t="s">
        <v>1668</v>
      </c>
      <c r="G928" s="78" t="s">
        <v>78</v>
      </c>
      <c r="H928" s="78">
        <v>1</v>
      </c>
      <c r="I928" s="78" t="s">
        <v>390</v>
      </c>
      <c r="J928" s="78" t="s">
        <v>79</v>
      </c>
      <c r="K928" s="78">
        <v>33</v>
      </c>
      <c r="L928" s="78" t="s">
        <v>104</v>
      </c>
      <c r="M928" s="78" t="s">
        <v>380</v>
      </c>
      <c r="N928" s="78">
        <v>-1.5399999999999999E-3</v>
      </c>
      <c r="O928" s="78">
        <v>2.6161000000000001E-3</v>
      </c>
      <c r="P928" s="95">
        <f t="shared" si="361"/>
        <v>-0.58866251290088289</v>
      </c>
      <c r="Q928" s="78" t="s">
        <v>312</v>
      </c>
      <c r="R928" s="95">
        <f t="shared" si="362"/>
        <v>-6.6675559999999998E-3</v>
      </c>
      <c r="S928" s="95">
        <f t="shared" si="363"/>
        <v>3.5875560000000004E-3</v>
      </c>
      <c r="T928" s="78">
        <v>1</v>
      </c>
      <c r="U928" s="78">
        <v>633165</v>
      </c>
      <c r="V928" s="78" t="s">
        <v>312</v>
      </c>
      <c r="W928" s="78" t="s">
        <v>312</v>
      </c>
      <c r="X928" s="78">
        <f t="shared" si="364"/>
        <v>633165</v>
      </c>
      <c r="Y928" s="95">
        <f t="shared" si="365"/>
        <v>-7.3978890075306807E-4</v>
      </c>
      <c r="Z928" s="95">
        <f t="shared" si="366"/>
        <v>1.2567284047143518E-3</v>
      </c>
      <c r="AA928" s="95">
        <f t="shared" si="367"/>
        <v>-7.3978890075306807E-4</v>
      </c>
      <c r="AB928" s="78" t="s">
        <v>81</v>
      </c>
      <c r="AC928" s="95">
        <f t="shared" si="368"/>
        <v>-1.024716E-2</v>
      </c>
      <c r="AD928" s="95" cm="1">
        <f t="array" ref="AD928">_xlfn.IFS(
AND(L928="marginal_effect",M928="level"),N928*AN928/BF928,
AND(L928="marginal_effect",M928="sd (Y)"),N928*BI928*AN928/BF928,
AND(L928="marginal_effect",M928="sd (X)"),N928/AQ928*AN928/BF928,
AND(L928="semi_elasticity",M928="level"),N928*AN928,
AND(L928="semi_elasticity",M928="sd (Y)"),N928*AN928*BI928,
AND(L928="semi_elasticity",M928="sd (X)"),N928*AN928/AQ928,
AND(L928="level-log",M928="level"),N928/BF928,
AND(L928="level-log",M928="sd (X)"),N928/BF928/AQ928,
AND(L928="level-log",M928="sd (Y)"),N928/BF928*BI928,
AND(L928="elasticity",M928="level"),N928,
AND(L928="elasticity",M928="sd (X)"),N928/AQ928,
AND(L928="elasticity",M928="sd (Y)"),N928*BI928,
AND(L928="marginal_effect",M928="percent_of_mean"),N928*AN928/BF928/10)</f>
        <v>-1.024716E-2</v>
      </c>
      <c r="AE928" s="105">
        <f t="shared" si="369"/>
        <v>1</v>
      </c>
      <c r="AF928" s="95">
        <f t="shared" si="370"/>
        <v>1.74075294E-2</v>
      </c>
      <c r="AG928" s="95" cm="1">
        <f t="array" ref="AG928">_xlfn.IFS(
AND(L928="marginal_effect",M928="level"),O928*AN928/BF928,
AND(L928="marginal_effect",M928="sd (Y)"),O928*BI928*AN928/BF928,
AND(L928="marginal_effect",M928="sd (X)"),O928/AQ928*AN928/BF928,
AND(L928="semi_elasticity",M928="level"),O928*AN928,
AND(L928="semi_elasticity",M928="sd (Y)"),O928*AN928*BI928,
AND(L928="semi_elasticity",M928="sd (X)"),O928*AN928/AQ928,
AND(L928="level-log",M928="level"),O928/BF928,
AND(L928="level-log",M928="sd (X)"),O928/BF928/AQ928,
AND(L928="level-log",M928="sd (Y)"),O928/BF928*BI928,
AND(L928="elasticity",M928="level"),O928,
AND(L928="elasticity",M928="sd (X)"),O928/AQ928,
AND(L928="elasticity",M928="sd (Y)"),O928*BI928,
AND(L928="marginal_effect",M928="percent_of_mean"),O928*AN928/BF928/10)</f>
        <v>1.74075294E-2</v>
      </c>
      <c r="AH928" s="105">
        <f t="shared" si="371"/>
        <v>1</v>
      </c>
      <c r="AI928" s="95">
        <f t="shared" si="372"/>
        <v>-1.024716E-2</v>
      </c>
      <c r="AJ928" s="78">
        <v>0</v>
      </c>
      <c r="AK928" s="78">
        <f t="shared" si="373"/>
        <v>1</v>
      </c>
      <c r="AL928" s="78" t="s">
        <v>82</v>
      </c>
      <c r="AM928" s="78" t="s">
        <v>1333</v>
      </c>
      <c r="AN928" s="78">
        <v>6.6539999999999999</v>
      </c>
      <c r="AO928" s="78">
        <v>0</v>
      </c>
      <c r="AP928" s="78">
        <f t="shared" si="374"/>
        <v>6.6539999999999999</v>
      </c>
      <c r="AQ928" s="78">
        <v>2.7320000000000002</v>
      </c>
      <c r="AR928" s="78">
        <v>0.69099999999999995</v>
      </c>
      <c r="AS928" s="78">
        <v>21.341999999999999</v>
      </c>
      <c r="AT928" s="78" t="s">
        <v>83</v>
      </c>
      <c r="AU928" s="78" t="s">
        <v>109</v>
      </c>
      <c r="AV928" s="78" t="s">
        <v>133</v>
      </c>
      <c r="AW928" s="78" t="s">
        <v>109</v>
      </c>
      <c r="AX928" s="78" t="s">
        <v>86</v>
      </c>
      <c r="AY928" s="78">
        <v>0</v>
      </c>
      <c r="AZ928" s="78">
        <v>0</v>
      </c>
      <c r="BA928" s="78" t="s">
        <v>87</v>
      </c>
      <c r="BB928" s="78" t="s">
        <v>88</v>
      </c>
      <c r="BC928" s="78" t="s">
        <v>89</v>
      </c>
      <c r="BD928" s="78" t="s">
        <v>90</v>
      </c>
      <c r="BE928" s="78" t="s">
        <v>1669</v>
      </c>
      <c r="BF928" s="78">
        <v>6.8559999999999999</v>
      </c>
      <c r="BG928" s="78">
        <v>0</v>
      </c>
      <c r="BH928" s="78">
        <v>3.2730000000000001</v>
      </c>
      <c r="BI928" s="78">
        <v>1</v>
      </c>
      <c r="BJ928" s="78">
        <v>20</v>
      </c>
      <c r="BK928" s="78" t="s">
        <v>91</v>
      </c>
      <c r="BL928" s="78" t="s">
        <v>84</v>
      </c>
      <c r="BM928" s="78">
        <v>1</v>
      </c>
      <c r="BN928" s="78" t="s">
        <v>484</v>
      </c>
      <c r="BO928" s="78" t="s">
        <v>1670</v>
      </c>
      <c r="BP928" s="78" t="s">
        <v>1671</v>
      </c>
      <c r="BQ928" s="78" t="s">
        <v>92</v>
      </c>
      <c r="BR928" s="78" t="s">
        <v>118</v>
      </c>
      <c r="BS928" s="78">
        <v>29.169</v>
      </c>
      <c r="BT928" s="78">
        <f t="shared" si="375"/>
        <v>0.30900000000000005</v>
      </c>
      <c r="BU928" s="78">
        <v>2010</v>
      </c>
      <c r="BV928" s="78">
        <v>2015</v>
      </c>
      <c r="BW928" s="78" t="s">
        <v>94</v>
      </c>
      <c r="BX928" s="78" t="s">
        <v>95</v>
      </c>
      <c r="BY928" s="78" t="s">
        <v>96</v>
      </c>
      <c r="BZ928" s="78">
        <v>0</v>
      </c>
      <c r="CA928" s="78">
        <v>0</v>
      </c>
      <c r="CB928" s="78" t="s">
        <v>97</v>
      </c>
      <c r="CC928" s="78" t="s">
        <v>1673</v>
      </c>
      <c r="CD928" s="78">
        <v>0</v>
      </c>
      <c r="CE928" s="78" t="s">
        <v>1712</v>
      </c>
      <c r="CF928" s="78">
        <v>1</v>
      </c>
      <c r="CG928" s="78" t="s">
        <v>1125</v>
      </c>
      <c r="CH928" s="78">
        <v>1</v>
      </c>
      <c r="CI928" s="78" t="s">
        <v>1465</v>
      </c>
      <c r="CJ928" s="78" t="s">
        <v>98</v>
      </c>
      <c r="CK928" s="78">
        <v>79</v>
      </c>
      <c r="CL928" s="78">
        <v>0</v>
      </c>
      <c r="CM928" s="78">
        <v>0</v>
      </c>
      <c r="CN928" s="78" t="s">
        <v>99</v>
      </c>
      <c r="CO928" s="78" t="s">
        <v>1318</v>
      </c>
      <c r="CP928" s="78" t="s">
        <v>100</v>
      </c>
      <c r="CQ928" s="78" t="s">
        <v>126</v>
      </c>
      <c r="CR928" s="80">
        <v>46251</v>
      </c>
      <c r="CT928" s="78" t="s">
        <v>673</v>
      </c>
    </row>
    <row r="929" spans="1:98" s="78" customFormat="1" x14ac:dyDescent="0.35">
      <c r="A929" s="77" t="s">
        <v>1666</v>
      </c>
      <c r="B929" s="81" t="s">
        <v>1726</v>
      </c>
      <c r="C929" s="77" t="s">
        <v>1667</v>
      </c>
      <c r="D929" s="78">
        <v>2022</v>
      </c>
      <c r="E929" s="79" t="s">
        <v>1672</v>
      </c>
      <c r="F929" s="77" t="s">
        <v>1668</v>
      </c>
      <c r="G929" s="78" t="s">
        <v>78</v>
      </c>
      <c r="H929" s="78">
        <v>1</v>
      </c>
      <c r="I929" s="78" t="s">
        <v>390</v>
      </c>
      <c r="J929" s="78" t="s">
        <v>79</v>
      </c>
      <c r="K929" s="78">
        <v>33</v>
      </c>
      <c r="L929" s="78" t="s">
        <v>104</v>
      </c>
      <c r="M929" s="78" t="s">
        <v>380</v>
      </c>
      <c r="N929" s="78">
        <v>-2.2499999999999998E-3</v>
      </c>
      <c r="O929" s="78">
        <v>1.2166E-3</v>
      </c>
      <c r="P929" s="95">
        <f t="shared" si="361"/>
        <v>-1.8494164063784315</v>
      </c>
      <c r="Q929" s="78" t="s">
        <v>312</v>
      </c>
      <c r="R929" s="95">
        <f t="shared" si="362"/>
        <v>-4.6345359999999999E-3</v>
      </c>
      <c r="S929" s="95">
        <f t="shared" si="363"/>
        <v>1.345360000000002E-4</v>
      </c>
      <c r="T929" s="78">
        <v>1</v>
      </c>
      <c r="U929" s="78">
        <v>633165</v>
      </c>
      <c r="V929" s="78" t="s">
        <v>312</v>
      </c>
      <c r="W929" s="78" t="s">
        <v>312</v>
      </c>
      <c r="X929" s="78">
        <f t="shared" si="364"/>
        <v>633165</v>
      </c>
      <c r="Y929" s="95">
        <f t="shared" si="365"/>
        <v>-2.3242084883988252E-3</v>
      </c>
      <c r="Z929" s="95">
        <f t="shared" si="366"/>
        <v>1.2567253542160048E-3</v>
      </c>
      <c r="AA929" s="95">
        <f t="shared" si="367"/>
        <v>-2.3242084883988252E-3</v>
      </c>
      <c r="AB929" s="78" t="s">
        <v>81</v>
      </c>
      <c r="AC929" s="95">
        <f t="shared" si="368"/>
        <v>-8.6516999999999983E-2</v>
      </c>
      <c r="AD929" s="95" cm="1">
        <f t="array" ref="AD929">_xlfn.IFS(
AND(L929="marginal_effect",M929="level"),N929*AN929/BF929,
AND(L929="marginal_effect",M929="sd (Y)"),N929*BI929*AN929/BF929,
AND(L929="marginal_effect",M929="sd (X)"),N929/AQ929*AN929/BF929,
AND(L929="semi_elasticity",M929="level"),N929*AN929,
AND(L929="semi_elasticity",M929="sd (Y)"),N929*AN929*BI929,
AND(L929="semi_elasticity",M929="sd (X)"),N929*AN929/AQ929,
AND(L929="level-log",M929="level"),N929/BF929,
AND(L929="level-log",M929="sd (X)"),N929/BF929/AQ929,
AND(L929="level-log",M929="sd (Y)"),N929/BF929*BI929,
AND(L929="elasticity",M929="level"),N929,
AND(L929="elasticity",M929="sd (X)"),N929/AQ929,
AND(L929="elasticity",M929="sd (Y)"),N929*BI929,
AND(L929="marginal_effect",M929="percent_of_mean"),N929*AN929/BF929/10)</f>
        <v>-8.6516999999999983E-2</v>
      </c>
      <c r="AE929" s="105">
        <f t="shared" si="369"/>
        <v>1</v>
      </c>
      <c r="AF929" s="95">
        <f t="shared" si="370"/>
        <v>4.6780703199999996E-2</v>
      </c>
      <c r="AG929" s="95" cm="1">
        <f t="array" ref="AG929">_xlfn.IFS(
AND(L929="marginal_effect",M929="level"),O929*AN929/BF929,
AND(L929="marginal_effect",M929="sd (Y)"),O929*BI929*AN929/BF929,
AND(L929="marginal_effect",M929="sd (X)"),O929/AQ929*AN929/BF929,
AND(L929="semi_elasticity",M929="level"),O929*AN929,
AND(L929="semi_elasticity",M929="sd (Y)"),O929*AN929*BI929,
AND(L929="semi_elasticity",M929="sd (X)"),O929*AN929/AQ929,
AND(L929="level-log",M929="level"),O929/BF929,
AND(L929="level-log",M929="sd (X)"),O929/BF929/AQ929,
AND(L929="level-log",M929="sd (Y)"),O929/BF929*BI929,
AND(L929="elasticity",M929="level"),O929,
AND(L929="elasticity",M929="sd (X)"),O929/AQ929,
AND(L929="elasticity",M929="sd (Y)"),O929*BI929,
AND(L929="marginal_effect",M929="percent_of_mean"),O929*AN929/BF929/10)</f>
        <v>4.6780703199999996E-2</v>
      </c>
      <c r="AH929" s="105">
        <f t="shared" si="371"/>
        <v>1</v>
      </c>
      <c r="AI929" s="95">
        <f t="shared" si="372"/>
        <v>-8.6516999999999983E-2</v>
      </c>
      <c r="AJ929" s="78">
        <v>0</v>
      </c>
      <c r="AK929" s="78">
        <f t="shared" si="373"/>
        <v>1</v>
      </c>
      <c r="AL929" s="76" t="s">
        <v>1674</v>
      </c>
      <c r="AM929" s="78" t="s">
        <v>410</v>
      </c>
      <c r="AN929" s="78">
        <v>38.451999999999998</v>
      </c>
      <c r="AO929" s="78">
        <v>0</v>
      </c>
      <c r="AP929" s="78">
        <f t="shared" si="374"/>
        <v>38.451999999999998</v>
      </c>
      <c r="AQ929" s="78">
        <v>9.109</v>
      </c>
      <c r="AR929" s="78">
        <v>14</v>
      </c>
      <c r="AS929" s="78">
        <v>83</v>
      </c>
      <c r="AT929" s="78" t="s">
        <v>83</v>
      </c>
      <c r="AU929" s="78" t="s">
        <v>109</v>
      </c>
      <c r="AV929" s="78" t="s">
        <v>133</v>
      </c>
      <c r="AW929" s="78" t="s">
        <v>109</v>
      </c>
      <c r="AX929" s="78" t="s">
        <v>86</v>
      </c>
      <c r="AY929" s="78">
        <v>0</v>
      </c>
      <c r="AZ929" s="78">
        <v>0</v>
      </c>
      <c r="BA929" s="78" t="s">
        <v>87</v>
      </c>
      <c r="BB929" s="78" t="s">
        <v>88</v>
      </c>
      <c r="BC929" s="78" t="s">
        <v>89</v>
      </c>
      <c r="BD929" s="78" t="s">
        <v>90</v>
      </c>
      <c r="BE929" s="78" t="s">
        <v>1669</v>
      </c>
      <c r="BF929" s="78">
        <v>6.8559999999999999</v>
      </c>
      <c r="BG929" s="78">
        <v>0</v>
      </c>
      <c r="BH929" s="78">
        <v>3.2730000000000001</v>
      </c>
      <c r="BI929" s="78">
        <v>1</v>
      </c>
      <c r="BJ929" s="78">
        <v>20</v>
      </c>
      <c r="BK929" s="78" t="s">
        <v>91</v>
      </c>
      <c r="BL929" s="78" t="s">
        <v>84</v>
      </c>
      <c r="BM929" s="78">
        <v>1</v>
      </c>
      <c r="BN929" s="78" t="s">
        <v>484</v>
      </c>
      <c r="BO929" s="78" t="s">
        <v>1670</v>
      </c>
      <c r="BP929" s="78" t="s">
        <v>1671</v>
      </c>
      <c r="BQ929" s="78" t="s">
        <v>92</v>
      </c>
      <c r="BR929" s="78" t="s">
        <v>118</v>
      </c>
      <c r="BS929" s="78">
        <v>29.169</v>
      </c>
      <c r="BT929" s="78">
        <f t="shared" si="375"/>
        <v>0.30900000000000005</v>
      </c>
      <c r="BU929" s="78">
        <v>2010</v>
      </c>
      <c r="BV929" s="78">
        <v>2015</v>
      </c>
      <c r="BW929" s="78" t="s">
        <v>94</v>
      </c>
      <c r="BX929" s="78" t="s">
        <v>95</v>
      </c>
      <c r="BY929" s="78" t="s">
        <v>96</v>
      </c>
      <c r="BZ929" s="78">
        <v>0</v>
      </c>
      <c r="CA929" s="78">
        <v>0</v>
      </c>
      <c r="CB929" s="78" t="s">
        <v>97</v>
      </c>
      <c r="CC929" s="78" t="s">
        <v>1673</v>
      </c>
      <c r="CD929" s="78">
        <v>0</v>
      </c>
      <c r="CE929" s="78" t="s">
        <v>1712</v>
      </c>
      <c r="CF929" s="78">
        <v>1</v>
      </c>
      <c r="CG929" s="78" t="s">
        <v>1688</v>
      </c>
      <c r="CH929" s="78">
        <v>1</v>
      </c>
      <c r="CI929" s="78" t="s">
        <v>1465</v>
      </c>
      <c r="CJ929" s="78" t="s">
        <v>98</v>
      </c>
      <c r="CK929" s="78">
        <v>79</v>
      </c>
      <c r="CL929" s="78">
        <v>0</v>
      </c>
      <c r="CM929" s="78">
        <v>0</v>
      </c>
      <c r="CN929" s="78" t="s">
        <v>99</v>
      </c>
      <c r="CO929" s="78" t="s">
        <v>1318</v>
      </c>
      <c r="CP929" s="78" t="s">
        <v>100</v>
      </c>
      <c r="CQ929" s="78" t="s">
        <v>126</v>
      </c>
      <c r="CR929" s="80">
        <v>46251</v>
      </c>
      <c r="CT929" s="78" t="s">
        <v>673</v>
      </c>
    </row>
    <row r="930" spans="1:98" s="78" customFormat="1" x14ac:dyDescent="0.35">
      <c r="A930" s="77" t="s">
        <v>1666</v>
      </c>
      <c r="B930" s="81" t="s">
        <v>1727</v>
      </c>
      <c r="C930" s="77" t="s">
        <v>1667</v>
      </c>
      <c r="D930" s="78">
        <v>2022</v>
      </c>
      <c r="E930" s="79" t="s">
        <v>1672</v>
      </c>
      <c r="F930" s="77" t="s">
        <v>1668</v>
      </c>
      <c r="G930" s="78" t="s">
        <v>78</v>
      </c>
      <c r="H930" s="78">
        <v>1</v>
      </c>
      <c r="I930" s="78" t="s">
        <v>390</v>
      </c>
      <c r="J930" s="78" t="s">
        <v>79</v>
      </c>
      <c r="K930" s="78">
        <v>33</v>
      </c>
      <c r="L930" s="78" t="s">
        <v>104</v>
      </c>
      <c r="M930" s="78" t="s">
        <v>380</v>
      </c>
      <c r="N930" s="78">
        <v>-2.4099999999999998E-3</v>
      </c>
      <c r="O930" s="78">
        <v>7.8470000000000005E-4</v>
      </c>
      <c r="P930" s="95">
        <f t="shared" si="361"/>
        <v>-3.0712374155728299</v>
      </c>
      <c r="Q930" s="78" t="s">
        <v>312</v>
      </c>
      <c r="R930" s="95">
        <f t="shared" si="362"/>
        <v>-3.9480119999999999E-3</v>
      </c>
      <c r="S930" s="95">
        <f t="shared" si="363"/>
        <v>-8.7198799999999976E-4</v>
      </c>
      <c r="T930" s="78">
        <v>1</v>
      </c>
      <c r="U930" s="78">
        <v>633165</v>
      </c>
      <c r="V930" s="78" t="s">
        <v>312</v>
      </c>
      <c r="W930" s="78" t="s">
        <v>312</v>
      </c>
      <c r="X930" s="78">
        <f t="shared" ref="X930:X961" si="376">U930</f>
        <v>633165</v>
      </c>
      <c r="Y930" s="95">
        <f t="shared" si="365"/>
        <v>-3.8596836044798607E-3</v>
      </c>
      <c r="Z930" s="95">
        <f t="shared" si="366"/>
        <v>1.2567193877325094E-3</v>
      </c>
      <c r="AA930" s="95">
        <f t="shared" ref="AA930:AA961" si="377">Y930</f>
        <v>-3.8596836044798607E-3</v>
      </c>
      <c r="AB930" s="78" t="s">
        <v>81</v>
      </c>
      <c r="AC930" s="95">
        <f t="shared" ref="AC930:AC961" si="378">N930*AN930</f>
        <v>-9.2669319999999986E-2</v>
      </c>
      <c r="AD930" s="95" cm="1">
        <f t="array" ref="AD930">_xlfn.IFS(
AND(L930="marginal_effect",M930="level"),N930*AN930/BF930,
AND(L930="marginal_effect",M930="sd (Y)"),N930*BI930*AN930/BF930,
AND(L930="marginal_effect",M930="sd (X)"),N930/AQ930*AN930/BF930,
AND(L930="semi_elasticity",M930="level"),N930*AN930,
AND(L930="semi_elasticity",M930="sd (Y)"),N930*AN930*BI930,
AND(L930="semi_elasticity",M930="sd (X)"),N930*AN930/AQ930,
AND(L930="level-log",M930="level"),N930/BF930,
AND(L930="level-log",M930="sd (X)"),N930/BF930/AQ930,
AND(L930="level-log",M930="sd (Y)"),N930/BF930*BI930,
AND(L930="elasticity",M930="level"),N930,
AND(L930="elasticity",M930="sd (X)"),N930/AQ930,
AND(L930="elasticity",M930="sd (Y)"),N930*BI930,
AND(L930="marginal_effect",M930="percent_of_mean"),N930*AN930/BF930/10)</f>
        <v>-9.2669319999999986E-2</v>
      </c>
      <c r="AE930" s="105">
        <f t="shared" ref="AE930:AE961" si="379">IF(AC930=AD930,1,0)</f>
        <v>1</v>
      </c>
      <c r="AF930" s="95">
        <f t="shared" si="370"/>
        <v>3.01732844E-2</v>
      </c>
      <c r="AG930" s="95" cm="1">
        <f t="array" ref="AG930">_xlfn.IFS(
AND(L930="marginal_effect",M930="level"),O930*AN930/BF930,
AND(L930="marginal_effect",M930="sd (Y)"),O930*BI930*AN930/BF930,
AND(L930="marginal_effect",M930="sd (X)"),O930/AQ930*AN930/BF930,
AND(L930="semi_elasticity",M930="level"),O930*AN930,
AND(L930="semi_elasticity",M930="sd (Y)"),O930*AN930*BI930,
AND(L930="semi_elasticity",M930="sd (X)"),O930*AN930/AQ930,
AND(L930="level-log",M930="level"),O930/BF930,
AND(L930="level-log",M930="sd (X)"),O930/BF930/AQ930,
AND(L930="level-log",M930="sd (Y)"),O930/BF930*BI930,
AND(L930="elasticity",M930="level"),O930,
AND(L930="elasticity",M930="sd (X)"),O930/AQ930,
AND(L930="elasticity",M930="sd (Y)"),O930*BI930,
AND(L930="marginal_effect",M930="percent_of_mean"),O930*AN930/BF930/10)</f>
        <v>3.01732844E-2</v>
      </c>
      <c r="AH930" s="105">
        <f t="shared" si="371"/>
        <v>1</v>
      </c>
      <c r="AI930" s="95">
        <f t="shared" ref="AI930:AI961" si="380">AC930</f>
        <v>-9.2669319999999986E-2</v>
      </c>
      <c r="AJ930" s="78">
        <v>0</v>
      </c>
      <c r="AK930" s="78">
        <f t="shared" si="373"/>
        <v>1</v>
      </c>
      <c r="AL930" s="76" t="s">
        <v>1674</v>
      </c>
      <c r="AM930" s="78" t="s">
        <v>410</v>
      </c>
      <c r="AN930" s="78">
        <v>38.451999999999998</v>
      </c>
      <c r="AO930" s="78">
        <v>0</v>
      </c>
      <c r="AP930" s="78">
        <f t="shared" ref="AP930:AP961" si="381">AN930</f>
        <v>38.451999999999998</v>
      </c>
      <c r="AQ930" s="78">
        <v>9.109</v>
      </c>
      <c r="AR930" s="78">
        <v>14</v>
      </c>
      <c r="AS930" s="78">
        <v>83</v>
      </c>
      <c r="AT930" s="78" t="s">
        <v>83</v>
      </c>
      <c r="AU930" s="78" t="s">
        <v>109</v>
      </c>
      <c r="AV930" s="78" t="s">
        <v>133</v>
      </c>
      <c r="AW930" s="78" t="s">
        <v>109</v>
      </c>
      <c r="AX930" s="78" t="s">
        <v>86</v>
      </c>
      <c r="AY930" s="78">
        <v>0</v>
      </c>
      <c r="AZ930" s="78">
        <v>0</v>
      </c>
      <c r="BA930" s="78" t="s">
        <v>87</v>
      </c>
      <c r="BB930" s="78" t="s">
        <v>88</v>
      </c>
      <c r="BC930" s="78" t="s">
        <v>89</v>
      </c>
      <c r="BD930" s="78" t="s">
        <v>90</v>
      </c>
      <c r="BE930" s="78" t="s">
        <v>1669</v>
      </c>
      <c r="BF930" s="78">
        <v>6.8559999999999999</v>
      </c>
      <c r="BG930" s="78">
        <v>0</v>
      </c>
      <c r="BH930" s="78">
        <v>3.2730000000000001</v>
      </c>
      <c r="BI930" s="78">
        <v>1</v>
      </c>
      <c r="BJ930" s="78">
        <v>20</v>
      </c>
      <c r="BK930" s="78" t="s">
        <v>91</v>
      </c>
      <c r="BL930" s="78" t="s">
        <v>84</v>
      </c>
      <c r="BM930" s="78">
        <v>1</v>
      </c>
      <c r="BN930" s="78" t="s">
        <v>484</v>
      </c>
      <c r="BO930" s="78" t="s">
        <v>1670</v>
      </c>
      <c r="BP930" s="78" t="s">
        <v>1671</v>
      </c>
      <c r="BQ930" s="78" t="s">
        <v>92</v>
      </c>
      <c r="BR930" s="78" t="s">
        <v>118</v>
      </c>
      <c r="BS930" s="78">
        <v>29.169</v>
      </c>
      <c r="BT930" s="78">
        <f t="shared" ref="BT930:BT960" si="382">1-0.691</f>
        <v>0.30900000000000005</v>
      </c>
      <c r="BU930" s="78">
        <v>2010</v>
      </c>
      <c r="BV930" s="78">
        <v>2015</v>
      </c>
      <c r="BW930" s="78" t="s">
        <v>94</v>
      </c>
      <c r="BX930" s="78" t="s">
        <v>95</v>
      </c>
      <c r="BY930" s="78" t="s">
        <v>96</v>
      </c>
      <c r="BZ930" s="78">
        <v>0</v>
      </c>
      <c r="CA930" s="78">
        <v>0</v>
      </c>
      <c r="CB930" s="78" t="s">
        <v>97</v>
      </c>
      <c r="CC930" s="78" t="s">
        <v>1673</v>
      </c>
      <c r="CD930" s="78">
        <v>0</v>
      </c>
      <c r="CE930" s="78" t="s">
        <v>1712</v>
      </c>
      <c r="CF930" s="78">
        <v>1</v>
      </c>
      <c r="CG930" s="78" t="s">
        <v>1688</v>
      </c>
      <c r="CH930" s="78">
        <v>1</v>
      </c>
      <c r="CI930" s="78" t="s">
        <v>1465</v>
      </c>
      <c r="CJ930" s="78" t="s">
        <v>98</v>
      </c>
      <c r="CK930" s="78">
        <v>79</v>
      </c>
      <c r="CL930" s="78">
        <v>0</v>
      </c>
      <c r="CM930" s="78">
        <v>0</v>
      </c>
      <c r="CN930" s="78" t="s">
        <v>99</v>
      </c>
      <c r="CO930" s="78" t="s">
        <v>1318</v>
      </c>
      <c r="CP930" s="78" t="s">
        <v>100</v>
      </c>
      <c r="CQ930" s="78" t="s">
        <v>126</v>
      </c>
      <c r="CR930" s="80">
        <v>46251</v>
      </c>
      <c r="CT930" s="78" t="s">
        <v>673</v>
      </c>
    </row>
    <row r="931" spans="1:98" s="78" customFormat="1" x14ac:dyDescent="0.35">
      <c r="A931" s="77" t="s">
        <v>1666</v>
      </c>
      <c r="B931" s="81" t="s">
        <v>1728</v>
      </c>
      <c r="C931" s="77" t="s">
        <v>1667</v>
      </c>
      <c r="D931" s="78">
        <v>2022</v>
      </c>
      <c r="E931" s="79" t="s">
        <v>1672</v>
      </c>
      <c r="F931" s="77" t="s">
        <v>1668</v>
      </c>
      <c r="G931" s="78" t="s">
        <v>78</v>
      </c>
      <c r="H931" s="78">
        <v>1</v>
      </c>
      <c r="I931" s="78" t="s">
        <v>390</v>
      </c>
      <c r="J931" s="78" t="s">
        <v>79</v>
      </c>
      <c r="K931" s="78">
        <v>33</v>
      </c>
      <c r="L931" s="78" t="s">
        <v>104</v>
      </c>
      <c r="M931" s="78" t="s">
        <v>380</v>
      </c>
      <c r="N931" s="78">
        <v>-4.15E-3</v>
      </c>
      <c r="O931" s="78">
        <v>1.4189999999999999E-3</v>
      </c>
      <c r="P931" s="95">
        <f t="shared" si="361"/>
        <v>-2.9245947850599014</v>
      </c>
      <c r="Q931" s="78" t="s">
        <v>312</v>
      </c>
      <c r="R931" s="95">
        <f t="shared" si="362"/>
        <v>-6.93124E-3</v>
      </c>
      <c r="S931" s="95">
        <f t="shared" si="363"/>
        <v>-1.3687600000000001E-3</v>
      </c>
      <c r="T931" s="78">
        <v>1</v>
      </c>
      <c r="U931" s="78">
        <v>633165</v>
      </c>
      <c r="V931" s="78" t="s">
        <v>312</v>
      </c>
      <c r="W931" s="78" t="s">
        <v>312</v>
      </c>
      <c r="X931" s="78">
        <f t="shared" si="376"/>
        <v>633165</v>
      </c>
      <c r="Y931" s="95">
        <f t="shared" si="365"/>
        <v>-3.6753975195295049E-3</v>
      </c>
      <c r="Z931" s="95">
        <f t="shared" si="366"/>
        <v>1.2567202602921366E-3</v>
      </c>
      <c r="AA931" s="95">
        <f t="shared" si="377"/>
        <v>-3.6753975195295049E-3</v>
      </c>
      <c r="AB931" s="78" t="s">
        <v>81</v>
      </c>
      <c r="AC931" s="95">
        <f t="shared" si="378"/>
        <v>-2.7614099999999999E-2</v>
      </c>
      <c r="AD931" s="95" cm="1">
        <f t="array" ref="AD931">_xlfn.IFS(
AND(L931="marginal_effect",M931="level"),N931*AN931/BF931,
AND(L931="marginal_effect",M931="sd (Y)"),N931*BI931*AN931/BF931,
AND(L931="marginal_effect",M931="sd (X)"),N931/AQ931*AN931/BF931,
AND(L931="semi_elasticity",M931="level"),N931*AN931,
AND(L931="semi_elasticity",M931="sd (Y)"),N931*AN931*BI931,
AND(L931="semi_elasticity",M931="sd (X)"),N931*AN931/AQ931,
AND(L931="level-log",M931="level"),N931/BF931,
AND(L931="level-log",M931="sd (X)"),N931/BF931/AQ931,
AND(L931="level-log",M931="sd (Y)"),N931/BF931*BI931,
AND(L931="elasticity",M931="level"),N931,
AND(L931="elasticity",M931="sd (X)"),N931/AQ931,
AND(L931="elasticity",M931="sd (Y)"),N931*BI931,
AND(L931="marginal_effect",M931="percent_of_mean"),N931*AN931/BF931/10)</f>
        <v>-2.7614099999999999E-2</v>
      </c>
      <c r="AE931" s="105">
        <f t="shared" si="379"/>
        <v>1</v>
      </c>
      <c r="AF931" s="95">
        <f t="shared" si="370"/>
        <v>9.4420259999999992E-3</v>
      </c>
      <c r="AG931" s="95" cm="1">
        <f t="array" ref="AG931">_xlfn.IFS(
AND(L931="marginal_effect",M931="level"),O931*AN931/BF931,
AND(L931="marginal_effect",M931="sd (Y)"),O931*BI931*AN931/BF931,
AND(L931="marginal_effect",M931="sd (X)"),O931/AQ931*AN931/BF931,
AND(L931="semi_elasticity",M931="level"),O931*AN931,
AND(L931="semi_elasticity",M931="sd (Y)"),O931*AN931*BI931,
AND(L931="semi_elasticity",M931="sd (X)"),O931*AN931/AQ931,
AND(L931="level-log",M931="level"),O931/BF931,
AND(L931="level-log",M931="sd (X)"),O931/BF931/AQ931,
AND(L931="level-log",M931="sd (Y)"),O931/BF931*BI931,
AND(L931="elasticity",M931="level"),O931,
AND(L931="elasticity",M931="sd (X)"),O931/AQ931,
AND(L931="elasticity",M931="sd (Y)"),O931*BI931,
AND(L931="marginal_effect",M931="percent_of_mean"),O931*AN931/BF931/10)</f>
        <v>9.4420259999999992E-3</v>
      </c>
      <c r="AH931" s="105">
        <f t="shared" si="371"/>
        <v>1</v>
      </c>
      <c r="AI931" s="95">
        <f t="shared" si="380"/>
        <v>-2.7614099999999999E-2</v>
      </c>
      <c r="AJ931" s="78">
        <v>0</v>
      </c>
      <c r="AK931" s="78">
        <f t="shared" si="373"/>
        <v>1</v>
      </c>
      <c r="AL931" s="78" t="s">
        <v>82</v>
      </c>
      <c r="AM931" s="78" t="s">
        <v>1333</v>
      </c>
      <c r="AN931" s="78">
        <v>6.6539999999999999</v>
      </c>
      <c r="AO931" s="78">
        <v>0</v>
      </c>
      <c r="AP931" s="78">
        <f t="shared" si="381"/>
        <v>6.6539999999999999</v>
      </c>
      <c r="AQ931" s="78">
        <v>2.7320000000000002</v>
      </c>
      <c r="AR931" s="78">
        <v>0.69099999999999995</v>
      </c>
      <c r="AS931" s="78">
        <v>21.341999999999999</v>
      </c>
      <c r="AT931" s="78" t="s">
        <v>83</v>
      </c>
      <c r="AU931" s="78" t="s">
        <v>109</v>
      </c>
      <c r="AV931" s="78" t="s">
        <v>133</v>
      </c>
      <c r="AW931" s="78" t="s">
        <v>109</v>
      </c>
      <c r="AX931" s="78" t="s">
        <v>86</v>
      </c>
      <c r="AY931" s="78">
        <v>0</v>
      </c>
      <c r="AZ931" s="78">
        <v>0</v>
      </c>
      <c r="BA931" s="78" t="s">
        <v>87</v>
      </c>
      <c r="BB931" s="78" t="s">
        <v>88</v>
      </c>
      <c r="BC931" s="78" t="s">
        <v>89</v>
      </c>
      <c r="BD931" s="78" t="s">
        <v>90</v>
      </c>
      <c r="BE931" s="78" t="s">
        <v>1669</v>
      </c>
      <c r="BF931" s="78">
        <v>6.8559999999999999</v>
      </c>
      <c r="BG931" s="78">
        <v>0</v>
      </c>
      <c r="BH931" s="78">
        <v>3.2730000000000001</v>
      </c>
      <c r="BI931" s="78">
        <v>1</v>
      </c>
      <c r="BJ931" s="78">
        <v>20</v>
      </c>
      <c r="BK931" s="78" t="s">
        <v>91</v>
      </c>
      <c r="BL931" s="78" t="s">
        <v>84</v>
      </c>
      <c r="BM931" s="78">
        <v>1</v>
      </c>
      <c r="BN931" s="78" t="s">
        <v>484</v>
      </c>
      <c r="BO931" s="78" t="s">
        <v>1670</v>
      </c>
      <c r="BP931" s="78" t="s">
        <v>1671</v>
      </c>
      <c r="BQ931" s="78" t="s">
        <v>92</v>
      </c>
      <c r="BR931" s="78" t="s">
        <v>118</v>
      </c>
      <c r="BS931" s="78">
        <v>29.169</v>
      </c>
      <c r="BT931" s="78">
        <f t="shared" si="382"/>
        <v>0.30900000000000005</v>
      </c>
      <c r="BU931" s="78">
        <v>2010</v>
      </c>
      <c r="BV931" s="78">
        <v>2015</v>
      </c>
      <c r="BW931" s="78" t="s">
        <v>94</v>
      </c>
      <c r="BX931" s="78" t="s">
        <v>95</v>
      </c>
      <c r="BY931" s="78" t="s">
        <v>96</v>
      </c>
      <c r="BZ931" s="78">
        <v>0</v>
      </c>
      <c r="CA931" s="78">
        <v>0</v>
      </c>
      <c r="CB931" s="78" t="s">
        <v>97</v>
      </c>
      <c r="CC931" s="78" t="s">
        <v>1673</v>
      </c>
      <c r="CD931" s="78">
        <v>0</v>
      </c>
      <c r="CE931" s="78" t="s">
        <v>1712</v>
      </c>
      <c r="CF931" s="78">
        <v>1</v>
      </c>
      <c r="CG931" s="78" t="s">
        <v>1125</v>
      </c>
      <c r="CH931" s="78">
        <v>1</v>
      </c>
      <c r="CI931" s="78" t="s">
        <v>1465</v>
      </c>
      <c r="CJ931" s="78" t="s">
        <v>98</v>
      </c>
      <c r="CK931" s="78">
        <v>79</v>
      </c>
      <c r="CL931" s="78">
        <v>0</v>
      </c>
      <c r="CM931" s="78">
        <v>0</v>
      </c>
      <c r="CN931" s="78" t="s">
        <v>99</v>
      </c>
      <c r="CO931" s="78" t="s">
        <v>1318</v>
      </c>
      <c r="CP931" s="78" t="s">
        <v>100</v>
      </c>
      <c r="CQ931" s="78" t="s">
        <v>126</v>
      </c>
      <c r="CR931" s="80">
        <v>46251</v>
      </c>
      <c r="CT931" s="78" t="s">
        <v>672</v>
      </c>
    </row>
    <row r="932" spans="1:98" s="78" customFormat="1" x14ac:dyDescent="0.35">
      <c r="A932" s="77" t="s">
        <v>1666</v>
      </c>
      <c r="B932" s="81" t="s">
        <v>1729</v>
      </c>
      <c r="C932" s="77" t="s">
        <v>1667</v>
      </c>
      <c r="D932" s="78">
        <v>2022</v>
      </c>
      <c r="E932" s="79" t="s">
        <v>1672</v>
      </c>
      <c r="F932" s="77" t="s">
        <v>1668</v>
      </c>
      <c r="G932" s="78" t="s">
        <v>78</v>
      </c>
      <c r="H932" s="78">
        <v>1</v>
      </c>
      <c r="I932" s="78" t="s">
        <v>390</v>
      </c>
      <c r="J932" s="78" t="s">
        <v>79</v>
      </c>
      <c r="K932" s="78">
        <v>33</v>
      </c>
      <c r="L932" s="78" t="s">
        <v>104</v>
      </c>
      <c r="M932" s="78" t="s">
        <v>380</v>
      </c>
      <c r="N932" s="78">
        <v>-2.1299999999999999E-3</v>
      </c>
      <c r="O932" s="78">
        <v>7.5210000000000001E-4</v>
      </c>
      <c r="P932" s="95">
        <f t="shared" si="361"/>
        <v>-2.8320702034303946</v>
      </c>
      <c r="Q932" s="78" t="s">
        <v>312</v>
      </c>
      <c r="R932" s="95">
        <f t="shared" si="362"/>
        <v>-3.6041160000000001E-3</v>
      </c>
      <c r="S932" s="95">
        <f t="shared" si="363"/>
        <v>-6.5588400000000002E-4</v>
      </c>
      <c r="T932" s="78">
        <v>1</v>
      </c>
      <c r="U932" s="78">
        <v>633165</v>
      </c>
      <c r="V932" s="78" t="s">
        <v>312</v>
      </c>
      <c r="W932" s="78" t="s">
        <v>312</v>
      </c>
      <c r="X932" s="78">
        <f t="shared" si="376"/>
        <v>633165</v>
      </c>
      <c r="Y932" s="95">
        <f t="shared" si="365"/>
        <v>-3.5591215002083406E-3</v>
      </c>
      <c r="Z932" s="95">
        <f t="shared" si="366"/>
        <v>1.2567207888763818E-3</v>
      </c>
      <c r="AA932" s="95">
        <f t="shared" si="377"/>
        <v>-3.5591215002083406E-3</v>
      </c>
      <c r="AB932" s="78" t="s">
        <v>81</v>
      </c>
      <c r="AC932" s="95">
        <f t="shared" si="378"/>
        <v>-8.1902759999999991E-2</v>
      </c>
      <c r="AD932" s="95" cm="1">
        <f t="array" ref="AD932">_xlfn.IFS(
AND(L932="marginal_effect",M932="level"),N932*AN932/BF932,
AND(L932="marginal_effect",M932="sd (Y)"),N932*BI932*AN932/BF932,
AND(L932="marginal_effect",M932="sd (X)"),N932/AQ932*AN932/BF932,
AND(L932="semi_elasticity",M932="level"),N932*AN932,
AND(L932="semi_elasticity",M932="sd (Y)"),N932*AN932*BI932,
AND(L932="semi_elasticity",M932="sd (X)"),N932*AN932/AQ932,
AND(L932="level-log",M932="level"),N932/BF932,
AND(L932="level-log",M932="sd (X)"),N932/BF932/AQ932,
AND(L932="level-log",M932="sd (Y)"),N932/BF932*BI932,
AND(L932="elasticity",M932="level"),N932,
AND(L932="elasticity",M932="sd (X)"),N932/AQ932,
AND(L932="elasticity",M932="sd (Y)"),N932*BI932,
AND(L932="marginal_effect",M932="percent_of_mean"),N932*AN932/BF932/10)</f>
        <v>-8.1902759999999991E-2</v>
      </c>
      <c r="AE932" s="105">
        <f t="shared" si="379"/>
        <v>1</v>
      </c>
      <c r="AF932" s="95">
        <f t="shared" si="370"/>
        <v>2.8919749200000001E-2</v>
      </c>
      <c r="AG932" s="95" cm="1">
        <f t="array" ref="AG932">_xlfn.IFS(
AND(L932="marginal_effect",M932="level"),O932*AN932/BF932,
AND(L932="marginal_effect",M932="sd (Y)"),O932*BI932*AN932/BF932,
AND(L932="marginal_effect",M932="sd (X)"),O932/AQ932*AN932/BF932,
AND(L932="semi_elasticity",M932="level"),O932*AN932,
AND(L932="semi_elasticity",M932="sd (Y)"),O932*AN932*BI932,
AND(L932="semi_elasticity",M932="sd (X)"),O932*AN932/AQ932,
AND(L932="level-log",M932="level"),O932/BF932,
AND(L932="level-log",M932="sd (X)"),O932/BF932/AQ932,
AND(L932="level-log",M932="sd (Y)"),O932/BF932*BI932,
AND(L932="elasticity",M932="level"),O932,
AND(L932="elasticity",M932="sd (X)"),O932/AQ932,
AND(L932="elasticity",M932="sd (Y)"),O932*BI932,
AND(L932="marginal_effect",M932="percent_of_mean"),O932*AN932/BF932/10)</f>
        <v>2.8919749200000001E-2</v>
      </c>
      <c r="AH932" s="105">
        <f t="shared" si="371"/>
        <v>1</v>
      </c>
      <c r="AI932" s="95">
        <f t="shared" si="380"/>
        <v>-8.1902759999999991E-2</v>
      </c>
      <c r="AJ932" s="78">
        <v>0</v>
      </c>
      <c r="AK932" s="78">
        <f t="shared" si="373"/>
        <v>1</v>
      </c>
      <c r="AL932" s="76" t="s">
        <v>1674</v>
      </c>
      <c r="AM932" s="78" t="s">
        <v>410</v>
      </c>
      <c r="AN932" s="78">
        <v>38.451999999999998</v>
      </c>
      <c r="AO932" s="78">
        <v>0</v>
      </c>
      <c r="AP932" s="78">
        <f t="shared" si="381"/>
        <v>38.451999999999998</v>
      </c>
      <c r="AQ932" s="78">
        <v>9.109</v>
      </c>
      <c r="AR932" s="78">
        <v>14</v>
      </c>
      <c r="AS932" s="78">
        <v>83</v>
      </c>
      <c r="AT932" s="78" t="s">
        <v>83</v>
      </c>
      <c r="AU932" s="78" t="s">
        <v>109</v>
      </c>
      <c r="AV932" s="78" t="s">
        <v>133</v>
      </c>
      <c r="AW932" s="78" t="s">
        <v>109</v>
      </c>
      <c r="AX932" s="78" t="s">
        <v>86</v>
      </c>
      <c r="AY932" s="78">
        <v>0</v>
      </c>
      <c r="AZ932" s="78">
        <v>0</v>
      </c>
      <c r="BA932" s="78" t="s">
        <v>87</v>
      </c>
      <c r="BB932" s="78" t="s">
        <v>88</v>
      </c>
      <c r="BC932" s="78" t="s">
        <v>89</v>
      </c>
      <c r="BD932" s="78" t="s">
        <v>90</v>
      </c>
      <c r="BE932" s="78" t="s">
        <v>1669</v>
      </c>
      <c r="BF932" s="78">
        <v>6.8559999999999999</v>
      </c>
      <c r="BG932" s="78">
        <v>0</v>
      </c>
      <c r="BH932" s="78">
        <v>3.2730000000000001</v>
      </c>
      <c r="BI932" s="78">
        <v>1</v>
      </c>
      <c r="BJ932" s="78">
        <v>20</v>
      </c>
      <c r="BK932" s="78" t="s">
        <v>91</v>
      </c>
      <c r="BL932" s="78" t="s">
        <v>84</v>
      </c>
      <c r="BM932" s="78">
        <v>1</v>
      </c>
      <c r="BN932" s="78" t="s">
        <v>484</v>
      </c>
      <c r="BO932" s="78" t="s">
        <v>1670</v>
      </c>
      <c r="BP932" s="78" t="s">
        <v>1671</v>
      </c>
      <c r="BQ932" s="78" t="s">
        <v>92</v>
      </c>
      <c r="BR932" s="78" t="s">
        <v>118</v>
      </c>
      <c r="BS932" s="78">
        <v>29.169</v>
      </c>
      <c r="BT932" s="78">
        <f t="shared" si="382"/>
        <v>0.30900000000000005</v>
      </c>
      <c r="BU932" s="78">
        <v>2010</v>
      </c>
      <c r="BV932" s="78">
        <v>2015</v>
      </c>
      <c r="BW932" s="78" t="s">
        <v>94</v>
      </c>
      <c r="BX932" s="78" t="s">
        <v>95</v>
      </c>
      <c r="BY932" s="78" t="s">
        <v>96</v>
      </c>
      <c r="BZ932" s="78">
        <v>0</v>
      </c>
      <c r="CA932" s="78">
        <v>0</v>
      </c>
      <c r="CB932" s="78" t="s">
        <v>97</v>
      </c>
      <c r="CC932" s="78" t="s">
        <v>1673</v>
      </c>
      <c r="CD932" s="78">
        <v>0</v>
      </c>
      <c r="CE932" s="78" t="s">
        <v>1712</v>
      </c>
      <c r="CF932" s="78">
        <v>1</v>
      </c>
      <c r="CG932" s="78" t="s">
        <v>1688</v>
      </c>
      <c r="CH932" s="78">
        <v>1</v>
      </c>
      <c r="CI932" s="78" t="s">
        <v>1465</v>
      </c>
      <c r="CJ932" s="78" t="s">
        <v>98</v>
      </c>
      <c r="CK932" s="78">
        <v>79</v>
      </c>
      <c r="CL932" s="78">
        <v>0</v>
      </c>
      <c r="CM932" s="78">
        <v>0</v>
      </c>
      <c r="CN932" s="78" t="s">
        <v>99</v>
      </c>
      <c r="CO932" s="78" t="s">
        <v>1318</v>
      </c>
      <c r="CP932" s="78" t="s">
        <v>100</v>
      </c>
      <c r="CQ932" s="78" t="s">
        <v>126</v>
      </c>
      <c r="CR932" s="80">
        <v>46251</v>
      </c>
      <c r="CT932" s="78" t="s">
        <v>672</v>
      </c>
    </row>
    <row r="933" spans="1:98" s="78" customFormat="1" x14ac:dyDescent="0.35">
      <c r="A933" s="77" t="s">
        <v>1666</v>
      </c>
      <c r="B933" s="81" t="s">
        <v>1730</v>
      </c>
      <c r="C933" s="77" t="s">
        <v>1667</v>
      </c>
      <c r="D933" s="78">
        <v>2022</v>
      </c>
      <c r="E933" s="79" t="s">
        <v>1672</v>
      </c>
      <c r="F933" s="77" t="s">
        <v>1668</v>
      </c>
      <c r="G933" s="78" t="s">
        <v>78</v>
      </c>
      <c r="H933" s="78">
        <v>1</v>
      </c>
      <c r="I933" s="78" t="s">
        <v>390</v>
      </c>
      <c r="J933" s="78" t="s">
        <v>79</v>
      </c>
      <c r="K933" s="78">
        <v>33</v>
      </c>
      <c r="L933" s="78" t="s">
        <v>104</v>
      </c>
      <c r="M933" s="78" t="s">
        <v>380</v>
      </c>
      <c r="N933" s="78">
        <v>-2.2899999999999999E-3</v>
      </c>
      <c r="O933" s="78">
        <v>7.8080000000000001E-4</v>
      </c>
      <c r="P933" s="95">
        <f t="shared" si="361"/>
        <v>-2.932889344262295</v>
      </c>
      <c r="Q933" s="78" t="s">
        <v>312</v>
      </c>
      <c r="R933" s="95">
        <f t="shared" si="362"/>
        <v>-3.8203680000000002E-3</v>
      </c>
      <c r="S933" s="95">
        <f t="shared" si="363"/>
        <v>-7.5963199999999989E-4</v>
      </c>
      <c r="T933" s="78">
        <v>1</v>
      </c>
      <c r="U933" s="78">
        <v>633165</v>
      </c>
      <c r="V933" s="78" t="s">
        <v>312</v>
      </c>
      <c r="W933" s="78" t="s">
        <v>312</v>
      </c>
      <c r="X933" s="78">
        <f t="shared" si="376"/>
        <v>633165</v>
      </c>
      <c r="Y933" s="95">
        <f t="shared" si="365"/>
        <v>-3.6858213187174515E-3</v>
      </c>
      <c r="Z933" s="95">
        <f t="shared" si="366"/>
        <v>1.2567202120762385E-3</v>
      </c>
      <c r="AA933" s="95">
        <f t="shared" si="377"/>
        <v>-3.6858213187174515E-3</v>
      </c>
      <c r="AB933" s="78" t="s">
        <v>81</v>
      </c>
      <c r="AC933" s="95">
        <f t="shared" si="378"/>
        <v>-8.8055079999999994E-2</v>
      </c>
      <c r="AD933" s="95" cm="1">
        <f t="array" ref="AD933">_xlfn.IFS(
AND(L933="marginal_effect",M933="level"),N933*AN933/BF933,
AND(L933="marginal_effect",M933="sd (Y)"),N933*BI933*AN933/BF933,
AND(L933="marginal_effect",M933="sd (X)"),N933/AQ933*AN933/BF933,
AND(L933="semi_elasticity",M933="level"),N933*AN933,
AND(L933="semi_elasticity",M933="sd (Y)"),N933*AN933*BI933,
AND(L933="semi_elasticity",M933="sd (X)"),N933*AN933/AQ933,
AND(L933="level-log",M933="level"),N933/BF933,
AND(L933="level-log",M933="sd (X)"),N933/BF933/AQ933,
AND(L933="level-log",M933="sd (Y)"),N933/BF933*BI933,
AND(L933="elasticity",M933="level"),N933,
AND(L933="elasticity",M933="sd (X)"),N933/AQ933,
AND(L933="elasticity",M933="sd (Y)"),N933*BI933,
AND(L933="marginal_effect",M933="percent_of_mean"),N933*AN933/BF933/10)</f>
        <v>-8.8055079999999994E-2</v>
      </c>
      <c r="AE933" s="105">
        <f t="shared" si="379"/>
        <v>1</v>
      </c>
      <c r="AF933" s="95">
        <f t="shared" si="370"/>
        <v>3.00233216E-2</v>
      </c>
      <c r="AG933" s="95" cm="1">
        <f t="array" ref="AG933">_xlfn.IFS(
AND(L933="marginal_effect",M933="level"),O933*AN933/BF933,
AND(L933="marginal_effect",M933="sd (Y)"),O933*BI933*AN933/BF933,
AND(L933="marginal_effect",M933="sd (X)"),O933/AQ933*AN933/BF933,
AND(L933="semi_elasticity",M933="level"),O933*AN933,
AND(L933="semi_elasticity",M933="sd (Y)"),O933*AN933*BI933,
AND(L933="semi_elasticity",M933="sd (X)"),O933*AN933/AQ933,
AND(L933="level-log",M933="level"),O933/BF933,
AND(L933="level-log",M933="sd (X)"),O933/BF933/AQ933,
AND(L933="level-log",M933="sd (Y)"),O933/BF933*BI933,
AND(L933="elasticity",M933="level"),O933,
AND(L933="elasticity",M933="sd (X)"),O933/AQ933,
AND(L933="elasticity",M933="sd (Y)"),O933*BI933,
AND(L933="marginal_effect",M933="percent_of_mean"),O933*AN933/BF933/10)</f>
        <v>3.00233216E-2</v>
      </c>
      <c r="AH933" s="105">
        <f t="shared" si="371"/>
        <v>1</v>
      </c>
      <c r="AI933" s="95">
        <f t="shared" si="380"/>
        <v>-8.8055079999999994E-2</v>
      </c>
      <c r="AJ933" s="78">
        <v>0</v>
      </c>
      <c r="AK933" s="78">
        <f t="shared" si="373"/>
        <v>1</v>
      </c>
      <c r="AL933" s="76" t="s">
        <v>1674</v>
      </c>
      <c r="AM933" s="78" t="s">
        <v>410</v>
      </c>
      <c r="AN933" s="78">
        <v>38.451999999999998</v>
      </c>
      <c r="AO933" s="78">
        <v>0</v>
      </c>
      <c r="AP933" s="78">
        <f t="shared" si="381"/>
        <v>38.451999999999998</v>
      </c>
      <c r="AQ933" s="78">
        <v>9.109</v>
      </c>
      <c r="AR933" s="78">
        <v>14</v>
      </c>
      <c r="AS933" s="78">
        <v>83</v>
      </c>
      <c r="AT933" s="78" t="s">
        <v>83</v>
      </c>
      <c r="AU933" s="78" t="s">
        <v>109</v>
      </c>
      <c r="AV933" s="78" t="s">
        <v>133</v>
      </c>
      <c r="AW933" s="78" t="s">
        <v>109</v>
      </c>
      <c r="AX933" s="78" t="s">
        <v>86</v>
      </c>
      <c r="AY933" s="78">
        <v>0</v>
      </c>
      <c r="AZ933" s="78">
        <v>0</v>
      </c>
      <c r="BA933" s="78" t="s">
        <v>87</v>
      </c>
      <c r="BB933" s="78" t="s">
        <v>88</v>
      </c>
      <c r="BC933" s="78" t="s">
        <v>89</v>
      </c>
      <c r="BD933" s="78" t="s">
        <v>90</v>
      </c>
      <c r="BE933" s="78" t="s">
        <v>1669</v>
      </c>
      <c r="BF933" s="78">
        <v>6.8559999999999999</v>
      </c>
      <c r="BG933" s="78">
        <v>0</v>
      </c>
      <c r="BH933" s="78">
        <v>3.2730000000000001</v>
      </c>
      <c r="BI933" s="78">
        <v>1</v>
      </c>
      <c r="BJ933" s="78">
        <v>20</v>
      </c>
      <c r="BK933" s="78" t="s">
        <v>91</v>
      </c>
      <c r="BL933" s="78" t="s">
        <v>84</v>
      </c>
      <c r="BM933" s="78">
        <v>1</v>
      </c>
      <c r="BN933" s="78" t="s">
        <v>484</v>
      </c>
      <c r="BO933" s="78" t="s">
        <v>1670</v>
      </c>
      <c r="BP933" s="78" t="s">
        <v>1671</v>
      </c>
      <c r="BQ933" s="78" t="s">
        <v>92</v>
      </c>
      <c r="BR933" s="78" t="s">
        <v>118</v>
      </c>
      <c r="BS933" s="78">
        <v>29.169</v>
      </c>
      <c r="BT933" s="78">
        <f t="shared" si="382"/>
        <v>0.30900000000000005</v>
      </c>
      <c r="BU933" s="78">
        <v>2010</v>
      </c>
      <c r="BV933" s="78">
        <v>2015</v>
      </c>
      <c r="BW933" s="78" t="s">
        <v>94</v>
      </c>
      <c r="BX933" s="78" t="s">
        <v>95</v>
      </c>
      <c r="BY933" s="78" t="s">
        <v>96</v>
      </c>
      <c r="BZ933" s="78">
        <v>0</v>
      </c>
      <c r="CA933" s="78">
        <v>0</v>
      </c>
      <c r="CB933" s="78" t="s">
        <v>97</v>
      </c>
      <c r="CC933" s="78" t="s">
        <v>1673</v>
      </c>
      <c r="CD933" s="78">
        <v>0</v>
      </c>
      <c r="CE933" s="78" t="s">
        <v>1712</v>
      </c>
      <c r="CF933" s="78">
        <v>1</v>
      </c>
      <c r="CG933" s="78" t="s">
        <v>1688</v>
      </c>
      <c r="CH933" s="78">
        <v>1</v>
      </c>
      <c r="CI933" s="78" t="s">
        <v>1465</v>
      </c>
      <c r="CJ933" s="78" t="s">
        <v>98</v>
      </c>
      <c r="CK933" s="78">
        <v>79</v>
      </c>
      <c r="CL933" s="78">
        <v>0</v>
      </c>
      <c r="CM933" s="78">
        <v>0</v>
      </c>
      <c r="CN933" s="78" t="s">
        <v>99</v>
      </c>
      <c r="CO933" s="78" t="s">
        <v>1318</v>
      </c>
      <c r="CP933" s="78" t="s">
        <v>100</v>
      </c>
      <c r="CQ933" s="78" t="s">
        <v>126</v>
      </c>
      <c r="CR933" s="80">
        <v>46251</v>
      </c>
      <c r="CT933" s="78" t="s">
        <v>672</v>
      </c>
    </row>
    <row r="934" spans="1:98" s="78" customFormat="1" x14ac:dyDescent="0.35">
      <c r="A934" s="77" t="s">
        <v>1666</v>
      </c>
      <c r="B934" s="81" t="s">
        <v>1731</v>
      </c>
      <c r="C934" s="77" t="s">
        <v>1667</v>
      </c>
      <c r="D934" s="78">
        <v>2022</v>
      </c>
      <c r="E934" s="79" t="s">
        <v>1672</v>
      </c>
      <c r="F934" s="77" t="s">
        <v>1668</v>
      </c>
      <c r="G934" s="78" t="s">
        <v>78</v>
      </c>
      <c r="H934" s="78">
        <v>1</v>
      </c>
      <c r="I934" s="78" t="s">
        <v>390</v>
      </c>
      <c r="J934" s="78" t="s">
        <v>79</v>
      </c>
      <c r="K934" s="78">
        <v>33</v>
      </c>
      <c r="L934" s="78" t="s">
        <v>104</v>
      </c>
      <c r="M934" s="78" t="s">
        <v>380</v>
      </c>
      <c r="N934" s="78">
        <v>-4.13E-3</v>
      </c>
      <c r="O934" s="78">
        <v>1.4219E-3</v>
      </c>
      <c r="P934" s="95">
        <f t="shared" si="361"/>
        <v>-2.904564315352697</v>
      </c>
      <c r="Q934" s="78" t="s">
        <v>312</v>
      </c>
      <c r="R934" s="95">
        <f t="shared" si="362"/>
        <v>-6.9169239999999996E-3</v>
      </c>
      <c r="S934" s="95">
        <f t="shared" si="363"/>
        <v>-1.3430759999999999E-3</v>
      </c>
      <c r="T934" s="78">
        <v>1</v>
      </c>
      <c r="U934" s="78">
        <v>633165</v>
      </c>
      <c r="V934" s="78" t="s">
        <v>312</v>
      </c>
      <c r="W934" s="78" t="s">
        <v>312</v>
      </c>
      <c r="X934" s="78">
        <f t="shared" si="376"/>
        <v>633165</v>
      </c>
      <c r="Y934" s="95">
        <f t="shared" si="365"/>
        <v>-3.6502251589864204E-3</v>
      </c>
      <c r="Z934" s="95">
        <f t="shared" si="366"/>
        <v>1.256720376165325E-3</v>
      </c>
      <c r="AA934" s="95">
        <f t="shared" si="377"/>
        <v>-3.6502251589864204E-3</v>
      </c>
      <c r="AB934" s="78" t="s">
        <v>81</v>
      </c>
      <c r="AC934" s="95">
        <f t="shared" si="378"/>
        <v>-2.7481019999999998E-2</v>
      </c>
      <c r="AD934" s="95" cm="1">
        <f t="array" ref="AD934">_xlfn.IFS(
AND(L934="marginal_effect",M934="level"),N934*AN934/BF934,
AND(L934="marginal_effect",M934="sd (Y)"),N934*BI934*AN934/BF934,
AND(L934="marginal_effect",M934="sd (X)"),N934/AQ934*AN934/BF934,
AND(L934="semi_elasticity",M934="level"),N934*AN934,
AND(L934="semi_elasticity",M934="sd (Y)"),N934*AN934*BI934,
AND(L934="semi_elasticity",M934="sd (X)"),N934*AN934/AQ934,
AND(L934="level-log",M934="level"),N934/BF934,
AND(L934="level-log",M934="sd (X)"),N934/BF934/AQ934,
AND(L934="level-log",M934="sd (Y)"),N934/BF934*BI934,
AND(L934="elasticity",M934="level"),N934,
AND(L934="elasticity",M934="sd (X)"),N934/AQ934,
AND(L934="elasticity",M934="sd (Y)"),N934*BI934,
AND(L934="marginal_effect",M934="percent_of_mean"),N934*AN934/BF934/10)</f>
        <v>-2.7481019999999998E-2</v>
      </c>
      <c r="AE934" s="105">
        <f t="shared" si="379"/>
        <v>1</v>
      </c>
      <c r="AF934" s="95">
        <f t="shared" si="370"/>
        <v>9.4613226000000005E-3</v>
      </c>
      <c r="AG934" s="95" cm="1">
        <f t="array" ref="AG934">_xlfn.IFS(
AND(L934="marginal_effect",M934="level"),O934*AN934/BF934,
AND(L934="marginal_effect",M934="sd (Y)"),O934*BI934*AN934/BF934,
AND(L934="marginal_effect",M934="sd (X)"),O934/AQ934*AN934/BF934,
AND(L934="semi_elasticity",M934="level"),O934*AN934,
AND(L934="semi_elasticity",M934="sd (Y)"),O934*AN934*BI934,
AND(L934="semi_elasticity",M934="sd (X)"),O934*AN934/AQ934,
AND(L934="level-log",M934="level"),O934/BF934,
AND(L934="level-log",M934="sd (X)"),O934/BF934/AQ934,
AND(L934="level-log",M934="sd (Y)"),O934/BF934*BI934,
AND(L934="elasticity",M934="level"),O934,
AND(L934="elasticity",M934="sd (X)"),O934/AQ934,
AND(L934="elasticity",M934="sd (Y)"),O934*BI934,
AND(L934="marginal_effect",M934="percent_of_mean"),O934*AN934/BF934/10)</f>
        <v>9.4613226000000005E-3</v>
      </c>
      <c r="AH934" s="105">
        <f t="shared" si="371"/>
        <v>1</v>
      </c>
      <c r="AI934" s="95">
        <f t="shared" si="380"/>
        <v>-2.7481019999999998E-2</v>
      </c>
      <c r="AJ934" s="78">
        <v>0</v>
      </c>
      <c r="AK934" s="78">
        <f t="shared" si="373"/>
        <v>1</v>
      </c>
      <c r="AL934" s="78" t="s">
        <v>82</v>
      </c>
      <c r="AM934" s="78" t="s">
        <v>1333</v>
      </c>
      <c r="AN934" s="78">
        <v>6.6539999999999999</v>
      </c>
      <c r="AO934" s="78">
        <v>0</v>
      </c>
      <c r="AP934" s="78">
        <f t="shared" si="381"/>
        <v>6.6539999999999999</v>
      </c>
      <c r="AQ934" s="78">
        <v>2.7320000000000002</v>
      </c>
      <c r="AR934" s="78">
        <v>0.69099999999999995</v>
      </c>
      <c r="AS934" s="78">
        <v>21.341999999999999</v>
      </c>
      <c r="AT934" s="78" t="s">
        <v>83</v>
      </c>
      <c r="AU934" s="78" t="s">
        <v>109</v>
      </c>
      <c r="AV934" s="78" t="s">
        <v>133</v>
      </c>
      <c r="AW934" s="78" t="s">
        <v>109</v>
      </c>
      <c r="AX934" s="78" t="s">
        <v>86</v>
      </c>
      <c r="AY934" s="78">
        <v>0</v>
      </c>
      <c r="AZ934" s="78">
        <v>0</v>
      </c>
      <c r="BA934" s="78" t="s">
        <v>87</v>
      </c>
      <c r="BB934" s="78" t="s">
        <v>88</v>
      </c>
      <c r="BC934" s="78" t="s">
        <v>89</v>
      </c>
      <c r="BD934" s="78" t="s">
        <v>90</v>
      </c>
      <c r="BE934" s="78" t="s">
        <v>1669</v>
      </c>
      <c r="BF934" s="78">
        <v>6.8559999999999999</v>
      </c>
      <c r="BG934" s="78">
        <v>0</v>
      </c>
      <c r="BH934" s="78">
        <v>3.2730000000000001</v>
      </c>
      <c r="BI934" s="78">
        <v>1</v>
      </c>
      <c r="BJ934" s="78">
        <v>20</v>
      </c>
      <c r="BK934" s="78" t="s">
        <v>91</v>
      </c>
      <c r="BL934" s="78" t="s">
        <v>84</v>
      </c>
      <c r="BM934" s="78">
        <v>1</v>
      </c>
      <c r="BN934" s="78" t="s">
        <v>484</v>
      </c>
      <c r="BO934" s="78" t="s">
        <v>1670</v>
      </c>
      <c r="BP934" s="78" t="s">
        <v>1671</v>
      </c>
      <c r="BQ934" s="78" t="s">
        <v>92</v>
      </c>
      <c r="BR934" s="78" t="s">
        <v>118</v>
      </c>
      <c r="BS934" s="78">
        <v>29.169</v>
      </c>
      <c r="BT934" s="78">
        <f t="shared" si="382"/>
        <v>0.30900000000000005</v>
      </c>
      <c r="BU934" s="78">
        <v>2010</v>
      </c>
      <c r="BV934" s="78">
        <v>2015</v>
      </c>
      <c r="BW934" s="78" t="s">
        <v>94</v>
      </c>
      <c r="BX934" s="78" t="s">
        <v>95</v>
      </c>
      <c r="BY934" s="78" t="s">
        <v>96</v>
      </c>
      <c r="BZ934" s="78">
        <v>0</v>
      </c>
      <c r="CA934" s="78">
        <v>0</v>
      </c>
      <c r="CB934" s="78" t="s">
        <v>97</v>
      </c>
      <c r="CC934" s="78" t="s">
        <v>1673</v>
      </c>
      <c r="CD934" s="78">
        <v>0</v>
      </c>
      <c r="CE934" s="78" t="s">
        <v>1712</v>
      </c>
      <c r="CF934" s="78">
        <v>1</v>
      </c>
      <c r="CG934" s="78" t="s">
        <v>1125</v>
      </c>
      <c r="CH934" s="78">
        <v>1</v>
      </c>
      <c r="CI934" s="78" t="s">
        <v>1465</v>
      </c>
      <c r="CJ934" s="78" t="s">
        <v>98</v>
      </c>
      <c r="CK934" s="78">
        <v>79</v>
      </c>
      <c r="CL934" s="78">
        <v>0</v>
      </c>
      <c r="CM934" s="78">
        <v>0</v>
      </c>
      <c r="CN934" s="78" t="s">
        <v>99</v>
      </c>
      <c r="CO934" s="78" t="s">
        <v>940</v>
      </c>
      <c r="CP934" s="78" t="s">
        <v>100</v>
      </c>
      <c r="CQ934" s="78" t="s">
        <v>126</v>
      </c>
      <c r="CR934" s="80">
        <v>46251</v>
      </c>
      <c r="CT934" s="78" t="s">
        <v>782</v>
      </c>
    </row>
    <row r="935" spans="1:98" s="78" customFormat="1" x14ac:dyDescent="0.35">
      <c r="A935" s="77" t="s">
        <v>1666</v>
      </c>
      <c r="B935" s="81" t="s">
        <v>1732</v>
      </c>
      <c r="C935" s="77" t="s">
        <v>1667</v>
      </c>
      <c r="D935" s="78">
        <v>2022</v>
      </c>
      <c r="E935" s="79" t="s">
        <v>1672</v>
      </c>
      <c r="F935" s="77" t="s">
        <v>1668</v>
      </c>
      <c r="G935" s="78" t="s">
        <v>78</v>
      </c>
      <c r="H935" s="78">
        <v>1</v>
      </c>
      <c r="I935" s="78" t="s">
        <v>390</v>
      </c>
      <c r="J935" s="78" t="s">
        <v>79</v>
      </c>
      <c r="K935" s="78">
        <v>33</v>
      </c>
      <c r="L935" s="78" t="s">
        <v>104</v>
      </c>
      <c r="M935" s="78" t="s">
        <v>380</v>
      </c>
      <c r="N935" s="78">
        <v>-2.2300000000000002E-3</v>
      </c>
      <c r="O935" s="78">
        <v>7.6090000000000001E-4</v>
      </c>
      <c r="P935" s="95">
        <f t="shared" si="361"/>
        <v>-2.9307399132606129</v>
      </c>
      <c r="Q935" s="78" t="s">
        <v>312</v>
      </c>
      <c r="R935" s="95">
        <f t="shared" si="362"/>
        <v>-3.7213640000000004E-3</v>
      </c>
      <c r="S935" s="95">
        <f t="shared" si="363"/>
        <v>-7.386360000000002E-4</v>
      </c>
      <c r="T935" s="78">
        <v>1</v>
      </c>
      <c r="U935" s="78">
        <v>633165</v>
      </c>
      <c r="V935" s="78" t="s">
        <v>312</v>
      </c>
      <c r="W935" s="78" t="s">
        <v>312</v>
      </c>
      <c r="X935" s="78">
        <f t="shared" si="376"/>
        <v>633165</v>
      </c>
      <c r="Y935" s="95">
        <f t="shared" si="365"/>
        <v>-3.683120121989852E-3</v>
      </c>
      <c r="Z935" s="95">
        <f t="shared" si="366"/>
        <v>1.2567202245838914E-3</v>
      </c>
      <c r="AA935" s="95">
        <f t="shared" si="377"/>
        <v>-3.683120121989852E-3</v>
      </c>
      <c r="AB935" s="78" t="s">
        <v>81</v>
      </c>
      <c r="AC935" s="95">
        <f t="shared" si="378"/>
        <v>-8.5747959999999998E-2</v>
      </c>
      <c r="AD935" s="95" cm="1">
        <f t="array" ref="AD935">_xlfn.IFS(
AND(L935="marginal_effect",M935="level"),N935*AN935/BF935,
AND(L935="marginal_effect",M935="sd (Y)"),N935*BI935*AN935/BF935,
AND(L935="marginal_effect",M935="sd (X)"),N935/AQ935*AN935/BF935,
AND(L935="semi_elasticity",M935="level"),N935*AN935,
AND(L935="semi_elasticity",M935="sd (Y)"),N935*AN935*BI935,
AND(L935="semi_elasticity",M935="sd (X)"),N935*AN935/AQ935,
AND(L935="level-log",M935="level"),N935/BF935,
AND(L935="level-log",M935="sd (X)"),N935/BF935/AQ935,
AND(L935="level-log",M935="sd (Y)"),N935/BF935*BI935,
AND(L935="elasticity",M935="level"),N935,
AND(L935="elasticity",M935="sd (X)"),N935/AQ935,
AND(L935="elasticity",M935="sd (Y)"),N935*BI935,
AND(L935="marginal_effect",M935="percent_of_mean"),N935*AN935/BF935/10)</f>
        <v>-8.5747959999999998E-2</v>
      </c>
      <c r="AE935" s="105">
        <f t="shared" si="379"/>
        <v>1</v>
      </c>
      <c r="AF935" s="95">
        <f t="shared" si="370"/>
        <v>2.9258126799999999E-2</v>
      </c>
      <c r="AG935" s="95" cm="1">
        <f t="array" ref="AG935">_xlfn.IFS(
AND(L935="marginal_effect",M935="level"),O935*AN935/BF935,
AND(L935="marginal_effect",M935="sd (Y)"),O935*BI935*AN935/BF935,
AND(L935="marginal_effect",M935="sd (X)"),O935/AQ935*AN935/BF935,
AND(L935="semi_elasticity",M935="level"),O935*AN935,
AND(L935="semi_elasticity",M935="sd (Y)"),O935*AN935*BI935,
AND(L935="semi_elasticity",M935="sd (X)"),O935*AN935/AQ935,
AND(L935="level-log",M935="level"),O935/BF935,
AND(L935="level-log",M935="sd (X)"),O935/BF935/AQ935,
AND(L935="level-log",M935="sd (Y)"),O935/BF935*BI935,
AND(L935="elasticity",M935="level"),O935,
AND(L935="elasticity",M935="sd (X)"),O935/AQ935,
AND(L935="elasticity",M935="sd (Y)"),O935*BI935,
AND(L935="marginal_effect",M935="percent_of_mean"),O935*AN935/BF935/10)</f>
        <v>2.9258126799999999E-2</v>
      </c>
      <c r="AH935" s="105">
        <f t="shared" si="371"/>
        <v>1</v>
      </c>
      <c r="AI935" s="95">
        <f t="shared" si="380"/>
        <v>-8.5747959999999998E-2</v>
      </c>
      <c r="AJ935" s="78">
        <v>0</v>
      </c>
      <c r="AK935" s="78">
        <f t="shared" si="373"/>
        <v>1</v>
      </c>
      <c r="AL935" s="76" t="s">
        <v>1674</v>
      </c>
      <c r="AM935" s="78" t="s">
        <v>410</v>
      </c>
      <c r="AN935" s="78">
        <v>38.451999999999998</v>
      </c>
      <c r="AO935" s="78">
        <v>0</v>
      </c>
      <c r="AP935" s="78">
        <f t="shared" si="381"/>
        <v>38.451999999999998</v>
      </c>
      <c r="AQ935" s="78">
        <v>9.109</v>
      </c>
      <c r="AR935" s="78">
        <v>14</v>
      </c>
      <c r="AS935" s="78">
        <v>83</v>
      </c>
      <c r="AT935" s="78" t="s">
        <v>83</v>
      </c>
      <c r="AU935" s="78" t="s">
        <v>109</v>
      </c>
      <c r="AV935" s="78" t="s">
        <v>133</v>
      </c>
      <c r="AW935" s="78" t="s">
        <v>109</v>
      </c>
      <c r="AX935" s="78" t="s">
        <v>86</v>
      </c>
      <c r="AY935" s="78">
        <v>0</v>
      </c>
      <c r="AZ935" s="78">
        <v>0</v>
      </c>
      <c r="BA935" s="78" t="s">
        <v>87</v>
      </c>
      <c r="BB935" s="78" t="s">
        <v>88</v>
      </c>
      <c r="BC935" s="78" t="s">
        <v>89</v>
      </c>
      <c r="BD935" s="78" t="s">
        <v>90</v>
      </c>
      <c r="BE935" s="78" t="s">
        <v>1669</v>
      </c>
      <c r="BF935" s="78">
        <v>6.8559999999999999</v>
      </c>
      <c r="BG935" s="78">
        <v>0</v>
      </c>
      <c r="BH935" s="78">
        <v>3.2730000000000001</v>
      </c>
      <c r="BI935" s="78">
        <v>1</v>
      </c>
      <c r="BJ935" s="78">
        <v>20</v>
      </c>
      <c r="BK935" s="78" t="s">
        <v>91</v>
      </c>
      <c r="BL935" s="78" t="s">
        <v>84</v>
      </c>
      <c r="BM935" s="78">
        <v>1</v>
      </c>
      <c r="BN935" s="78" t="s">
        <v>484</v>
      </c>
      <c r="BO935" s="78" t="s">
        <v>1670</v>
      </c>
      <c r="BP935" s="78" t="s">
        <v>1671</v>
      </c>
      <c r="BQ935" s="78" t="s">
        <v>92</v>
      </c>
      <c r="BR935" s="78" t="s">
        <v>118</v>
      </c>
      <c r="BS935" s="78">
        <v>29.169</v>
      </c>
      <c r="BT935" s="78">
        <f t="shared" si="382"/>
        <v>0.30900000000000005</v>
      </c>
      <c r="BU935" s="78">
        <v>2010</v>
      </c>
      <c r="BV935" s="78">
        <v>2015</v>
      </c>
      <c r="BW935" s="78" t="s">
        <v>94</v>
      </c>
      <c r="BX935" s="78" t="s">
        <v>95</v>
      </c>
      <c r="BY935" s="78" t="s">
        <v>96</v>
      </c>
      <c r="BZ935" s="78">
        <v>0</v>
      </c>
      <c r="CA935" s="78">
        <v>0</v>
      </c>
      <c r="CB935" s="78" t="s">
        <v>97</v>
      </c>
      <c r="CC935" s="78" t="s">
        <v>1673</v>
      </c>
      <c r="CD935" s="78">
        <v>0</v>
      </c>
      <c r="CE935" s="78" t="s">
        <v>1712</v>
      </c>
      <c r="CF935" s="78">
        <v>1</v>
      </c>
      <c r="CG935" s="78" t="s">
        <v>1688</v>
      </c>
      <c r="CH935" s="78">
        <v>1</v>
      </c>
      <c r="CI935" s="78" t="s">
        <v>1465</v>
      </c>
      <c r="CJ935" s="78" t="s">
        <v>98</v>
      </c>
      <c r="CK935" s="78">
        <v>79</v>
      </c>
      <c r="CL935" s="78">
        <v>0</v>
      </c>
      <c r="CM935" s="78">
        <v>0</v>
      </c>
      <c r="CN935" s="78" t="s">
        <v>99</v>
      </c>
      <c r="CO935" s="78" t="s">
        <v>940</v>
      </c>
      <c r="CP935" s="78" t="s">
        <v>100</v>
      </c>
      <c r="CQ935" s="78" t="s">
        <v>126</v>
      </c>
      <c r="CR935" s="80">
        <v>46251</v>
      </c>
      <c r="CT935" s="78" t="s">
        <v>782</v>
      </c>
    </row>
    <row r="936" spans="1:98" s="78" customFormat="1" x14ac:dyDescent="0.35">
      <c r="A936" s="77" t="s">
        <v>1666</v>
      </c>
      <c r="B936" s="81" t="s">
        <v>1733</v>
      </c>
      <c r="C936" s="77" t="s">
        <v>1667</v>
      </c>
      <c r="D936" s="78">
        <v>2022</v>
      </c>
      <c r="E936" s="79" t="s">
        <v>1672</v>
      </c>
      <c r="F936" s="77" t="s">
        <v>1668</v>
      </c>
      <c r="G936" s="78" t="s">
        <v>78</v>
      </c>
      <c r="H936" s="78">
        <v>1</v>
      </c>
      <c r="I936" s="78" t="s">
        <v>390</v>
      </c>
      <c r="J936" s="78" t="s">
        <v>79</v>
      </c>
      <c r="K936" s="78">
        <v>33</v>
      </c>
      <c r="L936" s="78" t="s">
        <v>104</v>
      </c>
      <c r="M936" s="78" t="s">
        <v>380</v>
      </c>
      <c r="N936" s="78">
        <v>-2.1700000000000001E-3</v>
      </c>
      <c r="O936" s="78">
        <v>7.6159999999999997E-4</v>
      </c>
      <c r="P936" s="95">
        <f t="shared" si="361"/>
        <v>-2.8492647058823533</v>
      </c>
      <c r="Q936" s="78" t="s">
        <v>312</v>
      </c>
      <c r="R936" s="95">
        <f t="shared" si="362"/>
        <v>-3.6627359999999998E-3</v>
      </c>
      <c r="S936" s="95">
        <f t="shared" si="363"/>
        <v>-6.7726400000000012E-4</v>
      </c>
      <c r="T936" s="78">
        <v>1</v>
      </c>
      <c r="U936" s="78">
        <v>633165</v>
      </c>
      <c r="V936" s="78" t="s">
        <v>312</v>
      </c>
      <c r="W936" s="78" t="s">
        <v>312</v>
      </c>
      <c r="X936" s="78">
        <f t="shared" si="376"/>
        <v>633165</v>
      </c>
      <c r="Y936" s="95">
        <f t="shared" si="365"/>
        <v>-3.5807299126715372E-3</v>
      </c>
      <c r="Z936" s="95">
        <f t="shared" si="366"/>
        <v>1.2567206919311717E-3</v>
      </c>
      <c r="AA936" s="95">
        <f t="shared" si="377"/>
        <v>-3.5807299126715372E-3</v>
      </c>
      <c r="AB936" s="78" t="s">
        <v>81</v>
      </c>
      <c r="AC936" s="95">
        <f t="shared" si="378"/>
        <v>-8.3440840000000002E-2</v>
      </c>
      <c r="AD936" s="95" cm="1">
        <f t="array" ref="AD936">_xlfn.IFS(
AND(L936="marginal_effect",M936="level"),N936*AN936/BF936,
AND(L936="marginal_effect",M936="sd (Y)"),N936*BI936*AN936/BF936,
AND(L936="marginal_effect",M936="sd (X)"),N936/AQ936*AN936/BF936,
AND(L936="semi_elasticity",M936="level"),N936*AN936,
AND(L936="semi_elasticity",M936="sd (Y)"),N936*AN936*BI936,
AND(L936="semi_elasticity",M936="sd (X)"),N936*AN936/AQ936,
AND(L936="level-log",M936="level"),N936/BF936,
AND(L936="level-log",M936="sd (X)"),N936/BF936/AQ936,
AND(L936="level-log",M936="sd (Y)"),N936/BF936*BI936,
AND(L936="elasticity",M936="level"),N936,
AND(L936="elasticity",M936="sd (X)"),N936/AQ936,
AND(L936="elasticity",M936="sd (Y)"),N936*BI936,
AND(L936="marginal_effect",M936="percent_of_mean"),N936*AN936/BF936/10)</f>
        <v>-8.3440840000000002E-2</v>
      </c>
      <c r="AE936" s="105">
        <f t="shared" si="379"/>
        <v>1</v>
      </c>
      <c r="AF936" s="95">
        <f t="shared" si="370"/>
        <v>2.9285043199999996E-2</v>
      </c>
      <c r="AG936" s="95" cm="1">
        <f t="array" ref="AG936">_xlfn.IFS(
AND(L936="marginal_effect",M936="level"),O936*AN936/BF936,
AND(L936="marginal_effect",M936="sd (Y)"),O936*BI936*AN936/BF936,
AND(L936="marginal_effect",M936="sd (X)"),O936/AQ936*AN936/BF936,
AND(L936="semi_elasticity",M936="level"),O936*AN936,
AND(L936="semi_elasticity",M936="sd (Y)"),O936*AN936*BI936,
AND(L936="semi_elasticity",M936="sd (X)"),O936*AN936/AQ936,
AND(L936="level-log",M936="level"),O936/BF936,
AND(L936="level-log",M936="sd (X)"),O936/BF936/AQ936,
AND(L936="level-log",M936="sd (Y)"),O936/BF936*BI936,
AND(L936="elasticity",M936="level"),O936,
AND(L936="elasticity",M936="sd (X)"),O936/AQ936,
AND(L936="elasticity",M936="sd (Y)"),O936*BI936,
AND(L936="marginal_effect",M936="percent_of_mean"),O936*AN936/BF936/10)</f>
        <v>2.9285043199999996E-2</v>
      </c>
      <c r="AH936" s="105">
        <f t="shared" si="371"/>
        <v>1</v>
      </c>
      <c r="AI936" s="95">
        <f t="shared" si="380"/>
        <v>-8.3440840000000002E-2</v>
      </c>
      <c r="AJ936" s="78">
        <v>0</v>
      </c>
      <c r="AK936" s="78">
        <f t="shared" si="373"/>
        <v>1</v>
      </c>
      <c r="AL936" s="76" t="s">
        <v>1674</v>
      </c>
      <c r="AM936" s="78" t="s">
        <v>410</v>
      </c>
      <c r="AN936" s="78">
        <v>38.451999999999998</v>
      </c>
      <c r="AO936" s="78">
        <v>0</v>
      </c>
      <c r="AP936" s="78">
        <f t="shared" si="381"/>
        <v>38.451999999999998</v>
      </c>
      <c r="AQ936" s="78">
        <v>9.109</v>
      </c>
      <c r="AR936" s="78">
        <v>14</v>
      </c>
      <c r="AS936" s="78">
        <v>83</v>
      </c>
      <c r="AT936" s="78" t="s">
        <v>83</v>
      </c>
      <c r="AU936" s="78" t="s">
        <v>109</v>
      </c>
      <c r="AV936" s="78" t="s">
        <v>133</v>
      </c>
      <c r="AW936" s="78" t="s">
        <v>109</v>
      </c>
      <c r="AX936" s="78" t="s">
        <v>86</v>
      </c>
      <c r="AY936" s="78">
        <v>0</v>
      </c>
      <c r="AZ936" s="78">
        <v>0</v>
      </c>
      <c r="BA936" s="78" t="s">
        <v>87</v>
      </c>
      <c r="BB936" s="78" t="s">
        <v>88</v>
      </c>
      <c r="BC936" s="78" t="s">
        <v>89</v>
      </c>
      <c r="BD936" s="78" t="s">
        <v>90</v>
      </c>
      <c r="BE936" s="78" t="s">
        <v>1669</v>
      </c>
      <c r="BF936" s="78">
        <v>6.8559999999999999</v>
      </c>
      <c r="BG936" s="78">
        <v>0</v>
      </c>
      <c r="BH936" s="78">
        <v>3.2730000000000001</v>
      </c>
      <c r="BI936" s="78">
        <v>1</v>
      </c>
      <c r="BJ936" s="78">
        <v>20</v>
      </c>
      <c r="BK936" s="78" t="s">
        <v>91</v>
      </c>
      <c r="BL936" s="78" t="s">
        <v>84</v>
      </c>
      <c r="BM936" s="78">
        <v>1</v>
      </c>
      <c r="BN936" s="78" t="s">
        <v>484</v>
      </c>
      <c r="BO936" s="78" t="s">
        <v>1670</v>
      </c>
      <c r="BP936" s="78" t="s">
        <v>1671</v>
      </c>
      <c r="BQ936" s="78" t="s">
        <v>92</v>
      </c>
      <c r="BR936" s="78" t="s">
        <v>118</v>
      </c>
      <c r="BS936" s="78">
        <v>29.169</v>
      </c>
      <c r="BT936" s="78">
        <f t="shared" si="382"/>
        <v>0.30900000000000005</v>
      </c>
      <c r="BU936" s="78">
        <v>2010</v>
      </c>
      <c r="BV936" s="78">
        <v>2015</v>
      </c>
      <c r="BW936" s="78" t="s">
        <v>94</v>
      </c>
      <c r="BX936" s="78" t="s">
        <v>95</v>
      </c>
      <c r="BY936" s="78" t="s">
        <v>96</v>
      </c>
      <c r="BZ936" s="78">
        <v>0</v>
      </c>
      <c r="CA936" s="78">
        <v>0</v>
      </c>
      <c r="CB936" s="78" t="s">
        <v>97</v>
      </c>
      <c r="CC936" s="78" t="s">
        <v>1673</v>
      </c>
      <c r="CD936" s="78">
        <v>0</v>
      </c>
      <c r="CE936" s="78" t="s">
        <v>1712</v>
      </c>
      <c r="CF936" s="78">
        <v>1</v>
      </c>
      <c r="CG936" s="78" t="s">
        <v>1688</v>
      </c>
      <c r="CH936" s="78">
        <v>1</v>
      </c>
      <c r="CI936" s="78" t="s">
        <v>1465</v>
      </c>
      <c r="CJ936" s="78" t="s">
        <v>98</v>
      </c>
      <c r="CK936" s="78">
        <v>79</v>
      </c>
      <c r="CL936" s="78">
        <v>0</v>
      </c>
      <c r="CM936" s="78">
        <v>0</v>
      </c>
      <c r="CN936" s="78" t="s">
        <v>99</v>
      </c>
      <c r="CO936" s="78" t="s">
        <v>940</v>
      </c>
      <c r="CP936" s="78" t="s">
        <v>100</v>
      </c>
      <c r="CQ936" s="78" t="s">
        <v>126</v>
      </c>
      <c r="CR936" s="80">
        <v>46251</v>
      </c>
      <c r="CT936" s="78" t="s">
        <v>782</v>
      </c>
    </row>
    <row r="937" spans="1:98" s="78" customFormat="1" x14ac:dyDescent="0.35">
      <c r="A937" s="77" t="s">
        <v>1666</v>
      </c>
      <c r="B937" s="77" t="s">
        <v>1737</v>
      </c>
      <c r="C937" s="77" t="s">
        <v>1667</v>
      </c>
      <c r="D937" s="78">
        <v>2022</v>
      </c>
      <c r="E937" s="79" t="s">
        <v>1672</v>
      </c>
      <c r="F937" s="77" t="s">
        <v>1668</v>
      </c>
      <c r="G937" s="78" t="s">
        <v>78</v>
      </c>
      <c r="H937" s="78">
        <v>1</v>
      </c>
      <c r="I937" s="78" t="s">
        <v>390</v>
      </c>
      <c r="J937" s="78" t="s">
        <v>79</v>
      </c>
      <c r="K937" s="78">
        <v>33</v>
      </c>
      <c r="L937" s="78" t="s">
        <v>104</v>
      </c>
      <c r="M937" s="78" t="s">
        <v>380</v>
      </c>
      <c r="N937" s="78">
        <v>-4.3699999999999998E-3</v>
      </c>
      <c r="O937" s="78">
        <v>1.4456E-3</v>
      </c>
      <c r="P937" s="95">
        <f t="shared" si="361"/>
        <v>-3.0229662423907024</v>
      </c>
      <c r="Q937" s="78" t="s">
        <v>312</v>
      </c>
      <c r="R937" s="95">
        <f t="shared" si="362"/>
        <v>-7.2033759999999992E-3</v>
      </c>
      <c r="S937" s="95">
        <f t="shared" si="363"/>
        <v>-1.5366239999999999E-3</v>
      </c>
      <c r="T937" s="78">
        <v>1</v>
      </c>
      <c r="U937" s="78">
        <v>633165</v>
      </c>
      <c r="V937" s="78" t="s">
        <v>312</v>
      </c>
      <c r="W937" s="78" t="s">
        <v>312</v>
      </c>
      <c r="X937" s="78">
        <f t="shared" si="376"/>
        <v>633165</v>
      </c>
      <c r="Y937" s="95">
        <f t="shared" si="365"/>
        <v>-3.7990211677905641E-3</v>
      </c>
      <c r="Z937" s="95">
        <f t="shared" si="366"/>
        <v>1.2567196796700322E-3</v>
      </c>
      <c r="AA937" s="95">
        <f t="shared" si="377"/>
        <v>-3.7990211677905641E-3</v>
      </c>
      <c r="AB937" s="78" t="s">
        <v>81</v>
      </c>
      <c r="AC937" s="95">
        <f t="shared" si="378"/>
        <v>-2.9077979999999996E-2</v>
      </c>
      <c r="AD937" s="95" cm="1">
        <f t="array" ref="AD937">_xlfn.IFS(
AND(L937="marginal_effect",M937="level"),N937*AN937/BF937,
AND(L937="marginal_effect",M937="sd (Y)"),N937*BI937*AN937/BF937,
AND(L937="marginal_effect",M937="sd (X)"),N937/AQ937*AN937/BF937,
AND(L937="semi_elasticity",M937="level"),N937*AN937,
AND(L937="semi_elasticity",M937="sd (Y)"),N937*AN937*BI937,
AND(L937="semi_elasticity",M937="sd (X)"),N937*AN937/AQ937,
AND(L937="level-log",M937="level"),N937/BF937,
AND(L937="level-log",M937="sd (X)"),N937/BF937/AQ937,
AND(L937="level-log",M937="sd (Y)"),N937/BF937*BI937,
AND(L937="elasticity",M937="level"),N937,
AND(L937="elasticity",M937="sd (X)"),N937/AQ937,
AND(L937="elasticity",M937="sd (Y)"),N937*BI937,
AND(L937="marginal_effect",M937="percent_of_mean"),N937*AN937/BF937/10)</f>
        <v>-2.9077979999999996E-2</v>
      </c>
      <c r="AE937" s="105">
        <f t="shared" si="379"/>
        <v>1</v>
      </c>
      <c r="AF937" s="95">
        <f t="shared" si="370"/>
        <v>9.6190223999999998E-3</v>
      </c>
      <c r="AG937" s="95" cm="1">
        <f t="array" ref="AG937">_xlfn.IFS(
AND(L937="marginal_effect",M937="level"),O937*AN937/BF937,
AND(L937="marginal_effect",M937="sd (Y)"),O937*BI937*AN937/BF937,
AND(L937="marginal_effect",M937="sd (X)"),O937/AQ937*AN937/BF937,
AND(L937="semi_elasticity",M937="level"),O937*AN937,
AND(L937="semi_elasticity",M937="sd (Y)"),O937*AN937*BI937,
AND(L937="semi_elasticity",M937="sd (X)"),O937*AN937/AQ937,
AND(L937="level-log",M937="level"),O937/BF937,
AND(L937="level-log",M937="sd (X)"),O937/BF937/AQ937,
AND(L937="level-log",M937="sd (Y)"),O937/BF937*BI937,
AND(L937="elasticity",M937="level"),O937,
AND(L937="elasticity",M937="sd (X)"),O937/AQ937,
AND(L937="elasticity",M937="sd (Y)"),O937*BI937,
AND(L937="marginal_effect",M937="percent_of_mean"),O937*AN937/BF937/10)</f>
        <v>9.6190223999999998E-3</v>
      </c>
      <c r="AH937" s="105">
        <f t="shared" si="371"/>
        <v>1</v>
      </c>
      <c r="AI937" s="95">
        <f t="shared" si="380"/>
        <v>-2.9077979999999996E-2</v>
      </c>
      <c r="AJ937" s="78">
        <v>0</v>
      </c>
      <c r="AK937" s="78">
        <f t="shared" si="373"/>
        <v>1</v>
      </c>
      <c r="AL937" s="78" t="s">
        <v>82</v>
      </c>
      <c r="AM937" s="78" t="s">
        <v>1333</v>
      </c>
      <c r="AN937" s="78">
        <v>6.6539999999999999</v>
      </c>
      <c r="AO937" s="78">
        <v>0</v>
      </c>
      <c r="AP937" s="78">
        <f t="shared" si="381"/>
        <v>6.6539999999999999</v>
      </c>
      <c r="AQ937" s="78">
        <v>2.7320000000000002</v>
      </c>
      <c r="AR937" s="78">
        <v>0.69099999999999995</v>
      </c>
      <c r="AS937" s="78">
        <v>21.341999999999999</v>
      </c>
      <c r="AT937" s="78" t="s">
        <v>83</v>
      </c>
      <c r="AU937" s="78" t="s">
        <v>109</v>
      </c>
      <c r="AV937" s="78" t="s">
        <v>133</v>
      </c>
      <c r="AW937" s="78" t="s">
        <v>109</v>
      </c>
      <c r="AX937" s="78" t="s">
        <v>86</v>
      </c>
      <c r="AY937" s="78">
        <v>0</v>
      </c>
      <c r="AZ937" s="78">
        <v>0</v>
      </c>
      <c r="BA937" s="78" t="s">
        <v>87</v>
      </c>
      <c r="BB937" s="78" t="s">
        <v>88</v>
      </c>
      <c r="BC937" s="78" t="s">
        <v>89</v>
      </c>
      <c r="BD937" s="78" t="s">
        <v>90</v>
      </c>
      <c r="BE937" s="78" t="s">
        <v>1669</v>
      </c>
      <c r="BF937" s="78">
        <v>6.8559999999999999</v>
      </c>
      <c r="BG937" s="78">
        <v>0</v>
      </c>
      <c r="BH937" s="78">
        <v>3.2730000000000001</v>
      </c>
      <c r="BI937" s="78">
        <v>1</v>
      </c>
      <c r="BJ937" s="78">
        <v>20</v>
      </c>
      <c r="BK937" s="78" t="s">
        <v>91</v>
      </c>
      <c r="BL937" s="78" t="s">
        <v>84</v>
      </c>
      <c r="BM937" s="78">
        <v>1</v>
      </c>
      <c r="BN937" s="78" t="s">
        <v>484</v>
      </c>
      <c r="BO937" s="78" t="s">
        <v>1670</v>
      </c>
      <c r="BP937" s="78" t="s">
        <v>1671</v>
      </c>
      <c r="BQ937" s="78" t="s">
        <v>92</v>
      </c>
      <c r="BR937" s="78" t="s">
        <v>118</v>
      </c>
      <c r="BS937" s="78">
        <v>29.169</v>
      </c>
      <c r="BT937" s="78">
        <f t="shared" si="382"/>
        <v>0.30900000000000005</v>
      </c>
      <c r="BU937" s="78">
        <v>2010</v>
      </c>
      <c r="BV937" s="78">
        <v>2015</v>
      </c>
      <c r="BW937" s="78" t="s">
        <v>94</v>
      </c>
      <c r="BX937" s="78" t="s">
        <v>95</v>
      </c>
      <c r="BY937" s="78" t="s">
        <v>96</v>
      </c>
      <c r="BZ937" s="78">
        <v>0</v>
      </c>
      <c r="CA937" s="78">
        <v>0</v>
      </c>
      <c r="CB937" s="78" t="s">
        <v>97</v>
      </c>
      <c r="CC937" s="78" t="s">
        <v>1673</v>
      </c>
      <c r="CD937" s="78">
        <v>0</v>
      </c>
      <c r="CE937" s="78" t="s">
        <v>1712</v>
      </c>
      <c r="CF937" s="78">
        <v>1</v>
      </c>
      <c r="CG937" s="78" t="s">
        <v>1125</v>
      </c>
      <c r="CH937" s="78">
        <v>1</v>
      </c>
      <c r="CI937" s="78" t="s">
        <v>1465</v>
      </c>
      <c r="CJ937" s="78" t="s">
        <v>98</v>
      </c>
      <c r="CK937" s="78">
        <v>79</v>
      </c>
      <c r="CL937" s="78">
        <v>0</v>
      </c>
      <c r="CM937" s="78">
        <v>0</v>
      </c>
      <c r="CN937" s="78" t="s">
        <v>99</v>
      </c>
      <c r="CO937" s="78" t="s">
        <v>1734</v>
      </c>
      <c r="CP937" s="78" t="s">
        <v>100</v>
      </c>
      <c r="CQ937" s="78" t="s">
        <v>126</v>
      </c>
      <c r="CR937" s="80">
        <v>46251</v>
      </c>
      <c r="CT937" s="78" t="s">
        <v>783</v>
      </c>
    </row>
    <row r="938" spans="1:98" s="78" customFormat="1" x14ac:dyDescent="0.35">
      <c r="A938" s="77" t="s">
        <v>1666</v>
      </c>
      <c r="B938" s="77" t="s">
        <v>1738</v>
      </c>
      <c r="C938" s="77" t="s">
        <v>1667</v>
      </c>
      <c r="D938" s="78">
        <v>2022</v>
      </c>
      <c r="E938" s="79" t="s">
        <v>1672</v>
      </c>
      <c r="F938" s="77" t="s">
        <v>1668</v>
      </c>
      <c r="G938" s="78" t="s">
        <v>78</v>
      </c>
      <c r="H938" s="78">
        <v>1</v>
      </c>
      <c r="I938" s="78" t="s">
        <v>390</v>
      </c>
      <c r="J938" s="78" t="s">
        <v>79</v>
      </c>
      <c r="K938" s="78">
        <v>33</v>
      </c>
      <c r="L938" s="78" t="s">
        <v>104</v>
      </c>
      <c r="M938" s="78" t="s">
        <v>380</v>
      </c>
      <c r="N938" s="78">
        <f>-0.00437+0.00036</f>
        <v>-4.0099999999999997E-3</v>
      </c>
      <c r="O938" s="78" t="s">
        <v>312</v>
      </c>
      <c r="P938" s="95" t="s">
        <v>312</v>
      </c>
      <c r="Q938" s="78" t="s">
        <v>312</v>
      </c>
      <c r="R938" s="95" t="s">
        <v>312</v>
      </c>
      <c r="S938" s="95" t="s">
        <v>312</v>
      </c>
      <c r="T938" s="78">
        <v>1</v>
      </c>
      <c r="U938" s="78">
        <v>633165</v>
      </c>
      <c r="V938" s="78" t="s">
        <v>312</v>
      </c>
      <c r="W938" s="78" t="s">
        <v>312</v>
      </c>
      <c r="X938" s="78">
        <f t="shared" si="376"/>
        <v>633165</v>
      </c>
      <c r="Y938" s="95" t="s">
        <v>312</v>
      </c>
      <c r="Z938" s="95" t="s">
        <v>312</v>
      </c>
      <c r="AA938" s="95" t="str">
        <f t="shared" si="377"/>
        <v>NA</v>
      </c>
      <c r="AB938" s="78" t="s">
        <v>81</v>
      </c>
      <c r="AC938" s="95">
        <f t="shared" si="378"/>
        <v>-2.6682539999999998E-2</v>
      </c>
      <c r="AD938" s="95" cm="1">
        <f t="array" ref="AD938">_xlfn.IFS(
AND(L938="marginal_effect",M938="level"),N938*AN938/BF938,
AND(L938="marginal_effect",M938="sd (Y)"),N938*BI938*AN938/BF938,
AND(L938="marginal_effect",M938="sd (X)"),N938/AQ938*AN938/BF938,
AND(L938="semi_elasticity",M938="level"),N938*AN938,
AND(L938="semi_elasticity",M938="sd (Y)"),N938*AN938*BI938,
AND(L938="semi_elasticity",M938="sd (X)"),N938*AN938/AQ938,
AND(L938="level-log",M938="level"),N938/BF938,
AND(L938="level-log",M938="sd (X)"),N938/BF938/AQ938,
AND(L938="level-log",M938="sd (Y)"),N938/BF938*BI938,
AND(L938="elasticity",M938="level"),N938,
AND(L938="elasticity",M938="sd (X)"),N938/AQ938,
AND(L938="elasticity",M938="sd (Y)"),N938*BI938,
AND(L938="marginal_effect",M938="percent_of_mean"),N938*AN938/BF938/10)</f>
        <v>-2.6682539999999998E-2</v>
      </c>
      <c r="AE938" s="105">
        <f t="shared" si="379"/>
        <v>1</v>
      </c>
      <c r="AF938" s="95" t="s">
        <v>312</v>
      </c>
      <c r="AG938" s="95" t="s">
        <v>312</v>
      </c>
      <c r="AH938" s="105" t="s">
        <v>312</v>
      </c>
      <c r="AI938" s="95">
        <f t="shared" si="380"/>
        <v>-2.6682539999999998E-2</v>
      </c>
      <c r="AJ938" s="78">
        <v>0</v>
      </c>
      <c r="AK938" s="78" t="s">
        <v>312</v>
      </c>
      <c r="AL938" s="78" t="s">
        <v>82</v>
      </c>
      <c r="AM938" s="78" t="s">
        <v>1333</v>
      </c>
      <c r="AN938" s="78">
        <v>6.6539999999999999</v>
      </c>
      <c r="AO938" s="78">
        <v>0</v>
      </c>
      <c r="AP938" s="78">
        <f t="shared" si="381"/>
        <v>6.6539999999999999</v>
      </c>
      <c r="AQ938" s="78">
        <v>2.7320000000000002</v>
      </c>
      <c r="AR938" s="78">
        <v>0.69099999999999995</v>
      </c>
      <c r="AS938" s="78">
        <v>21.341999999999999</v>
      </c>
      <c r="AT938" s="78" t="s">
        <v>83</v>
      </c>
      <c r="AU938" s="78" t="s">
        <v>109</v>
      </c>
      <c r="AV938" s="78" t="s">
        <v>133</v>
      </c>
      <c r="AW938" s="78" t="s">
        <v>109</v>
      </c>
      <c r="AX938" s="78" t="s">
        <v>86</v>
      </c>
      <c r="AY938" s="78">
        <v>0</v>
      </c>
      <c r="AZ938" s="78">
        <v>0</v>
      </c>
      <c r="BA938" s="78" t="s">
        <v>87</v>
      </c>
      <c r="BB938" s="78" t="s">
        <v>88</v>
      </c>
      <c r="BC938" s="78" t="s">
        <v>89</v>
      </c>
      <c r="BD938" s="78" t="s">
        <v>90</v>
      </c>
      <c r="BE938" s="78" t="s">
        <v>1669</v>
      </c>
      <c r="BF938" s="78">
        <v>6.8559999999999999</v>
      </c>
      <c r="BG938" s="78">
        <v>0</v>
      </c>
      <c r="BH938" s="78">
        <v>3.2730000000000001</v>
      </c>
      <c r="BI938" s="78">
        <v>1</v>
      </c>
      <c r="BJ938" s="78">
        <v>20</v>
      </c>
      <c r="BK938" s="78" t="s">
        <v>91</v>
      </c>
      <c r="BL938" s="78" t="s">
        <v>84</v>
      </c>
      <c r="BM938" s="78">
        <v>1</v>
      </c>
      <c r="BN938" s="78" t="s">
        <v>484</v>
      </c>
      <c r="BO938" s="78" t="s">
        <v>1670</v>
      </c>
      <c r="BP938" s="78" t="s">
        <v>1671</v>
      </c>
      <c r="BQ938" s="78" t="s">
        <v>92</v>
      </c>
      <c r="BR938" s="78" t="s">
        <v>118</v>
      </c>
      <c r="BS938" s="78">
        <v>29.169</v>
      </c>
      <c r="BT938" s="78">
        <f t="shared" si="382"/>
        <v>0.30900000000000005</v>
      </c>
      <c r="BU938" s="78">
        <v>2010</v>
      </c>
      <c r="BV938" s="78">
        <v>2015</v>
      </c>
      <c r="BW938" s="78" t="s">
        <v>94</v>
      </c>
      <c r="BX938" s="78" t="s">
        <v>95</v>
      </c>
      <c r="BY938" s="78" t="s">
        <v>96</v>
      </c>
      <c r="BZ938" s="78">
        <v>0</v>
      </c>
      <c r="CA938" s="78">
        <v>0</v>
      </c>
      <c r="CB938" s="78" t="s">
        <v>97</v>
      </c>
      <c r="CC938" s="78" t="s">
        <v>1673</v>
      </c>
      <c r="CD938" s="78">
        <v>0</v>
      </c>
      <c r="CE938" s="78" t="s">
        <v>1712</v>
      </c>
      <c r="CF938" s="78">
        <v>1</v>
      </c>
      <c r="CG938" s="78" t="s">
        <v>1125</v>
      </c>
      <c r="CH938" s="78">
        <v>1</v>
      </c>
      <c r="CI938" s="78" t="s">
        <v>1465</v>
      </c>
      <c r="CJ938" s="78" t="s">
        <v>98</v>
      </c>
      <c r="CK938" s="78">
        <v>79</v>
      </c>
      <c r="CL938" s="78">
        <v>0</v>
      </c>
      <c r="CM938" s="78">
        <v>0</v>
      </c>
      <c r="CN938" s="78" t="s">
        <v>99</v>
      </c>
      <c r="CO938" s="78" t="s">
        <v>1734</v>
      </c>
      <c r="CP938" s="78" t="s">
        <v>100</v>
      </c>
      <c r="CQ938" s="78" t="s">
        <v>126</v>
      </c>
      <c r="CR938" s="80">
        <v>46251</v>
      </c>
      <c r="CT938" s="78" t="s">
        <v>783</v>
      </c>
    </row>
    <row r="939" spans="1:98" s="78" customFormat="1" x14ac:dyDescent="0.35">
      <c r="A939" s="77" t="s">
        <v>1666</v>
      </c>
      <c r="B939" s="77" t="s">
        <v>1736</v>
      </c>
      <c r="C939" s="77" t="s">
        <v>1667</v>
      </c>
      <c r="D939" s="78">
        <v>2022</v>
      </c>
      <c r="E939" s="79" t="s">
        <v>1672</v>
      </c>
      <c r="F939" s="77" t="s">
        <v>1668</v>
      </c>
      <c r="G939" s="78" t="s">
        <v>78</v>
      </c>
      <c r="H939" s="78">
        <v>1</v>
      </c>
      <c r="I939" s="78" t="s">
        <v>390</v>
      </c>
      <c r="J939" s="78" t="s">
        <v>79</v>
      </c>
      <c r="K939" s="78">
        <v>33</v>
      </c>
      <c r="L939" s="78" t="s">
        <v>104</v>
      </c>
      <c r="M939" s="78" t="s">
        <v>380</v>
      </c>
      <c r="N939" s="78">
        <v>-2.2699999999999999E-3</v>
      </c>
      <c r="O939" s="78">
        <v>7.7360000000000005E-4</v>
      </c>
      <c r="P939" s="95">
        <f t="shared" ref="P939:P956" si="383">N939/O939</f>
        <v>-2.9343329886246119</v>
      </c>
      <c r="Q939" s="78" t="s">
        <v>312</v>
      </c>
      <c r="R939" s="95">
        <f t="shared" ref="R939:R956" si="384">N939-1.96*O939</f>
        <v>-3.786256E-3</v>
      </c>
      <c r="S939" s="95">
        <f t="shared" ref="S939:S956" si="385">N939+1.96*O939</f>
        <v>-7.5374399999999977E-4</v>
      </c>
      <c r="T939" s="78">
        <v>1</v>
      </c>
      <c r="U939" s="78">
        <v>633165</v>
      </c>
      <c r="V939" s="78" t="s">
        <v>312</v>
      </c>
      <c r="W939" s="78" t="s">
        <v>312</v>
      </c>
      <c r="X939" s="78">
        <f t="shared" si="376"/>
        <v>633165</v>
      </c>
      <c r="Y939" s="95">
        <f t="shared" ref="Y939:Y956" si="386">P939/(P939^2 + X939)^(1/2)</f>
        <v>-3.6876355511012366E-3</v>
      </c>
      <c r="Z939" s="95">
        <f t="shared" ref="Z939:Z956" si="387">((1-Y939^2)/X939)^(1/2)</f>
        <v>1.2567202036704479E-3</v>
      </c>
      <c r="AA939" s="95">
        <f t="shared" si="377"/>
        <v>-3.6876355511012366E-3</v>
      </c>
      <c r="AB939" s="78" t="s">
        <v>81</v>
      </c>
      <c r="AC939" s="95">
        <f t="shared" si="378"/>
        <v>-8.7286039999999995E-2</v>
      </c>
      <c r="AD939" s="95" cm="1">
        <f t="array" ref="AD939">_xlfn.IFS(
AND(L939="marginal_effect",M939="level"),N939*AN939/BF939,
AND(L939="marginal_effect",M939="sd (Y)"),N939*BI939*AN939/BF939,
AND(L939="marginal_effect",M939="sd (X)"),N939/AQ939*AN939/BF939,
AND(L939="semi_elasticity",M939="level"),N939*AN939,
AND(L939="semi_elasticity",M939="sd (Y)"),N939*AN939*BI939,
AND(L939="semi_elasticity",M939="sd (X)"),N939*AN939/AQ939,
AND(L939="level-log",M939="level"),N939/BF939,
AND(L939="level-log",M939="sd (X)"),N939/BF939/AQ939,
AND(L939="level-log",M939="sd (Y)"),N939/BF939*BI939,
AND(L939="elasticity",M939="level"),N939,
AND(L939="elasticity",M939="sd (X)"),N939/AQ939,
AND(L939="elasticity",M939="sd (Y)"),N939*BI939,
AND(L939="marginal_effect",M939="percent_of_mean"),N939*AN939/BF939/10)</f>
        <v>-8.7286039999999995E-2</v>
      </c>
      <c r="AE939" s="105">
        <f t="shared" si="379"/>
        <v>1</v>
      </c>
      <c r="AF939" s="95">
        <f t="shared" ref="AF939:AF956" si="388">O939*AN939</f>
        <v>2.9746467200000001E-2</v>
      </c>
      <c r="AG939" s="95" cm="1">
        <f t="array" ref="AG939">_xlfn.IFS(
AND(L939="marginal_effect",M939="level"),O939*AN939/BF939,
AND(L939="marginal_effect",M939="sd (Y)"),O939*BI939*AN939/BF939,
AND(L939="marginal_effect",M939="sd (X)"),O939/AQ939*AN939/BF939,
AND(L939="semi_elasticity",M939="level"),O939*AN939,
AND(L939="semi_elasticity",M939="sd (Y)"),O939*AN939*BI939,
AND(L939="semi_elasticity",M939="sd (X)"),O939*AN939/AQ939,
AND(L939="level-log",M939="level"),O939/BF939,
AND(L939="level-log",M939="sd (X)"),O939/BF939/AQ939,
AND(L939="level-log",M939="sd (Y)"),O939/BF939*BI939,
AND(L939="elasticity",M939="level"),O939,
AND(L939="elasticity",M939="sd (X)"),O939/AQ939,
AND(L939="elasticity",M939="sd (Y)"),O939*BI939,
AND(L939="marginal_effect",M939="percent_of_mean"),O939*AN939/BF939/10)</f>
        <v>2.9746467200000001E-2</v>
      </c>
      <c r="AH939" s="105">
        <f t="shared" ref="AH939:AH970" si="389">IF(AF939=AG939,1,0)</f>
        <v>1</v>
      </c>
      <c r="AI939" s="95">
        <f t="shared" si="380"/>
        <v>-8.7286039999999995E-2</v>
      </c>
      <c r="AJ939" s="78">
        <v>0</v>
      </c>
      <c r="AK939" s="78">
        <f t="shared" ref="AK939:AK956" si="390">IF(P939=(AC939/AF939),1,0)</f>
        <v>1</v>
      </c>
      <c r="AL939" s="76" t="s">
        <v>1674</v>
      </c>
      <c r="AM939" s="78" t="s">
        <v>410</v>
      </c>
      <c r="AN939" s="78">
        <v>38.451999999999998</v>
      </c>
      <c r="AO939" s="78">
        <v>0</v>
      </c>
      <c r="AP939" s="78">
        <f t="shared" si="381"/>
        <v>38.451999999999998</v>
      </c>
      <c r="AQ939" s="78">
        <v>9.109</v>
      </c>
      <c r="AR939" s="78">
        <v>14</v>
      </c>
      <c r="AS939" s="78">
        <v>83</v>
      </c>
      <c r="AT939" s="78" t="s">
        <v>83</v>
      </c>
      <c r="AU939" s="78" t="s">
        <v>109</v>
      </c>
      <c r="AV939" s="78" t="s">
        <v>133</v>
      </c>
      <c r="AW939" s="78" t="s">
        <v>109</v>
      </c>
      <c r="AX939" s="78" t="s">
        <v>86</v>
      </c>
      <c r="AY939" s="78">
        <v>0</v>
      </c>
      <c r="AZ939" s="78">
        <v>0</v>
      </c>
      <c r="BA939" s="78" t="s">
        <v>87</v>
      </c>
      <c r="BB939" s="78" t="s">
        <v>88</v>
      </c>
      <c r="BC939" s="78" t="s">
        <v>89</v>
      </c>
      <c r="BD939" s="78" t="s">
        <v>90</v>
      </c>
      <c r="BE939" s="78" t="s">
        <v>1669</v>
      </c>
      <c r="BF939" s="78">
        <v>6.8559999999999999</v>
      </c>
      <c r="BG939" s="78">
        <v>0</v>
      </c>
      <c r="BH939" s="78">
        <v>3.2730000000000001</v>
      </c>
      <c r="BI939" s="78">
        <v>1</v>
      </c>
      <c r="BJ939" s="78">
        <v>20</v>
      </c>
      <c r="BK939" s="78" t="s">
        <v>91</v>
      </c>
      <c r="BL939" s="78" t="s">
        <v>84</v>
      </c>
      <c r="BM939" s="78">
        <v>1</v>
      </c>
      <c r="BN939" s="78" t="s">
        <v>484</v>
      </c>
      <c r="BO939" s="78" t="s">
        <v>1670</v>
      </c>
      <c r="BP939" s="78" t="s">
        <v>1671</v>
      </c>
      <c r="BQ939" s="78" t="s">
        <v>92</v>
      </c>
      <c r="BR939" s="78" t="s">
        <v>118</v>
      </c>
      <c r="BS939" s="78">
        <v>29.169</v>
      </c>
      <c r="BT939" s="78">
        <f t="shared" si="382"/>
        <v>0.30900000000000005</v>
      </c>
      <c r="BU939" s="78">
        <v>2010</v>
      </c>
      <c r="BV939" s="78">
        <v>2015</v>
      </c>
      <c r="BW939" s="78" t="s">
        <v>94</v>
      </c>
      <c r="BX939" s="78" t="s">
        <v>95</v>
      </c>
      <c r="BY939" s="78" t="s">
        <v>96</v>
      </c>
      <c r="BZ939" s="78">
        <v>0</v>
      </c>
      <c r="CA939" s="78">
        <v>0</v>
      </c>
      <c r="CB939" s="78" t="s">
        <v>97</v>
      </c>
      <c r="CC939" s="78" t="s">
        <v>1673</v>
      </c>
      <c r="CD939" s="78">
        <v>0</v>
      </c>
      <c r="CE939" s="78" t="s">
        <v>1712</v>
      </c>
      <c r="CF939" s="78">
        <v>1</v>
      </c>
      <c r="CG939" s="78" t="s">
        <v>1688</v>
      </c>
      <c r="CH939" s="78">
        <v>1</v>
      </c>
      <c r="CI939" s="78" t="s">
        <v>1465</v>
      </c>
      <c r="CJ939" s="78" t="s">
        <v>98</v>
      </c>
      <c r="CK939" s="78">
        <v>79</v>
      </c>
      <c r="CL939" s="78">
        <v>0</v>
      </c>
      <c r="CM939" s="78">
        <v>0</v>
      </c>
      <c r="CN939" s="78" t="s">
        <v>99</v>
      </c>
      <c r="CO939" s="78" t="s">
        <v>1734</v>
      </c>
      <c r="CP939" s="78" t="s">
        <v>100</v>
      </c>
      <c r="CQ939" s="78" t="s">
        <v>126</v>
      </c>
      <c r="CR939" s="80">
        <v>46251</v>
      </c>
      <c r="CT939" s="78" t="s">
        <v>783</v>
      </c>
    </row>
    <row r="940" spans="1:98" s="78" customFormat="1" x14ac:dyDescent="0.35">
      <c r="A940" s="77" t="s">
        <v>1666</v>
      </c>
      <c r="B940" s="77" t="s">
        <v>1735</v>
      </c>
      <c r="C940" s="77" t="s">
        <v>1667</v>
      </c>
      <c r="D940" s="78">
        <v>2022</v>
      </c>
      <c r="E940" s="79" t="s">
        <v>1672</v>
      </c>
      <c r="F940" s="77" t="s">
        <v>1668</v>
      </c>
      <c r="G940" s="78" t="s">
        <v>78</v>
      </c>
      <c r="H940" s="78">
        <v>1</v>
      </c>
      <c r="I940" s="78" t="s">
        <v>390</v>
      </c>
      <c r="J940" s="78" t="s">
        <v>79</v>
      </c>
      <c r="K940" s="78">
        <v>33</v>
      </c>
      <c r="L940" s="78" t="s">
        <v>104</v>
      </c>
      <c r="M940" s="78" t="s">
        <v>380</v>
      </c>
      <c r="N940" s="78">
        <v>-2.1900000000000001E-3</v>
      </c>
      <c r="O940" s="78">
        <v>7.6300000000000001E-4</v>
      </c>
      <c r="P940" s="95">
        <f t="shared" si="383"/>
        <v>-2.8702490170380082</v>
      </c>
      <c r="Q940" s="78" t="s">
        <v>312</v>
      </c>
      <c r="R940" s="95">
        <f t="shared" si="384"/>
        <v>-3.6854800000000001E-3</v>
      </c>
      <c r="S940" s="95">
        <f t="shared" si="385"/>
        <v>-6.9452000000000012E-4</v>
      </c>
      <c r="T940" s="78">
        <v>1</v>
      </c>
      <c r="U940" s="78">
        <v>633165</v>
      </c>
      <c r="V940" s="78" t="s">
        <v>312</v>
      </c>
      <c r="W940" s="78" t="s">
        <v>312</v>
      </c>
      <c r="X940" s="78">
        <f t="shared" si="376"/>
        <v>633165</v>
      </c>
      <c r="Y940" s="95">
        <f t="shared" si="386"/>
        <v>-3.6071009888378343E-3</v>
      </c>
      <c r="Z940" s="95">
        <f t="shared" si="387"/>
        <v>1.2567205728234098E-3</v>
      </c>
      <c r="AA940" s="95">
        <f t="shared" si="377"/>
        <v>-3.6071009888378343E-3</v>
      </c>
      <c r="AB940" s="78" t="s">
        <v>81</v>
      </c>
      <c r="AC940" s="95">
        <f t="shared" si="378"/>
        <v>-8.4209880000000001E-2</v>
      </c>
      <c r="AD940" s="95" cm="1">
        <f t="array" ref="AD940">_xlfn.IFS(
AND(L940="marginal_effect",M940="level"),N940*AN940/BF940,
AND(L940="marginal_effect",M940="sd (Y)"),N940*BI940*AN940/BF940,
AND(L940="marginal_effect",M940="sd (X)"),N940/AQ940*AN940/BF940,
AND(L940="semi_elasticity",M940="level"),N940*AN940,
AND(L940="semi_elasticity",M940="sd (Y)"),N940*AN940*BI940,
AND(L940="semi_elasticity",M940="sd (X)"),N940*AN940/AQ940,
AND(L940="level-log",M940="level"),N940/BF940,
AND(L940="level-log",M940="sd (X)"),N940/BF940/AQ940,
AND(L940="level-log",M940="sd (Y)"),N940/BF940*BI940,
AND(L940="elasticity",M940="level"),N940,
AND(L940="elasticity",M940="sd (X)"),N940/AQ940,
AND(L940="elasticity",M940="sd (Y)"),N940*BI940,
AND(L940="marginal_effect",M940="percent_of_mean"),N940*AN940/BF940/10)</f>
        <v>-8.4209880000000001E-2</v>
      </c>
      <c r="AE940" s="105">
        <f t="shared" si="379"/>
        <v>1</v>
      </c>
      <c r="AF940" s="95">
        <f t="shared" si="388"/>
        <v>2.9338876E-2</v>
      </c>
      <c r="AG940" s="95" cm="1">
        <f t="array" ref="AG940">_xlfn.IFS(
AND(L940="marginal_effect",M940="level"),O940*AN940/BF940,
AND(L940="marginal_effect",M940="sd (Y)"),O940*BI940*AN940/BF940,
AND(L940="marginal_effect",M940="sd (X)"),O940/AQ940*AN940/BF940,
AND(L940="semi_elasticity",M940="level"),O940*AN940,
AND(L940="semi_elasticity",M940="sd (Y)"),O940*AN940*BI940,
AND(L940="semi_elasticity",M940="sd (X)"),O940*AN940/AQ940,
AND(L940="level-log",M940="level"),O940/BF940,
AND(L940="level-log",M940="sd (X)"),O940/BF940/AQ940,
AND(L940="level-log",M940="sd (Y)"),O940/BF940*BI940,
AND(L940="elasticity",M940="level"),O940,
AND(L940="elasticity",M940="sd (X)"),O940/AQ940,
AND(L940="elasticity",M940="sd (Y)"),O940*BI940,
AND(L940="marginal_effect",M940="percent_of_mean"),O940*AN940/BF940/10)</f>
        <v>2.9338876E-2</v>
      </c>
      <c r="AH940" s="105">
        <f t="shared" si="389"/>
        <v>1</v>
      </c>
      <c r="AI940" s="95">
        <f t="shared" si="380"/>
        <v>-8.4209880000000001E-2</v>
      </c>
      <c r="AJ940" s="78">
        <v>0</v>
      </c>
      <c r="AK940" s="78">
        <f t="shared" si="390"/>
        <v>1</v>
      </c>
      <c r="AL940" s="76" t="s">
        <v>1674</v>
      </c>
      <c r="AM940" s="78" t="s">
        <v>410</v>
      </c>
      <c r="AN940" s="78">
        <v>38.451999999999998</v>
      </c>
      <c r="AO940" s="78">
        <v>0</v>
      </c>
      <c r="AP940" s="78">
        <f t="shared" si="381"/>
        <v>38.451999999999998</v>
      </c>
      <c r="AQ940" s="78">
        <v>9.109</v>
      </c>
      <c r="AR940" s="78">
        <v>14</v>
      </c>
      <c r="AS940" s="78">
        <v>83</v>
      </c>
      <c r="AT940" s="78" t="s">
        <v>83</v>
      </c>
      <c r="AU940" s="78" t="s">
        <v>109</v>
      </c>
      <c r="AV940" s="78" t="s">
        <v>133</v>
      </c>
      <c r="AW940" s="78" t="s">
        <v>109</v>
      </c>
      <c r="AX940" s="78" t="s">
        <v>86</v>
      </c>
      <c r="AY940" s="78">
        <v>0</v>
      </c>
      <c r="AZ940" s="78">
        <v>0</v>
      </c>
      <c r="BA940" s="78" t="s">
        <v>87</v>
      </c>
      <c r="BB940" s="78" t="s">
        <v>88</v>
      </c>
      <c r="BC940" s="78" t="s">
        <v>89</v>
      </c>
      <c r="BD940" s="78" t="s">
        <v>90</v>
      </c>
      <c r="BE940" s="78" t="s">
        <v>1669</v>
      </c>
      <c r="BF940" s="78">
        <v>6.8559999999999999</v>
      </c>
      <c r="BG940" s="78">
        <v>0</v>
      </c>
      <c r="BH940" s="78">
        <v>3.2730000000000001</v>
      </c>
      <c r="BI940" s="78">
        <v>1</v>
      </c>
      <c r="BJ940" s="78">
        <v>20</v>
      </c>
      <c r="BK940" s="78" t="s">
        <v>91</v>
      </c>
      <c r="BL940" s="78" t="s">
        <v>84</v>
      </c>
      <c r="BM940" s="78">
        <v>1</v>
      </c>
      <c r="BN940" s="78" t="s">
        <v>484</v>
      </c>
      <c r="BO940" s="78" t="s">
        <v>1670</v>
      </c>
      <c r="BP940" s="78" t="s">
        <v>1671</v>
      </c>
      <c r="BQ940" s="78" t="s">
        <v>92</v>
      </c>
      <c r="BR940" s="78" t="s">
        <v>118</v>
      </c>
      <c r="BS940" s="78">
        <v>29.169</v>
      </c>
      <c r="BT940" s="78">
        <f t="shared" si="382"/>
        <v>0.30900000000000005</v>
      </c>
      <c r="BU940" s="78">
        <v>2010</v>
      </c>
      <c r="BV940" s="78">
        <v>2015</v>
      </c>
      <c r="BW940" s="78" t="s">
        <v>94</v>
      </c>
      <c r="BX940" s="78" t="s">
        <v>95</v>
      </c>
      <c r="BY940" s="78" t="s">
        <v>96</v>
      </c>
      <c r="BZ940" s="78">
        <v>0</v>
      </c>
      <c r="CA940" s="78">
        <v>0</v>
      </c>
      <c r="CB940" s="78" t="s">
        <v>97</v>
      </c>
      <c r="CC940" s="78" t="s">
        <v>1673</v>
      </c>
      <c r="CD940" s="78">
        <v>0</v>
      </c>
      <c r="CE940" s="78" t="s">
        <v>1712</v>
      </c>
      <c r="CF940" s="78">
        <v>1</v>
      </c>
      <c r="CG940" s="78" t="s">
        <v>1688</v>
      </c>
      <c r="CH940" s="78">
        <v>1</v>
      </c>
      <c r="CI940" s="78" t="s">
        <v>1465</v>
      </c>
      <c r="CJ940" s="78" t="s">
        <v>98</v>
      </c>
      <c r="CK940" s="78">
        <v>79</v>
      </c>
      <c r="CL940" s="78">
        <v>0</v>
      </c>
      <c r="CM940" s="78">
        <v>0</v>
      </c>
      <c r="CN940" s="78" t="s">
        <v>99</v>
      </c>
      <c r="CO940" s="78" t="s">
        <v>1734</v>
      </c>
      <c r="CP940" s="78" t="s">
        <v>100</v>
      </c>
      <c r="CQ940" s="78" t="s">
        <v>126</v>
      </c>
      <c r="CR940" s="80">
        <v>46251</v>
      </c>
      <c r="CT940" s="78" t="s">
        <v>783</v>
      </c>
    </row>
    <row r="941" spans="1:98" s="78" customFormat="1" x14ac:dyDescent="0.35">
      <c r="A941" s="77" t="s">
        <v>1666</v>
      </c>
      <c r="B941" s="77" t="s">
        <v>1740</v>
      </c>
      <c r="C941" s="77" t="s">
        <v>1667</v>
      </c>
      <c r="D941" s="78">
        <v>2022</v>
      </c>
      <c r="E941" s="79" t="s">
        <v>1672</v>
      </c>
      <c r="F941" s="77" t="s">
        <v>1668</v>
      </c>
      <c r="G941" s="78" t="s">
        <v>78</v>
      </c>
      <c r="H941" s="78">
        <v>1</v>
      </c>
      <c r="I941" s="78" t="s">
        <v>390</v>
      </c>
      <c r="J941" s="78" t="s">
        <v>79</v>
      </c>
      <c r="K941" s="78">
        <v>33</v>
      </c>
      <c r="L941" s="78" t="s">
        <v>104</v>
      </c>
      <c r="M941" s="78" t="s">
        <v>380</v>
      </c>
      <c r="N941" s="78">
        <v>-3.0300000000000001E-3</v>
      </c>
      <c r="O941" s="78">
        <v>1.4886000000000001E-3</v>
      </c>
      <c r="P941" s="95">
        <f t="shared" si="383"/>
        <v>-2.0354695687222892</v>
      </c>
      <c r="Q941" s="78" t="s">
        <v>312</v>
      </c>
      <c r="R941" s="95">
        <f t="shared" si="384"/>
        <v>-5.9476560000000008E-3</v>
      </c>
      <c r="S941" s="95">
        <f t="shared" si="385"/>
        <v>-1.123439999999999E-4</v>
      </c>
      <c r="T941" s="78">
        <v>1</v>
      </c>
      <c r="U941" s="78">
        <v>633165</v>
      </c>
      <c r="V941" s="78" t="s">
        <v>312</v>
      </c>
      <c r="W941" s="78" t="s">
        <v>312</v>
      </c>
      <c r="X941" s="78">
        <f t="shared" si="376"/>
        <v>633165</v>
      </c>
      <c r="Y941" s="95">
        <f t="shared" si="386"/>
        <v>-2.558024754688395E-3</v>
      </c>
      <c r="Z941" s="95">
        <f t="shared" si="387"/>
        <v>1.2567246369073087E-3</v>
      </c>
      <c r="AA941" s="95">
        <f t="shared" si="377"/>
        <v>-2.558024754688395E-3</v>
      </c>
      <c r="AB941" s="78" t="s">
        <v>81</v>
      </c>
      <c r="AC941" s="95">
        <f t="shared" si="378"/>
        <v>-2.0161620000000002E-2</v>
      </c>
      <c r="AD941" s="95" cm="1">
        <f t="array" ref="AD941">_xlfn.IFS(
AND(L941="marginal_effect",M941="level"),N941*AN941/BF941,
AND(L941="marginal_effect",M941="sd (Y)"),N941*BI941*AN941/BF941,
AND(L941="marginal_effect",M941="sd (X)"),N941/AQ941*AN941/BF941,
AND(L941="semi_elasticity",M941="level"),N941*AN941,
AND(L941="semi_elasticity",M941="sd (Y)"),N941*AN941*BI941,
AND(L941="semi_elasticity",M941="sd (X)"),N941*AN941/AQ941,
AND(L941="level-log",M941="level"),N941/BF941,
AND(L941="level-log",M941="sd (X)"),N941/BF941/AQ941,
AND(L941="level-log",M941="sd (Y)"),N941/BF941*BI941,
AND(L941="elasticity",M941="level"),N941,
AND(L941="elasticity",M941="sd (X)"),N941/AQ941,
AND(L941="elasticity",M941="sd (Y)"),N941*BI941,
AND(L941="marginal_effect",M941="percent_of_mean"),N941*AN941/BF941/10)</f>
        <v>-2.0161620000000002E-2</v>
      </c>
      <c r="AE941" s="105">
        <f t="shared" si="379"/>
        <v>1</v>
      </c>
      <c r="AF941" s="95">
        <f t="shared" si="388"/>
        <v>9.9051443999999995E-3</v>
      </c>
      <c r="AG941" s="95" cm="1">
        <f t="array" ref="AG941">_xlfn.IFS(
AND(L941="marginal_effect",M941="level"),O941*AN941/BF941,
AND(L941="marginal_effect",M941="sd (Y)"),O941*BI941*AN941/BF941,
AND(L941="marginal_effect",M941="sd (X)"),O941/AQ941*AN941/BF941,
AND(L941="semi_elasticity",M941="level"),O941*AN941,
AND(L941="semi_elasticity",M941="sd (Y)"),O941*AN941*BI941,
AND(L941="semi_elasticity",M941="sd (X)"),O941*AN941/AQ941,
AND(L941="level-log",M941="level"),O941/BF941,
AND(L941="level-log",M941="sd (X)"),O941/BF941/AQ941,
AND(L941="level-log",M941="sd (Y)"),O941/BF941*BI941,
AND(L941="elasticity",M941="level"),O941,
AND(L941="elasticity",M941="sd (X)"),O941/AQ941,
AND(L941="elasticity",M941="sd (Y)"),O941*BI941,
AND(L941="marginal_effect",M941="percent_of_mean"),O941*AN941/BF941/10)</f>
        <v>9.9051443999999995E-3</v>
      </c>
      <c r="AH941" s="105">
        <f t="shared" si="389"/>
        <v>1</v>
      </c>
      <c r="AI941" s="95">
        <f t="shared" si="380"/>
        <v>-2.0161620000000002E-2</v>
      </c>
      <c r="AJ941" s="78">
        <v>0</v>
      </c>
      <c r="AK941" s="78">
        <f t="shared" si="390"/>
        <v>1</v>
      </c>
      <c r="AL941" s="78" t="s">
        <v>82</v>
      </c>
      <c r="AM941" s="78" t="s">
        <v>1333</v>
      </c>
      <c r="AN941" s="78">
        <v>6.6539999999999999</v>
      </c>
      <c r="AO941" s="78">
        <v>0</v>
      </c>
      <c r="AP941" s="78">
        <f t="shared" si="381"/>
        <v>6.6539999999999999</v>
      </c>
      <c r="AQ941" s="78">
        <v>2.7320000000000002</v>
      </c>
      <c r="AR941" s="78">
        <v>0.69099999999999995</v>
      </c>
      <c r="AS941" s="78">
        <v>21.341999999999999</v>
      </c>
      <c r="AT941" s="78" t="s">
        <v>83</v>
      </c>
      <c r="AU941" s="78" t="s">
        <v>109</v>
      </c>
      <c r="AV941" s="78" t="s">
        <v>133</v>
      </c>
      <c r="AW941" s="78" t="s">
        <v>109</v>
      </c>
      <c r="AX941" s="78" t="s">
        <v>86</v>
      </c>
      <c r="AY941" s="78">
        <v>0</v>
      </c>
      <c r="AZ941" s="78">
        <v>0</v>
      </c>
      <c r="BA941" s="78" t="s">
        <v>87</v>
      </c>
      <c r="BB941" s="78" t="s">
        <v>88</v>
      </c>
      <c r="BC941" s="78" t="s">
        <v>89</v>
      </c>
      <c r="BD941" s="78" t="s">
        <v>90</v>
      </c>
      <c r="BE941" s="78" t="s">
        <v>1669</v>
      </c>
      <c r="BF941" s="78">
        <v>6.8559999999999999</v>
      </c>
      <c r="BG941" s="78">
        <v>0</v>
      </c>
      <c r="BH941" s="78">
        <v>3.2730000000000001</v>
      </c>
      <c r="BI941" s="78">
        <v>1</v>
      </c>
      <c r="BJ941" s="78">
        <v>20</v>
      </c>
      <c r="BK941" s="78" t="s">
        <v>91</v>
      </c>
      <c r="BL941" s="78" t="s">
        <v>84</v>
      </c>
      <c r="BM941" s="78">
        <v>1</v>
      </c>
      <c r="BN941" s="78" t="s">
        <v>484</v>
      </c>
      <c r="BO941" s="78" t="s">
        <v>1670</v>
      </c>
      <c r="BP941" s="78" t="s">
        <v>1671</v>
      </c>
      <c r="BQ941" s="78" t="s">
        <v>92</v>
      </c>
      <c r="BR941" s="78" t="s">
        <v>118</v>
      </c>
      <c r="BS941" s="78">
        <v>29.169</v>
      </c>
      <c r="BT941" s="78">
        <f t="shared" si="382"/>
        <v>0.30900000000000005</v>
      </c>
      <c r="BU941" s="78">
        <v>2010</v>
      </c>
      <c r="BV941" s="78">
        <v>2015</v>
      </c>
      <c r="BW941" s="78" t="s">
        <v>94</v>
      </c>
      <c r="BX941" s="78" t="s">
        <v>95</v>
      </c>
      <c r="BY941" s="78" t="s">
        <v>96</v>
      </c>
      <c r="BZ941" s="78">
        <v>0</v>
      </c>
      <c r="CA941" s="78">
        <v>0</v>
      </c>
      <c r="CB941" s="78" t="s">
        <v>97</v>
      </c>
      <c r="CC941" s="78" t="s">
        <v>1673</v>
      </c>
      <c r="CD941" s="78">
        <v>1</v>
      </c>
      <c r="CE941" s="78" t="s">
        <v>1712</v>
      </c>
      <c r="CF941" s="78">
        <v>1</v>
      </c>
      <c r="CG941" s="78" t="s">
        <v>1125</v>
      </c>
      <c r="CH941" s="78">
        <v>1</v>
      </c>
      <c r="CI941" s="78" t="s">
        <v>1465</v>
      </c>
      <c r="CJ941" s="78" t="s">
        <v>98</v>
      </c>
      <c r="CK941" s="78">
        <v>79</v>
      </c>
      <c r="CL941" s="78">
        <v>0</v>
      </c>
      <c r="CM941" s="78">
        <v>0</v>
      </c>
      <c r="CN941" s="78" t="s">
        <v>124</v>
      </c>
      <c r="CO941" s="78" t="s">
        <v>97</v>
      </c>
      <c r="CP941" s="78" t="s">
        <v>100</v>
      </c>
      <c r="CQ941" s="78" t="s">
        <v>126</v>
      </c>
      <c r="CR941" s="80">
        <v>46251</v>
      </c>
      <c r="CT941" s="78" t="s">
        <v>1739</v>
      </c>
    </row>
    <row r="942" spans="1:98" s="78" customFormat="1" x14ac:dyDescent="0.35">
      <c r="A942" s="77" t="s">
        <v>1666</v>
      </c>
      <c r="B942" s="77" t="s">
        <v>1741</v>
      </c>
      <c r="C942" s="77" t="s">
        <v>1667</v>
      </c>
      <c r="D942" s="78">
        <v>2022</v>
      </c>
      <c r="E942" s="79" t="s">
        <v>1672</v>
      </c>
      <c r="F942" s="77" t="s">
        <v>1668</v>
      </c>
      <c r="G942" s="78" t="s">
        <v>78</v>
      </c>
      <c r="H942" s="78">
        <v>1</v>
      </c>
      <c r="I942" s="78" t="s">
        <v>390</v>
      </c>
      <c r="J942" s="78" t="s">
        <v>79</v>
      </c>
      <c r="K942" s="78">
        <v>33</v>
      </c>
      <c r="L942" s="78" t="s">
        <v>104</v>
      </c>
      <c r="M942" s="78" t="s">
        <v>380</v>
      </c>
      <c r="N942" s="78">
        <v>-2.4599999999999999E-3</v>
      </c>
      <c r="O942" s="78">
        <v>7.6579999999999997E-4</v>
      </c>
      <c r="P942" s="95">
        <f t="shared" si="383"/>
        <v>-3.2123269783233219</v>
      </c>
      <c r="Q942" s="78" t="s">
        <v>312</v>
      </c>
      <c r="R942" s="95">
        <f t="shared" si="384"/>
        <v>-3.9609679999999996E-3</v>
      </c>
      <c r="S942" s="95">
        <f t="shared" si="385"/>
        <v>-9.5903200000000007E-4</v>
      </c>
      <c r="T942" s="78">
        <v>1</v>
      </c>
      <c r="U942" s="78">
        <v>633165</v>
      </c>
      <c r="V942" s="78" t="s">
        <v>312</v>
      </c>
      <c r="W942" s="78" t="s">
        <v>312</v>
      </c>
      <c r="X942" s="78">
        <f t="shared" si="376"/>
        <v>633165</v>
      </c>
      <c r="Y942" s="95">
        <f t="shared" si="386"/>
        <v>-4.0369907671801118E-3</v>
      </c>
      <c r="Z942" s="95">
        <f t="shared" si="387"/>
        <v>1.2567185079294836E-3</v>
      </c>
      <c r="AA942" s="95">
        <f t="shared" si="377"/>
        <v>-4.0369907671801118E-3</v>
      </c>
      <c r="AB942" s="78" t="s">
        <v>81</v>
      </c>
      <c r="AC942" s="95">
        <f t="shared" si="378"/>
        <v>-9.4591919999999996E-2</v>
      </c>
      <c r="AD942" s="95" cm="1">
        <f t="array" ref="AD942">_xlfn.IFS(
AND(L942="marginal_effect",M942="level"),N942*AN942/BF942,
AND(L942="marginal_effect",M942="sd (Y)"),N942*BI942*AN942/BF942,
AND(L942="marginal_effect",M942="sd (X)"),N942/AQ942*AN942/BF942,
AND(L942="semi_elasticity",M942="level"),N942*AN942,
AND(L942="semi_elasticity",M942="sd (Y)"),N942*AN942*BI942,
AND(L942="semi_elasticity",M942="sd (X)"),N942*AN942/AQ942,
AND(L942="level-log",M942="level"),N942/BF942,
AND(L942="level-log",M942="sd (X)"),N942/BF942/AQ942,
AND(L942="level-log",M942="sd (Y)"),N942/BF942*BI942,
AND(L942="elasticity",M942="level"),N942,
AND(L942="elasticity",M942="sd (X)"),N942/AQ942,
AND(L942="elasticity",M942="sd (Y)"),N942*BI942,
AND(L942="marginal_effect",M942="percent_of_mean"),N942*AN942/BF942/10)</f>
        <v>-9.4591919999999996E-2</v>
      </c>
      <c r="AE942" s="105">
        <f t="shared" si="379"/>
        <v>1</v>
      </c>
      <c r="AF942" s="95">
        <f t="shared" si="388"/>
        <v>2.9446541599999997E-2</v>
      </c>
      <c r="AG942" s="95" cm="1">
        <f t="array" ref="AG942">_xlfn.IFS(
AND(L942="marginal_effect",M942="level"),O942*AN942/BF942,
AND(L942="marginal_effect",M942="sd (Y)"),O942*BI942*AN942/BF942,
AND(L942="marginal_effect",M942="sd (X)"),O942/AQ942*AN942/BF942,
AND(L942="semi_elasticity",M942="level"),O942*AN942,
AND(L942="semi_elasticity",M942="sd (Y)"),O942*AN942*BI942,
AND(L942="semi_elasticity",M942="sd (X)"),O942*AN942/AQ942,
AND(L942="level-log",M942="level"),O942/BF942,
AND(L942="level-log",M942="sd (X)"),O942/BF942/AQ942,
AND(L942="level-log",M942="sd (Y)"),O942/BF942*BI942,
AND(L942="elasticity",M942="level"),O942,
AND(L942="elasticity",M942="sd (X)"),O942/AQ942,
AND(L942="elasticity",M942="sd (Y)"),O942*BI942,
AND(L942="marginal_effect",M942="percent_of_mean"),O942*AN942/BF942/10)</f>
        <v>2.9446541599999997E-2</v>
      </c>
      <c r="AH942" s="105">
        <f t="shared" si="389"/>
        <v>1</v>
      </c>
      <c r="AI942" s="95">
        <f t="shared" si="380"/>
        <v>-9.4591919999999996E-2</v>
      </c>
      <c r="AJ942" s="78">
        <v>0</v>
      </c>
      <c r="AK942" s="78">
        <f t="shared" si="390"/>
        <v>1</v>
      </c>
      <c r="AL942" s="76" t="s">
        <v>1674</v>
      </c>
      <c r="AM942" s="78" t="s">
        <v>410</v>
      </c>
      <c r="AN942" s="78">
        <v>38.451999999999998</v>
      </c>
      <c r="AO942" s="78">
        <v>0</v>
      </c>
      <c r="AP942" s="78">
        <f t="shared" si="381"/>
        <v>38.451999999999998</v>
      </c>
      <c r="AQ942" s="78">
        <v>9.109</v>
      </c>
      <c r="AR942" s="78">
        <v>14</v>
      </c>
      <c r="AS942" s="78">
        <v>83</v>
      </c>
      <c r="AT942" s="78" t="s">
        <v>83</v>
      </c>
      <c r="AU942" s="78" t="s">
        <v>109</v>
      </c>
      <c r="AV942" s="78" t="s">
        <v>133</v>
      </c>
      <c r="AW942" s="78" t="s">
        <v>109</v>
      </c>
      <c r="AX942" s="78" t="s">
        <v>86</v>
      </c>
      <c r="AY942" s="78">
        <v>0</v>
      </c>
      <c r="AZ942" s="78">
        <v>0</v>
      </c>
      <c r="BA942" s="78" t="s">
        <v>87</v>
      </c>
      <c r="BB942" s="78" t="s">
        <v>88</v>
      </c>
      <c r="BC942" s="78" t="s">
        <v>89</v>
      </c>
      <c r="BD942" s="78" t="s">
        <v>90</v>
      </c>
      <c r="BE942" s="78" t="s">
        <v>1669</v>
      </c>
      <c r="BF942" s="78">
        <v>6.8559999999999999</v>
      </c>
      <c r="BG942" s="78">
        <v>0</v>
      </c>
      <c r="BH942" s="78">
        <v>3.2730000000000001</v>
      </c>
      <c r="BI942" s="78">
        <v>1</v>
      </c>
      <c r="BJ942" s="78">
        <v>20</v>
      </c>
      <c r="BK942" s="78" t="s">
        <v>91</v>
      </c>
      <c r="BL942" s="78" t="s">
        <v>84</v>
      </c>
      <c r="BM942" s="78">
        <v>1</v>
      </c>
      <c r="BN942" s="78" t="s">
        <v>484</v>
      </c>
      <c r="BO942" s="78" t="s">
        <v>1670</v>
      </c>
      <c r="BP942" s="78" t="s">
        <v>1671</v>
      </c>
      <c r="BQ942" s="78" t="s">
        <v>92</v>
      </c>
      <c r="BR942" s="78" t="s">
        <v>118</v>
      </c>
      <c r="BS942" s="78">
        <v>29.169</v>
      </c>
      <c r="BT942" s="78">
        <f t="shared" si="382"/>
        <v>0.30900000000000005</v>
      </c>
      <c r="BU942" s="78">
        <v>2010</v>
      </c>
      <c r="BV942" s="78">
        <v>2015</v>
      </c>
      <c r="BW942" s="78" t="s">
        <v>94</v>
      </c>
      <c r="BX942" s="78" t="s">
        <v>95</v>
      </c>
      <c r="BY942" s="78" t="s">
        <v>96</v>
      </c>
      <c r="BZ942" s="78">
        <v>0</v>
      </c>
      <c r="CA942" s="78">
        <v>0</v>
      </c>
      <c r="CB942" s="78" t="s">
        <v>97</v>
      </c>
      <c r="CC942" s="78" t="s">
        <v>1673</v>
      </c>
      <c r="CD942" s="78">
        <v>1</v>
      </c>
      <c r="CE942" s="78" t="s">
        <v>1712</v>
      </c>
      <c r="CF942" s="78">
        <v>1</v>
      </c>
      <c r="CG942" s="78" t="s">
        <v>1688</v>
      </c>
      <c r="CH942" s="78">
        <v>1</v>
      </c>
      <c r="CI942" s="78" t="s">
        <v>1465</v>
      </c>
      <c r="CJ942" s="78" t="s">
        <v>98</v>
      </c>
      <c r="CK942" s="78">
        <v>79</v>
      </c>
      <c r="CL942" s="78">
        <v>0</v>
      </c>
      <c r="CM942" s="78">
        <v>0</v>
      </c>
      <c r="CN942" s="78" t="s">
        <v>124</v>
      </c>
      <c r="CO942" s="78" t="s">
        <v>97</v>
      </c>
      <c r="CP942" s="78" t="s">
        <v>100</v>
      </c>
      <c r="CQ942" s="78" t="s">
        <v>126</v>
      </c>
      <c r="CR942" s="80">
        <v>46251</v>
      </c>
      <c r="CT942" s="78" t="s">
        <v>1739</v>
      </c>
    </row>
    <row r="943" spans="1:98" s="78" customFormat="1" x14ac:dyDescent="0.35">
      <c r="A943" s="77" t="s">
        <v>1666</v>
      </c>
      <c r="B943" s="77" t="s">
        <v>1742</v>
      </c>
      <c r="C943" s="77" t="s">
        <v>1667</v>
      </c>
      <c r="D943" s="78">
        <v>2022</v>
      </c>
      <c r="E943" s="79" t="s">
        <v>1672</v>
      </c>
      <c r="F943" s="77" t="s">
        <v>1668</v>
      </c>
      <c r="G943" s="78" t="s">
        <v>78</v>
      </c>
      <c r="H943" s="78">
        <v>1</v>
      </c>
      <c r="I943" s="78" t="s">
        <v>390</v>
      </c>
      <c r="J943" s="78" t="s">
        <v>79</v>
      </c>
      <c r="K943" s="78">
        <v>33</v>
      </c>
      <c r="L943" s="78" t="s">
        <v>104</v>
      </c>
      <c r="M943" s="78" t="s">
        <v>380</v>
      </c>
      <c r="N943" s="78">
        <v>-2.2000000000000001E-4</v>
      </c>
      <c r="O943" s="78">
        <v>1.1429999999999999E-3</v>
      </c>
      <c r="P943" s="95">
        <f t="shared" si="383"/>
        <v>-0.1924759405074366</v>
      </c>
      <c r="Q943" s="78" t="s">
        <v>312</v>
      </c>
      <c r="R943" s="95">
        <f t="shared" si="384"/>
        <v>-2.46028E-3</v>
      </c>
      <c r="S943" s="95">
        <f t="shared" si="385"/>
        <v>2.0202799999999997E-3</v>
      </c>
      <c r="T943" s="78">
        <v>1</v>
      </c>
      <c r="U943" s="78">
        <v>633165</v>
      </c>
      <c r="V943" s="78" t="s">
        <v>312</v>
      </c>
      <c r="W943" s="78" t="s">
        <v>312</v>
      </c>
      <c r="X943" s="78">
        <f t="shared" si="376"/>
        <v>633165</v>
      </c>
      <c r="Y943" s="95">
        <f t="shared" si="386"/>
        <v>-2.4189004077493915E-4</v>
      </c>
      <c r="Z943" s="95">
        <f t="shared" si="387"/>
        <v>1.2567287118443425E-3</v>
      </c>
      <c r="AA943" s="95">
        <f t="shared" si="377"/>
        <v>-2.4189004077493915E-4</v>
      </c>
      <c r="AB943" s="78" t="s">
        <v>81</v>
      </c>
      <c r="AC943" s="95">
        <f t="shared" si="378"/>
        <v>-1.34442E-3</v>
      </c>
      <c r="AD943" s="95" cm="1">
        <f t="array" ref="AD943">_xlfn.IFS(
AND(L943="marginal_effect",M943="level"),N943*AN943/BF943,
AND(L943="marginal_effect",M943="sd (Y)"),N943*BI943*AN943/BF943,
AND(L943="marginal_effect",M943="sd (X)"),N943/AQ943*AN943/BF943,
AND(L943="semi_elasticity",M943="level"),N943*AN943,
AND(L943="semi_elasticity",M943="sd (Y)"),N943*AN943*BI943,
AND(L943="semi_elasticity",M943="sd (X)"),N943*AN943/AQ943,
AND(L943="level-log",M943="level"),N943/BF943,
AND(L943="level-log",M943="sd (X)"),N943/BF943/AQ943,
AND(L943="level-log",M943="sd (Y)"),N943/BF943*BI943,
AND(L943="elasticity",M943="level"),N943,
AND(L943="elasticity",M943="sd (X)"),N943/AQ943,
AND(L943="elasticity",M943="sd (Y)"),N943*BI943,
AND(L943="marginal_effect",M943="percent_of_mean"),N943*AN943/BF943/10)</f>
        <v>-1.34442E-3</v>
      </c>
      <c r="AE943" s="105">
        <f t="shared" si="379"/>
        <v>1</v>
      </c>
      <c r="AF943" s="95">
        <f t="shared" si="388"/>
        <v>6.9848729999999991E-3</v>
      </c>
      <c r="AG943" s="95" cm="1">
        <f t="array" ref="AG943">_xlfn.IFS(
AND(L943="marginal_effect",M943="level"),O943*AN943/BF943,
AND(L943="marginal_effect",M943="sd (Y)"),O943*BI943*AN943/BF943,
AND(L943="marginal_effect",M943="sd (X)"),O943/AQ943*AN943/BF943,
AND(L943="semi_elasticity",M943="level"),O943*AN943,
AND(L943="semi_elasticity",M943="sd (Y)"),O943*AN943*BI943,
AND(L943="semi_elasticity",M943="sd (X)"),O943*AN943/AQ943,
AND(L943="level-log",M943="level"),O943/BF943,
AND(L943="level-log",M943="sd (X)"),O943/BF943/AQ943,
AND(L943="level-log",M943="sd (Y)"),O943/BF943*BI943,
AND(L943="elasticity",M943="level"),O943,
AND(L943="elasticity",M943="sd (X)"),O943/AQ943,
AND(L943="elasticity",M943="sd (Y)"),O943*BI943,
AND(L943="marginal_effect",M943="percent_of_mean"),O943*AN943/BF943/10)</f>
        <v>6.9848729999999991E-3</v>
      </c>
      <c r="AH943" s="105">
        <f t="shared" si="389"/>
        <v>1</v>
      </c>
      <c r="AI943" s="95">
        <f t="shared" si="380"/>
        <v>-1.34442E-3</v>
      </c>
      <c r="AJ943" s="78">
        <v>0</v>
      </c>
      <c r="AK943" s="78">
        <f t="shared" si="390"/>
        <v>1</v>
      </c>
      <c r="AL943" s="76" t="s">
        <v>1689</v>
      </c>
      <c r="AM943" s="78" t="s">
        <v>410</v>
      </c>
      <c r="AN943" s="78">
        <v>6.1109999999999998</v>
      </c>
      <c r="AO943" s="78">
        <v>0</v>
      </c>
      <c r="AP943" s="78">
        <f t="shared" si="381"/>
        <v>6.1109999999999998</v>
      </c>
      <c r="AQ943" s="78">
        <v>5.0839999999999996</v>
      </c>
      <c r="AR943" s="78">
        <v>0</v>
      </c>
      <c r="AS943" s="78">
        <v>36</v>
      </c>
      <c r="AT943" s="78" t="s">
        <v>83</v>
      </c>
      <c r="AU943" s="78" t="s">
        <v>109</v>
      </c>
      <c r="AV943" s="78" t="s">
        <v>133</v>
      </c>
      <c r="AW943" s="78" t="s">
        <v>109</v>
      </c>
      <c r="AX943" s="78" t="s">
        <v>86</v>
      </c>
      <c r="AY943" s="78">
        <v>0</v>
      </c>
      <c r="AZ943" s="78">
        <v>0</v>
      </c>
      <c r="BA943" s="78" t="s">
        <v>87</v>
      </c>
      <c r="BB943" s="78" t="s">
        <v>88</v>
      </c>
      <c r="BC943" s="78" t="s">
        <v>89</v>
      </c>
      <c r="BD943" s="78" t="s">
        <v>90</v>
      </c>
      <c r="BE943" s="78" t="s">
        <v>1669</v>
      </c>
      <c r="BF943" s="78">
        <v>6.8559999999999999</v>
      </c>
      <c r="BG943" s="78">
        <v>0</v>
      </c>
      <c r="BH943" s="78">
        <v>3.2730000000000001</v>
      </c>
      <c r="BI943" s="78">
        <v>1</v>
      </c>
      <c r="BJ943" s="78">
        <v>20</v>
      </c>
      <c r="BK943" s="78" t="s">
        <v>91</v>
      </c>
      <c r="BL943" s="78" t="s">
        <v>84</v>
      </c>
      <c r="BM943" s="78">
        <v>1</v>
      </c>
      <c r="BN943" s="78" t="s">
        <v>484</v>
      </c>
      <c r="BO943" s="78" t="s">
        <v>1670</v>
      </c>
      <c r="BP943" s="78" t="s">
        <v>1671</v>
      </c>
      <c r="BQ943" s="78" t="s">
        <v>92</v>
      </c>
      <c r="BR943" s="78" t="s">
        <v>118</v>
      </c>
      <c r="BS943" s="78">
        <v>29.169</v>
      </c>
      <c r="BT943" s="78">
        <f t="shared" si="382"/>
        <v>0.30900000000000005</v>
      </c>
      <c r="BU943" s="78">
        <v>2010</v>
      </c>
      <c r="BV943" s="78">
        <v>2015</v>
      </c>
      <c r="BW943" s="78" t="s">
        <v>94</v>
      </c>
      <c r="BX943" s="78" t="s">
        <v>95</v>
      </c>
      <c r="BY943" s="78" t="s">
        <v>96</v>
      </c>
      <c r="BZ943" s="78">
        <v>0</v>
      </c>
      <c r="CA943" s="78">
        <v>0</v>
      </c>
      <c r="CB943" s="78" t="s">
        <v>97</v>
      </c>
      <c r="CC943" s="78" t="s">
        <v>1673</v>
      </c>
      <c r="CD943" s="78">
        <v>1</v>
      </c>
      <c r="CE943" s="78" t="s">
        <v>1712</v>
      </c>
      <c r="CF943" s="78">
        <v>1</v>
      </c>
      <c r="CG943" s="78" t="s">
        <v>598</v>
      </c>
      <c r="CH943" s="78">
        <v>1</v>
      </c>
      <c r="CI943" s="78" t="s">
        <v>1465</v>
      </c>
      <c r="CJ943" s="78" t="s">
        <v>98</v>
      </c>
      <c r="CK943" s="78">
        <v>79</v>
      </c>
      <c r="CL943" s="78">
        <v>0</v>
      </c>
      <c r="CM943" s="78">
        <v>0</v>
      </c>
      <c r="CN943" s="78" t="s">
        <v>124</v>
      </c>
      <c r="CO943" s="78" t="s">
        <v>97</v>
      </c>
      <c r="CP943" s="78" t="s">
        <v>100</v>
      </c>
      <c r="CQ943" s="78" t="s">
        <v>126</v>
      </c>
      <c r="CR943" s="80">
        <v>46251</v>
      </c>
      <c r="CT943" s="78" t="s">
        <v>1739</v>
      </c>
    </row>
    <row r="944" spans="1:98" s="78" customFormat="1" x14ac:dyDescent="0.35">
      <c r="A944" s="77" t="s">
        <v>1666</v>
      </c>
      <c r="B944" s="77" t="s">
        <v>1743</v>
      </c>
      <c r="C944" s="77" t="s">
        <v>1667</v>
      </c>
      <c r="D944" s="78">
        <v>2022</v>
      </c>
      <c r="E944" s="79" t="s">
        <v>1672</v>
      </c>
      <c r="F944" s="77" t="s">
        <v>1668</v>
      </c>
      <c r="G944" s="78" t="s">
        <v>78</v>
      </c>
      <c r="H944" s="78">
        <v>1</v>
      </c>
      <c r="I944" s="78" t="s">
        <v>390</v>
      </c>
      <c r="J944" s="78" t="s">
        <v>79</v>
      </c>
      <c r="K944" s="78">
        <v>33</v>
      </c>
      <c r="L944" s="78" t="s">
        <v>104</v>
      </c>
      <c r="M944" s="78" t="s">
        <v>380</v>
      </c>
      <c r="N944" s="78">
        <v>-3.79E-3</v>
      </c>
      <c r="O944" s="78">
        <v>1.4381000000000001E-3</v>
      </c>
      <c r="P944" s="95">
        <f t="shared" si="383"/>
        <v>-2.6354217370141155</v>
      </c>
      <c r="Q944" s="78" t="s">
        <v>312</v>
      </c>
      <c r="R944" s="95">
        <f t="shared" si="384"/>
        <v>-6.608676E-3</v>
      </c>
      <c r="S944" s="95">
        <f t="shared" si="385"/>
        <v>-9.7132399999999997E-4</v>
      </c>
      <c r="T944" s="78">
        <v>1</v>
      </c>
      <c r="U944" s="78">
        <v>633165</v>
      </c>
      <c r="V944" s="78" t="s">
        <v>312</v>
      </c>
      <c r="W944" s="78" t="s">
        <v>312</v>
      </c>
      <c r="X944" s="78">
        <f t="shared" si="376"/>
        <v>633165</v>
      </c>
      <c r="Y944" s="95">
        <f t="shared" si="386"/>
        <v>-3.3119920963654396E-3</v>
      </c>
      <c r="Z944" s="95">
        <f t="shared" si="387"/>
        <v>1.2567218558794562E-3</v>
      </c>
      <c r="AA944" s="95">
        <f t="shared" si="377"/>
        <v>-3.3119920963654396E-3</v>
      </c>
      <c r="AB944" s="78" t="s">
        <v>81</v>
      </c>
      <c r="AC944" s="95">
        <f t="shared" si="378"/>
        <v>-2.521866E-2</v>
      </c>
      <c r="AD944" s="95" cm="1">
        <f t="array" ref="AD944">_xlfn.IFS(
AND(L944="marginal_effect",M944="level"),N944*AN944/BF944,
AND(L944="marginal_effect",M944="sd (Y)"),N944*BI944*AN944/BF944,
AND(L944="marginal_effect",M944="sd (X)"),N944/AQ944*AN944/BF944,
AND(L944="semi_elasticity",M944="level"),N944*AN944,
AND(L944="semi_elasticity",M944="sd (Y)"),N944*AN944*BI944,
AND(L944="semi_elasticity",M944="sd (X)"),N944*AN944/AQ944,
AND(L944="level-log",M944="level"),N944/BF944,
AND(L944="level-log",M944="sd (X)"),N944/BF944/AQ944,
AND(L944="level-log",M944="sd (Y)"),N944/BF944*BI944,
AND(L944="elasticity",M944="level"),N944,
AND(L944="elasticity",M944="sd (X)"),N944/AQ944,
AND(L944="elasticity",M944="sd (Y)"),N944*BI944,
AND(L944="marginal_effect",M944="percent_of_mean"),N944*AN944/BF944/10)</f>
        <v>-2.521866E-2</v>
      </c>
      <c r="AE944" s="105">
        <f t="shared" si="379"/>
        <v>1</v>
      </c>
      <c r="AF944" s="95">
        <f t="shared" si="388"/>
        <v>9.5691174000000004E-3</v>
      </c>
      <c r="AG944" s="95" cm="1">
        <f t="array" ref="AG944">_xlfn.IFS(
AND(L944="marginal_effect",M944="level"),O944*AN944/BF944,
AND(L944="marginal_effect",M944="sd (Y)"),O944*BI944*AN944/BF944,
AND(L944="marginal_effect",M944="sd (X)"),O944/AQ944*AN944/BF944,
AND(L944="semi_elasticity",M944="level"),O944*AN944,
AND(L944="semi_elasticity",M944="sd (Y)"),O944*AN944*BI944,
AND(L944="semi_elasticity",M944="sd (X)"),O944*AN944/AQ944,
AND(L944="level-log",M944="level"),O944/BF944,
AND(L944="level-log",M944="sd (X)"),O944/BF944/AQ944,
AND(L944="level-log",M944="sd (Y)"),O944/BF944*BI944,
AND(L944="elasticity",M944="level"),O944,
AND(L944="elasticity",M944="sd (X)"),O944/AQ944,
AND(L944="elasticity",M944="sd (Y)"),O944*BI944,
AND(L944="marginal_effect",M944="percent_of_mean"),O944*AN944/BF944/10)</f>
        <v>9.5691174000000004E-3</v>
      </c>
      <c r="AH944" s="105">
        <f t="shared" si="389"/>
        <v>1</v>
      </c>
      <c r="AI944" s="95">
        <f t="shared" si="380"/>
        <v>-2.521866E-2</v>
      </c>
      <c r="AJ944" s="78">
        <v>0</v>
      </c>
      <c r="AK944" s="78">
        <f t="shared" si="390"/>
        <v>1</v>
      </c>
      <c r="AL944" s="78" t="s">
        <v>82</v>
      </c>
      <c r="AM944" s="78" t="s">
        <v>1333</v>
      </c>
      <c r="AN944" s="78">
        <v>6.6539999999999999</v>
      </c>
      <c r="AO944" s="78">
        <v>0</v>
      </c>
      <c r="AP944" s="78">
        <f t="shared" si="381"/>
        <v>6.6539999999999999</v>
      </c>
      <c r="AQ944" s="78">
        <v>2.7320000000000002</v>
      </c>
      <c r="AR944" s="78">
        <v>0.69099999999999995</v>
      </c>
      <c r="AS944" s="78">
        <v>21.341999999999999</v>
      </c>
      <c r="AT944" s="78" t="s">
        <v>83</v>
      </c>
      <c r="AU944" s="78" t="s">
        <v>109</v>
      </c>
      <c r="AV944" s="78" t="s">
        <v>133</v>
      </c>
      <c r="AW944" s="78" t="s">
        <v>109</v>
      </c>
      <c r="AX944" s="78" t="s">
        <v>86</v>
      </c>
      <c r="AY944" s="78">
        <v>0</v>
      </c>
      <c r="AZ944" s="78">
        <v>0</v>
      </c>
      <c r="BA944" s="78" t="s">
        <v>87</v>
      </c>
      <c r="BB944" s="78" t="s">
        <v>88</v>
      </c>
      <c r="BC944" s="78" t="s">
        <v>89</v>
      </c>
      <c r="BD944" s="78" t="s">
        <v>90</v>
      </c>
      <c r="BE944" s="78" t="s">
        <v>1669</v>
      </c>
      <c r="BF944" s="78">
        <v>6.8559999999999999</v>
      </c>
      <c r="BG944" s="78">
        <v>0</v>
      </c>
      <c r="BH944" s="78">
        <v>3.2730000000000001</v>
      </c>
      <c r="BI944" s="78">
        <v>1</v>
      </c>
      <c r="BJ944" s="78">
        <v>20</v>
      </c>
      <c r="BK944" s="78" t="s">
        <v>91</v>
      </c>
      <c r="BL944" s="78" t="s">
        <v>84</v>
      </c>
      <c r="BM944" s="78">
        <v>1</v>
      </c>
      <c r="BN944" s="78" t="s">
        <v>484</v>
      </c>
      <c r="BO944" s="78" t="s">
        <v>1670</v>
      </c>
      <c r="BP944" s="78" t="s">
        <v>1671</v>
      </c>
      <c r="BQ944" s="78" t="s">
        <v>92</v>
      </c>
      <c r="BR944" s="78" t="s">
        <v>118</v>
      </c>
      <c r="BS944" s="78">
        <v>29.169</v>
      </c>
      <c r="BT944" s="78">
        <f t="shared" si="382"/>
        <v>0.30900000000000005</v>
      </c>
      <c r="BU944" s="78">
        <v>2010</v>
      </c>
      <c r="BV944" s="78">
        <v>2015</v>
      </c>
      <c r="BW944" s="78" t="s">
        <v>94</v>
      </c>
      <c r="BX944" s="78" t="s">
        <v>95</v>
      </c>
      <c r="BY944" s="78" t="s">
        <v>96</v>
      </c>
      <c r="BZ944" s="78">
        <v>0</v>
      </c>
      <c r="CA944" s="78">
        <v>0</v>
      </c>
      <c r="CB944" s="78" t="s">
        <v>97</v>
      </c>
      <c r="CC944" s="78" t="s">
        <v>1673</v>
      </c>
      <c r="CD944" s="78">
        <v>1</v>
      </c>
      <c r="CE944" s="78" t="s">
        <v>1712</v>
      </c>
      <c r="CF944" s="78">
        <v>1</v>
      </c>
      <c r="CG944" s="78" t="s">
        <v>1125</v>
      </c>
      <c r="CH944" s="78">
        <v>1</v>
      </c>
      <c r="CI944" s="78" t="s">
        <v>1465</v>
      </c>
      <c r="CJ944" s="78" t="s">
        <v>98</v>
      </c>
      <c r="CK944" s="78">
        <v>79</v>
      </c>
      <c r="CL944" s="78">
        <v>0</v>
      </c>
      <c r="CM944" s="78">
        <v>0</v>
      </c>
      <c r="CN944" s="78" t="s">
        <v>124</v>
      </c>
      <c r="CO944" s="78" t="s">
        <v>97</v>
      </c>
      <c r="CP944" s="78" t="s">
        <v>100</v>
      </c>
      <c r="CQ944" s="78" t="s">
        <v>126</v>
      </c>
      <c r="CR944" s="80">
        <v>46251</v>
      </c>
      <c r="CT944" s="78" t="s">
        <v>1755</v>
      </c>
    </row>
    <row r="945" spans="1:98" s="78" customFormat="1" x14ac:dyDescent="0.35">
      <c r="A945" s="77" t="s">
        <v>1666</v>
      </c>
      <c r="B945" s="77" t="s">
        <v>1744</v>
      </c>
      <c r="C945" s="77" t="s">
        <v>1667</v>
      </c>
      <c r="D945" s="78">
        <v>2022</v>
      </c>
      <c r="E945" s="79" t="s">
        <v>1672</v>
      </c>
      <c r="F945" s="77" t="s">
        <v>1668</v>
      </c>
      <c r="G945" s="78" t="s">
        <v>78</v>
      </c>
      <c r="H945" s="78">
        <v>1</v>
      </c>
      <c r="I945" s="78" t="s">
        <v>390</v>
      </c>
      <c r="J945" s="78" t="s">
        <v>79</v>
      </c>
      <c r="K945" s="78">
        <v>33</v>
      </c>
      <c r="L945" s="78" t="s">
        <v>104</v>
      </c>
      <c r="M945" s="78" t="s">
        <v>380</v>
      </c>
      <c r="N945" s="78">
        <v>-2.2399999999999998E-3</v>
      </c>
      <c r="O945" s="78">
        <v>7.5969999999999998E-4</v>
      </c>
      <c r="P945" s="95">
        <f t="shared" si="383"/>
        <v>-2.948532315387653</v>
      </c>
      <c r="Q945" s="78" t="s">
        <v>312</v>
      </c>
      <c r="R945" s="95">
        <f t="shared" si="384"/>
        <v>-3.7290119999999994E-3</v>
      </c>
      <c r="S945" s="95">
        <f t="shared" si="385"/>
        <v>-7.5098799999999996E-4</v>
      </c>
      <c r="T945" s="78">
        <v>1</v>
      </c>
      <c r="U945" s="78">
        <v>633165</v>
      </c>
      <c r="V945" s="78" t="s">
        <v>312</v>
      </c>
      <c r="W945" s="78" t="s">
        <v>312</v>
      </c>
      <c r="X945" s="78">
        <f t="shared" si="376"/>
        <v>633165</v>
      </c>
      <c r="Y945" s="95">
        <f t="shared" si="386"/>
        <v>-3.7054798874963609E-3</v>
      </c>
      <c r="Z945" s="95">
        <f t="shared" si="387"/>
        <v>1.2567201207727614E-3</v>
      </c>
      <c r="AA945" s="95">
        <f t="shared" si="377"/>
        <v>-3.7054798874963609E-3</v>
      </c>
      <c r="AB945" s="78" t="s">
        <v>81</v>
      </c>
      <c r="AC945" s="95">
        <f t="shared" si="378"/>
        <v>-8.6132479999999983E-2</v>
      </c>
      <c r="AD945" s="95" cm="1">
        <f t="array" ref="AD945">_xlfn.IFS(
AND(L945="marginal_effect",M945="level"),N945*AN945/BF945,
AND(L945="marginal_effect",M945="sd (Y)"),N945*BI945*AN945/BF945,
AND(L945="marginal_effect",M945="sd (X)"),N945/AQ945*AN945/BF945,
AND(L945="semi_elasticity",M945="level"),N945*AN945,
AND(L945="semi_elasticity",M945="sd (Y)"),N945*AN945*BI945,
AND(L945="semi_elasticity",M945="sd (X)"),N945*AN945/AQ945,
AND(L945="level-log",M945="level"),N945/BF945,
AND(L945="level-log",M945="sd (X)"),N945/BF945/AQ945,
AND(L945="level-log",M945="sd (Y)"),N945/BF945*BI945,
AND(L945="elasticity",M945="level"),N945,
AND(L945="elasticity",M945="sd (X)"),N945/AQ945,
AND(L945="elasticity",M945="sd (Y)"),N945*BI945,
AND(L945="marginal_effect",M945="percent_of_mean"),N945*AN945/BF945/10)</f>
        <v>-8.6132479999999983E-2</v>
      </c>
      <c r="AE945" s="105">
        <f t="shared" si="379"/>
        <v>1</v>
      </c>
      <c r="AF945" s="95">
        <f t="shared" si="388"/>
        <v>2.9211984399999998E-2</v>
      </c>
      <c r="AG945" s="95" cm="1">
        <f t="array" ref="AG945">_xlfn.IFS(
AND(L945="marginal_effect",M945="level"),O945*AN945/BF945,
AND(L945="marginal_effect",M945="sd (Y)"),O945*BI945*AN945/BF945,
AND(L945="marginal_effect",M945="sd (X)"),O945/AQ945*AN945/BF945,
AND(L945="semi_elasticity",M945="level"),O945*AN945,
AND(L945="semi_elasticity",M945="sd (Y)"),O945*AN945*BI945,
AND(L945="semi_elasticity",M945="sd (X)"),O945*AN945/AQ945,
AND(L945="level-log",M945="level"),O945/BF945,
AND(L945="level-log",M945="sd (X)"),O945/BF945/AQ945,
AND(L945="level-log",M945="sd (Y)"),O945/BF945*BI945,
AND(L945="elasticity",M945="level"),O945,
AND(L945="elasticity",M945="sd (X)"),O945/AQ945,
AND(L945="elasticity",M945="sd (Y)"),O945*BI945,
AND(L945="marginal_effect",M945="percent_of_mean"),O945*AN945/BF945/10)</f>
        <v>2.9211984399999998E-2</v>
      </c>
      <c r="AH945" s="105">
        <f t="shared" si="389"/>
        <v>1</v>
      </c>
      <c r="AI945" s="95">
        <f t="shared" si="380"/>
        <v>-8.6132479999999983E-2</v>
      </c>
      <c r="AJ945" s="78">
        <v>0</v>
      </c>
      <c r="AK945" s="78">
        <f t="shared" si="390"/>
        <v>1</v>
      </c>
      <c r="AL945" s="76" t="s">
        <v>1674</v>
      </c>
      <c r="AM945" s="78" t="s">
        <v>410</v>
      </c>
      <c r="AN945" s="78">
        <v>38.451999999999998</v>
      </c>
      <c r="AO945" s="78">
        <v>0</v>
      </c>
      <c r="AP945" s="78">
        <f t="shared" si="381"/>
        <v>38.451999999999998</v>
      </c>
      <c r="AQ945" s="78">
        <v>9.109</v>
      </c>
      <c r="AR945" s="78">
        <v>14</v>
      </c>
      <c r="AS945" s="78">
        <v>83</v>
      </c>
      <c r="AT945" s="78" t="s">
        <v>83</v>
      </c>
      <c r="AU945" s="78" t="s">
        <v>109</v>
      </c>
      <c r="AV945" s="78" t="s">
        <v>133</v>
      </c>
      <c r="AW945" s="78" t="s">
        <v>109</v>
      </c>
      <c r="AX945" s="78" t="s">
        <v>86</v>
      </c>
      <c r="AY945" s="78">
        <v>0</v>
      </c>
      <c r="AZ945" s="78">
        <v>0</v>
      </c>
      <c r="BA945" s="78" t="s">
        <v>87</v>
      </c>
      <c r="BB945" s="78" t="s">
        <v>88</v>
      </c>
      <c r="BC945" s="78" t="s">
        <v>89</v>
      </c>
      <c r="BD945" s="78" t="s">
        <v>90</v>
      </c>
      <c r="BE945" s="78" t="s">
        <v>1669</v>
      </c>
      <c r="BF945" s="78">
        <v>6.8559999999999999</v>
      </c>
      <c r="BG945" s="78">
        <v>0</v>
      </c>
      <c r="BH945" s="78">
        <v>3.2730000000000001</v>
      </c>
      <c r="BI945" s="78">
        <v>1</v>
      </c>
      <c r="BJ945" s="78">
        <v>20</v>
      </c>
      <c r="BK945" s="78" t="s">
        <v>91</v>
      </c>
      <c r="BL945" s="78" t="s">
        <v>84</v>
      </c>
      <c r="BM945" s="78">
        <v>1</v>
      </c>
      <c r="BN945" s="78" t="s">
        <v>484</v>
      </c>
      <c r="BO945" s="78" t="s">
        <v>1670</v>
      </c>
      <c r="BP945" s="78" t="s">
        <v>1671</v>
      </c>
      <c r="BQ945" s="78" t="s">
        <v>92</v>
      </c>
      <c r="BR945" s="78" t="s">
        <v>118</v>
      </c>
      <c r="BS945" s="78">
        <v>29.169</v>
      </c>
      <c r="BT945" s="78">
        <f t="shared" si="382"/>
        <v>0.30900000000000005</v>
      </c>
      <c r="BU945" s="78">
        <v>2010</v>
      </c>
      <c r="BV945" s="78">
        <v>2015</v>
      </c>
      <c r="BW945" s="78" t="s">
        <v>94</v>
      </c>
      <c r="BX945" s="78" t="s">
        <v>95</v>
      </c>
      <c r="BY945" s="78" t="s">
        <v>96</v>
      </c>
      <c r="BZ945" s="78">
        <v>0</v>
      </c>
      <c r="CA945" s="78">
        <v>0</v>
      </c>
      <c r="CB945" s="78" t="s">
        <v>97</v>
      </c>
      <c r="CC945" s="78" t="s">
        <v>1673</v>
      </c>
      <c r="CD945" s="78">
        <v>1</v>
      </c>
      <c r="CE945" s="78" t="s">
        <v>1712</v>
      </c>
      <c r="CF945" s="78">
        <v>1</v>
      </c>
      <c r="CG945" s="78" t="s">
        <v>1688</v>
      </c>
      <c r="CH945" s="78">
        <v>1</v>
      </c>
      <c r="CI945" s="78" t="s">
        <v>1465</v>
      </c>
      <c r="CJ945" s="78" t="s">
        <v>98</v>
      </c>
      <c r="CK945" s="78">
        <v>79</v>
      </c>
      <c r="CL945" s="78">
        <v>0</v>
      </c>
      <c r="CM945" s="78">
        <v>0</v>
      </c>
      <c r="CN945" s="78" t="s">
        <v>124</v>
      </c>
      <c r="CO945" s="78" t="s">
        <v>97</v>
      </c>
      <c r="CP945" s="78" t="s">
        <v>100</v>
      </c>
      <c r="CQ945" s="78" t="s">
        <v>126</v>
      </c>
      <c r="CR945" s="80">
        <v>46251</v>
      </c>
      <c r="CT945" s="78" t="s">
        <v>1755</v>
      </c>
    </row>
    <row r="946" spans="1:98" s="78" customFormat="1" x14ac:dyDescent="0.35">
      <c r="A946" s="77" t="s">
        <v>1666</v>
      </c>
      <c r="B946" s="77" t="s">
        <v>1745</v>
      </c>
      <c r="C946" s="77" t="s">
        <v>1667</v>
      </c>
      <c r="D946" s="78">
        <v>2022</v>
      </c>
      <c r="E946" s="79" t="s">
        <v>1672</v>
      </c>
      <c r="F946" s="77" t="s">
        <v>1668</v>
      </c>
      <c r="G946" s="78" t="s">
        <v>78</v>
      </c>
      <c r="H946" s="78">
        <v>1</v>
      </c>
      <c r="I946" s="78" t="s">
        <v>390</v>
      </c>
      <c r="J946" s="78" t="s">
        <v>79</v>
      </c>
      <c r="K946" s="78">
        <v>33</v>
      </c>
      <c r="L946" s="78" t="s">
        <v>104</v>
      </c>
      <c r="M946" s="78" t="s">
        <v>380</v>
      </c>
      <c r="N946" s="78">
        <v>-5.1999999999999995E-4</v>
      </c>
      <c r="O946" s="78">
        <v>1.1161999999999999E-3</v>
      </c>
      <c r="P946" s="95">
        <f t="shared" si="383"/>
        <v>-0.46586633219853074</v>
      </c>
      <c r="Q946" s="78" t="s">
        <v>312</v>
      </c>
      <c r="R946" s="95">
        <f t="shared" si="384"/>
        <v>-2.7077519999999999E-3</v>
      </c>
      <c r="S946" s="95">
        <f t="shared" si="385"/>
        <v>1.6677519999999998E-3</v>
      </c>
      <c r="T946" s="78">
        <v>1</v>
      </c>
      <c r="U946" s="78">
        <v>633165</v>
      </c>
      <c r="V946" s="78" t="s">
        <v>312</v>
      </c>
      <c r="W946" s="78" t="s">
        <v>312</v>
      </c>
      <c r="X946" s="78">
        <f t="shared" si="376"/>
        <v>633165</v>
      </c>
      <c r="Y946" s="95">
        <f t="shared" si="386"/>
        <v>-5.8546751234257342E-4</v>
      </c>
      <c r="Z946" s="95">
        <f t="shared" si="387"/>
        <v>1.2567285332245777E-3</v>
      </c>
      <c r="AA946" s="95">
        <f t="shared" si="377"/>
        <v>-5.8546751234257342E-4</v>
      </c>
      <c r="AB946" s="78" t="s">
        <v>81</v>
      </c>
      <c r="AC946" s="95">
        <f t="shared" si="378"/>
        <v>-3.1777199999999998E-3</v>
      </c>
      <c r="AD946" s="95" cm="1">
        <f t="array" ref="AD946">_xlfn.IFS(
AND(L946="marginal_effect",M946="level"),N946*AN946/BF946,
AND(L946="marginal_effect",M946="sd (Y)"),N946*BI946*AN946/BF946,
AND(L946="marginal_effect",M946="sd (X)"),N946/AQ946*AN946/BF946,
AND(L946="semi_elasticity",M946="level"),N946*AN946,
AND(L946="semi_elasticity",M946="sd (Y)"),N946*AN946*BI946,
AND(L946="semi_elasticity",M946="sd (X)"),N946*AN946/AQ946,
AND(L946="level-log",M946="level"),N946/BF946,
AND(L946="level-log",M946="sd (X)"),N946/BF946/AQ946,
AND(L946="level-log",M946="sd (Y)"),N946/BF946*BI946,
AND(L946="elasticity",M946="level"),N946,
AND(L946="elasticity",M946="sd (X)"),N946/AQ946,
AND(L946="elasticity",M946="sd (Y)"),N946*BI946,
AND(L946="marginal_effect",M946="percent_of_mean"),N946*AN946/BF946/10)</f>
        <v>-3.1777199999999998E-3</v>
      </c>
      <c r="AE946" s="105">
        <f t="shared" si="379"/>
        <v>1</v>
      </c>
      <c r="AF946" s="95">
        <f t="shared" si="388"/>
        <v>6.8210981999999995E-3</v>
      </c>
      <c r="AG946" s="95" cm="1">
        <f t="array" ref="AG946">_xlfn.IFS(
AND(L946="marginal_effect",M946="level"),O946*AN946/BF946,
AND(L946="marginal_effect",M946="sd (Y)"),O946*BI946*AN946/BF946,
AND(L946="marginal_effect",M946="sd (X)"),O946/AQ946*AN946/BF946,
AND(L946="semi_elasticity",M946="level"),O946*AN946,
AND(L946="semi_elasticity",M946="sd (Y)"),O946*AN946*BI946,
AND(L946="semi_elasticity",M946="sd (X)"),O946*AN946/AQ946,
AND(L946="level-log",M946="level"),O946/BF946,
AND(L946="level-log",M946="sd (X)"),O946/BF946/AQ946,
AND(L946="level-log",M946="sd (Y)"),O946/BF946*BI946,
AND(L946="elasticity",M946="level"),O946,
AND(L946="elasticity",M946="sd (X)"),O946/AQ946,
AND(L946="elasticity",M946="sd (Y)"),O946*BI946,
AND(L946="marginal_effect",M946="percent_of_mean"),O946*AN946/BF946/10)</f>
        <v>6.8210981999999995E-3</v>
      </c>
      <c r="AH946" s="105">
        <f t="shared" si="389"/>
        <v>1</v>
      </c>
      <c r="AI946" s="95">
        <f t="shared" si="380"/>
        <v>-3.1777199999999998E-3</v>
      </c>
      <c r="AJ946" s="78">
        <v>0</v>
      </c>
      <c r="AK946" s="78">
        <f t="shared" si="390"/>
        <v>1</v>
      </c>
      <c r="AL946" s="76" t="s">
        <v>1689</v>
      </c>
      <c r="AM946" s="78" t="s">
        <v>410</v>
      </c>
      <c r="AN946" s="78">
        <v>6.1109999999999998</v>
      </c>
      <c r="AO946" s="78">
        <v>0</v>
      </c>
      <c r="AP946" s="78">
        <f t="shared" si="381"/>
        <v>6.1109999999999998</v>
      </c>
      <c r="AQ946" s="78">
        <v>5.0839999999999996</v>
      </c>
      <c r="AR946" s="78">
        <v>0</v>
      </c>
      <c r="AS946" s="78">
        <v>36</v>
      </c>
      <c r="AT946" s="78" t="s">
        <v>83</v>
      </c>
      <c r="AU946" s="78" t="s">
        <v>109</v>
      </c>
      <c r="AV946" s="78" t="s">
        <v>133</v>
      </c>
      <c r="AW946" s="78" t="s">
        <v>109</v>
      </c>
      <c r="AX946" s="78" t="s">
        <v>86</v>
      </c>
      <c r="AY946" s="78">
        <v>0</v>
      </c>
      <c r="AZ946" s="78">
        <v>0</v>
      </c>
      <c r="BA946" s="78" t="s">
        <v>87</v>
      </c>
      <c r="BB946" s="78" t="s">
        <v>88</v>
      </c>
      <c r="BC946" s="78" t="s">
        <v>89</v>
      </c>
      <c r="BD946" s="78" t="s">
        <v>90</v>
      </c>
      <c r="BE946" s="78" t="s">
        <v>1669</v>
      </c>
      <c r="BF946" s="78">
        <v>6.8559999999999999</v>
      </c>
      <c r="BG946" s="78">
        <v>0</v>
      </c>
      <c r="BH946" s="78">
        <v>3.2730000000000001</v>
      </c>
      <c r="BI946" s="78">
        <v>1</v>
      </c>
      <c r="BJ946" s="78">
        <v>20</v>
      </c>
      <c r="BK946" s="78" t="s">
        <v>91</v>
      </c>
      <c r="BL946" s="78" t="s">
        <v>84</v>
      </c>
      <c r="BM946" s="78">
        <v>1</v>
      </c>
      <c r="BN946" s="78" t="s">
        <v>484</v>
      </c>
      <c r="BO946" s="78" t="s">
        <v>1670</v>
      </c>
      <c r="BP946" s="78" t="s">
        <v>1671</v>
      </c>
      <c r="BQ946" s="78" t="s">
        <v>92</v>
      </c>
      <c r="BR946" s="78" t="s">
        <v>118</v>
      </c>
      <c r="BS946" s="78">
        <v>29.169</v>
      </c>
      <c r="BT946" s="78">
        <f t="shared" si="382"/>
        <v>0.30900000000000005</v>
      </c>
      <c r="BU946" s="78">
        <v>2010</v>
      </c>
      <c r="BV946" s="78">
        <v>2015</v>
      </c>
      <c r="BW946" s="78" t="s">
        <v>94</v>
      </c>
      <c r="BX946" s="78" t="s">
        <v>95</v>
      </c>
      <c r="BY946" s="78" t="s">
        <v>96</v>
      </c>
      <c r="BZ946" s="78">
        <v>0</v>
      </c>
      <c r="CA946" s="78">
        <v>0</v>
      </c>
      <c r="CB946" s="78" t="s">
        <v>97</v>
      </c>
      <c r="CC946" s="78" t="s">
        <v>1673</v>
      </c>
      <c r="CD946" s="78">
        <v>1</v>
      </c>
      <c r="CE946" s="78" t="s">
        <v>1712</v>
      </c>
      <c r="CF946" s="78">
        <v>1</v>
      </c>
      <c r="CG946" s="78" t="s">
        <v>598</v>
      </c>
      <c r="CH946" s="78">
        <v>1</v>
      </c>
      <c r="CI946" s="78" t="s">
        <v>1465</v>
      </c>
      <c r="CJ946" s="78" t="s">
        <v>98</v>
      </c>
      <c r="CK946" s="78">
        <v>79</v>
      </c>
      <c r="CL946" s="78">
        <v>0</v>
      </c>
      <c r="CM946" s="78">
        <v>0</v>
      </c>
      <c r="CN946" s="78" t="s">
        <v>124</v>
      </c>
      <c r="CO946" s="78" t="s">
        <v>97</v>
      </c>
      <c r="CP946" s="78" t="s">
        <v>100</v>
      </c>
      <c r="CQ946" s="78" t="s">
        <v>126</v>
      </c>
      <c r="CR946" s="80">
        <v>46251</v>
      </c>
      <c r="CT946" s="78" t="s">
        <v>1755</v>
      </c>
    </row>
    <row r="947" spans="1:98" s="78" customFormat="1" x14ac:dyDescent="0.35">
      <c r="A947" s="77" t="s">
        <v>1666</v>
      </c>
      <c r="B947" s="77" t="s">
        <v>1746</v>
      </c>
      <c r="C947" s="77" t="s">
        <v>1667</v>
      </c>
      <c r="D947" s="78">
        <v>2022</v>
      </c>
      <c r="E947" s="79" t="s">
        <v>1672</v>
      </c>
      <c r="F947" s="77" t="s">
        <v>1668</v>
      </c>
      <c r="G947" s="78" t="s">
        <v>78</v>
      </c>
      <c r="H947" s="78">
        <v>1</v>
      </c>
      <c r="I947" s="78" t="s">
        <v>390</v>
      </c>
      <c r="J947" s="78" t="s">
        <v>79</v>
      </c>
      <c r="K947" s="78">
        <v>33</v>
      </c>
      <c r="L947" s="78" t="s">
        <v>104</v>
      </c>
      <c r="M947" s="78" t="s">
        <v>380</v>
      </c>
      <c r="N947" s="78">
        <v>-3.2499999999999999E-3</v>
      </c>
      <c r="O947" s="78">
        <v>1.4867999999999999E-3</v>
      </c>
      <c r="P947" s="95">
        <f t="shared" si="383"/>
        <v>-2.1859026096314231</v>
      </c>
      <c r="Q947" s="78" t="s">
        <v>312</v>
      </c>
      <c r="R947" s="95">
        <f t="shared" si="384"/>
        <v>-6.1641279999999996E-3</v>
      </c>
      <c r="S947" s="95">
        <f t="shared" si="385"/>
        <v>-3.3587200000000008E-4</v>
      </c>
      <c r="T947" s="78">
        <v>1</v>
      </c>
      <c r="U947" s="78">
        <v>633165</v>
      </c>
      <c r="V947" s="78" t="s">
        <v>312</v>
      </c>
      <c r="W947" s="78" t="s">
        <v>312</v>
      </c>
      <c r="X947" s="78">
        <f t="shared" si="376"/>
        <v>633165</v>
      </c>
      <c r="Y947" s="95">
        <f t="shared" si="386"/>
        <v>-2.7470762858208624E-3</v>
      </c>
      <c r="Z947" s="95">
        <f t="shared" si="387"/>
        <v>1.2567240066949101E-3</v>
      </c>
      <c r="AA947" s="95">
        <f t="shared" si="377"/>
        <v>-2.7470762858208624E-3</v>
      </c>
      <c r="AB947" s="78" t="s">
        <v>81</v>
      </c>
      <c r="AC947" s="95">
        <f t="shared" si="378"/>
        <v>-2.1625499999999999E-2</v>
      </c>
      <c r="AD947" s="95" cm="1">
        <f t="array" ref="AD947">_xlfn.IFS(
AND(L947="marginal_effect",M947="level"),N947*AN947/BF947,
AND(L947="marginal_effect",M947="sd (Y)"),N947*BI947*AN947/BF947,
AND(L947="marginal_effect",M947="sd (X)"),N947/AQ947*AN947/BF947,
AND(L947="semi_elasticity",M947="level"),N947*AN947,
AND(L947="semi_elasticity",M947="sd (Y)"),N947*AN947*BI947,
AND(L947="semi_elasticity",M947="sd (X)"),N947*AN947/AQ947,
AND(L947="level-log",M947="level"),N947/BF947,
AND(L947="level-log",M947="sd (X)"),N947/BF947/AQ947,
AND(L947="level-log",M947="sd (Y)"),N947/BF947*BI947,
AND(L947="elasticity",M947="level"),N947,
AND(L947="elasticity",M947="sd (X)"),N947/AQ947,
AND(L947="elasticity",M947="sd (Y)"),N947*BI947,
AND(L947="marginal_effect",M947="percent_of_mean"),N947*AN947/BF947/10)</f>
        <v>-2.1625499999999999E-2</v>
      </c>
      <c r="AE947" s="105">
        <f t="shared" si="379"/>
        <v>1</v>
      </c>
      <c r="AF947" s="95">
        <f t="shared" si="388"/>
        <v>9.8931671999999988E-3</v>
      </c>
      <c r="AG947" s="95" cm="1">
        <f t="array" ref="AG947">_xlfn.IFS(
AND(L947="marginal_effect",M947="level"),O947*AN947/BF947,
AND(L947="marginal_effect",M947="sd (Y)"),O947*BI947*AN947/BF947,
AND(L947="marginal_effect",M947="sd (X)"),O947/AQ947*AN947/BF947,
AND(L947="semi_elasticity",M947="level"),O947*AN947,
AND(L947="semi_elasticity",M947="sd (Y)"),O947*AN947*BI947,
AND(L947="semi_elasticity",M947="sd (X)"),O947*AN947/AQ947,
AND(L947="level-log",M947="level"),O947/BF947,
AND(L947="level-log",M947="sd (X)"),O947/BF947/AQ947,
AND(L947="level-log",M947="sd (Y)"),O947/BF947*BI947,
AND(L947="elasticity",M947="level"),O947,
AND(L947="elasticity",M947="sd (X)"),O947/AQ947,
AND(L947="elasticity",M947="sd (Y)"),O947*BI947,
AND(L947="marginal_effect",M947="percent_of_mean"),O947*AN947/BF947/10)</f>
        <v>9.8931671999999988E-3</v>
      </c>
      <c r="AH947" s="105">
        <f t="shared" si="389"/>
        <v>1</v>
      </c>
      <c r="AI947" s="95">
        <f t="shared" si="380"/>
        <v>-2.1625499999999999E-2</v>
      </c>
      <c r="AJ947" s="78">
        <v>0</v>
      </c>
      <c r="AK947" s="78">
        <f t="shared" si="390"/>
        <v>1</v>
      </c>
      <c r="AL947" s="78" t="s">
        <v>82</v>
      </c>
      <c r="AM947" s="78" t="s">
        <v>1333</v>
      </c>
      <c r="AN947" s="78">
        <v>6.6539999999999999</v>
      </c>
      <c r="AO947" s="78">
        <v>0</v>
      </c>
      <c r="AP947" s="78">
        <f t="shared" si="381"/>
        <v>6.6539999999999999</v>
      </c>
      <c r="AQ947" s="78">
        <v>2.7320000000000002</v>
      </c>
      <c r="AR947" s="78">
        <v>0.69099999999999995</v>
      </c>
      <c r="AS947" s="78">
        <v>21.341999999999999</v>
      </c>
      <c r="AT947" s="78" t="s">
        <v>83</v>
      </c>
      <c r="AU947" s="78" t="s">
        <v>109</v>
      </c>
      <c r="AV947" s="78" t="s">
        <v>133</v>
      </c>
      <c r="AW947" s="78" t="s">
        <v>109</v>
      </c>
      <c r="AX947" s="78" t="s">
        <v>86</v>
      </c>
      <c r="AY947" s="78">
        <v>0</v>
      </c>
      <c r="AZ947" s="78">
        <v>0</v>
      </c>
      <c r="BA947" s="78" t="s">
        <v>87</v>
      </c>
      <c r="BB947" s="78" t="s">
        <v>88</v>
      </c>
      <c r="BC947" s="78" t="s">
        <v>89</v>
      </c>
      <c r="BD947" s="78" t="s">
        <v>90</v>
      </c>
      <c r="BE947" s="78" t="s">
        <v>1669</v>
      </c>
      <c r="BF947" s="78">
        <v>6.8559999999999999</v>
      </c>
      <c r="BG947" s="78">
        <v>0</v>
      </c>
      <c r="BH947" s="78">
        <v>3.2730000000000001</v>
      </c>
      <c r="BI947" s="78">
        <v>1</v>
      </c>
      <c r="BJ947" s="78">
        <v>20</v>
      </c>
      <c r="BK947" s="78" t="s">
        <v>91</v>
      </c>
      <c r="BL947" s="78" t="s">
        <v>84</v>
      </c>
      <c r="BM947" s="78">
        <v>1</v>
      </c>
      <c r="BN947" s="78" t="s">
        <v>484</v>
      </c>
      <c r="BO947" s="78" t="s">
        <v>1670</v>
      </c>
      <c r="BP947" s="78" t="s">
        <v>1671</v>
      </c>
      <c r="BQ947" s="78" t="s">
        <v>92</v>
      </c>
      <c r="BR947" s="78" t="s">
        <v>118</v>
      </c>
      <c r="BS947" s="78">
        <v>29.169</v>
      </c>
      <c r="BT947" s="78">
        <f t="shared" si="382"/>
        <v>0.30900000000000005</v>
      </c>
      <c r="BU947" s="78">
        <v>2010</v>
      </c>
      <c r="BV947" s="78">
        <v>2015</v>
      </c>
      <c r="BW947" s="78" t="s">
        <v>94</v>
      </c>
      <c r="BX947" s="78" t="s">
        <v>95</v>
      </c>
      <c r="BY947" s="78" t="s">
        <v>96</v>
      </c>
      <c r="BZ947" s="78">
        <v>0</v>
      </c>
      <c r="CA947" s="78">
        <v>0</v>
      </c>
      <c r="CB947" s="78" t="s">
        <v>97</v>
      </c>
      <c r="CC947" s="78" t="s">
        <v>1673</v>
      </c>
      <c r="CD947" s="78">
        <v>1</v>
      </c>
      <c r="CE947" s="78" t="s">
        <v>1712</v>
      </c>
      <c r="CF947" s="78">
        <v>1</v>
      </c>
      <c r="CG947" s="78" t="s">
        <v>1125</v>
      </c>
      <c r="CH947" s="78">
        <v>1</v>
      </c>
      <c r="CI947" s="78" t="s">
        <v>1465</v>
      </c>
      <c r="CJ947" s="78" t="s">
        <v>98</v>
      </c>
      <c r="CK947" s="78">
        <v>79</v>
      </c>
      <c r="CL947" s="78">
        <v>0</v>
      </c>
      <c r="CM947" s="78">
        <v>0</v>
      </c>
      <c r="CN947" s="78" t="s">
        <v>124</v>
      </c>
      <c r="CO947" s="78" t="s">
        <v>97</v>
      </c>
      <c r="CP947" s="78" t="s">
        <v>100</v>
      </c>
      <c r="CQ947" s="78" t="s">
        <v>126</v>
      </c>
      <c r="CR947" s="80">
        <v>46251</v>
      </c>
      <c r="CT947" s="78" t="s">
        <v>1756</v>
      </c>
    </row>
    <row r="948" spans="1:98" s="78" customFormat="1" x14ac:dyDescent="0.35">
      <c r="A948" s="77" t="s">
        <v>1666</v>
      </c>
      <c r="B948" s="77" t="s">
        <v>1747</v>
      </c>
      <c r="C948" s="77" t="s">
        <v>1667</v>
      </c>
      <c r="D948" s="78">
        <v>2022</v>
      </c>
      <c r="E948" s="79" t="s">
        <v>1672</v>
      </c>
      <c r="F948" s="77" t="s">
        <v>1668</v>
      </c>
      <c r="G948" s="78" t="s">
        <v>78</v>
      </c>
      <c r="H948" s="78">
        <v>1</v>
      </c>
      <c r="I948" s="78" t="s">
        <v>390</v>
      </c>
      <c r="J948" s="78" t="s">
        <v>79</v>
      </c>
      <c r="K948" s="78">
        <v>33</v>
      </c>
      <c r="L948" s="78" t="s">
        <v>104</v>
      </c>
      <c r="M948" s="78" t="s">
        <v>380</v>
      </c>
      <c r="N948" s="78">
        <v>-2.33E-3</v>
      </c>
      <c r="O948" s="78">
        <v>7.67E-4</v>
      </c>
      <c r="P948" s="95">
        <f t="shared" si="383"/>
        <v>-3.0378096479791394</v>
      </c>
      <c r="Q948" s="78" t="s">
        <v>312</v>
      </c>
      <c r="R948" s="95">
        <f t="shared" si="384"/>
        <v>-3.8333200000000003E-3</v>
      </c>
      <c r="S948" s="95">
        <f t="shared" si="385"/>
        <v>-8.2667999999999999E-4</v>
      </c>
      <c r="T948" s="78">
        <v>1</v>
      </c>
      <c r="U948" s="78">
        <v>633165</v>
      </c>
      <c r="V948" s="78" t="s">
        <v>312</v>
      </c>
      <c r="W948" s="78" t="s">
        <v>312</v>
      </c>
      <c r="X948" s="78">
        <f t="shared" si="376"/>
        <v>633165</v>
      </c>
      <c r="Y948" s="95">
        <f t="shared" si="386"/>
        <v>-3.8176748964957249E-3</v>
      </c>
      <c r="Z948" s="95">
        <f t="shared" si="387"/>
        <v>1.2567195903915114E-3</v>
      </c>
      <c r="AA948" s="95">
        <f t="shared" si="377"/>
        <v>-3.8176748964957249E-3</v>
      </c>
      <c r="AB948" s="78" t="s">
        <v>81</v>
      </c>
      <c r="AC948" s="95">
        <f t="shared" si="378"/>
        <v>-8.9593159999999991E-2</v>
      </c>
      <c r="AD948" s="95" cm="1">
        <f t="array" ref="AD948">_xlfn.IFS(
AND(L948="marginal_effect",M948="level"),N948*AN948/BF948,
AND(L948="marginal_effect",M948="sd (Y)"),N948*BI948*AN948/BF948,
AND(L948="marginal_effect",M948="sd (X)"),N948/AQ948*AN948/BF948,
AND(L948="semi_elasticity",M948="level"),N948*AN948,
AND(L948="semi_elasticity",M948="sd (Y)"),N948*AN948*BI948,
AND(L948="semi_elasticity",M948="sd (X)"),N948*AN948/AQ948,
AND(L948="level-log",M948="level"),N948/BF948,
AND(L948="level-log",M948="sd (X)"),N948/BF948/AQ948,
AND(L948="level-log",M948="sd (Y)"),N948/BF948*BI948,
AND(L948="elasticity",M948="level"),N948,
AND(L948="elasticity",M948="sd (X)"),N948/AQ948,
AND(L948="elasticity",M948="sd (Y)"),N948*BI948,
AND(L948="marginal_effect",M948="percent_of_mean"),N948*AN948/BF948/10)</f>
        <v>-8.9593159999999991E-2</v>
      </c>
      <c r="AE948" s="105">
        <f t="shared" si="379"/>
        <v>1</v>
      </c>
      <c r="AF948" s="95">
        <f t="shared" si="388"/>
        <v>2.9492683999999998E-2</v>
      </c>
      <c r="AG948" s="95" cm="1">
        <f t="array" ref="AG948">_xlfn.IFS(
AND(L948="marginal_effect",M948="level"),O948*AN948/BF948,
AND(L948="marginal_effect",M948="sd (Y)"),O948*BI948*AN948/BF948,
AND(L948="marginal_effect",M948="sd (X)"),O948/AQ948*AN948/BF948,
AND(L948="semi_elasticity",M948="level"),O948*AN948,
AND(L948="semi_elasticity",M948="sd (Y)"),O948*AN948*BI948,
AND(L948="semi_elasticity",M948="sd (X)"),O948*AN948/AQ948,
AND(L948="level-log",M948="level"),O948/BF948,
AND(L948="level-log",M948="sd (X)"),O948/BF948/AQ948,
AND(L948="level-log",M948="sd (Y)"),O948/BF948*BI948,
AND(L948="elasticity",M948="level"),O948,
AND(L948="elasticity",M948="sd (X)"),O948/AQ948,
AND(L948="elasticity",M948="sd (Y)"),O948*BI948,
AND(L948="marginal_effect",M948="percent_of_mean"),O948*AN948/BF948/10)</f>
        <v>2.9492683999999998E-2</v>
      </c>
      <c r="AH948" s="105">
        <f t="shared" si="389"/>
        <v>1</v>
      </c>
      <c r="AI948" s="95">
        <f t="shared" si="380"/>
        <v>-8.9593159999999991E-2</v>
      </c>
      <c r="AJ948" s="78">
        <v>0</v>
      </c>
      <c r="AK948" s="78">
        <f t="shared" si="390"/>
        <v>1</v>
      </c>
      <c r="AL948" s="76" t="s">
        <v>1674</v>
      </c>
      <c r="AM948" s="78" t="s">
        <v>410</v>
      </c>
      <c r="AN948" s="78">
        <v>38.451999999999998</v>
      </c>
      <c r="AO948" s="78">
        <v>0</v>
      </c>
      <c r="AP948" s="78">
        <f t="shared" si="381"/>
        <v>38.451999999999998</v>
      </c>
      <c r="AQ948" s="78">
        <v>9.109</v>
      </c>
      <c r="AR948" s="78">
        <v>14</v>
      </c>
      <c r="AS948" s="78">
        <v>83</v>
      </c>
      <c r="AT948" s="78" t="s">
        <v>83</v>
      </c>
      <c r="AU948" s="78" t="s">
        <v>109</v>
      </c>
      <c r="AV948" s="78" t="s">
        <v>133</v>
      </c>
      <c r="AW948" s="78" t="s">
        <v>109</v>
      </c>
      <c r="AX948" s="78" t="s">
        <v>86</v>
      </c>
      <c r="AY948" s="78">
        <v>0</v>
      </c>
      <c r="AZ948" s="78">
        <v>0</v>
      </c>
      <c r="BA948" s="78" t="s">
        <v>87</v>
      </c>
      <c r="BB948" s="78" t="s">
        <v>88</v>
      </c>
      <c r="BC948" s="78" t="s">
        <v>89</v>
      </c>
      <c r="BD948" s="78" t="s">
        <v>90</v>
      </c>
      <c r="BE948" s="78" t="s">
        <v>1669</v>
      </c>
      <c r="BF948" s="78">
        <v>6.8559999999999999</v>
      </c>
      <c r="BG948" s="78">
        <v>0</v>
      </c>
      <c r="BH948" s="78">
        <v>3.2730000000000001</v>
      </c>
      <c r="BI948" s="78">
        <v>1</v>
      </c>
      <c r="BJ948" s="78">
        <v>20</v>
      </c>
      <c r="BK948" s="78" t="s">
        <v>91</v>
      </c>
      <c r="BL948" s="78" t="s">
        <v>84</v>
      </c>
      <c r="BM948" s="78">
        <v>1</v>
      </c>
      <c r="BN948" s="78" t="s">
        <v>484</v>
      </c>
      <c r="BO948" s="78" t="s">
        <v>1670</v>
      </c>
      <c r="BP948" s="78" t="s">
        <v>1671</v>
      </c>
      <c r="BQ948" s="78" t="s">
        <v>92</v>
      </c>
      <c r="BR948" s="78" t="s">
        <v>118</v>
      </c>
      <c r="BS948" s="78">
        <v>29.169</v>
      </c>
      <c r="BT948" s="78">
        <f t="shared" si="382"/>
        <v>0.30900000000000005</v>
      </c>
      <c r="BU948" s="78">
        <v>2010</v>
      </c>
      <c r="BV948" s="78">
        <v>2015</v>
      </c>
      <c r="BW948" s="78" t="s">
        <v>94</v>
      </c>
      <c r="BX948" s="78" t="s">
        <v>95</v>
      </c>
      <c r="BY948" s="78" t="s">
        <v>96</v>
      </c>
      <c r="BZ948" s="78">
        <v>0</v>
      </c>
      <c r="CA948" s="78">
        <v>0</v>
      </c>
      <c r="CB948" s="78" t="s">
        <v>97</v>
      </c>
      <c r="CC948" s="78" t="s">
        <v>1673</v>
      </c>
      <c r="CD948" s="78">
        <v>1</v>
      </c>
      <c r="CE948" s="78" t="s">
        <v>1712</v>
      </c>
      <c r="CF948" s="78">
        <v>1</v>
      </c>
      <c r="CG948" s="78" t="s">
        <v>1688</v>
      </c>
      <c r="CH948" s="78">
        <v>1</v>
      </c>
      <c r="CI948" s="78" t="s">
        <v>1465</v>
      </c>
      <c r="CJ948" s="78" t="s">
        <v>98</v>
      </c>
      <c r="CK948" s="78">
        <v>79</v>
      </c>
      <c r="CL948" s="78">
        <v>0</v>
      </c>
      <c r="CM948" s="78">
        <v>0</v>
      </c>
      <c r="CN948" s="78" t="s">
        <v>124</v>
      </c>
      <c r="CO948" s="78" t="s">
        <v>97</v>
      </c>
      <c r="CP948" s="78" t="s">
        <v>100</v>
      </c>
      <c r="CQ948" s="78" t="s">
        <v>126</v>
      </c>
      <c r="CR948" s="80">
        <v>46251</v>
      </c>
      <c r="CT948" s="78" t="s">
        <v>1756</v>
      </c>
    </row>
    <row r="949" spans="1:98" s="78" customFormat="1" x14ac:dyDescent="0.35">
      <c r="A949" s="77" t="s">
        <v>1666</v>
      </c>
      <c r="B949" s="77" t="s">
        <v>1748</v>
      </c>
      <c r="C949" s="77" t="s">
        <v>1667</v>
      </c>
      <c r="D949" s="78">
        <v>2022</v>
      </c>
      <c r="E949" s="79" t="s">
        <v>1672</v>
      </c>
      <c r="F949" s="77" t="s">
        <v>1668</v>
      </c>
      <c r="G949" s="78" t="s">
        <v>78</v>
      </c>
      <c r="H949" s="78">
        <v>1</v>
      </c>
      <c r="I949" s="78" t="s">
        <v>390</v>
      </c>
      <c r="J949" s="78" t="s">
        <v>79</v>
      </c>
      <c r="K949" s="78">
        <v>33</v>
      </c>
      <c r="L949" s="78" t="s">
        <v>104</v>
      </c>
      <c r="M949" s="78" t="s">
        <v>380</v>
      </c>
      <c r="N949" s="78">
        <v>-4.0999999999999999E-4</v>
      </c>
      <c r="O949" s="78">
        <v>1.1451E-3</v>
      </c>
      <c r="P949" s="95">
        <f t="shared" si="383"/>
        <v>-0.3580473321107327</v>
      </c>
      <c r="Q949" s="78" t="s">
        <v>312</v>
      </c>
      <c r="R949" s="95">
        <f t="shared" si="384"/>
        <v>-2.6543959999999998E-3</v>
      </c>
      <c r="S949" s="95">
        <f t="shared" si="385"/>
        <v>1.8343960000000001E-3</v>
      </c>
      <c r="T949" s="78">
        <v>1</v>
      </c>
      <c r="U949" s="78">
        <v>633165</v>
      </c>
      <c r="V949" s="78" t="s">
        <v>312</v>
      </c>
      <c r="W949" s="78" t="s">
        <v>312</v>
      </c>
      <c r="X949" s="78">
        <f t="shared" si="376"/>
        <v>633165</v>
      </c>
      <c r="Y949" s="95">
        <f t="shared" si="386"/>
        <v>-4.4996833007393994E-4</v>
      </c>
      <c r="Z949" s="95">
        <f t="shared" si="387"/>
        <v>1.2567286213845577E-3</v>
      </c>
      <c r="AA949" s="95">
        <f t="shared" si="377"/>
        <v>-4.4996833007393994E-4</v>
      </c>
      <c r="AB949" s="78" t="s">
        <v>81</v>
      </c>
      <c r="AC949" s="95">
        <f t="shared" si="378"/>
        <v>-2.5055099999999999E-3</v>
      </c>
      <c r="AD949" s="95" cm="1">
        <f t="array" ref="AD949">_xlfn.IFS(
AND(L949="marginal_effect",M949="level"),N949*AN949/BF949,
AND(L949="marginal_effect",M949="sd (Y)"),N949*BI949*AN949/BF949,
AND(L949="marginal_effect",M949="sd (X)"),N949/AQ949*AN949/BF949,
AND(L949="semi_elasticity",M949="level"),N949*AN949,
AND(L949="semi_elasticity",M949="sd (Y)"),N949*AN949*BI949,
AND(L949="semi_elasticity",M949="sd (X)"),N949*AN949/AQ949,
AND(L949="level-log",M949="level"),N949/BF949,
AND(L949="level-log",M949="sd (X)"),N949/BF949/AQ949,
AND(L949="level-log",M949="sd (Y)"),N949/BF949*BI949,
AND(L949="elasticity",M949="level"),N949,
AND(L949="elasticity",M949="sd (X)"),N949/AQ949,
AND(L949="elasticity",M949="sd (Y)"),N949*BI949,
AND(L949="marginal_effect",M949="percent_of_mean"),N949*AN949/BF949/10)</f>
        <v>-2.5055099999999999E-3</v>
      </c>
      <c r="AE949" s="105">
        <f t="shared" si="379"/>
        <v>1</v>
      </c>
      <c r="AF949" s="95">
        <f t="shared" si="388"/>
        <v>6.9977060999999998E-3</v>
      </c>
      <c r="AG949" s="95" cm="1">
        <f t="array" ref="AG949">_xlfn.IFS(
AND(L949="marginal_effect",M949="level"),O949*AN949/BF949,
AND(L949="marginal_effect",M949="sd (Y)"),O949*BI949*AN949/BF949,
AND(L949="marginal_effect",M949="sd (X)"),O949/AQ949*AN949/BF949,
AND(L949="semi_elasticity",M949="level"),O949*AN949,
AND(L949="semi_elasticity",M949="sd (Y)"),O949*AN949*BI949,
AND(L949="semi_elasticity",M949="sd (X)"),O949*AN949/AQ949,
AND(L949="level-log",M949="level"),O949/BF949,
AND(L949="level-log",M949="sd (X)"),O949/BF949/AQ949,
AND(L949="level-log",M949="sd (Y)"),O949/BF949*BI949,
AND(L949="elasticity",M949="level"),O949,
AND(L949="elasticity",M949="sd (X)"),O949/AQ949,
AND(L949="elasticity",M949="sd (Y)"),O949*BI949,
AND(L949="marginal_effect",M949="percent_of_mean"),O949*AN949/BF949/10)</f>
        <v>6.9977060999999998E-3</v>
      </c>
      <c r="AH949" s="105">
        <f t="shared" si="389"/>
        <v>1</v>
      </c>
      <c r="AI949" s="95">
        <f t="shared" si="380"/>
        <v>-2.5055099999999999E-3</v>
      </c>
      <c r="AJ949" s="78">
        <v>0</v>
      </c>
      <c r="AK949" s="78">
        <f t="shared" si="390"/>
        <v>1</v>
      </c>
      <c r="AL949" s="76" t="s">
        <v>1689</v>
      </c>
      <c r="AM949" s="78" t="s">
        <v>410</v>
      </c>
      <c r="AN949" s="78">
        <v>6.1109999999999998</v>
      </c>
      <c r="AO949" s="78">
        <v>0</v>
      </c>
      <c r="AP949" s="78">
        <f t="shared" si="381"/>
        <v>6.1109999999999998</v>
      </c>
      <c r="AQ949" s="78">
        <v>5.0839999999999996</v>
      </c>
      <c r="AR949" s="78">
        <v>0</v>
      </c>
      <c r="AS949" s="78">
        <v>36</v>
      </c>
      <c r="AT949" s="78" t="s">
        <v>83</v>
      </c>
      <c r="AU949" s="78" t="s">
        <v>109</v>
      </c>
      <c r="AV949" s="78" t="s">
        <v>133</v>
      </c>
      <c r="AW949" s="78" t="s">
        <v>109</v>
      </c>
      <c r="AX949" s="78" t="s">
        <v>86</v>
      </c>
      <c r="AY949" s="78">
        <v>0</v>
      </c>
      <c r="AZ949" s="78">
        <v>0</v>
      </c>
      <c r="BA949" s="78" t="s">
        <v>87</v>
      </c>
      <c r="BB949" s="78" t="s">
        <v>88</v>
      </c>
      <c r="BC949" s="78" t="s">
        <v>89</v>
      </c>
      <c r="BD949" s="78" t="s">
        <v>90</v>
      </c>
      <c r="BE949" s="78" t="s">
        <v>1669</v>
      </c>
      <c r="BF949" s="78">
        <v>6.8559999999999999</v>
      </c>
      <c r="BG949" s="78">
        <v>0</v>
      </c>
      <c r="BH949" s="78">
        <v>3.2730000000000001</v>
      </c>
      <c r="BI949" s="78">
        <v>1</v>
      </c>
      <c r="BJ949" s="78">
        <v>20</v>
      </c>
      <c r="BK949" s="78" t="s">
        <v>91</v>
      </c>
      <c r="BL949" s="78" t="s">
        <v>84</v>
      </c>
      <c r="BM949" s="78">
        <v>1</v>
      </c>
      <c r="BN949" s="78" t="s">
        <v>484</v>
      </c>
      <c r="BO949" s="78" t="s">
        <v>1670</v>
      </c>
      <c r="BP949" s="78" t="s">
        <v>1671</v>
      </c>
      <c r="BQ949" s="78" t="s">
        <v>92</v>
      </c>
      <c r="BR949" s="78" t="s">
        <v>118</v>
      </c>
      <c r="BS949" s="78">
        <v>29.169</v>
      </c>
      <c r="BT949" s="78">
        <f t="shared" si="382"/>
        <v>0.30900000000000005</v>
      </c>
      <c r="BU949" s="78">
        <v>2010</v>
      </c>
      <c r="BV949" s="78">
        <v>2015</v>
      </c>
      <c r="BW949" s="78" t="s">
        <v>94</v>
      </c>
      <c r="BX949" s="78" t="s">
        <v>95</v>
      </c>
      <c r="BY949" s="78" t="s">
        <v>96</v>
      </c>
      <c r="BZ949" s="78">
        <v>0</v>
      </c>
      <c r="CA949" s="78">
        <v>0</v>
      </c>
      <c r="CB949" s="78" t="s">
        <v>97</v>
      </c>
      <c r="CC949" s="78" t="s">
        <v>1673</v>
      </c>
      <c r="CD949" s="78">
        <v>1</v>
      </c>
      <c r="CE949" s="78" t="s">
        <v>1712</v>
      </c>
      <c r="CF949" s="78">
        <v>1</v>
      </c>
      <c r="CG949" s="78" t="s">
        <v>598</v>
      </c>
      <c r="CH949" s="78">
        <v>1</v>
      </c>
      <c r="CI949" s="78" t="s">
        <v>1465</v>
      </c>
      <c r="CJ949" s="78" t="s">
        <v>98</v>
      </c>
      <c r="CK949" s="78">
        <v>79</v>
      </c>
      <c r="CL949" s="78">
        <v>0</v>
      </c>
      <c r="CM949" s="78">
        <v>0</v>
      </c>
      <c r="CN949" s="78" t="s">
        <v>124</v>
      </c>
      <c r="CO949" s="78" t="s">
        <v>97</v>
      </c>
      <c r="CP949" s="78" t="s">
        <v>100</v>
      </c>
      <c r="CQ949" s="78" t="s">
        <v>126</v>
      </c>
      <c r="CR949" s="80">
        <v>46251</v>
      </c>
      <c r="CT949" s="78" t="s">
        <v>1756</v>
      </c>
    </row>
    <row r="950" spans="1:98" s="78" customFormat="1" x14ac:dyDescent="0.35">
      <c r="A950" s="77" t="s">
        <v>1666</v>
      </c>
      <c r="B950" s="77" t="s">
        <v>1749</v>
      </c>
      <c r="C950" s="77" t="s">
        <v>1667</v>
      </c>
      <c r="D950" s="78">
        <v>2022</v>
      </c>
      <c r="E950" s="79" t="s">
        <v>1672</v>
      </c>
      <c r="F950" s="77" t="s">
        <v>1668</v>
      </c>
      <c r="G950" s="78" t="s">
        <v>78</v>
      </c>
      <c r="H950" s="78">
        <v>1</v>
      </c>
      <c r="I950" s="78" t="s">
        <v>390</v>
      </c>
      <c r="J950" s="78" t="s">
        <v>79</v>
      </c>
      <c r="K950" s="78">
        <v>33</v>
      </c>
      <c r="L950" s="78" t="s">
        <v>104</v>
      </c>
      <c r="M950" s="78" t="s">
        <v>380</v>
      </c>
      <c r="N950" s="78">
        <v>4.1200000000000004E-3</v>
      </c>
      <c r="O950" s="78">
        <v>1.4208999999999999E-3</v>
      </c>
      <c r="P950" s="95">
        <f t="shared" si="383"/>
        <v>2.8995706946301643</v>
      </c>
      <c r="Q950" s="78" t="s">
        <v>312</v>
      </c>
      <c r="R950" s="95">
        <f t="shared" si="384"/>
        <v>1.3350360000000008E-3</v>
      </c>
      <c r="S950" s="95">
        <f t="shared" si="385"/>
        <v>6.9049639999999995E-3</v>
      </c>
      <c r="T950" s="78">
        <v>1</v>
      </c>
      <c r="U950" s="78">
        <v>633165</v>
      </c>
      <c r="V950" s="78" t="s">
        <v>312</v>
      </c>
      <c r="W950" s="78" t="s">
        <v>312</v>
      </c>
      <c r="X950" s="78">
        <f t="shared" si="376"/>
        <v>633165</v>
      </c>
      <c r="Y950" s="95">
        <f t="shared" si="386"/>
        <v>3.6439496574748593E-3</v>
      </c>
      <c r="Z950" s="95">
        <f t="shared" si="387"/>
        <v>1.2567204049286473E-3</v>
      </c>
      <c r="AA950" s="95">
        <f t="shared" si="377"/>
        <v>3.6439496574748593E-3</v>
      </c>
      <c r="AB950" s="78" t="s">
        <v>81</v>
      </c>
      <c r="AC950" s="95">
        <f t="shared" si="378"/>
        <v>2.7414480000000001E-2</v>
      </c>
      <c r="AD950" s="95" cm="1">
        <f t="array" ref="AD950">_xlfn.IFS(
AND(L950="marginal_effect",M950="level"),N950*AN950/BF950,
AND(L950="marginal_effect",M950="sd (Y)"),N950*BI950*AN950/BF950,
AND(L950="marginal_effect",M950="sd (X)"),N950/AQ950*AN950/BF950,
AND(L950="semi_elasticity",M950="level"),N950*AN950,
AND(L950="semi_elasticity",M950="sd (Y)"),N950*AN950*BI950,
AND(L950="semi_elasticity",M950="sd (X)"),N950*AN950/AQ950,
AND(L950="level-log",M950="level"),N950/BF950,
AND(L950="level-log",M950="sd (X)"),N950/BF950/AQ950,
AND(L950="level-log",M950="sd (Y)"),N950/BF950*BI950,
AND(L950="elasticity",M950="level"),N950,
AND(L950="elasticity",M950="sd (X)"),N950/AQ950,
AND(L950="elasticity",M950="sd (Y)"),N950*BI950,
AND(L950="marginal_effect",M950="percent_of_mean"),N950*AN950/BF950/10)</f>
        <v>2.7414480000000001E-2</v>
      </c>
      <c r="AE950" s="105">
        <f t="shared" si="379"/>
        <v>1</v>
      </c>
      <c r="AF950" s="95">
        <f t="shared" si="388"/>
        <v>9.4546685999999987E-3</v>
      </c>
      <c r="AG950" s="95" cm="1">
        <f t="array" ref="AG950">_xlfn.IFS(
AND(L950="marginal_effect",M950="level"),O950*AN950/BF950,
AND(L950="marginal_effect",M950="sd (Y)"),O950*BI950*AN950/BF950,
AND(L950="marginal_effect",M950="sd (X)"),O950/AQ950*AN950/BF950,
AND(L950="semi_elasticity",M950="level"),O950*AN950,
AND(L950="semi_elasticity",M950="sd (Y)"),O950*AN950*BI950,
AND(L950="semi_elasticity",M950="sd (X)"),O950*AN950/AQ950,
AND(L950="level-log",M950="level"),O950/BF950,
AND(L950="level-log",M950="sd (X)"),O950/BF950/AQ950,
AND(L950="level-log",M950="sd (Y)"),O950/BF950*BI950,
AND(L950="elasticity",M950="level"),O950,
AND(L950="elasticity",M950="sd (X)"),O950/AQ950,
AND(L950="elasticity",M950="sd (Y)"),O950*BI950,
AND(L950="marginal_effect",M950="percent_of_mean"),O950*AN950/BF950/10)</f>
        <v>9.4546685999999987E-3</v>
      </c>
      <c r="AH950" s="105">
        <f t="shared" si="389"/>
        <v>1</v>
      </c>
      <c r="AI950" s="95">
        <f t="shared" si="380"/>
        <v>2.7414480000000001E-2</v>
      </c>
      <c r="AJ950" s="78">
        <v>0</v>
      </c>
      <c r="AK950" s="78">
        <f t="shared" si="390"/>
        <v>1</v>
      </c>
      <c r="AL950" s="78" t="s">
        <v>82</v>
      </c>
      <c r="AM950" s="78" t="s">
        <v>1333</v>
      </c>
      <c r="AN950" s="78">
        <v>6.6539999999999999</v>
      </c>
      <c r="AO950" s="78">
        <v>0</v>
      </c>
      <c r="AP950" s="78">
        <f t="shared" si="381"/>
        <v>6.6539999999999999</v>
      </c>
      <c r="AQ950" s="78">
        <v>2.7320000000000002</v>
      </c>
      <c r="AR950" s="78">
        <v>0.69099999999999995</v>
      </c>
      <c r="AS950" s="78">
        <v>21.341999999999999</v>
      </c>
      <c r="AT950" s="78" t="s">
        <v>83</v>
      </c>
      <c r="AU950" s="78" t="s">
        <v>109</v>
      </c>
      <c r="AV950" s="78" t="s">
        <v>133</v>
      </c>
      <c r="AW950" s="78" t="s">
        <v>109</v>
      </c>
      <c r="AX950" s="78" t="s">
        <v>86</v>
      </c>
      <c r="AY950" s="78">
        <v>0</v>
      </c>
      <c r="AZ950" s="78">
        <v>0</v>
      </c>
      <c r="BA950" s="78" t="s">
        <v>87</v>
      </c>
      <c r="BB950" s="78" t="s">
        <v>88</v>
      </c>
      <c r="BC950" s="78" t="s">
        <v>89</v>
      </c>
      <c r="BD950" s="78" t="s">
        <v>90</v>
      </c>
      <c r="BE950" s="78" t="s">
        <v>1669</v>
      </c>
      <c r="BF950" s="78">
        <v>6.8559999999999999</v>
      </c>
      <c r="BG950" s="78">
        <v>0</v>
      </c>
      <c r="BH950" s="78">
        <v>3.2730000000000001</v>
      </c>
      <c r="BI950" s="78">
        <v>1</v>
      </c>
      <c r="BJ950" s="78">
        <v>20</v>
      </c>
      <c r="BK950" s="78" t="s">
        <v>91</v>
      </c>
      <c r="BL950" s="78" t="s">
        <v>84</v>
      </c>
      <c r="BM950" s="78">
        <v>1</v>
      </c>
      <c r="BN950" s="78" t="s">
        <v>484</v>
      </c>
      <c r="BO950" s="78" t="s">
        <v>1670</v>
      </c>
      <c r="BP950" s="78" t="s">
        <v>1671</v>
      </c>
      <c r="BQ950" s="78" t="s">
        <v>92</v>
      </c>
      <c r="BR950" s="78" t="s">
        <v>118</v>
      </c>
      <c r="BS950" s="78">
        <v>29.169</v>
      </c>
      <c r="BT950" s="78">
        <f t="shared" si="382"/>
        <v>0.30900000000000005</v>
      </c>
      <c r="BU950" s="78">
        <v>2010</v>
      </c>
      <c r="BV950" s="78">
        <v>2015</v>
      </c>
      <c r="BW950" s="78" t="s">
        <v>94</v>
      </c>
      <c r="BX950" s="78" t="s">
        <v>95</v>
      </c>
      <c r="BY950" s="78" t="s">
        <v>96</v>
      </c>
      <c r="BZ950" s="78">
        <v>0</v>
      </c>
      <c r="CA950" s="78">
        <v>0</v>
      </c>
      <c r="CB950" s="78" t="s">
        <v>97</v>
      </c>
      <c r="CC950" s="78" t="s">
        <v>1673</v>
      </c>
      <c r="CD950" s="78">
        <v>1</v>
      </c>
      <c r="CE950" s="78" t="s">
        <v>1712</v>
      </c>
      <c r="CF950" s="78">
        <v>1</v>
      </c>
      <c r="CG950" s="78" t="s">
        <v>1125</v>
      </c>
      <c r="CH950" s="78">
        <v>1</v>
      </c>
      <c r="CI950" s="78" t="s">
        <v>1465</v>
      </c>
      <c r="CJ950" s="78" t="s">
        <v>98</v>
      </c>
      <c r="CK950" s="78">
        <v>79</v>
      </c>
      <c r="CL950" s="78">
        <v>0</v>
      </c>
      <c r="CM950" s="78">
        <v>0</v>
      </c>
      <c r="CN950" s="78" t="s">
        <v>124</v>
      </c>
      <c r="CO950" s="78" t="s">
        <v>97</v>
      </c>
      <c r="CP950" s="78" t="s">
        <v>100</v>
      </c>
      <c r="CQ950" s="78" t="s">
        <v>126</v>
      </c>
      <c r="CR950" s="80">
        <v>46251</v>
      </c>
      <c r="CT950" s="78" t="s">
        <v>1757</v>
      </c>
    </row>
    <row r="951" spans="1:98" s="78" customFormat="1" x14ac:dyDescent="0.35">
      <c r="A951" s="77" t="s">
        <v>1666</v>
      </c>
      <c r="B951" s="77" t="s">
        <v>1750</v>
      </c>
      <c r="C951" s="77" t="s">
        <v>1667</v>
      </c>
      <c r="D951" s="78">
        <v>2022</v>
      </c>
      <c r="E951" s="79" t="s">
        <v>1672</v>
      </c>
      <c r="F951" s="77" t="s">
        <v>1668</v>
      </c>
      <c r="G951" s="78" t="s">
        <v>78</v>
      </c>
      <c r="H951" s="78">
        <v>1</v>
      </c>
      <c r="I951" s="78" t="s">
        <v>390</v>
      </c>
      <c r="J951" s="78" t="s">
        <v>79</v>
      </c>
      <c r="K951" s="78">
        <v>33</v>
      </c>
      <c r="L951" s="78" t="s">
        <v>104</v>
      </c>
      <c r="M951" s="78" t="s">
        <v>380</v>
      </c>
      <c r="N951" s="78">
        <v>-2.2200000000000002E-3</v>
      </c>
      <c r="O951" s="78">
        <v>7.5989999999999999E-4</v>
      </c>
      <c r="P951" s="95">
        <f t="shared" si="383"/>
        <v>-2.9214370311883147</v>
      </c>
      <c r="Q951" s="78" t="s">
        <v>312</v>
      </c>
      <c r="R951" s="95">
        <f t="shared" si="384"/>
        <v>-3.7094040000000003E-3</v>
      </c>
      <c r="S951" s="95">
        <f t="shared" si="385"/>
        <v>-7.3059600000000024E-4</v>
      </c>
      <c r="T951" s="78">
        <v>1</v>
      </c>
      <c r="U951" s="78">
        <v>633165</v>
      </c>
      <c r="V951" s="78" t="s">
        <v>312</v>
      </c>
      <c r="W951" s="78" t="s">
        <v>312</v>
      </c>
      <c r="X951" s="78">
        <f t="shared" si="376"/>
        <v>633165</v>
      </c>
      <c r="Y951" s="95">
        <f t="shared" si="386"/>
        <v>-3.6714291597827733E-3</v>
      </c>
      <c r="Z951" s="95">
        <f t="shared" si="387"/>
        <v>1.2567202786121301E-3</v>
      </c>
      <c r="AA951" s="95">
        <f t="shared" si="377"/>
        <v>-3.6714291597827733E-3</v>
      </c>
      <c r="AB951" s="78" t="s">
        <v>81</v>
      </c>
      <c r="AC951" s="95">
        <f t="shared" si="378"/>
        <v>-8.5363439999999999E-2</v>
      </c>
      <c r="AD951" s="95" cm="1">
        <f t="array" ref="AD951">_xlfn.IFS(
AND(L951="marginal_effect",M951="level"),N951*AN951/BF951,
AND(L951="marginal_effect",M951="sd (Y)"),N951*BI951*AN951/BF951,
AND(L951="marginal_effect",M951="sd (X)"),N951/AQ951*AN951/BF951,
AND(L951="semi_elasticity",M951="level"),N951*AN951,
AND(L951="semi_elasticity",M951="sd (Y)"),N951*AN951*BI951,
AND(L951="semi_elasticity",M951="sd (X)"),N951*AN951/AQ951,
AND(L951="level-log",M951="level"),N951/BF951,
AND(L951="level-log",M951="sd (X)"),N951/BF951/AQ951,
AND(L951="level-log",M951="sd (Y)"),N951/BF951*BI951,
AND(L951="elasticity",M951="level"),N951,
AND(L951="elasticity",M951="sd (X)"),N951/AQ951,
AND(L951="elasticity",M951="sd (Y)"),N951*BI951,
AND(L951="marginal_effect",M951="percent_of_mean"),N951*AN951/BF951/10)</f>
        <v>-8.5363439999999999E-2</v>
      </c>
      <c r="AE951" s="105">
        <f t="shared" si="379"/>
        <v>1</v>
      </c>
      <c r="AF951" s="95">
        <f t="shared" si="388"/>
        <v>2.9219674799999998E-2</v>
      </c>
      <c r="AG951" s="95" cm="1">
        <f t="array" ref="AG951">_xlfn.IFS(
AND(L951="marginal_effect",M951="level"),O951*AN951/BF951,
AND(L951="marginal_effect",M951="sd (Y)"),O951*BI951*AN951/BF951,
AND(L951="marginal_effect",M951="sd (X)"),O951/AQ951*AN951/BF951,
AND(L951="semi_elasticity",M951="level"),O951*AN951,
AND(L951="semi_elasticity",M951="sd (Y)"),O951*AN951*BI951,
AND(L951="semi_elasticity",M951="sd (X)"),O951*AN951/AQ951,
AND(L951="level-log",M951="level"),O951/BF951,
AND(L951="level-log",M951="sd (X)"),O951/BF951/AQ951,
AND(L951="level-log",M951="sd (Y)"),O951/BF951*BI951,
AND(L951="elasticity",M951="level"),O951,
AND(L951="elasticity",M951="sd (X)"),O951/AQ951,
AND(L951="elasticity",M951="sd (Y)"),O951*BI951,
AND(L951="marginal_effect",M951="percent_of_mean"),O951*AN951/BF951/10)</f>
        <v>2.9219674799999998E-2</v>
      </c>
      <c r="AH951" s="105">
        <f t="shared" si="389"/>
        <v>1</v>
      </c>
      <c r="AI951" s="95">
        <f t="shared" si="380"/>
        <v>-8.5363439999999999E-2</v>
      </c>
      <c r="AJ951" s="78">
        <v>0</v>
      </c>
      <c r="AK951" s="78">
        <f t="shared" si="390"/>
        <v>1</v>
      </c>
      <c r="AL951" s="76" t="s">
        <v>1674</v>
      </c>
      <c r="AM951" s="78" t="s">
        <v>410</v>
      </c>
      <c r="AN951" s="78">
        <v>38.451999999999998</v>
      </c>
      <c r="AO951" s="78">
        <v>0</v>
      </c>
      <c r="AP951" s="78">
        <f t="shared" si="381"/>
        <v>38.451999999999998</v>
      </c>
      <c r="AQ951" s="78">
        <v>9.109</v>
      </c>
      <c r="AR951" s="78">
        <v>14</v>
      </c>
      <c r="AS951" s="78">
        <v>83</v>
      </c>
      <c r="AT951" s="78" t="s">
        <v>83</v>
      </c>
      <c r="AU951" s="78" t="s">
        <v>109</v>
      </c>
      <c r="AV951" s="78" t="s">
        <v>133</v>
      </c>
      <c r="AW951" s="78" t="s">
        <v>109</v>
      </c>
      <c r="AX951" s="78" t="s">
        <v>86</v>
      </c>
      <c r="AY951" s="78">
        <v>0</v>
      </c>
      <c r="AZ951" s="78">
        <v>0</v>
      </c>
      <c r="BA951" s="78" t="s">
        <v>87</v>
      </c>
      <c r="BB951" s="78" t="s">
        <v>88</v>
      </c>
      <c r="BC951" s="78" t="s">
        <v>89</v>
      </c>
      <c r="BD951" s="78" t="s">
        <v>90</v>
      </c>
      <c r="BE951" s="78" t="s">
        <v>1669</v>
      </c>
      <c r="BF951" s="78">
        <v>6.8559999999999999</v>
      </c>
      <c r="BG951" s="78">
        <v>0</v>
      </c>
      <c r="BH951" s="78">
        <v>3.2730000000000001</v>
      </c>
      <c r="BI951" s="78">
        <v>1</v>
      </c>
      <c r="BJ951" s="78">
        <v>20</v>
      </c>
      <c r="BK951" s="78" t="s">
        <v>91</v>
      </c>
      <c r="BL951" s="78" t="s">
        <v>84</v>
      </c>
      <c r="BM951" s="78">
        <v>1</v>
      </c>
      <c r="BN951" s="78" t="s">
        <v>484</v>
      </c>
      <c r="BO951" s="78" t="s">
        <v>1670</v>
      </c>
      <c r="BP951" s="78" t="s">
        <v>1671</v>
      </c>
      <c r="BQ951" s="78" t="s">
        <v>92</v>
      </c>
      <c r="BR951" s="78" t="s">
        <v>118</v>
      </c>
      <c r="BS951" s="78">
        <v>29.169</v>
      </c>
      <c r="BT951" s="78">
        <f t="shared" si="382"/>
        <v>0.30900000000000005</v>
      </c>
      <c r="BU951" s="78">
        <v>2010</v>
      </c>
      <c r="BV951" s="78">
        <v>2015</v>
      </c>
      <c r="BW951" s="78" t="s">
        <v>94</v>
      </c>
      <c r="BX951" s="78" t="s">
        <v>95</v>
      </c>
      <c r="BY951" s="78" t="s">
        <v>96</v>
      </c>
      <c r="BZ951" s="78">
        <v>0</v>
      </c>
      <c r="CA951" s="78">
        <v>0</v>
      </c>
      <c r="CB951" s="78" t="s">
        <v>97</v>
      </c>
      <c r="CC951" s="78" t="s">
        <v>1673</v>
      </c>
      <c r="CD951" s="78">
        <v>1</v>
      </c>
      <c r="CE951" s="78" t="s">
        <v>1712</v>
      </c>
      <c r="CF951" s="78">
        <v>1</v>
      </c>
      <c r="CG951" s="78" t="s">
        <v>1688</v>
      </c>
      <c r="CH951" s="78">
        <v>1</v>
      </c>
      <c r="CI951" s="78" t="s">
        <v>1465</v>
      </c>
      <c r="CJ951" s="78" t="s">
        <v>98</v>
      </c>
      <c r="CK951" s="78">
        <v>79</v>
      </c>
      <c r="CL951" s="78">
        <v>0</v>
      </c>
      <c r="CM951" s="78">
        <v>0</v>
      </c>
      <c r="CN951" s="78" t="s">
        <v>124</v>
      </c>
      <c r="CO951" s="78" t="s">
        <v>97</v>
      </c>
      <c r="CP951" s="78" t="s">
        <v>100</v>
      </c>
      <c r="CQ951" s="78" t="s">
        <v>126</v>
      </c>
      <c r="CR951" s="80">
        <v>46251</v>
      </c>
      <c r="CT951" s="78" t="s">
        <v>1757</v>
      </c>
    </row>
    <row r="952" spans="1:98" s="78" customFormat="1" x14ac:dyDescent="0.35">
      <c r="A952" s="77" t="s">
        <v>1666</v>
      </c>
      <c r="B952" s="77" t="s">
        <v>1751</v>
      </c>
      <c r="C952" s="77" t="s">
        <v>1667</v>
      </c>
      <c r="D952" s="78">
        <v>2022</v>
      </c>
      <c r="E952" s="79" t="s">
        <v>1672</v>
      </c>
      <c r="F952" s="77" t="s">
        <v>1668</v>
      </c>
      <c r="G952" s="78" t="s">
        <v>78</v>
      </c>
      <c r="H952" s="78">
        <v>1</v>
      </c>
      <c r="I952" s="78" t="s">
        <v>390</v>
      </c>
      <c r="J952" s="78" t="s">
        <v>79</v>
      </c>
      <c r="K952" s="78">
        <v>33</v>
      </c>
      <c r="L952" s="78" t="s">
        <v>104</v>
      </c>
      <c r="M952" s="78" t="s">
        <v>380</v>
      </c>
      <c r="N952" s="78">
        <v>-8.9999999999999998E-4</v>
      </c>
      <c r="O952" s="78">
        <v>1.1244E-3</v>
      </c>
      <c r="P952" s="95">
        <f t="shared" si="383"/>
        <v>-0.80042689434364989</v>
      </c>
      <c r="Q952" s="78" t="s">
        <v>312</v>
      </c>
      <c r="R952" s="95">
        <f t="shared" si="384"/>
        <v>-3.1038239999999998E-3</v>
      </c>
      <c r="S952" s="95">
        <f t="shared" si="385"/>
        <v>1.3038240000000001E-3</v>
      </c>
      <c r="T952" s="78">
        <v>1</v>
      </c>
      <c r="U952" s="78">
        <v>633165</v>
      </c>
      <c r="V952" s="78" t="s">
        <v>312</v>
      </c>
      <c r="W952" s="78" t="s">
        <v>312</v>
      </c>
      <c r="X952" s="78">
        <f t="shared" si="376"/>
        <v>633165</v>
      </c>
      <c r="Y952" s="95">
        <f t="shared" si="386"/>
        <v>-1.0059189803511242E-3</v>
      </c>
      <c r="Z952" s="95">
        <f t="shared" si="387"/>
        <v>1.2567281127853379E-3</v>
      </c>
      <c r="AA952" s="95">
        <f t="shared" si="377"/>
        <v>-1.0059189803511242E-3</v>
      </c>
      <c r="AB952" s="78" t="s">
        <v>81</v>
      </c>
      <c r="AC952" s="95">
        <f t="shared" si="378"/>
        <v>-5.4998999999999994E-3</v>
      </c>
      <c r="AD952" s="95" cm="1">
        <f t="array" ref="AD952">_xlfn.IFS(
AND(L952="marginal_effect",M952="level"),N952*AN952/BF952,
AND(L952="marginal_effect",M952="sd (Y)"),N952*BI952*AN952/BF952,
AND(L952="marginal_effect",M952="sd (X)"),N952/AQ952*AN952/BF952,
AND(L952="semi_elasticity",M952="level"),N952*AN952,
AND(L952="semi_elasticity",M952="sd (Y)"),N952*AN952*BI952,
AND(L952="semi_elasticity",M952="sd (X)"),N952*AN952/AQ952,
AND(L952="level-log",M952="level"),N952/BF952,
AND(L952="level-log",M952="sd (X)"),N952/BF952/AQ952,
AND(L952="level-log",M952="sd (Y)"),N952/BF952*BI952,
AND(L952="elasticity",M952="level"),N952,
AND(L952="elasticity",M952="sd (X)"),N952/AQ952,
AND(L952="elasticity",M952="sd (Y)"),N952*BI952,
AND(L952="marginal_effect",M952="percent_of_mean"),N952*AN952/BF952/10)</f>
        <v>-5.4998999999999994E-3</v>
      </c>
      <c r="AE952" s="105">
        <f t="shared" si="379"/>
        <v>1</v>
      </c>
      <c r="AF952" s="95">
        <f t="shared" si="388"/>
        <v>6.8712083999999994E-3</v>
      </c>
      <c r="AG952" s="95" cm="1">
        <f t="array" ref="AG952">_xlfn.IFS(
AND(L952="marginal_effect",M952="level"),O952*AN952/BF952,
AND(L952="marginal_effect",M952="sd (Y)"),O952*BI952*AN952/BF952,
AND(L952="marginal_effect",M952="sd (X)"),O952/AQ952*AN952/BF952,
AND(L952="semi_elasticity",M952="level"),O952*AN952,
AND(L952="semi_elasticity",M952="sd (Y)"),O952*AN952*BI952,
AND(L952="semi_elasticity",M952="sd (X)"),O952*AN952/AQ952,
AND(L952="level-log",M952="level"),O952/BF952,
AND(L952="level-log",M952="sd (X)"),O952/BF952/AQ952,
AND(L952="level-log",M952="sd (Y)"),O952/BF952*BI952,
AND(L952="elasticity",M952="level"),O952,
AND(L952="elasticity",M952="sd (X)"),O952/AQ952,
AND(L952="elasticity",M952="sd (Y)"),O952*BI952,
AND(L952="marginal_effect",M952="percent_of_mean"),O952*AN952/BF952/10)</f>
        <v>6.8712083999999994E-3</v>
      </c>
      <c r="AH952" s="105">
        <f t="shared" si="389"/>
        <v>1</v>
      </c>
      <c r="AI952" s="95">
        <f t="shared" si="380"/>
        <v>-5.4998999999999994E-3</v>
      </c>
      <c r="AJ952" s="78">
        <v>0</v>
      </c>
      <c r="AK952" s="78">
        <f t="shared" si="390"/>
        <v>1</v>
      </c>
      <c r="AL952" s="76" t="s">
        <v>1689</v>
      </c>
      <c r="AM952" s="78" t="s">
        <v>410</v>
      </c>
      <c r="AN952" s="78">
        <v>6.1109999999999998</v>
      </c>
      <c r="AO952" s="78">
        <v>0</v>
      </c>
      <c r="AP952" s="78">
        <f t="shared" si="381"/>
        <v>6.1109999999999998</v>
      </c>
      <c r="AQ952" s="78">
        <v>5.0839999999999996</v>
      </c>
      <c r="AR952" s="78">
        <v>0</v>
      </c>
      <c r="AS952" s="78">
        <v>36</v>
      </c>
      <c r="AT952" s="78" t="s">
        <v>83</v>
      </c>
      <c r="AU952" s="78" t="s">
        <v>109</v>
      </c>
      <c r="AV952" s="78" t="s">
        <v>133</v>
      </c>
      <c r="AW952" s="78" t="s">
        <v>109</v>
      </c>
      <c r="AX952" s="78" t="s">
        <v>86</v>
      </c>
      <c r="AY952" s="78">
        <v>0</v>
      </c>
      <c r="AZ952" s="78">
        <v>0</v>
      </c>
      <c r="BA952" s="78" t="s">
        <v>87</v>
      </c>
      <c r="BB952" s="78" t="s">
        <v>88</v>
      </c>
      <c r="BC952" s="78" t="s">
        <v>89</v>
      </c>
      <c r="BD952" s="78" t="s">
        <v>90</v>
      </c>
      <c r="BE952" s="78" t="s">
        <v>1669</v>
      </c>
      <c r="BF952" s="78">
        <v>6.8559999999999999</v>
      </c>
      <c r="BG952" s="78">
        <v>0</v>
      </c>
      <c r="BH952" s="78">
        <v>3.2730000000000001</v>
      </c>
      <c r="BI952" s="78">
        <v>1</v>
      </c>
      <c r="BJ952" s="78">
        <v>20</v>
      </c>
      <c r="BK952" s="78" t="s">
        <v>91</v>
      </c>
      <c r="BL952" s="78" t="s">
        <v>84</v>
      </c>
      <c r="BM952" s="78">
        <v>1</v>
      </c>
      <c r="BN952" s="78" t="s">
        <v>484</v>
      </c>
      <c r="BO952" s="78" t="s">
        <v>1670</v>
      </c>
      <c r="BP952" s="78" t="s">
        <v>1671</v>
      </c>
      <c r="BQ952" s="78" t="s">
        <v>92</v>
      </c>
      <c r="BR952" s="78" t="s">
        <v>118</v>
      </c>
      <c r="BS952" s="78">
        <v>29.169</v>
      </c>
      <c r="BT952" s="78">
        <f t="shared" si="382"/>
        <v>0.30900000000000005</v>
      </c>
      <c r="BU952" s="78">
        <v>2010</v>
      </c>
      <c r="BV952" s="78">
        <v>2015</v>
      </c>
      <c r="BW952" s="78" t="s">
        <v>94</v>
      </c>
      <c r="BX952" s="78" t="s">
        <v>95</v>
      </c>
      <c r="BY952" s="78" t="s">
        <v>96</v>
      </c>
      <c r="BZ952" s="78">
        <v>0</v>
      </c>
      <c r="CA952" s="78">
        <v>0</v>
      </c>
      <c r="CB952" s="78" t="s">
        <v>97</v>
      </c>
      <c r="CC952" s="78" t="s">
        <v>1673</v>
      </c>
      <c r="CD952" s="78">
        <v>1</v>
      </c>
      <c r="CE952" s="78" t="s">
        <v>1712</v>
      </c>
      <c r="CF952" s="78">
        <v>1</v>
      </c>
      <c r="CG952" s="78" t="s">
        <v>598</v>
      </c>
      <c r="CH952" s="78">
        <v>1</v>
      </c>
      <c r="CI952" s="78" t="s">
        <v>1465</v>
      </c>
      <c r="CJ952" s="78" t="s">
        <v>98</v>
      </c>
      <c r="CK952" s="78">
        <v>79</v>
      </c>
      <c r="CL952" s="78">
        <v>0</v>
      </c>
      <c r="CM952" s="78">
        <v>0</v>
      </c>
      <c r="CN952" s="78" t="s">
        <v>124</v>
      </c>
      <c r="CO952" s="78" t="s">
        <v>97</v>
      </c>
      <c r="CP952" s="78" t="s">
        <v>100</v>
      </c>
      <c r="CQ952" s="78" t="s">
        <v>126</v>
      </c>
      <c r="CR952" s="80">
        <v>46251</v>
      </c>
      <c r="CT952" s="78" t="s">
        <v>1757</v>
      </c>
    </row>
    <row r="953" spans="1:98" s="78" customFormat="1" x14ac:dyDescent="0.35">
      <c r="A953" s="77" t="s">
        <v>1666</v>
      </c>
      <c r="B953" s="77" t="s">
        <v>1752</v>
      </c>
      <c r="C953" s="77" t="s">
        <v>1667</v>
      </c>
      <c r="D953" s="78">
        <v>2022</v>
      </c>
      <c r="E953" s="79" t="s">
        <v>1672</v>
      </c>
      <c r="F953" s="77" t="s">
        <v>1668</v>
      </c>
      <c r="G953" s="78" t="s">
        <v>78</v>
      </c>
      <c r="H953" s="78">
        <v>1</v>
      </c>
      <c r="I953" s="78" t="s">
        <v>390</v>
      </c>
      <c r="J953" s="78" t="s">
        <v>79</v>
      </c>
      <c r="K953" s="78">
        <v>33</v>
      </c>
      <c r="L953" s="78" t="s">
        <v>104</v>
      </c>
      <c r="M953" s="78" t="s">
        <v>380</v>
      </c>
      <c r="N953" s="78">
        <v>-1.3600000000000001E-3</v>
      </c>
      <c r="O953" s="78">
        <v>1.4208000000000001E-3</v>
      </c>
      <c r="P953" s="95">
        <f t="shared" si="383"/>
        <v>-0.9572072072072072</v>
      </c>
      <c r="Q953" s="78" t="s">
        <v>312</v>
      </c>
      <c r="R953" s="95">
        <f t="shared" si="384"/>
        <v>-4.1447680000000001E-3</v>
      </c>
      <c r="S953" s="95">
        <f t="shared" si="385"/>
        <v>1.4247679999999999E-3</v>
      </c>
      <c r="T953" s="78">
        <v>1</v>
      </c>
      <c r="U953" s="78">
        <v>633165</v>
      </c>
      <c r="V953" s="78" t="s">
        <v>312</v>
      </c>
      <c r="W953" s="78" t="s">
        <v>312</v>
      </c>
      <c r="X953" s="78">
        <f t="shared" si="376"/>
        <v>633165</v>
      </c>
      <c r="Y953" s="95">
        <f t="shared" si="386"/>
        <v>-1.2029489452880754E-3</v>
      </c>
      <c r="Z953" s="95">
        <f t="shared" si="387"/>
        <v>1.2567278393127187E-3</v>
      </c>
      <c r="AA953" s="95">
        <f t="shared" si="377"/>
        <v>-1.2029489452880754E-3</v>
      </c>
      <c r="AB953" s="78" t="s">
        <v>81</v>
      </c>
      <c r="AC953" s="95">
        <f t="shared" si="378"/>
        <v>-9.0494400000000006E-3</v>
      </c>
      <c r="AD953" s="95" cm="1">
        <f t="array" ref="AD953">_xlfn.IFS(
AND(L953="marginal_effect",M953="level"),N953*AN953/BF953,
AND(L953="marginal_effect",M953="sd (Y)"),N953*BI953*AN953/BF953,
AND(L953="marginal_effect",M953="sd (X)"),N953/AQ953*AN953/BF953,
AND(L953="semi_elasticity",M953="level"),N953*AN953,
AND(L953="semi_elasticity",M953="sd (Y)"),N953*AN953*BI953,
AND(L953="semi_elasticity",M953="sd (X)"),N953*AN953/AQ953,
AND(L953="level-log",M953="level"),N953/BF953,
AND(L953="level-log",M953="sd (X)"),N953/BF953/AQ953,
AND(L953="level-log",M953="sd (Y)"),N953/BF953*BI953,
AND(L953="elasticity",M953="level"),N953,
AND(L953="elasticity",M953="sd (X)"),N953/AQ953,
AND(L953="elasticity",M953="sd (Y)"),N953*BI953,
AND(L953="marginal_effect",M953="percent_of_mean"),N953*AN953/BF953/10)</f>
        <v>-9.0494400000000006E-3</v>
      </c>
      <c r="AE953" s="105">
        <f t="shared" si="379"/>
        <v>1</v>
      </c>
      <c r="AF953" s="95">
        <f t="shared" si="388"/>
        <v>9.4540032E-3</v>
      </c>
      <c r="AG953" s="95" cm="1">
        <f t="array" ref="AG953">_xlfn.IFS(
AND(L953="marginal_effect",M953="level"),O953*AN953/BF953,
AND(L953="marginal_effect",M953="sd (Y)"),O953*BI953*AN953/BF953,
AND(L953="marginal_effect",M953="sd (X)"),O953/AQ953*AN953/BF953,
AND(L953="semi_elasticity",M953="level"),O953*AN953,
AND(L953="semi_elasticity",M953="sd (Y)"),O953*AN953*BI953,
AND(L953="semi_elasticity",M953="sd (X)"),O953*AN953/AQ953,
AND(L953="level-log",M953="level"),O953/BF953,
AND(L953="level-log",M953="sd (X)"),O953/BF953/AQ953,
AND(L953="level-log",M953="sd (Y)"),O953/BF953*BI953,
AND(L953="elasticity",M953="level"),O953,
AND(L953="elasticity",M953="sd (X)"),O953/AQ953,
AND(L953="elasticity",M953="sd (Y)"),O953*BI953,
AND(L953="marginal_effect",M953="percent_of_mean"),O953*AN953/BF953/10)</f>
        <v>9.4540032E-3</v>
      </c>
      <c r="AH953" s="105">
        <f t="shared" si="389"/>
        <v>1</v>
      </c>
      <c r="AI953" s="95">
        <f t="shared" si="380"/>
        <v>-9.0494400000000006E-3</v>
      </c>
      <c r="AJ953" s="78">
        <v>0</v>
      </c>
      <c r="AK953" s="78">
        <f t="shared" si="390"/>
        <v>1</v>
      </c>
      <c r="AL953" s="78" t="s">
        <v>82</v>
      </c>
      <c r="AM953" s="78" t="s">
        <v>1333</v>
      </c>
      <c r="AN953" s="78">
        <v>6.6539999999999999</v>
      </c>
      <c r="AO953" s="78">
        <v>0</v>
      </c>
      <c r="AP953" s="78">
        <f t="shared" si="381"/>
        <v>6.6539999999999999</v>
      </c>
      <c r="AQ953" s="78">
        <v>2.7320000000000002</v>
      </c>
      <c r="AR953" s="78">
        <v>0.69099999999999995</v>
      </c>
      <c r="AS953" s="78">
        <v>21.341999999999999</v>
      </c>
      <c r="AT953" s="78" t="s">
        <v>83</v>
      </c>
      <c r="AU953" s="78" t="s">
        <v>109</v>
      </c>
      <c r="AV953" s="78" t="s">
        <v>133</v>
      </c>
      <c r="AW953" s="78" t="s">
        <v>109</v>
      </c>
      <c r="AX953" s="78" t="s">
        <v>86</v>
      </c>
      <c r="AY953" s="78">
        <v>0</v>
      </c>
      <c r="AZ953" s="78">
        <v>0</v>
      </c>
      <c r="BA953" s="78" t="s">
        <v>87</v>
      </c>
      <c r="BB953" s="78" t="s">
        <v>88</v>
      </c>
      <c r="BC953" s="78" t="s">
        <v>89</v>
      </c>
      <c r="BD953" s="78" t="s">
        <v>90</v>
      </c>
      <c r="BE953" s="78" t="s">
        <v>1669</v>
      </c>
      <c r="BF953" s="78">
        <v>6.8559999999999999</v>
      </c>
      <c r="BG953" s="78">
        <v>0</v>
      </c>
      <c r="BH953" s="78">
        <v>3.2730000000000001</v>
      </c>
      <c r="BI953" s="78">
        <v>1</v>
      </c>
      <c r="BJ953" s="78">
        <v>20</v>
      </c>
      <c r="BK953" s="78" t="s">
        <v>91</v>
      </c>
      <c r="BL953" s="78" t="s">
        <v>84</v>
      </c>
      <c r="BM953" s="78">
        <v>1</v>
      </c>
      <c r="BN953" s="78" t="s">
        <v>484</v>
      </c>
      <c r="BO953" s="78" t="s">
        <v>1670</v>
      </c>
      <c r="BP953" s="78" t="s">
        <v>1671</v>
      </c>
      <c r="BQ953" s="78" t="s">
        <v>92</v>
      </c>
      <c r="BR953" s="78" t="s">
        <v>118</v>
      </c>
      <c r="BS953" s="78">
        <v>29.169</v>
      </c>
      <c r="BT953" s="78">
        <f t="shared" si="382"/>
        <v>0.30900000000000005</v>
      </c>
      <c r="BU953" s="78">
        <v>2010</v>
      </c>
      <c r="BV953" s="78">
        <v>2015</v>
      </c>
      <c r="BW953" s="78" t="s">
        <v>94</v>
      </c>
      <c r="BX953" s="78" t="s">
        <v>95</v>
      </c>
      <c r="BY953" s="78" t="s">
        <v>96</v>
      </c>
      <c r="BZ953" s="78">
        <v>0</v>
      </c>
      <c r="CA953" s="78">
        <v>0</v>
      </c>
      <c r="CB953" s="78" t="s">
        <v>97</v>
      </c>
      <c r="CC953" s="78" t="s">
        <v>1673</v>
      </c>
      <c r="CD953" s="78">
        <v>1</v>
      </c>
      <c r="CE953" s="78" t="s">
        <v>1712</v>
      </c>
      <c r="CF953" s="78">
        <v>1</v>
      </c>
      <c r="CG953" s="78" t="s">
        <v>1125</v>
      </c>
      <c r="CH953" s="78">
        <v>1</v>
      </c>
      <c r="CI953" s="78" t="s">
        <v>1465</v>
      </c>
      <c r="CJ953" s="78" t="s">
        <v>98</v>
      </c>
      <c r="CK953" s="78">
        <v>79</v>
      </c>
      <c r="CL953" s="78">
        <v>0</v>
      </c>
      <c r="CM953" s="78">
        <v>0</v>
      </c>
      <c r="CN953" s="78" t="s">
        <v>124</v>
      </c>
      <c r="CO953" s="78" t="s">
        <v>97</v>
      </c>
      <c r="CP953" s="78" t="s">
        <v>100</v>
      </c>
      <c r="CQ953" s="78" t="s">
        <v>126</v>
      </c>
      <c r="CR953" s="80">
        <v>46251</v>
      </c>
      <c r="CT953" s="78" t="s">
        <v>1758</v>
      </c>
    </row>
    <row r="954" spans="1:98" s="78" customFormat="1" x14ac:dyDescent="0.35">
      <c r="A954" s="77" t="s">
        <v>1666</v>
      </c>
      <c r="B954" s="77" t="s">
        <v>1753</v>
      </c>
      <c r="C954" s="77" t="s">
        <v>1667</v>
      </c>
      <c r="D954" s="78">
        <v>2022</v>
      </c>
      <c r="E954" s="79" t="s">
        <v>1672</v>
      </c>
      <c r="F954" s="77" t="s">
        <v>1668</v>
      </c>
      <c r="G954" s="78" t="s">
        <v>78</v>
      </c>
      <c r="H954" s="78">
        <v>1</v>
      </c>
      <c r="I954" s="78" t="s">
        <v>390</v>
      </c>
      <c r="J954" s="78" t="s">
        <v>79</v>
      </c>
      <c r="K954" s="78">
        <v>33</v>
      </c>
      <c r="L954" s="78" t="s">
        <v>104</v>
      </c>
      <c r="M954" s="78" t="s">
        <v>380</v>
      </c>
      <c r="N954" s="78">
        <v>-2.5799999999999998E-3</v>
      </c>
      <c r="O954" s="78">
        <v>7.3240000000000002E-4</v>
      </c>
      <c r="P954" s="95">
        <f t="shared" si="383"/>
        <v>-3.522665210267613</v>
      </c>
      <c r="Q954" s="78" t="s">
        <v>312</v>
      </c>
      <c r="R954" s="95">
        <f t="shared" si="384"/>
        <v>-4.0155039999999996E-3</v>
      </c>
      <c r="S954" s="95">
        <f t="shared" si="385"/>
        <v>-1.1444959999999998E-3</v>
      </c>
      <c r="T954" s="78">
        <v>1</v>
      </c>
      <c r="U954" s="78">
        <v>633165</v>
      </c>
      <c r="V954" s="78" t="s">
        <v>312</v>
      </c>
      <c r="W954" s="78" t="s">
        <v>312</v>
      </c>
      <c r="X954" s="78">
        <f t="shared" si="376"/>
        <v>633165</v>
      </c>
      <c r="Y954" s="95">
        <f t="shared" si="386"/>
        <v>-4.426991260191188E-3</v>
      </c>
      <c r="Z954" s="95">
        <f t="shared" si="387"/>
        <v>1.2567164337069869E-3</v>
      </c>
      <c r="AA954" s="95">
        <f t="shared" si="377"/>
        <v>-4.426991260191188E-3</v>
      </c>
      <c r="AB954" s="78" t="s">
        <v>81</v>
      </c>
      <c r="AC954" s="95">
        <f t="shared" si="378"/>
        <v>-9.9206159999999988E-2</v>
      </c>
      <c r="AD954" s="95" cm="1">
        <f t="array" ref="AD954">_xlfn.IFS(
AND(L954="marginal_effect",M954="level"),N954*AN954/BF954,
AND(L954="marginal_effect",M954="sd (Y)"),N954*BI954*AN954/BF954,
AND(L954="marginal_effect",M954="sd (X)"),N954/AQ954*AN954/BF954,
AND(L954="semi_elasticity",M954="level"),N954*AN954,
AND(L954="semi_elasticity",M954="sd (Y)"),N954*AN954*BI954,
AND(L954="semi_elasticity",M954="sd (X)"),N954*AN954/AQ954,
AND(L954="level-log",M954="level"),N954/BF954,
AND(L954="level-log",M954="sd (X)"),N954/BF954/AQ954,
AND(L954="level-log",M954="sd (Y)"),N954/BF954*BI954,
AND(L954="elasticity",M954="level"),N954,
AND(L954="elasticity",M954="sd (X)"),N954/AQ954,
AND(L954="elasticity",M954="sd (Y)"),N954*BI954,
AND(L954="marginal_effect",M954="percent_of_mean"),N954*AN954/BF954/10)</f>
        <v>-9.9206159999999988E-2</v>
      </c>
      <c r="AE954" s="105">
        <f t="shared" si="379"/>
        <v>1</v>
      </c>
      <c r="AF954" s="95">
        <f t="shared" si="388"/>
        <v>2.81622448E-2</v>
      </c>
      <c r="AG954" s="95" cm="1">
        <f t="array" ref="AG954">_xlfn.IFS(
AND(L954="marginal_effect",M954="level"),O954*AN954/BF954,
AND(L954="marginal_effect",M954="sd (Y)"),O954*BI954*AN954/BF954,
AND(L954="marginal_effect",M954="sd (X)"),O954/AQ954*AN954/BF954,
AND(L954="semi_elasticity",M954="level"),O954*AN954,
AND(L954="semi_elasticity",M954="sd (Y)"),O954*AN954*BI954,
AND(L954="semi_elasticity",M954="sd (X)"),O954*AN954/AQ954,
AND(L954="level-log",M954="level"),O954/BF954,
AND(L954="level-log",M954="sd (X)"),O954/BF954/AQ954,
AND(L954="level-log",M954="sd (Y)"),O954/BF954*BI954,
AND(L954="elasticity",M954="level"),O954,
AND(L954="elasticity",M954="sd (X)"),O954/AQ954,
AND(L954="elasticity",M954="sd (Y)"),O954*BI954,
AND(L954="marginal_effect",M954="percent_of_mean"),O954*AN954/BF954/10)</f>
        <v>2.81622448E-2</v>
      </c>
      <c r="AH954" s="105">
        <f t="shared" si="389"/>
        <v>1</v>
      </c>
      <c r="AI954" s="95">
        <f t="shared" si="380"/>
        <v>-9.9206159999999988E-2</v>
      </c>
      <c r="AJ954" s="78">
        <v>0</v>
      </c>
      <c r="AK954" s="78">
        <f t="shared" si="390"/>
        <v>1</v>
      </c>
      <c r="AL954" s="76" t="s">
        <v>1674</v>
      </c>
      <c r="AM954" s="78" t="s">
        <v>410</v>
      </c>
      <c r="AN954" s="78">
        <v>38.451999999999998</v>
      </c>
      <c r="AO954" s="78">
        <v>0</v>
      </c>
      <c r="AP954" s="78">
        <f t="shared" si="381"/>
        <v>38.451999999999998</v>
      </c>
      <c r="AQ954" s="78">
        <v>9.109</v>
      </c>
      <c r="AR954" s="78">
        <v>14</v>
      </c>
      <c r="AS954" s="78">
        <v>83</v>
      </c>
      <c r="AT954" s="78" t="s">
        <v>83</v>
      </c>
      <c r="AU954" s="78" t="s">
        <v>109</v>
      </c>
      <c r="AV954" s="78" t="s">
        <v>133</v>
      </c>
      <c r="AW954" s="78" t="s">
        <v>109</v>
      </c>
      <c r="AX954" s="78" t="s">
        <v>86</v>
      </c>
      <c r="AY954" s="78">
        <v>0</v>
      </c>
      <c r="AZ954" s="78">
        <v>0</v>
      </c>
      <c r="BA954" s="78" t="s">
        <v>87</v>
      </c>
      <c r="BB954" s="78" t="s">
        <v>88</v>
      </c>
      <c r="BC954" s="78" t="s">
        <v>89</v>
      </c>
      <c r="BD954" s="78" t="s">
        <v>90</v>
      </c>
      <c r="BE954" s="78" t="s">
        <v>1669</v>
      </c>
      <c r="BF954" s="78">
        <v>6.8559999999999999</v>
      </c>
      <c r="BG954" s="78">
        <v>0</v>
      </c>
      <c r="BH954" s="78">
        <v>3.2730000000000001</v>
      </c>
      <c r="BI954" s="78">
        <v>1</v>
      </c>
      <c r="BJ954" s="78">
        <v>20</v>
      </c>
      <c r="BK954" s="78" t="s">
        <v>91</v>
      </c>
      <c r="BL954" s="78" t="s">
        <v>84</v>
      </c>
      <c r="BM954" s="78">
        <v>1</v>
      </c>
      <c r="BN954" s="78" t="s">
        <v>484</v>
      </c>
      <c r="BO954" s="78" t="s">
        <v>1670</v>
      </c>
      <c r="BP954" s="78" t="s">
        <v>1671</v>
      </c>
      <c r="BQ954" s="78" t="s">
        <v>92</v>
      </c>
      <c r="BR954" s="78" t="s">
        <v>118</v>
      </c>
      <c r="BS954" s="78">
        <v>29.169</v>
      </c>
      <c r="BT954" s="78">
        <f t="shared" si="382"/>
        <v>0.30900000000000005</v>
      </c>
      <c r="BU954" s="78">
        <v>2010</v>
      </c>
      <c r="BV954" s="78">
        <v>2015</v>
      </c>
      <c r="BW954" s="78" t="s">
        <v>94</v>
      </c>
      <c r="BX954" s="78" t="s">
        <v>95</v>
      </c>
      <c r="BY954" s="78" t="s">
        <v>96</v>
      </c>
      <c r="BZ954" s="78">
        <v>0</v>
      </c>
      <c r="CA954" s="78">
        <v>0</v>
      </c>
      <c r="CB954" s="78" t="s">
        <v>97</v>
      </c>
      <c r="CC954" s="78" t="s">
        <v>1673</v>
      </c>
      <c r="CD954" s="78">
        <v>1</v>
      </c>
      <c r="CE954" s="78" t="s">
        <v>1712</v>
      </c>
      <c r="CF954" s="78">
        <v>1</v>
      </c>
      <c r="CG954" s="78" t="s">
        <v>1688</v>
      </c>
      <c r="CH954" s="78">
        <v>1</v>
      </c>
      <c r="CI954" s="78" t="s">
        <v>1465</v>
      </c>
      <c r="CJ954" s="78" t="s">
        <v>98</v>
      </c>
      <c r="CK954" s="78">
        <v>79</v>
      </c>
      <c r="CL954" s="78">
        <v>0</v>
      </c>
      <c r="CM954" s="78">
        <v>0</v>
      </c>
      <c r="CN954" s="78" t="s">
        <v>124</v>
      </c>
      <c r="CO954" s="78" t="s">
        <v>97</v>
      </c>
      <c r="CP954" s="78" t="s">
        <v>100</v>
      </c>
      <c r="CQ954" s="78" t="s">
        <v>126</v>
      </c>
      <c r="CR954" s="80">
        <v>46251</v>
      </c>
      <c r="CT954" s="78" t="s">
        <v>1758</v>
      </c>
    </row>
    <row r="955" spans="1:98" s="78" customFormat="1" x14ac:dyDescent="0.35">
      <c r="A955" s="77" t="s">
        <v>1666</v>
      </c>
      <c r="B955" s="77" t="s">
        <v>1754</v>
      </c>
      <c r="C955" s="77" t="s">
        <v>1667</v>
      </c>
      <c r="D955" s="78">
        <v>2022</v>
      </c>
      <c r="E955" s="79" t="s">
        <v>1672</v>
      </c>
      <c r="F955" s="77" t="s">
        <v>1668</v>
      </c>
      <c r="G955" s="78" t="s">
        <v>78</v>
      </c>
      <c r="H955" s="78">
        <v>1</v>
      </c>
      <c r="I955" s="78" t="s">
        <v>390</v>
      </c>
      <c r="J955" s="78" t="s">
        <v>79</v>
      </c>
      <c r="K955" s="78">
        <v>33</v>
      </c>
      <c r="L955" s="78" t="s">
        <v>104</v>
      </c>
      <c r="M955" s="78" t="s">
        <v>380</v>
      </c>
      <c r="N955" s="78">
        <v>-5.0000000000000002E-5</v>
      </c>
      <c r="O955" s="78">
        <v>1.1229E-3</v>
      </c>
      <c r="P955" s="95">
        <f t="shared" si="383"/>
        <v>-4.4527562561225399E-2</v>
      </c>
      <c r="Q955" s="78" t="s">
        <v>312</v>
      </c>
      <c r="R955" s="95">
        <f t="shared" si="384"/>
        <v>-2.2508840000000003E-3</v>
      </c>
      <c r="S955" s="95">
        <f t="shared" si="385"/>
        <v>2.150884E-3</v>
      </c>
      <c r="T955" s="78">
        <v>1</v>
      </c>
      <c r="U955" s="78">
        <v>633165</v>
      </c>
      <c r="V955" s="78" t="s">
        <v>312</v>
      </c>
      <c r="W955" s="78" t="s">
        <v>312</v>
      </c>
      <c r="X955" s="78">
        <f t="shared" si="376"/>
        <v>633165</v>
      </c>
      <c r="Y955" s="95">
        <f t="shared" si="386"/>
        <v>-5.5959067888626291E-5</v>
      </c>
      <c r="Z955" s="95">
        <f t="shared" si="387"/>
        <v>1.2567287466427692E-3</v>
      </c>
      <c r="AA955" s="95">
        <f t="shared" si="377"/>
        <v>-5.5959067888626291E-5</v>
      </c>
      <c r="AB955" s="78" t="s">
        <v>81</v>
      </c>
      <c r="AC955" s="95">
        <f t="shared" si="378"/>
        <v>-3.0555000000000003E-4</v>
      </c>
      <c r="AD955" s="95" cm="1">
        <f t="array" ref="AD955">_xlfn.IFS(
AND(L955="marginal_effect",M955="level"),N955*AN955/BF955,
AND(L955="marginal_effect",M955="sd (Y)"),N955*BI955*AN955/BF955,
AND(L955="marginal_effect",M955="sd (X)"),N955/AQ955*AN955/BF955,
AND(L955="semi_elasticity",M955="level"),N955*AN955,
AND(L955="semi_elasticity",M955="sd (Y)"),N955*AN955*BI955,
AND(L955="semi_elasticity",M955="sd (X)"),N955*AN955/AQ955,
AND(L955="level-log",M955="level"),N955/BF955,
AND(L955="level-log",M955="sd (X)"),N955/BF955/AQ955,
AND(L955="level-log",M955="sd (Y)"),N955/BF955*BI955,
AND(L955="elasticity",M955="level"),N955,
AND(L955="elasticity",M955="sd (X)"),N955/AQ955,
AND(L955="elasticity",M955="sd (Y)"),N955*BI955,
AND(L955="marginal_effect",M955="percent_of_mean"),N955*AN955/BF955/10)</f>
        <v>-3.0555000000000003E-4</v>
      </c>
      <c r="AE955" s="105">
        <f t="shared" si="379"/>
        <v>1</v>
      </c>
      <c r="AF955" s="95">
        <f t="shared" si="388"/>
        <v>6.8620419E-3</v>
      </c>
      <c r="AG955" s="95" cm="1">
        <f t="array" ref="AG955">_xlfn.IFS(
AND(L955="marginal_effect",M955="level"),O955*AN955/BF955,
AND(L955="marginal_effect",M955="sd (Y)"),O955*BI955*AN955/BF955,
AND(L955="marginal_effect",M955="sd (X)"),O955/AQ955*AN955/BF955,
AND(L955="semi_elasticity",M955="level"),O955*AN955,
AND(L955="semi_elasticity",M955="sd (Y)"),O955*AN955*BI955,
AND(L955="semi_elasticity",M955="sd (X)"),O955*AN955/AQ955,
AND(L955="level-log",M955="level"),O955/BF955,
AND(L955="level-log",M955="sd (X)"),O955/BF955/AQ955,
AND(L955="level-log",M955="sd (Y)"),O955/BF955*BI955,
AND(L955="elasticity",M955="level"),O955,
AND(L955="elasticity",M955="sd (X)"),O955/AQ955,
AND(L955="elasticity",M955="sd (Y)"),O955*BI955,
AND(L955="marginal_effect",M955="percent_of_mean"),O955*AN955/BF955/10)</f>
        <v>6.8620419E-3</v>
      </c>
      <c r="AH955" s="105">
        <f t="shared" si="389"/>
        <v>1</v>
      </c>
      <c r="AI955" s="95">
        <f t="shared" si="380"/>
        <v>-3.0555000000000003E-4</v>
      </c>
      <c r="AJ955" s="78">
        <v>0</v>
      </c>
      <c r="AK955" s="78">
        <f t="shared" si="390"/>
        <v>1</v>
      </c>
      <c r="AL955" s="76" t="s">
        <v>1689</v>
      </c>
      <c r="AM955" s="78" t="s">
        <v>410</v>
      </c>
      <c r="AN955" s="78">
        <v>6.1109999999999998</v>
      </c>
      <c r="AO955" s="78">
        <v>0</v>
      </c>
      <c r="AP955" s="78">
        <f t="shared" si="381"/>
        <v>6.1109999999999998</v>
      </c>
      <c r="AQ955" s="78">
        <v>5.0839999999999996</v>
      </c>
      <c r="AR955" s="78">
        <v>0</v>
      </c>
      <c r="AS955" s="78">
        <v>36</v>
      </c>
      <c r="AT955" s="78" t="s">
        <v>83</v>
      </c>
      <c r="AU955" s="78" t="s">
        <v>109</v>
      </c>
      <c r="AV955" s="78" t="s">
        <v>133</v>
      </c>
      <c r="AW955" s="78" t="s">
        <v>109</v>
      </c>
      <c r="AX955" s="78" t="s">
        <v>86</v>
      </c>
      <c r="AY955" s="78">
        <v>0</v>
      </c>
      <c r="AZ955" s="78">
        <v>0</v>
      </c>
      <c r="BA955" s="78" t="s">
        <v>87</v>
      </c>
      <c r="BB955" s="78" t="s">
        <v>88</v>
      </c>
      <c r="BC955" s="78" t="s">
        <v>89</v>
      </c>
      <c r="BD955" s="78" t="s">
        <v>90</v>
      </c>
      <c r="BE955" s="78" t="s">
        <v>1669</v>
      </c>
      <c r="BF955" s="78">
        <v>6.8559999999999999</v>
      </c>
      <c r="BG955" s="78">
        <v>0</v>
      </c>
      <c r="BH955" s="78">
        <v>3.2730000000000001</v>
      </c>
      <c r="BI955" s="78">
        <v>1</v>
      </c>
      <c r="BJ955" s="78">
        <v>20</v>
      </c>
      <c r="BK955" s="78" t="s">
        <v>91</v>
      </c>
      <c r="BL955" s="78" t="s">
        <v>84</v>
      </c>
      <c r="BM955" s="78">
        <v>1</v>
      </c>
      <c r="BN955" s="78" t="s">
        <v>484</v>
      </c>
      <c r="BO955" s="78" t="s">
        <v>1670</v>
      </c>
      <c r="BP955" s="78" t="s">
        <v>1671</v>
      </c>
      <c r="BQ955" s="78" t="s">
        <v>92</v>
      </c>
      <c r="BR955" s="78" t="s">
        <v>118</v>
      </c>
      <c r="BS955" s="78">
        <v>29.169</v>
      </c>
      <c r="BT955" s="78">
        <f t="shared" si="382"/>
        <v>0.30900000000000005</v>
      </c>
      <c r="BU955" s="78">
        <v>2010</v>
      </c>
      <c r="BV955" s="78">
        <v>2015</v>
      </c>
      <c r="BW955" s="78" t="s">
        <v>94</v>
      </c>
      <c r="BX955" s="78" t="s">
        <v>95</v>
      </c>
      <c r="BY955" s="78" t="s">
        <v>96</v>
      </c>
      <c r="BZ955" s="78">
        <v>0</v>
      </c>
      <c r="CA955" s="78">
        <v>0</v>
      </c>
      <c r="CB955" s="78" t="s">
        <v>97</v>
      </c>
      <c r="CC955" s="78" t="s">
        <v>1673</v>
      </c>
      <c r="CD955" s="78">
        <v>1</v>
      </c>
      <c r="CE955" s="78" t="s">
        <v>1712</v>
      </c>
      <c r="CF955" s="78">
        <v>1</v>
      </c>
      <c r="CG955" s="78" t="s">
        <v>598</v>
      </c>
      <c r="CH955" s="78">
        <v>1</v>
      </c>
      <c r="CI955" s="78" t="s">
        <v>1465</v>
      </c>
      <c r="CJ955" s="78" t="s">
        <v>98</v>
      </c>
      <c r="CK955" s="78">
        <v>79</v>
      </c>
      <c r="CL955" s="78">
        <v>0</v>
      </c>
      <c r="CM955" s="78">
        <v>0</v>
      </c>
      <c r="CN955" s="78" t="s">
        <v>124</v>
      </c>
      <c r="CO955" s="78" t="s">
        <v>97</v>
      </c>
      <c r="CP955" s="78" t="s">
        <v>100</v>
      </c>
      <c r="CQ955" s="78" t="s">
        <v>126</v>
      </c>
      <c r="CR955" s="80">
        <v>46251</v>
      </c>
      <c r="CT955" s="78" t="s">
        <v>1758</v>
      </c>
    </row>
    <row r="956" spans="1:98" s="78" customFormat="1" x14ac:dyDescent="0.35">
      <c r="A956" s="77" t="s">
        <v>1666</v>
      </c>
      <c r="B956" s="77" t="s">
        <v>1759</v>
      </c>
      <c r="C956" s="77" t="s">
        <v>1667</v>
      </c>
      <c r="D956" s="78">
        <v>2022</v>
      </c>
      <c r="E956" s="79" t="s">
        <v>1672</v>
      </c>
      <c r="F956" s="77" t="s">
        <v>1668</v>
      </c>
      <c r="G956" s="78" t="s">
        <v>78</v>
      </c>
      <c r="H956" s="78">
        <v>1</v>
      </c>
      <c r="I956" s="78" t="s">
        <v>390</v>
      </c>
      <c r="J956" s="78" t="s">
        <v>79</v>
      </c>
      <c r="K956" s="78">
        <v>33</v>
      </c>
      <c r="L956" s="78" t="s">
        <v>104</v>
      </c>
      <c r="M956" s="78" t="s">
        <v>380</v>
      </c>
      <c r="N956" s="78">
        <v>-6.8300000000000001E-3</v>
      </c>
      <c r="O956" s="78">
        <v>1.9708E-3</v>
      </c>
      <c r="P956" s="95">
        <f t="shared" si="383"/>
        <v>-3.4655977268114473</v>
      </c>
      <c r="Q956" s="78" t="s">
        <v>312</v>
      </c>
      <c r="R956" s="95">
        <f t="shared" si="384"/>
        <v>-1.0692768E-2</v>
      </c>
      <c r="S956" s="95">
        <f t="shared" si="385"/>
        <v>-2.9672320000000002E-3</v>
      </c>
      <c r="T956" s="78">
        <v>1</v>
      </c>
      <c r="U956" s="78">
        <v>633165</v>
      </c>
      <c r="V956" s="78" t="s">
        <v>312</v>
      </c>
      <c r="W956" s="78" t="s">
        <v>312</v>
      </c>
      <c r="X956" s="78">
        <f t="shared" si="376"/>
        <v>633165</v>
      </c>
      <c r="Y956" s="95">
        <f t="shared" si="386"/>
        <v>-4.3552749874722291E-3</v>
      </c>
      <c r="Z956" s="95">
        <f t="shared" si="387"/>
        <v>1.2567168294744173E-3</v>
      </c>
      <c r="AA956" s="95">
        <f t="shared" si="377"/>
        <v>-4.3552749874722291E-3</v>
      </c>
      <c r="AB956" s="78" t="s">
        <v>81</v>
      </c>
      <c r="AC956" s="95">
        <f t="shared" si="378"/>
        <v>-4.5446819999999999E-2</v>
      </c>
      <c r="AD956" s="95" cm="1">
        <f t="array" ref="AD956">_xlfn.IFS(
AND(L956="marginal_effect",M956="level"),N956*AN956/BF956,
AND(L956="marginal_effect",M956="sd (Y)"),N956*BI956*AN956/BF956,
AND(L956="marginal_effect",M956="sd (X)"),N956/AQ956*AN956/BF956,
AND(L956="semi_elasticity",M956="level"),N956*AN956,
AND(L956="semi_elasticity",M956="sd (Y)"),N956*AN956*BI956,
AND(L956="semi_elasticity",M956="sd (X)"),N956*AN956/AQ956,
AND(L956="level-log",M956="level"),N956/BF956,
AND(L956="level-log",M956="sd (X)"),N956/BF956/AQ956,
AND(L956="level-log",M956="sd (Y)"),N956/BF956*BI956,
AND(L956="elasticity",M956="level"),N956,
AND(L956="elasticity",M956="sd (X)"),N956/AQ956,
AND(L956="elasticity",M956="sd (Y)"),N956*BI956,
AND(L956="marginal_effect",M956="percent_of_mean"),N956*AN956/BF956/10)</f>
        <v>-4.5446819999999999E-2</v>
      </c>
      <c r="AE956" s="105">
        <f t="shared" si="379"/>
        <v>1</v>
      </c>
      <c r="AF956" s="95">
        <f t="shared" si="388"/>
        <v>1.31137032E-2</v>
      </c>
      <c r="AG956" s="95" cm="1">
        <f t="array" ref="AG956">_xlfn.IFS(
AND(L956="marginal_effect",M956="level"),O956*AN956/BF956,
AND(L956="marginal_effect",M956="sd (Y)"),O956*BI956*AN956/BF956,
AND(L956="marginal_effect",M956="sd (X)"),O956/AQ956*AN956/BF956,
AND(L956="semi_elasticity",M956="level"),O956*AN956,
AND(L956="semi_elasticity",M956="sd (Y)"),O956*AN956*BI956,
AND(L956="semi_elasticity",M956="sd (X)"),O956*AN956/AQ956,
AND(L956="level-log",M956="level"),O956/BF956,
AND(L956="level-log",M956="sd (X)"),O956/BF956/AQ956,
AND(L956="level-log",M956="sd (Y)"),O956/BF956*BI956,
AND(L956="elasticity",M956="level"),O956,
AND(L956="elasticity",M956="sd (X)"),O956/AQ956,
AND(L956="elasticity",M956="sd (Y)"),O956*BI956,
AND(L956="marginal_effect",M956="percent_of_mean"),O956*AN956/BF956/10)</f>
        <v>1.31137032E-2</v>
      </c>
      <c r="AH956" s="105">
        <f t="shared" si="389"/>
        <v>1</v>
      </c>
      <c r="AI956" s="95">
        <f t="shared" si="380"/>
        <v>-4.5446819999999999E-2</v>
      </c>
      <c r="AJ956" s="78">
        <v>0</v>
      </c>
      <c r="AK956" s="78">
        <f t="shared" si="390"/>
        <v>1</v>
      </c>
      <c r="AL956" s="78" t="s">
        <v>82</v>
      </c>
      <c r="AM956" s="78" t="s">
        <v>1333</v>
      </c>
      <c r="AN956" s="78">
        <v>6.6539999999999999</v>
      </c>
      <c r="AO956" s="78">
        <v>0</v>
      </c>
      <c r="AP956" s="78">
        <f t="shared" si="381"/>
        <v>6.6539999999999999</v>
      </c>
      <c r="AQ956" s="78">
        <v>2.7320000000000002</v>
      </c>
      <c r="AR956" s="78">
        <v>0.69099999999999995</v>
      </c>
      <c r="AS956" s="78">
        <v>21.341999999999999</v>
      </c>
      <c r="AT956" s="78" t="s">
        <v>83</v>
      </c>
      <c r="AU956" s="78" t="s">
        <v>109</v>
      </c>
      <c r="AV956" s="78" t="s">
        <v>133</v>
      </c>
      <c r="AW956" s="78" t="s">
        <v>109</v>
      </c>
      <c r="AX956" s="78" t="s">
        <v>86</v>
      </c>
      <c r="AY956" s="78">
        <v>0</v>
      </c>
      <c r="AZ956" s="78">
        <v>0</v>
      </c>
      <c r="BA956" s="78" t="s">
        <v>87</v>
      </c>
      <c r="BB956" s="78" t="s">
        <v>88</v>
      </c>
      <c r="BC956" s="78" t="s">
        <v>89</v>
      </c>
      <c r="BD956" s="78" t="s">
        <v>90</v>
      </c>
      <c r="BE956" s="78" t="s">
        <v>1669</v>
      </c>
      <c r="BF956" s="78">
        <v>6.8559999999999999</v>
      </c>
      <c r="BG956" s="78">
        <v>0</v>
      </c>
      <c r="BH956" s="78">
        <v>3.2730000000000001</v>
      </c>
      <c r="BI956" s="78">
        <v>1</v>
      </c>
      <c r="BJ956" s="78">
        <v>20</v>
      </c>
      <c r="BK956" s="78" t="s">
        <v>91</v>
      </c>
      <c r="BL956" s="78" t="s">
        <v>84</v>
      </c>
      <c r="BM956" s="78">
        <v>1</v>
      </c>
      <c r="BN956" s="78" t="s">
        <v>484</v>
      </c>
      <c r="BO956" s="78" t="s">
        <v>1670</v>
      </c>
      <c r="BP956" s="78" t="s">
        <v>1671</v>
      </c>
      <c r="BQ956" s="78" t="s">
        <v>92</v>
      </c>
      <c r="BR956" s="78" t="s">
        <v>118</v>
      </c>
      <c r="BS956" s="78">
        <v>29.169</v>
      </c>
      <c r="BT956" s="78">
        <f t="shared" si="382"/>
        <v>0.30900000000000005</v>
      </c>
      <c r="BU956" s="78">
        <v>2010</v>
      </c>
      <c r="BV956" s="78">
        <v>2015</v>
      </c>
      <c r="BW956" s="78" t="s">
        <v>94</v>
      </c>
      <c r="BX956" s="78" t="s">
        <v>95</v>
      </c>
      <c r="BY956" s="78" t="s">
        <v>96</v>
      </c>
      <c r="BZ956" s="78">
        <v>0</v>
      </c>
      <c r="CA956" s="78">
        <v>0</v>
      </c>
      <c r="CB956" s="78" t="s">
        <v>97</v>
      </c>
      <c r="CC956" s="78" t="s">
        <v>1673</v>
      </c>
      <c r="CD956" s="78">
        <v>1</v>
      </c>
      <c r="CE956" s="78" t="s">
        <v>1712</v>
      </c>
      <c r="CF956" s="78">
        <v>0</v>
      </c>
      <c r="CG956" s="78" t="s">
        <v>97</v>
      </c>
      <c r="CH956" s="78">
        <v>1</v>
      </c>
      <c r="CI956" s="78" t="s">
        <v>1465</v>
      </c>
      <c r="CJ956" s="78" t="s">
        <v>98</v>
      </c>
      <c r="CK956" s="78">
        <v>79</v>
      </c>
      <c r="CL956" s="78">
        <v>0</v>
      </c>
      <c r="CM956" s="78">
        <v>0</v>
      </c>
      <c r="CN956" s="78" t="s">
        <v>124</v>
      </c>
      <c r="CO956" s="78" t="s">
        <v>108</v>
      </c>
      <c r="CP956" s="78" t="s">
        <v>100</v>
      </c>
      <c r="CQ956" s="78" t="s">
        <v>126</v>
      </c>
      <c r="CR956" s="80">
        <v>46251</v>
      </c>
      <c r="CT956" s="78" t="s">
        <v>1761</v>
      </c>
    </row>
    <row r="957" spans="1:98" s="78" customFormat="1" x14ac:dyDescent="0.35">
      <c r="A957" s="77" t="s">
        <v>1666</v>
      </c>
      <c r="B957" s="77" t="s">
        <v>1760</v>
      </c>
      <c r="C957" s="77" t="s">
        <v>1667</v>
      </c>
      <c r="D957" s="78">
        <v>2022</v>
      </c>
      <c r="E957" s="79" t="s">
        <v>1672</v>
      </c>
      <c r="F957" s="77" t="s">
        <v>1668</v>
      </c>
      <c r="G957" s="78" t="s">
        <v>78</v>
      </c>
      <c r="H957" s="78">
        <v>1</v>
      </c>
      <c r="I957" s="78" t="s">
        <v>390</v>
      </c>
      <c r="J957" s="78" t="s">
        <v>79</v>
      </c>
      <c r="K957" s="78">
        <v>33</v>
      </c>
      <c r="L957" s="78" t="s">
        <v>104</v>
      </c>
      <c r="M957" s="78" t="s">
        <v>380</v>
      </c>
      <c r="N957" s="78">
        <f>-0.00683+0.00686</f>
        <v>2.9999999999999645E-5</v>
      </c>
      <c r="O957" s="78" t="s">
        <v>312</v>
      </c>
      <c r="P957" s="95" t="s">
        <v>312</v>
      </c>
      <c r="Q957" s="78" t="s">
        <v>312</v>
      </c>
      <c r="R957" s="95" t="s">
        <v>312</v>
      </c>
      <c r="S957" s="95" t="s">
        <v>312</v>
      </c>
      <c r="T957" s="78">
        <v>1</v>
      </c>
      <c r="U957" s="78">
        <v>633165</v>
      </c>
      <c r="V957" s="78" t="s">
        <v>312</v>
      </c>
      <c r="W957" s="78" t="s">
        <v>312</v>
      </c>
      <c r="X957" s="78">
        <f t="shared" si="376"/>
        <v>633165</v>
      </c>
      <c r="Y957" s="95" t="s">
        <v>312</v>
      </c>
      <c r="Z957" s="95" t="s">
        <v>312</v>
      </c>
      <c r="AA957" s="95" t="str">
        <f t="shared" si="377"/>
        <v>NA</v>
      </c>
      <c r="AB957" s="78" t="s">
        <v>81</v>
      </c>
      <c r="AC957" s="95">
        <f t="shared" si="378"/>
        <v>1.9961999999999763E-4</v>
      </c>
      <c r="AD957" s="95" cm="1">
        <f t="array" ref="AD957">_xlfn.IFS(
AND(L957="marginal_effect",M957="level"),N957*AN957/BF957,
AND(L957="marginal_effect",M957="sd (Y)"),N957*BI957*AN957/BF957,
AND(L957="marginal_effect",M957="sd (X)"),N957/AQ957*AN957/BF957,
AND(L957="semi_elasticity",M957="level"),N957*AN957,
AND(L957="semi_elasticity",M957="sd (Y)"),N957*AN957*BI957,
AND(L957="semi_elasticity",M957="sd (X)"),N957*AN957/AQ957,
AND(L957="level-log",M957="level"),N957/BF957,
AND(L957="level-log",M957="sd (X)"),N957/BF957/AQ957,
AND(L957="level-log",M957="sd (Y)"),N957/BF957*BI957,
AND(L957="elasticity",M957="level"),N957,
AND(L957="elasticity",M957="sd (X)"),N957/AQ957,
AND(L957="elasticity",M957="sd (Y)"),N957*BI957,
AND(L957="marginal_effect",M957="percent_of_mean"),N957*AN957/BF957/10)</f>
        <v>1.9961999999999763E-4</v>
      </c>
      <c r="AE957" s="105">
        <f t="shared" si="379"/>
        <v>1</v>
      </c>
      <c r="AF957" s="95" t="s">
        <v>312</v>
      </c>
      <c r="AG957" s="95" t="s">
        <v>312</v>
      </c>
      <c r="AH957" s="105">
        <f t="shared" si="389"/>
        <v>1</v>
      </c>
      <c r="AI957" s="95">
        <f t="shared" si="380"/>
        <v>1.9961999999999763E-4</v>
      </c>
      <c r="AJ957" s="78">
        <v>0</v>
      </c>
      <c r="AK957" s="78" t="s">
        <v>312</v>
      </c>
      <c r="AL957" s="78" t="s">
        <v>82</v>
      </c>
      <c r="AM957" s="78" t="s">
        <v>1333</v>
      </c>
      <c r="AN957" s="78">
        <v>6.6539999999999999</v>
      </c>
      <c r="AO957" s="78">
        <v>0</v>
      </c>
      <c r="AP957" s="78">
        <f t="shared" si="381"/>
        <v>6.6539999999999999</v>
      </c>
      <c r="AQ957" s="78">
        <v>2.7320000000000002</v>
      </c>
      <c r="AR957" s="78">
        <v>0.69099999999999995</v>
      </c>
      <c r="AS957" s="78">
        <v>21.341999999999999</v>
      </c>
      <c r="AT957" s="78" t="s">
        <v>83</v>
      </c>
      <c r="AU957" s="78" t="s">
        <v>109</v>
      </c>
      <c r="AV957" s="78" t="s">
        <v>133</v>
      </c>
      <c r="AW957" s="78" t="s">
        <v>109</v>
      </c>
      <c r="AX957" s="78" t="s">
        <v>86</v>
      </c>
      <c r="AY957" s="78">
        <v>0</v>
      </c>
      <c r="AZ957" s="78">
        <v>0</v>
      </c>
      <c r="BA957" s="78" t="s">
        <v>87</v>
      </c>
      <c r="BB957" s="78" t="s">
        <v>88</v>
      </c>
      <c r="BC957" s="78" t="s">
        <v>89</v>
      </c>
      <c r="BD957" s="78" t="s">
        <v>90</v>
      </c>
      <c r="BE957" s="78" t="s">
        <v>1669</v>
      </c>
      <c r="BF957" s="78">
        <v>6.8559999999999999</v>
      </c>
      <c r="BG957" s="78">
        <v>0</v>
      </c>
      <c r="BH957" s="78">
        <v>3.2730000000000001</v>
      </c>
      <c r="BI957" s="78">
        <v>1</v>
      </c>
      <c r="BJ957" s="78">
        <v>20</v>
      </c>
      <c r="BK957" s="78" t="s">
        <v>91</v>
      </c>
      <c r="BL957" s="78" t="s">
        <v>84</v>
      </c>
      <c r="BM957" s="78">
        <v>1</v>
      </c>
      <c r="BN957" s="78" t="s">
        <v>484</v>
      </c>
      <c r="BO957" s="78" t="s">
        <v>1670</v>
      </c>
      <c r="BP957" s="78" t="s">
        <v>1671</v>
      </c>
      <c r="BQ957" s="78" t="s">
        <v>92</v>
      </c>
      <c r="BR957" s="78" t="s">
        <v>118</v>
      </c>
      <c r="BS957" s="78">
        <v>29.169</v>
      </c>
      <c r="BT957" s="78">
        <f t="shared" si="382"/>
        <v>0.30900000000000005</v>
      </c>
      <c r="BU957" s="78">
        <v>2010</v>
      </c>
      <c r="BV957" s="78">
        <v>2015</v>
      </c>
      <c r="BW957" s="78" t="s">
        <v>94</v>
      </c>
      <c r="BX957" s="78" t="s">
        <v>95</v>
      </c>
      <c r="BY957" s="78" t="s">
        <v>96</v>
      </c>
      <c r="BZ957" s="78">
        <v>0</v>
      </c>
      <c r="CA957" s="78">
        <v>0</v>
      </c>
      <c r="CB957" s="78" t="s">
        <v>97</v>
      </c>
      <c r="CC957" s="78" t="s">
        <v>1673</v>
      </c>
      <c r="CD957" s="78">
        <v>1</v>
      </c>
      <c r="CE957" s="78" t="s">
        <v>1712</v>
      </c>
      <c r="CF957" s="78">
        <v>0</v>
      </c>
      <c r="CG957" s="78" t="s">
        <v>97</v>
      </c>
      <c r="CH957" s="78">
        <v>1</v>
      </c>
      <c r="CI957" s="78" t="s">
        <v>1465</v>
      </c>
      <c r="CJ957" s="78" t="s">
        <v>98</v>
      </c>
      <c r="CK957" s="78">
        <v>79</v>
      </c>
      <c r="CL957" s="78">
        <v>0</v>
      </c>
      <c r="CM957" s="78">
        <v>0</v>
      </c>
      <c r="CN957" s="78" t="s">
        <v>124</v>
      </c>
      <c r="CO957" s="78" t="s">
        <v>108</v>
      </c>
      <c r="CP957" s="78" t="s">
        <v>100</v>
      </c>
      <c r="CQ957" s="78" t="s">
        <v>126</v>
      </c>
      <c r="CR957" s="80">
        <v>46251</v>
      </c>
      <c r="CT957" s="78" t="s">
        <v>1761</v>
      </c>
    </row>
    <row r="958" spans="1:98" s="78" customFormat="1" x14ac:dyDescent="0.35">
      <c r="A958" s="77" t="s">
        <v>1666</v>
      </c>
      <c r="B958" s="77" t="s">
        <v>1762</v>
      </c>
      <c r="C958" s="77" t="s">
        <v>1667</v>
      </c>
      <c r="D958" s="78">
        <v>2022</v>
      </c>
      <c r="E958" s="79" t="s">
        <v>1672</v>
      </c>
      <c r="F958" s="77" t="s">
        <v>1668</v>
      </c>
      <c r="G958" s="78" t="s">
        <v>78</v>
      </c>
      <c r="H958" s="78">
        <v>1</v>
      </c>
      <c r="I958" s="78" t="s">
        <v>390</v>
      </c>
      <c r="J958" s="78" t="s">
        <v>79</v>
      </c>
      <c r="K958" s="78">
        <v>33</v>
      </c>
      <c r="L958" s="78" t="s">
        <v>104</v>
      </c>
      <c r="M958" s="78" t="s">
        <v>380</v>
      </c>
      <c r="N958" s="78">
        <v>-2E-3</v>
      </c>
      <c r="O958" s="78">
        <v>2E-3</v>
      </c>
      <c r="P958" s="95">
        <f t="shared" ref="P958:P989" si="391">N958/O958</f>
        <v>-1</v>
      </c>
      <c r="Q958" s="78" t="s">
        <v>312</v>
      </c>
      <c r="R958" s="95">
        <f t="shared" ref="R958:R989" si="392">N958-1.96*O958</f>
        <v>-5.9199999999999999E-3</v>
      </c>
      <c r="S958" s="95">
        <f t="shared" ref="S958:S989" si="393">N958+1.96*O958</f>
        <v>1.9199999999999998E-3</v>
      </c>
      <c r="T958" s="78">
        <v>1</v>
      </c>
      <c r="U958" s="78">
        <v>633165</v>
      </c>
      <c r="V958" s="78" t="s">
        <v>312</v>
      </c>
      <c r="W958" s="78" t="s">
        <v>312</v>
      </c>
      <c r="X958" s="78">
        <f t="shared" si="376"/>
        <v>633165</v>
      </c>
      <c r="Y958" s="95">
        <f t="shared" ref="Y958:Y989" si="394">P958/(P958^2 + X958)^(1/2)</f>
        <v>-1.2567277561935663E-3</v>
      </c>
      <c r="Z958" s="95">
        <f t="shared" ref="Z958:Z989" si="395">((1-Y958^2)/X958)^(1/2)</f>
        <v>1.2567277561935663E-3</v>
      </c>
      <c r="AA958" s="95">
        <f t="shared" si="377"/>
        <v>-1.2567277561935663E-3</v>
      </c>
      <c r="AB958" s="78" t="s">
        <v>81</v>
      </c>
      <c r="AC958" s="95">
        <f t="shared" si="378"/>
        <v>-1.3308E-2</v>
      </c>
      <c r="AD958" s="95" cm="1">
        <f t="array" ref="AD958">_xlfn.IFS(
AND(L958="marginal_effect",M958="level"),N958*AN958/BF958,
AND(L958="marginal_effect",M958="sd (Y)"),N958*BI958*AN958/BF958,
AND(L958="marginal_effect",M958="sd (X)"),N958/AQ958*AN958/BF958,
AND(L958="semi_elasticity",M958="level"),N958*AN958,
AND(L958="semi_elasticity",M958="sd (Y)"),N958*AN958*BI958,
AND(L958="semi_elasticity",M958="sd (X)"),N958*AN958/AQ958,
AND(L958="level-log",M958="level"),N958/BF958,
AND(L958="level-log",M958="sd (X)"),N958/BF958/AQ958,
AND(L958="level-log",M958="sd (Y)"),N958/BF958*BI958,
AND(L958="elasticity",M958="level"),N958,
AND(L958="elasticity",M958="sd (X)"),N958/AQ958,
AND(L958="elasticity",M958="sd (Y)"),N958*BI958,
AND(L958="marginal_effect",M958="percent_of_mean"),N958*AN958/BF958/10)</f>
        <v>-1.3308E-2</v>
      </c>
      <c r="AE958" s="105">
        <f t="shared" si="379"/>
        <v>1</v>
      </c>
      <c r="AF958" s="95">
        <f t="shared" ref="AF958:AF981" si="396">O958*AN958</f>
        <v>1.3308E-2</v>
      </c>
      <c r="AG958" s="95" cm="1">
        <f t="array" ref="AG958">_xlfn.IFS(
AND(L958="marginal_effect",M958="level"),O958*AN958/BF958,
AND(L958="marginal_effect",M958="sd (Y)"),O958*BI958*AN958/BF958,
AND(L958="marginal_effect",M958="sd (X)"),O958/AQ958*AN958/BF958,
AND(L958="semi_elasticity",M958="level"),O958*AN958,
AND(L958="semi_elasticity",M958="sd (Y)"),O958*AN958*BI958,
AND(L958="semi_elasticity",M958="sd (X)"),O958*AN958/AQ958,
AND(L958="level-log",M958="level"),O958/BF958,
AND(L958="level-log",M958="sd (X)"),O958/BF958/AQ958,
AND(L958="level-log",M958="sd (Y)"),O958/BF958*BI958,
AND(L958="elasticity",M958="level"),O958,
AND(L958="elasticity",M958="sd (X)"),O958/AQ958,
AND(L958="elasticity",M958="sd (Y)"),O958*BI958,
AND(L958="marginal_effect",M958="percent_of_mean"),O958*AN958/BF958/10)</f>
        <v>1.3308E-2</v>
      </c>
      <c r="AH958" s="105">
        <f t="shared" si="389"/>
        <v>1</v>
      </c>
      <c r="AI958" s="95">
        <f t="shared" si="380"/>
        <v>-1.3308E-2</v>
      </c>
      <c r="AJ958" s="78">
        <v>0</v>
      </c>
      <c r="AK958" s="78">
        <f t="shared" ref="AK958:AK989" si="397">IF(P958=(AC958/AF958),1,0)</f>
        <v>1</v>
      </c>
      <c r="AL958" s="78" t="s">
        <v>82</v>
      </c>
      <c r="AM958" s="78" t="s">
        <v>1333</v>
      </c>
      <c r="AN958" s="78">
        <v>6.6539999999999999</v>
      </c>
      <c r="AO958" s="78">
        <v>0</v>
      </c>
      <c r="AP958" s="78">
        <f t="shared" si="381"/>
        <v>6.6539999999999999</v>
      </c>
      <c r="AQ958" s="78">
        <v>2.7320000000000002</v>
      </c>
      <c r="AR958" s="78">
        <v>0.69099999999999995</v>
      </c>
      <c r="AS958" s="78">
        <v>21.341999999999999</v>
      </c>
      <c r="AT958" s="78" t="s">
        <v>83</v>
      </c>
      <c r="AU958" s="78" t="s">
        <v>109</v>
      </c>
      <c r="AV958" s="78" t="s">
        <v>133</v>
      </c>
      <c r="AW958" s="78" t="s">
        <v>109</v>
      </c>
      <c r="AX958" s="78" t="s">
        <v>86</v>
      </c>
      <c r="AY958" s="78">
        <v>2</v>
      </c>
      <c r="AZ958" s="78">
        <v>2</v>
      </c>
      <c r="BA958" s="78" t="s">
        <v>87</v>
      </c>
      <c r="BB958" s="78" t="s">
        <v>88</v>
      </c>
      <c r="BC958" s="78" t="s">
        <v>89</v>
      </c>
      <c r="BD958" s="78" t="s">
        <v>90</v>
      </c>
      <c r="BE958" s="78" t="s">
        <v>1669</v>
      </c>
      <c r="BF958" s="78">
        <v>6.8559999999999999</v>
      </c>
      <c r="BG958" s="78">
        <v>0</v>
      </c>
      <c r="BH958" s="78">
        <v>3.2730000000000001</v>
      </c>
      <c r="BI958" s="78">
        <v>1</v>
      </c>
      <c r="BJ958" s="78">
        <v>20</v>
      </c>
      <c r="BK958" s="78" t="s">
        <v>91</v>
      </c>
      <c r="BL958" s="78" t="s">
        <v>84</v>
      </c>
      <c r="BM958" s="78">
        <v>1</v>
      </c>
      <c r="BN958" s="78" t="s">
        <v>484</v>
      </c>
      <c r="BO958" s="78" t="s">
        <v>1670</v>
      </c>
      <c r="BP958" s="78" t="s">
        <v>1671</v>
      </c>
      <c r="BQ958" s="78" t="s">
        <v>92</v>
      </c>
      <c r="BR958" s="78" t="s">
        <v>118</v>
      </c>
      <c r="BS958" s="78">
        <v>29.169</v>
      </c>
      <c r="BT958" s="78">
        <f t="shared" si="382"/>
        <v>0.30900000000000005</v>
      </c>
      <c r="BU958" s="78">
        <v>2010</v>
      </c>
      <c r="BV958" s="78">
        <v>2015</v>
      </c>
      <c r="BW958" s="78" t="s">
        <v>94</v>
      </c>
      <c r="BX958" s="78" t="s">
        <v>95</v>
      </c>
      <c r="BY958" s="78" t="s">
        <v>96</v>
      </c>
      <c r="BZ958" s="78">
        <v>0</v>
      </c>
      <c r="CA958" s="78">
        <v>0</v>
      </c>
      <c r="CB958" s="78" t="s">
        <v>97</v>
      </c>
      <c r="CC958" s="78" t="s">
        <v>1673</v>
      </c>
      <c r="CD958" s="78">
        <v>1</v>
      </c>
      <c r="CE958" s="78" t="s">
        <v>1712</v>
      </c>
      <c r="CF958" s="78">
        <v>1</v>
      </c>
      <c r="CG958" s="78" t="s">
        <v>598</v>
      </c>
      <c r="CH958" s="78">
        <v>1</v>
      </c>
      <c r="CI958" s="78" t="s">
        <v>1465</v>
      </c>
      <c r="CJ958" s="78" t="s">
        <v>98</v>
      </c>
      <c r="CK958" s="78">
        <v>79</v>
      </c>
      <c r="CL958" s="78">
        <v>0</v>
      </c>
      <c r="CM958" s="78">
        <v>0</v>
      </c>
      <c r="CN958" s="78" t="s">
        <v>124</v>
      </c>
      <c r="CO958" s="78" t="s">
        <v>97</v>
      </c>
      <c r="CP958" s="78" t="s">
        <v>100</v>
      </c>
      <c r="CQ958" s="78" t="s">
        <v>126</v>
      </c>
      <c r="CR958" s="80">
        <v>46251</v>
      </c>
      <c r="CT958" s="78" t="s">
        <v>1765</v>
      </c>
    </row>
    <row r="959" spans="1:98" s="78" customFormat="1" x14ac:dyDescent="0.35">
      <c r="A959" s="77" t="s">
        <v>1666</v>
      </c>
      <c r="B959" s="77" t="s">
        <v>1763</v>
      </c>
      <c r="C959" s="77" t="s">
        <v>1667</v>
      </c>
      <c r="D959" s="78">
        <v>2022</v>
      </c>
      <c r="E959" s="79" t="s">
        <v>1672</v>
      </c>
      <c r="F959" s="77" t="s">
        <v>1668</v>
      </c>
      <c r="G959" s="78" t="s">
        <v>78</v>
      </c>
      <c r="H959" s="78">
        <v>1</v>
      </c>
      <c r="I959" s="78" t="s">
        <v>390</v>
      </c>
      <c r="J959" s="78" t="s">
        <v>79</v>
      </c>
      <c r="K959" s="78">
        <v>33</v>
      </c>
      <c r="L959" s="78" t="s">
        <v>104</v>
      </c>
      <c r="M959" s="78" t="s">
        <v>380</v>
      </c>
      <c r="N959" s="78">
        <v>6.0000000000000001E-3</v>
      </c>
      <c r="O959" s="78">
        <v>2E-3</v>
      </c>
      <c r="P959" s="95">
        <f t="shared" si="391"/>
        <v>3</v>
      </c>
      <c r="Q959" s="78" t="s">
        <v>312</v>
      </c>
      <c r="R959" s="95">
        <f t="shared" si="392"/>
        <v>2.0800000000000003E-3</v>
      </c>
      <c r="S959" s="95">
        <f t="shared" si="393"/>
        <v>9.92E-3</v>
      </c>
      <c r="T959" s="78">
        <v>1</v>
      </c>
      <c r="U959" s="78">
        <v>633165</v>
      </c>
      <c r="V959" s="78" t="s">
        <v>312</v>
      </c>
      <c r="W959" s="78" t="s">
        <v>312</v>
      </c>
      <c r="X959" s="78">
        <f t="shared" si="376"/>
        <v>633165</v>
      </c>
      <c r="Y959" s="95">
        <f t="shared" si="394"/>
        <v>3.7701594508296383E-3</v>
      </c>
      <c r="Z959" s="95">
        <f t="shared" si="395"/>
        <v>1.2567198169432128E-3</v>
      </c>
      <c r="AA959" s="95">
        <f t="shared" si="377"/>
        <v>3.7701594508296383E-3</v>
      </c>
      <c r="AB959" s="78" t="s">
        <v>81</v>
      </c>
      <c r="AC959" s="95">
        <f t="shared" si="378"/>
        <v>3.9924000000000001E-2</v>
      </c>
      <c r="AD959" s="95" cm="1">
        <f t="array" ref="AD959">_xlfn.IFS(
AND(L959="marginal_effect",M959="level"),N959*AN959/BF959,
AND(L959="marginal_effect",M959="sd (Y)"),N959*BI959*AN959/BF959,
AND(L959="marginal_effect",M959="sd (X)"),N959/AQ959*AN959/BF959,
AND(L959="semi_elasticity",M959="level"),N959*AN959,
AND(L959="semi_elasticity",M959="sd (Y)"),N959*AN959*BI959,
AND(L959="semi_elasticity",M959="sd (X)"),N959*AN959/AQ959,
AND(L959="level-log",M959="level"),N959/BF959,
AND(L959="level-log",M959="sd (X)"),N959/BF959/AQ959,
AND(L959="level-log",M959="sd (Y)"),N959/BF959*BI959,
AND(L959="elasticity",M959="level"),N959,
AND(L959="elasticity",M959="sd (X)"),N959/AQ959,
AND(L959="elasticity",M959="sd (Y)"),N959*BI959,
AND(L959="marginal_effect",M959="percent_of_mean"),N959*AN959/BF959/10)</f>
        <v>3.9924000000000001E-2</v>
      </c>
      <c r="AE959" s="105">
        <f t="shared" si="379"/>
        <v>1</v>
      </c>
      <c r="AF959" s="95">
        <f t="shared" si="396"/>
        <v>1.3308E-2</v>
      </c>
      <c r="AG959" s="95" cm="1">
        <f t="array" ref="AG959">_xlfn.IFS(
AND(L959="marginal_effect",M959="level"),O959*AN959/BF959,
AND(L959="marginal_effect",M959="sd (Y)"),O959*BI959*AN959/BF959,
AND(L959="marginal_effect",M959="sd (X)"),O959/AQ959*AN959/BF959,
AND(L959="semi_elasticity",M959="level"),O959*AN959,
AND(L959="semi_elasticity",M959="sd (Y)"),O959*AN959*BI959,
AND(L959="semi_elasticity",M959="sd (X)"),O959*AN959/AQ959,
AND(L959="level-log",M959="level"),O959/BF959,
AND(L959="level-log",M959="sd (X)"),O959/BF959/AQ959,
AND(L959="level-log",M959="sd (Y)"),O959/BF959*BI959,
AND(L959="elasticity",M959="level"),O959,
AND(L959="elasticity",M959="sd (X)"),O959/AQ959,
AND(L959="elasticity",M959="sd (Y)"),O959*BI959,
AND(L959="marginal_effect",M959="percent_of_mean"),O959*AN959/BF959/10)</f>
        <v>1.3308E-2</v>
      </c>
      <c r="AH959" s="105">
        <f t="shared" si="389"/>
        <v>1</v>
      </c>
      <c r="AI959" s="95">
        <f t="shared" si="380"/>
        <v>3.9924000000000001E-2</v>
      </c>
      <c r="AJ959" s="78">
        <v>0</v>
      </c>
      <c r="AK959" s="78">
        <f t="shared" si="397"/>
        <v>1</v>
      </c>
      <c r="AL959" s="78" t="s">
        <v>82</v>
      </c>
      <c r="AM959" s="78" t="s">
        <v>1333</v>
      </c>
      <c r="AN959" s="78">
        <v>6.6539999999999999</v>
      </c>
      <c r="AO959" s="78">
        <v>0</v>
      </c>
      <c r="AP959" s="78">
        <f t="shared" si="381"/>
        <v>6.6539999999999999</v>
      </c>
      <c r="AQ959" s="78">
        <v>2.7320000000000002</v>
      </c>
      <c r="AR959" s="78">
        <v>0.69099999999999995</v>
      </c>
      <c r="AS959" s="78">
        <v>21.341999999999999</v>
      </c>
      <c r="AT959" s="78" t="s">
        <v>83</v>
      </c>
      <c r="AU959" s="78" t="s">
        <v>109</v>
      </c>
      <c r="AV959" s="78" t="s">
        <v>133</v>
      </c>
      <c r="AW959" s="78" t="s">
        <v>109</v>
      </c>
      <c r="AX959" s="78" t="s">
        <v>86</v>
      </c>
      <c r="AY959" s="78">
        <v>1</v>
      </c>
      <c r="AZ959" s="78">
        <v>1</v>
      </c>
      <c r="BA959" s="78" t="s">
        <v>87</v>
      </c>
      <c r="BB959" s="78" t="s">
        <v>88</v>
      </c>
      <c r="BC959" s="78" t="s">
        <v>89</v>
      </c>
      <c r="BD959" s="78" t="s">
        <v>90</v>
      </c>
      <c r="BE959" s="78" t="s">
        <v>1669</v>
      </c>
      <c r="BF959" s="78">
        <v>6.8559999999999999</v>
      </c>
      <c r="BG959" s="78">
        <v>0</v>
      </c>
      <c r="BH959" s="78">
        <v>3.2730000000000001</v>
      </c>
      <c r="BI959" s="78">
        <v>1</v>
      </c>
      <c r="BJ959" s="78">
        <v>20</v>
      </c>
      <c r="BK959" s="78" t="s">
        <v>91</v>
      </c>
      <c r="BL959" s="78" t="s">
        <v>84</v>
      </c>
      <c r="BM959" s="78">
        <v>1</v>
      </c>
      <c r="BN959" s="78" t="s">
        <v>484</v>
      </c>
      <c r="BO959" s="78" t="s">
        <v>1670</v>
      </c>
      <c r="BP959" s="78" t="s">
        <v>1671</v>
      </c>
      <c r="BQ959" s="78" t="s">
        <v>92</v>
      </c>
      <c r="BR959" s="78" t="s">
        <v>118</v>
      </c>
      <c r="BS959" s="78">
        <v>29.169</v>
      </c>
      <c r="BT959" s="78">
        <f t="shared" si="382"/>
        <v>0.30900000000000005</v>
      </c>
      <c r="BU959" s="78">
        <v>2010</v>
      </c>
      <c r="BV959" s="78">
        <v>2015</v>
      </c>
      <c r="BW959" s="78" t="s">
        <v>94</v>
      </c>
      <c r="BX959" s="78" t="s">
        <v>95</v>
      </c>
      <c r="BY959" s="78" t="s">
        <v>96</v>
      </c>
      <c r="BZ959" s="78">
        <v>0</v>
      </c>
      <c r="CA959" s="78">
        <v>0</v>
      </c>
      <c r="CB959" s="78" t="s">
        <v>97</v>
      </c>
      <c r="CC959" s="78" t="s">
        <v>1673</v>
      </c>
      <c r="CD959" s="78">
        <v>1</v>
      </c>
      <c r="CE959" s="78" t="s">
        <v>1712</v>
      </c>
      <c r="CF959" s="78">
        <v>1</v>
      </c>
      <c r="CG959" s="78" t="s">
        <v>598</v>
      </c>
      <c r="CH959" s="78">
        <v>1</v>
      </c>
      <c r="CI959" s="78" t="s">
        <v>1465</v>
      </c>
      <c r="CJ959" s="78" t="s">
        <v>98</v>
      </c>
      <c r="CK959" s="78">
        <v>79</v>
      </c>
      <c r="CL959" s="78">
        <v>0</v>
      </c>
      <c r="CM959" s="78">
        <v>0</v>
      </c>
      <c r="CN959" s="78" t="s">
        <v>124</v>
      </c>
      <c r="CO959" s="78" t="s">
        <v>97</v>
      </c>
      <c r="CP959" s="78" t="s">
        <v>100</v>
      </c>
      <c r="CQ959" s="78" t="s">
        <v>126</v>
      </c>
      <c r="CR959" s="80">
        <v>46251</v>
      </c>
      <c r="CT959" s="78" t="s">
        <v>1765</v>
      </c>
    </row>
    <row r="960" spans="1:98" s="78" customFormat="1" x14ac:dyDescent="0.35">
      <c r="A960" s="77" t="s">
        <v>1666</v>
      </c>
      <c r="B960" s="77" t="s">
        <v>1764</v>
      </c>
      <c r="C960" s="77" t="s">
        <v>1667</v>
      </c>
      <c r="D960" s="78">
        <v>2022</v>
      </c>
      <c r="E960" s="79" t="s">
        <v>1672</v>
      </c>
      <c r="F960" s="77" t="s">
        <v>1668</v>
      </c>
      <c r="G960" s="78" t="s">
        <v>78</v>
      </c>
      <c r="H960" s="78">
        <v>1</v>
      </c>
      <c r="I960" s="78" t="s">
        <v>390</v>
      </c>
      <c r="J960" s="78" t="s">
        <v>79</v>
      </c>
      <c r="K960" s="78">
        <v>33</v>
      </c>
      <c r="L960" s="78" t="s">
        <v>104</v>
      </c>
      <c r="M960" s="78" t="s">
        <v>380</v>
      </c>
      <c r="N960" s="78">
        <v>-5.0000000000000001E-3</v>
      </c>
      <c r="O960" s="78">
        <v>2E-3</v>
      </c>
      <c r="P960" s="95">
        <f t="shared" si="391"/>
        <v>-2.5</v>
      </c>
      <c r="Q960" s="78" t="s">
        <v>312</v>
      </c>
      <c r="R960" s="95">
        <f t="shared" si="392"/>
        <v>-8.9200000000000008E-3</v>
      </c>
      <c r="S960" s="95">
        <f t="shared" si="393"/>
        <v>-1.0800000000000002E-3</v>
      </c>
      <c r="T960" s="78">
        <v>1</v>
      </c>
      <c r="U960" s="78">
        <v>633165</v>
      </c>
      <c r="V960" s="78" t="s">
        <v>312</v>
      </c>
      <c r="W960" s="78" t="s">
        <v>312</v>
      </c>
      <c r="X960" s="78">
        <f t="shared" si="376"/>
        <v>633165</v>
      </c>
      <c r="Y960" s="95">
        <f t="shared" si="394"/>
        <v>-3.1418063651088755E-3</v>
      </c>
      <c r="Z960" s="95">
        <f t="shared" si="395"/>
        <v>1.2567225460435503E-3</v>
      </c>
      <c r="AA960" s="95">
        <f t="shared" si="377"/>
        <v>-3.1418063651088755E-3</v>
      </c>
      <c r="AB960" s="78" t="s">
        <v>81</v>
      </c>
      <c r="AC960" s="95">
        <f t="shared" si="378"/>
        <v>-3.3270000000000001E-2</v>
      </c>
      <c r="AD960" s="95" cm="1">
        <f t="array" ref="AD960">_xlfn.IFS(
AND(L960="marginal_effect",M960="level"),N960*AN960/BF960,
AND(L960="marginal_effect",M960="sd (Y)"),N960*BI960*AN960/BF960,
AND(L960="marginal_effect",M960="sd (X)"),N960/AQ960*AN960/BF960,
AND(L960="semi_elasticity",M960="level"),N960*AN960,
AND(L960="semi_elasticity",M960="sd (Y)"),N960*AN960*BI960,
AND(L960="semi_elasticity",M960="sd (X)"),N960*AN960/AQ960,
AND(L960="level-log",M960="level"),N960/BF960,
AND(L960="level-log",M960="sd (X)"),N960/BF960/AQ960,
AND(L960="level-log",M960="sd (Y)"),N960/BF960*BI960,
AND(L960="elasticity",M960="level"),N960,
AND(L960="elasticity",M960="sd (X)"),N960/AQ960,
AND(L960="elasticity",M960="sd (Y)"),N960*BI960,
AND(L960="marginal_effect",M960="percent_of_mean"),N960*AN960/BF960/10)</f>
        <v>-3.3270000000000001E-2</v>
      </c>
      <c r="AE960" s="105">
        <f t="shared" si="379"/>
        <v>1</v>
      </c>
      <c r="AF960" s="95">
        <f t="shared" si="396"/>
        <v>1.3308E-2</v>
      </c>
      <c r="AG960" s="95" cm="1">
        <f t="array" ref="AG960">_xlfn.IFS(
AND(L960="marginal_effect",M960="level"),O960*AN960/BF960,
AND(L960="marginal_effect",M960="sd (Y)"),O960*BI960*AN960/BF960,
AND(L960="marginal_effect",M960="sd (X)"),O960/AQ960*AN960/BF960,
AND(L960="semi_elasticity",M960="level"),O960*AN960,
AND(L960="semi_elasticity",M960="sd (Y)"),O960*AN960*BI960,
AND(L960="semi_elasticity",M960="sd (X)"),O960*AN960/AQ960,
AND(L960="level-log",M960="level"),O960/BF960,
AND(L960="level-log",M960="sd (X)"),O960/BF960/AQ960,
AND(L960="level-log",M960="sd (Y)"),O960/BF960*BI960,
AND(L960="elasticity",M960="level"),O960,
AND(L960="elasticity",M960="sd (X)"),O960/AQ960,
AND(L960="elasticity",M960="sd (Y)"),O960*BI960,
AND(L960="marginal_effect",M960="percent_of_mean"),O960*AN960/BF960/10)</f>
        <v>1.3308E-2</v>
      </c>
      <c r="AH960" s="105">
        <f t="shared" si="389"/>
        <v>1</v>
      </c>
      <c r="AI960" s="95">
        <f t="shared" si="380"/>
        <v>-3.3270000000000001E-2</v>
      </c>
      <c r="AJ960" s="78">
        <v>0</v>
      </c>
      <c r="AK960" s="78">
        <f t="shared" si="397"/>
        <v>1</v>
      </c>
      <c r="AL960" s="78" t="s">
        <v>82</v>
      </c>
      <c r="AM960" s="78" t="s">
        <v>1333</v>
      </c>
      <c r="AN960" s="78">
        <v>6.6539999999999999</v>
      </c>
      <c r="AO960" s="78">
        <v>0</v>
      </c>
      <c r="AP960" s="78">
        <f t="shared" si="381"/>
        <v>6.6539999999999999</v>
      </c>
      <c r="AQ960" s="78">
        <v>2.7320000000000002</v>
      </c>
      <c r="AR960" s="78">
        <v>0.69099999999999995</v>
      </c>
      <c r="AS960" s="78">
        <v>21.341999999999999</v>
      </c>
      <c r="AT960" s="78" t="s">
        <v>83</v>
      </c>
      <c r="AU960" s="78" t="s">
        <v>109</v>
      </c>
      <c r="AV960" s="78" t="s">
        <v>133</v>
      </c>
      <c r="AW960" s="78" t="s">
        <v>109</v>
      </c>
      <c r="AX960" s="78" t="s">
        <v>86</v>
      </c>
      <c r="AY960" s="78">
        <v>0</v>
      </c>
      <c r="AZ960" s="78">
        <v>0</v>
      </c>
      <c r="BA960" s="78" t="s">
        <v>87</v>
      </c>
      <c r="BB960" s="78" t="s">
        <v>88</v>
      </c>
      <c r="BC960" s="78" t="s">
        <v>89</v>
      </c>
      <c r="BD960" s="78" t="s">
        <v>90</v>
      </c>
      <c r="BE960" s="78" t="s">
        <v>1669</v>
      </c>
      <c r="BF960" s="78">
        <v>6.8559999999999999</v>
      </c>
      <c r="BG960" s="78">
        <v>0</v>
      </c>
      <c r="BH960" s="78">
        <v>3.2730000000000001</v>
      </c>
      <c r="BI960" s="78">
        <v>1</v>
      </c>
      <c r="BJ960" s="78">
        <v>20</v>
      </c>
      <c r="BK960" s="78" t="s">
        <v>91</v>
      </c>
      <c r="BL960" s="78" t="s">
        <v>84</v>
      </c>
      <c r="BM960" s="78">
        <v>1</v>
      </c>
      <c r="BN960" s="78" t="s">
        <v>484</v>
      </c>
      <c r="BO960" s="78" t="s">
        <v>1670</v>
      </c>
      <c r="BP960" s="78" t="s">
        <v>1671</v>
      </c>
      <c r="BQ960" s="78" t="s">
        <v>92</v>
      </c>
      <c r="BR960" s="78" t="s">
        <v>118</v>
      </c>
      <c r="BS960" s="78">
        <v>29.169</v>
      </c>
      <c r="BT960" s="78">
        <f t="shared" si="382"/>
        <v>0.30900000000000005</v>
      </c>
      <c r="BU960" s="78">
        <v>2010</v>
      </c>
      <c r="BV960" s="78">
        <v>2015</v>
      </c>
      <c r="BW960" s="78" t="s">
        <v>94</v>
      </c>
      <c r="BX960" s="78" t="s">
        <v>95</v>
      </c>
      <c r="BY960" s="78" t="s">
        <v>96</v>
      </c>
      <c r="BZ960" s="78">
        <v>0</v>
      </c>
      <c r="CA960" s="78">
        <v>0</v>
      </c>
      <c r="CB960" s="78" t="s">
        <v>97</v>
      </c>
      <c r="CC960" s="78" t="s">
        <v>1673</v>
      </c>
      <c r="CD960" s="78">
        <v>1</v>
      </c>
      <c r="CE960" s="78" t="s">
        <v>1712</v>
      </c>
      <c r="CF960" s="78">
        <v>1</v>
      </c>
      <c r="CG960" s="78" t="s">
        <v>598</v>
      </c>
      <c r="CH960" s="78">
        <v>1</v>
      </c>
      <c r="CI960" s="78" t="s">
        <v>1465</v>
      </c>
      <c r="CJ960" s="78" t="s">
        <v>98</v>
      </c>
      <c r="CK960" s="78">
        <v>79</v>
      </c>
      <c r="CL960" s="78">
        <v>0</v>
      </c>
      <c r="CM960" s="78">
        <v>0</v>
      </c>
      <c r="CN960" s="78" t="s">
        <v>124</v>
      </c>
      <c r="CO960" s="78" t="s">
        <v>97</v>
      </c>
      <c r="CP960" s="78" t="s">
        <v>100</v>
      </c>
      <c r="CQ960" s="78" t="s">
        <v>126</v>
      </c>
      <c r="CR960" s="80">
        <v>46251</v>
      </c>
      <c r="CT960" s="78" t="s">
        <v>1765</v>
      </c>
    </row>
    <row r="961" spans="1:98" s="44" customFormat="1" x14ac:dyDescent="0.35">
      <c r="A961" s="43" t="s">
        <v>1899</v>
      </c>
      <c r="B961" s="43" t="s">
        <v>1900</v>
      </c>
      <c r="C961" s="44" t="s">
        <v>1901</v>
      </c>
      <c r="D961" s="44">
        <v>2026</v>
      </c>
      <c r="E961" s="64" t="s">
        <v>1902</v>
      </c>
      <c r="F961" s="43" t="s">
        <v>1903</v>
      </c>
      <c r="G961" s="44" t="s">
        <v>78</v>
      </c>
      <c r="H961" s="44">
        <v>1</v>
      </c>
      <c r="I961" s="44" t="s">
        <v>290</v>
      </c>
      <c r="J961" s="44" t="s">
        <v>79</v>
      </c>
      <c r="K961" s="44">
        <v>0</v>
      </c>
      <c r="L961" s="44" t="s">
        <v>104</v>
      </c>
      <c r="M961" s="44" t="s">
        <v>380</v>
      </c>
      <c r="N961" s="44">
        <v>-4.9000000000000002E-2</v>
      </c>
      <c r="O961" s="44">
        <v>2.5000000000000001E-2</v>
      </c>
      <c r="P961" s="91">
        <f t="shared" si="391"/>
        <v>-1.96</v>
      </c>
      <c r="Q961" s="44" t="s">
        <v>312</v>
      </c>
      <c r="R961" s="91">
        <f t="shared" si="392"/>
        <v>-9.8000000000000004E-2</v>
      </c>
      <c r="S961" s="91">
        <f t="shared" si="393"/>
        <v>0</v>
      </c>
      <c r="T961" s="44">
        <v>1</v>
      </c>
      <c r="U961" s="44">
        <v>5320</v>
      </c>
      <c r="V961" s="44" t="s">
        <v>312</v>
      </c>
      <c r="W961" s="44" t="s">
        <v>312</v>
      </c>
      <c r="X961" s="44">
        <f t="shared" si="376"/>
        <v>5320</v>
      </c>
      <c r="Y961" s="91">
        <f t="shared" si="394"/>
        <v>-2.686231939737898E-2</v>
      </c>
      <c r="Z961" s="91">
        <f t="shared" si="395"/>
        <v>1.3705264998662745E-2</v>
      </c>
      <c r="AA961" s="91">
        <f t="shared" si="377"/>
        <v>-2.686231939737898E-2</v>
      </c>
      <c r="AB961" s="44" t="s">
        <v>81</v>
      </c>
      <c r="AC961" s="91">
        <f t="shared" si="378"/>
        <v>-2.3961000000000001</v>
      </c>
      <c r="AD961" s="91" cm="1">
        <f t="array" ref="AD961">_xlfn.IFS(
AND(L961="marginal_effect",M961="level"),N961*AN961/BF961,
AND(L961="marginal_effect",M961="sd (Y)"),N961*BI961*AN961/BF961,
AND(L961="marginal_effect",M961="sd (X)"),N961/AQ961*AN961/BF961,
AND(L961="semi_elasticity",M961="level"),N961*AN961,
AND(L961="semi_elasticity",M961="sd (Y)"),N961*AN961*BI961,
AND(L961="semi_elasticity",M961="sd (X)"),N961*AN961/AQ961,
AND(L961="level-log",M961="level"),N961/BF961,
AND(L961="level-log",M961="sd (X)"),N961/BF961/AQ961,
AND(L961="level-log",M961="sd (Y)"),N961/BF961*BI961,
AND(L961="elasticity",M961="level"),N961,
AND(L961="elasticity",M961="sd (X)"),N961/AQ961,
AND(L961="elasticity",M961="sd (Y)"),N961*BI961,
AND(L961="marginal_effect",M961="percent_of_mean"),N961*AN961/BF961/10)</f>
        <v>-2.3961000000000001</v>
      </c>
      <c r="AE961" s="50">
        <f t="shared" si="379"/>
        <v>1</v>
      </c>
      <c r="AF961" s="91">
        <f t="shared" si="396"/>
        <v>1.2225000000000001</v>
      </c>
      <c r="AG961" s="91" cm="1">
        <f t="array" ref="AG961">_xlfn.IFS(
AND(L961="marginal_effect",M961="level"),O961*AN961/BF961,
AND(L961="marginal_effect",M961="sd (Y)"),O961*BI961*AN961/BF961,
AND(L961="marginal_effect",M961="sd (X)"),O961/AQ961*AN961/BF961,
AND(L961="semi_elasticity",M961="level"),O961*AN961,
AND(L961="semi_elasticity",M961="sd (Y)"),O961*AN961*BI961,
AND(L961="semi_elasticity",M961="sd (X)"),O961*AN961/AQ961,
AND(L961="level-log",M961="level"),O961/BF961,
AND(L961="level-log",M961="sd (X)"),O961/BF961/AQ961,
AND(L961="level-log",M961="sd (Y)"),O961/BF961*BI961,
AND(L961="elasticity",M961="level"),O961,
AND(L961="elasticity",M961="sd (X)"),O961/AQ961,
AND(L961="elasticity",M961="sd (Y)"),O961*BI961,
AND(L961="marginal_effect",M961="percent_of_mean"),O961*AN961/BF961/10)</f>
        <v>1.2225000000000001</v>
      </c>
      <c r="AH961" s="50">
        <f t="shared" si="389"/>
        <v>1</v>
      </c>
      <c r="AI961" s="91">
        <f t="shared" si="380"/>
        <v>-2.3961000000000001</v>
      </c>
      <c r="AJ961" s="44">
        <v>0</v>
      </c>
      <c r="AK961" s="44">
        <f t="shared" si="397"/>
        <v>1</v>
      </c>
      <c r="AL961" s="76" t="s">
        <v>1904</v>
      </c>
      <c r="AM961" s="44" t="s">
        <v>410</v>
      </c>
      <c r="AN961" s="44">
        <v>48.9</v>
      </c>
      <c r="AO961" s="44">
        <v>0</v>
      </c>
      <c r="AP961" s="44">
        <f t="shared" si="381"/>
        <v>48.9</v>
      </c>
      <c r="AQ961" s="44">
        <v>4.29</v>
      </c>
      <c r="AR961" s="44" t="s">
        <v>312</v>
      </c>
      <c r="AS961" s="44" t="s">
        <v>312</v>
      </c>
      <c r="AT961" s="44" t="s">
        <v>107</v>
      </c>
      <c r="AU961" s="44" t="s">
        <v>109</v>
      </c>
      <c r="AV961" s="44" t="s">
        <v>133</v>
      </c>
      <c r="AW961" s="44" t="s">
        <v>109</v>
      </c>
      <c r="AX961" s="44" t="s">
        <v>86</v>
      </c>
      <c r="AY961" s="44">
        <v>0</v>
      </c>
      <c r="AZ961" s="44">
        <v>0</v>
      </c>
      <c r="BA961" s="44" t="s">
        <v>87</v>
      </c>
      <c r="BB961" s="44" t="s">
        <v>134</v>
      </c>
      <c r="BC961" s="44" t="s">
        <v>89</v>
      </c>
      <c r="BD961" s="44" t="s">
        <v>90</v>
      </c>
      <c r="BE961" s="44" t="s">
        <v>1905</v>
      </c>
      <c r="BF961" s="44">
        <v>5649.28</v>
      </c>
      <c r="BG961" s="44">
        <v>0</v>
      </c>
      <c r="BH961" s="44">
        <v>16497.22</v>
      </c>
      <c r="BI961" s="44" t="s">
        <v>312</v>
      </c>
      <c r="BJ961" s="44" t="s">
        <v>312</v>
      </c>
      <c r="BK961" s="44" t="s">
        <v>91</v>
      </c>
      <c r="BL961" s="44" t="s">
        <v>1393</v>
      </c>
      <c r="BM961" s="44">
        <v>1</v>
      </c>
      <c r="BN961" s="44" t="s">
        <v>484</v>
      </c>
      <c r="BO961" s="44" t="s">
        <v>312</v>
      </c>
      <c r="BP961" s="44" t="s">
        <v>312</v>
      </c>
      <c r="BQ961" s="44" t="s">
        <v>117</v>
      </c>
      <c r="BR961" s="44" t="s">
        <v>118</v>
      </c>
      <c r="BS961" s="44" t="s">
        <v>312</v>
      </c>
      <c r="BT961" s="44" t="s">
        <v>312</v>
      </c>
      <c r="BU961" s="44">
        <v>2003</v>
      </c>
      <c r="BV961" s="44">
        <v>2015</v>
      </c>
      <c r="BW961" s="44" t="s">
        <v>901</v>
      </c>
      <c r="BX961" s="44" t="s">
        <v>95</v>
      </c>
      <c r="BY961" s="44" t="s">
        <v>96</v>
      </c>
      <c r="BZ961" s="44">
        <v>0</v>
      </c>
      <c r="CA961" s="44">
        <v>0</v>
      </c>
      <c r="CB961" s="44" t="s">
        <v>97</v>
      </c>
      <c r="CC961" s="44" t="s">
        <v>1910</v>
      </c>
      <c r="CD961" s="44">
        <v>1</v>
      </c>
      <c r="CE961" s="44" t="s">
        <v>1911</v>
      </c>
      <c r="CF961" s="44">
        <v>0</v>
      </c>
      <c r="CG961" s="44" t="s">
        <v>97</v>
      </c>
      <c r="CH961" s="44">
        <v>0</v>
      </c>
      <c r="CI961" s="44" t="s">
        <v>1393</v>
      </c>
      <c r="CJ961" s="44" t="s">
        <v>98</v>
      </c>
      <c r="CK961" s="44">
        <v>4</v>
      </c>
      <c r="CL961" s="44">
        <v>1</v>
      </c>
      <c r="CM961" s="44">
        <v>1</v>
      </c>
      <c r="CN961" s="44" t="s">
        <v>99</v>
      </c>
      <c r="CO961" s="44" t="s">
        <v>97</v>
      </c>
      <c r="CP961" s="44" t="s">
        <v>100</v>
      </c>
      <c r="CQ961" s="44" t="s">
        <v>126</v>
      </c>
      <c r="CR961" s="45">
        <v>46251</v>
      </c>
      <c r="CT961" s="44" t="s">
        <v>543</v>
      </c>
    </row>
    <row r="962" spans="1:98" s="44" customFormat="1" x14ac:dyDescent="0.35">
      <c r="A962" s="43" t="s">
        <v>1899</v>
      </c>
      <c r="B962" s="43" t="s">
        <v>1900</v>
      </c>
      <c r="C962" s="44" t="s">
        <v>1901</v>
      </c>
      <c r="D962" s="44">
        <v>2026</v>
      </c>
      <c r="E962" s="64" t="s">
        <v>1902</v>
      </c>
      <c r="F962" s="43" t="s">
        <v>1903</v>
      </c>
      <c r="G962" s="44" t="s">
        <v>78</v>
      </c>
      <c r="H962" s="44">
        <v>1</v>
      </c>
      <c r="I962" s="44" t="s">
        <v>290</v>
      </c>
      <c r="J962" s="44" t="s">
        <v>79</v>
      </c>
      <c r="K962" s="44">
        <v>0</v>
      </c>
      <c r="L962" s="44" t="s">
        <v>104</v>
      </c>
      <c r="M962" s="44" t="s">
        <v>380</v>
      </c>
      <c r="N962" s="44">
        <v>-1.7000000000000001E-2</v>
      </c>
      <c r="O962" s="44">
        <v>6.0000000000000001E-3</v>
      </c>
      <c r="P962" s="91">
        <f t="shared" si="391"/>
        <v>-2.8333333333333335</v>
      </c>
      <c r="Q962" s="44" t="s">
        <v>312</v>
      </c>
      <c r="R962" s="91">
        <f t="shared" si="392"/>
        <v>-2.8760000000000001E-2</v>
      </c>
      <c r="S962" s="91">
        <f t="shared" si="393"/>
        <v>-5.2400000000000016E-3</v>
      </c>
      <c r="T962" s="44">
        <v>1</v>
      </c>
      <c r="U962" s="44">
        <v>5320</v>
      </c>
      <c r="V962" s="44" t="s">
        <v>312</v>
      </c>
      <c r="W962" s="44" t="s">
        <v>312</v>
      </c>
      <c r="X962" s="44">
        <f t="shared" ref="X962:X991" si="398">U962</f>
        <v>5320</v>
      </c>
      <c r="Y962" s="91">
        <f t="shared" si="394"/>
        <v>-3.8816326372972616E-2</v>
      </c>
      <c r="Z962" s="91">
        <f t="shared" si="395"/>
        <v>1.3699879896343276E-2</v>
      </c>
      <c r="AA962" s="91">
        <f t="shared" ref="AA962:AA993" si="399">Y962</f>
        <v>-3.8816326372972616E-2</v>
      </c>
      <c r="AB962" s="44" t="s">
        <v>81</v>
      </c>
      <c r="AC962" s="91">
        <f t="shared" ref="AC962:AC981" si="400">N962*AN962</f>
        <v>-1.0239100000000001</v>
      </c>
      <c r="AD962" s="91" cm="1">
        <f t="array" ref="AD962">_xlfn.IFS(
AND(L962="marginal_effect",M962="level"),N962*AN962/BF962,
AND(L962="marginal_effect",M962="sd (Y)"),N962*BI962*AN962/BF962,
AND(L962="marginal_effect",M962="sd (X)"),N962/AQ962*AN962/BF962,
AND(L962="semi_elasticity",M962="level"),N962*AN962,
AND(L962="semi_elasticity",M962="sd (Y)"),N962*AN962*BI962,
AND(L962="semi_elasticity",M962="sd (X)"),N962*AN962/AQ962,
AND(L962="level-log",M962="level"),N962/BF962,
AND(L962="level-log",M962="sd (X)"),N962/BF962/AQ962,
AND(L962="level-log",M962="sd (Y)"),N962/BF962*BI962,
AND(L962="elasticity",M962="level"),N962,
AND(L962="elasticity",M962="sd (X)"),N962/AQ962,
AND(L962="elasticity",M962="sd (Y)"),N962*BI962,
AND(L962="marginal_effect",M962="percent_of_mean"),N962*AN962/BF962/10)</f>
        <v>-1.0239100000000001</v>
      </c>
      <c r="AE962" s="50">
        <f t="shared" ref="AE962:AE993" si="401">IF(AC962=AD962,1,0)</f>
        <v>1</v>
      </c>
      <c r="AF962" s="91">
        <f t="shared" si="396"/>
        <v>0.36137999999999998</v>
      </c>
      <c r="AG962" s="91" cm="1">
        <f t="array" ref="AG962">_xlfn.IFS(
AND(L962="marginal_effect",M962="level"),O962*AN962/BF962,
AND(L962="marginal_effect",M962="sd (Y)"),O962*BI962*AN962/BF962,
AND(L962="marginal_effect",M962="sd (X)"),O962/AQ962*AN962/BF962,
AND(L962="semi_elasticity",M962="level"),O962*AN962,
AND(L962="semi_elasticity",M962="sd (Y)"),O962*AN962*BI962,
AND(L962="semi_elasticity",M962="sd (X)"),O962*AN962/AQ962,
AND(L962="level-log",M962="level"),O962/BF962,
AND(L962="level-log",M962="sd (X)"),O962/BF962/AQ962,
AND(L962="level-log",M962="sd (Y)"),O962/BF962*BI962,
AND(L962="elasticity",M962="level"),O962,
AND(L962="elasticity",M962="sd (X)"),O962/AQ962,
AND(L962="elasticity",M962="sd (Y)"),O962*BI962,
AND(L962="marginal_effect",M962="percent_of_mean"),O962*AN962/BF962/10)</f>
        <v>0.36137999999999998</v>
      </c>
      <c r="AH962" s="50">
        <f t="shared" si="389"/>
        <v>1</v>
      </c>
      <c r="AI962" s="91">
        <f t="shared" ref="AI962:AI993" si="402">AC962</f>
        <v>-1.0239100000000001</v>
      </c>
      <c r="AJ962" s="44">
        <v>0</v>
      </c>
      <c r="AK962" s="44">
        <f t="shared" si="397"/>
        <v>1</v>
      </c>
      <c r="AL962" s="76" t="s">
        <v>1906</v>
      </c>
      <c r="AM962" s="44" t="s">
        <v>1909</v>
      </c>
      <c r="AN962" s="44">
        <v>60.23</v>
      </c>
      <c r="AO962" s="44">
        <v>0</v>
      </c>
      <c r="AP962" s="44">
        <f t="shared" ref="AP962:AP991" si="403">AN962</f>
        <v>60.23</v>
      </c>
      <c r="AQ962" s="44">
        <v>17.260000000000002</v>
      </c>
      <c r="AR962" s="44" t="s">
        <v>312</v>
      </c>
      <c r="AS962" s="44" t="s">
        <v>312</v>
      </c>
      <c r="AT962" s="44" t="s">
        <v>107</v>
      </c>
      <c r="AU962" s="44" t="s">
        <v>109</v>
      </c>
      <c r="AV962" s="44" t="s">
        <v>133</v>
      </c>
      <c r="AW962" s="44" t="s">
        <v>109</v>
      </c>
      <c r="AX962" s="44" t="s">
        <v>86</v>
      </c>
      <c r="AY962" s="44">
        <v>0</v>
      </c>
      <c r="AZ962" s="44">
        <v>0</v>
      </c>
      <c r="BA962" s="44" t="s">
        <v>87</v>
      </c>
      <c r="BB962" s="44" t="s">
        <v>134</v>
      </c>
      <c r="BC962" s="44" t="s">
        <v>89</v>
      </c>
      <c r="BD962" s="44" t="s">
        <v>90</v>
      </c>
      <c r="BE962" s="44" t="s">
        <v>1905</v>
      </c>
      <c r="BF962" s="44">
        <v>5649.28</v>
      </c>
      <c r="BG962" s="44">
        <v>0</v>
      </c>
      <c r="BH962" s="44">
        <v>16497.22</v>
      </c>
      <c r="BI962" s="44" t="s">
        <v>312</v>
      </c>
      <c r="BJ962" s="44" t="s">
        <v>312</v>
      </c>
      <c r="BK962" s="44" t="s">
        <v>91</v>
      </c>
      <c r="BL962" s="44" t="s">
        <v>1393</v>
      </c>
      <c r="BM962" s="44">
        <v>1</v>
      </c>
      <c r="BN962" s="44" t="s">
        <v>484</v>
      </c>
      <c r="BO962" s="44" t="s">
        <v>312</v>
      </c>
      <c r="BP962" s="44" t="s">
        <v>312</v>
      </c>
      <c r="BQ962" s="44" t="s">
        <v>117</v>
      </c>
      <c r="BR962" s="44" t="s">
        <v>118</v>
      </c>
      <c r="BS962" s="44" t="s">
        <v>312</v>
      </c>
      <c r="BT962" s="44" t="s">
        <v>312</v>
      </c>
      <c r="BU962" s="44">
        <v>2003</v>
      </c>
      <c r="BV962" s="44">
        <v>2015</v>
      </c>
      <c r="BW962" s="44" t="s">
        <v>901</v>
      </c>
      <c r="BX962" s="44" t="s">
        <v>95</v>
      </c>
      <c r="BY962" s="44" t="s">
        <v>96</v>
      </c>
      <c r="BZ962" s="44">
        <v>0</v>
      </c>
      <c r="CA962" s="44">
        <v>0</v>
      </c>
      <c r="CB962" s="44" t="s">
        <v>97</v>
      </c>
      <c r="CC962" s="44" t="s">
        <v>1910</v>
      </c>
      <c r="CD962" s="44">
        <v>1</v>
      </c>
      <c r="CE962" s="44" t="s">
        <v>1911</v>
      </c>
      <c r="CF962" s="44">
        <v>0</v>
      </c>
      <c r="CG962" s="44" t="s">
        <v>97</v>
      </c>
      <c r="CH962" s="44">
        <v>0</v>
      </c>
      <c r="CI962" s="44" t="s">
        <v>1393</v>
      </c>
      <c r="CJ962" s="44" t="s">
        <v>98</v>
      </c>
      <c r="CK962" s="44">
        <v>4</v>
      </c>
      <c r="CL962" s="44">
        <v>0</v>
      </c>
      <c r="CM962" s="44">
        <v>0</v>
      </c>
      <c r="CN962" s="44" t="s">
        <v>99</v>
      </c>
      <c r="CO962" s="44" t="s">
        <v>97</v>
      </c>
      <c r="CP962" s="44" t="s">
        <v>100</v>
      </c>
      <c r="CQ962" s="44" t="s">
        <v>126</v>
      </c>
      <c r="CR962" s="45">
        <v>46251</v>
      </c>
      <c r="CT962" s="44" t="s">
        <v>549</v>
      </c>
    </row>
    <row r="963" spans="1:98" s="44" customFormat="1" x14ac:dyDescent="0.35">
      <c r="A963" s="43" t="s">
        <v>1899</v>
      </c>
      <c r="B963" s="43" t="s">
        <v>1900</v>
      </c>
      <c r="C963" s="44" t="s">
        <v>1901</v>
      </c>
      <c r="D963" s="44">
        <v>2026</v>
      </c>
      <c r="E963" s="64" t="s">
        <v>1902</v>
      </c>
      <c r="F963" s="43" t="s">
        <v>1903</v>
      </c>
      <c r="G963" s="44" t="s">
        <v>78</v>
      </c>
      <c r="H963" s="44">
        <v>1</v>
      </c>
      <c r="I963" s="44" t="s">
        <v>290</v>
      </c>
      <c r="J963" s="44" t="s">
        <v>79</v>
      </c>
      <c r="K963" s="44">
        <v>0</v>
      </c>
      <c r="L963" s="44" t="s">
        <v>104</v>
      </c>
      <c r="M963" s="44" t="s">
        <v>380</v>
      </c>
      <c r="N963" s="44">
        <v>-8.0000000000000002E-3</v>
      </c>
      <c r="O963" s="44">
        <v>3.0000000000000001E-3</v>
      </c>
      <c r="P963" s="91">
        <f t="shared" si="391"/>
        <v>-2.6666666666666665</v>
      </c>
      <c r="Q963" s="44" t="s">
        <v>312</v>
      </c>
      <c r="R963" s="91">
        <f t="shared" si="392"/>
        <v>-1.388E-2</v>
      </c>
      <c r="S963" s="91">
        <f t="shared" si="393"/>
        <v>-2.1200000000000004E-3</v>
      </c>
      <c r="T963" s="44">
        <v>1</v>
      </c>
      <c r="U963" s="44">
        <v>5320</v>
      </c>
      <c r="V963" s="44" t="s">
        <v>312</v>
      </c>
      <c r="W963" s="44" t="s">
        <v>312</v>
      </c>
      <c r="X963" s="44">
        <f t="shared" si="398"/>
        <v>5320</v>
      </c>
      <c r="Y963" s="91">
        <f t="shared" si="394"/>
        <v>-3.6536156144611885E-2</v>
      </c>
      <c r="Z963" s="91">
        <f t="shared" si="395"/>
        <v>1.3701058554229456E-2</v>
      </c>
      <c r="AA963" s="91">
        <f t="shared" si="399"/>
        <v>-3.6536156144611885E-2</v>
      </c>
      <c r="AB963" s="44" t="s">
        <v>81</v>
      </c>
      <c r="AC963" s="91">
        <f t="shared" si="400"/>
        <v>-0.75375999999999999</v>
      </c>
      <c r="AD963" s="91" cm="1">
        <f t="array" ref="AD963">_xlfn.IFS(
AND(L963="marginal_effect",M963="level"),N963*AN963/BF963,
AND(L963="marginal_effect",M963="sd (Y)"),N963*BI963*AN963/BF963,
AND(L963="marginal_effect",M963="sd (X)"),N963/AQ963*AN963/BF963,
AND(L963="semi_elasticity",M963="level"),N963*AN963,
AND(L963="semi_elasticity",M963="sd (Y)"),N963*AN963*BI963,
AND(L963="semi_elasticity",M963="sd (X)"),N963*AN963/AQ963,
AND(L963="level-log",M963="level"),N963/BF963,
AND(L963="level-log",M963="sd (X)"),N963/BF963/AQ963,
AND(L963="level-log",M963="sd (Y)"),N963/BF963*BI963,
AND(L963="elasticity",M963="level"),N963,
AND(L963="elasticity",M963="sd (X)"),N963/AQ963,
AND(L963="elasticity",M963="sd (Y)"),N963*BI963,
AND(L963="marginal_effect",M963="percent_of_mean"),N963*AN963/BF963/10)</f>
        <v>-0.75375999999999999</v>
      </c>
      <c r="AE963" s="50">
        <f t="shared" si="401"/>
        <v>1</v>
      </c>
      <c r="AF963" s="91">
        <f t="shared" si="396"/>
        <v>0.28266000000000002</v>
      </c>
      <c r="AG963" s="91" cm="1">
        <f t="array" ref="AG963">_xlfn.IFS(
AND(L963="marginal_effect",M963="level"),O963*AN963/BF963,
AND(L963="marginal_effect",M963="sd (Y)"),O963*BI963*AN963/BF963,
AND(L963="marginal_effect",M963="sd (X)"),O963/AQ963*AN963/BF963,
AND(L963="semi_elasticity",M963="level"),O963*AN963,
AND(L963="semi_elasticity",M963="sd (Y)"),O963*AN963*BI963,
AND(L963="semi_elasticity",M963="sd (X)"),O963*AN963/AQ963,
AND(L963="level-log",M963="level"),O963/BF963,
AND(L963="level-log",M963="sd (X)"),O963/BF963/AQ963,
AND(L963="level-log",M963="sd (Y)"),O963/BF963*BI963,
AND(L963="elasticity",M963="level"),O963,
AND(L963="elasticity",M963="sd (X)"),O963/AQ963,
AND(L963="elasticity",M963="sd (Y)"),O963*BI963,
AND(L963="marginal_effect",M963="percent_of_mean"),O963*AN963/BF963/10)</f>
        <v>0.28266000000000002</v>
      </c>
      <c r="AH963" s="50">
        <f t="shared" si="389"/>
        <v>1</v>
      </c>
      <c r="AI963" s="91">
        <f t="shared" si="402"/>
        <v>-0.75375999999999999</v>
      </c>
      <c r="AJ963" s="44">
        <v>0</v>
      </c>
      <c r="AK963" s="44">
        <f t="shared" si="397"/>
        <v>1</v>
      </c>
      <c r="AL963" s="76" t="s">
        <v>1907</v>
      </c>
      <c r="AM963" s="44" t="s">
        <v>1909</v>
      </c>
      <c r="AN963" s="44">
        <v>94.22</v>
      </c>
      <c r="AO963" s="44">
        <v>0</v>
      </c>
      <c r="AP963" s="44">
        <f t="shared" si="403"/>
        <v>94.22</v>
      </c>
      <c r="AQ963" s="44">
        <v>29.91</v>
      </c>
      <c r="AR963" s="44" t="s">
        <v>312</v>
      </c>
      <c r="AS963" s="44" t="s">
        <v>312</v>
      </c>
      <c r="AT963" s="44" t="s">
        <v>107</v>
      </c>
      <c r="AU963" s="44" t="s">
        <v>109</v>
      </c>
      <c r="AV963" s="44" t="s">
        <v>133</v>
      </c>
      <c r="AW963" s="44" t="s">
        <v>109</v>
      </c>
      <c r="AX963" s="44" t="s">
        <v>86</v>
      </c>
      <c r="AY963" s="44">
        <v>0</v>
      </c>
      <c r="AZ963" s="44">
        <v>0</v>
      </c>
      <c r="BA963" s="44" t="s">
        <v>87</v>
      </c>
      <c r="BB963" s="44" t="s">
        <v>134</v>
      </c>
      <c r="BC963" s="44" t="s">
        <v>89</v>
      </c>
      <c r="BD963" s="44" t="s">
        <v>90</v>
      </c>
      <c r="BE963" s="44" t="s">
        <v>1905</v>
      </c>
      <c r="BF963" s="44">
        <v>5649.28</v>
      </c>
      <c r="BG963" s="44">
        <v>0</v>
      </c>
      <c r="BH963" s="44">
        <v>16497.22</v>
      </c>
      <c r="BI963" s="44" t="s">
        <v>312</v>
      </c>
      <c r="BJ963" s="44" t="s">
        <v>312</v>
      </c>
      <c r="BK963" s="44" t="s">
        <v>91</v>
      </c>
      <c r="BL963" s="44" t="s">
        <v>1393</v>
      </c>
      <c r="BM963" s="44">
        <v>1</v>
      </c>
      <c r="BN963" s="44" t="s">
        <v>484</v>
      </c>
      <c r="BO963" s="44" t="s">
        <v>312</v>
      </c>
      <c r="BP963" s="44" t="s">
        <v>312</v>
      </c>
      <c r="BQ963" s="44" t="s">
        <v>117</v>
      </c>
      <c r="BR963" s="44" t="s">
        <v>118</v>
      </c>
      <c r="BS963" s="44" t="s">
        <v>312</v>
      </c>
      <c r="BT963" s="44" t="s">
        <v>312</v>
      </c>
      <c r="BU963" s="44">
        <v>2003</v>
      </c>
      <c r="BV963" s="44">
        <v>2015</v>
      </c>
      <c r="BW963" s="44" t="s">
        <v>901</v>
      </c>
      <c r="BX963" s="44" t="s">
        <v>95</v>
      </c>
      <c r="BY963" s="44" t="s">
        <v>96</v>
      </c>
      <c r="BZ963" s="44">
        <v>0</v>
      </c>
      <c r="CA963" s="44">
        <v>0</v>
      </c>
      <c r="CB963" s="44" t="s">
        <v>97</v>
      </c>
      <c r="CC963" s="44" t="s">
        <v>1910</v>
      </c>
      <c r="CD963" s="44">
        <v>1</v>
      </c>
      <c r="CE963" s="44" t="s">
        <v>1911</v>
      </c>
      <c r="CF963" s="44">
        <v>0</v>
      </c>
      <c r="CG963" s="44" t="s">
        <v>97</v>
      </c>
      <c r="CH963" s="44">
        <v>0</v>
      </c>
      <c r="CI963" s="44" t="s">
        <v>1393</v>
      </c>
      <c r="CJ963" s="44" t="s">
        <v>98</v>
      </c>
      <c r="CK963" s="44">
        <v>4</v>
      </c>
      <c r="CL963" s="44">
        <v>0</v>
      </c>
      <c r="CM963" s="44">
        <v>0</v>
      </c>
      <c r="CN963" s="44" t="s">
        <v>99</v>
      </c>
      <c r="CO963" s="44" t="s">
        <v>97</v>
      </c>
      <c r="CP963" s="44" t="s">
        <v>100</v>
      </c>
      <c r="CQ963" s="44" t="s">
        <v>126</v>
      </c>
      <c r="CR963" s="45">
        <v>46251</v>
      </c>
      <c r="CT963" s="44" t="s">
        <v>550</v>
      </c>
    </row>
    <row r="964" spans="1:98" s="44" customFormat="1" x14ac:dyDescent="0.35">
      <c r="A964" s="43" t="s">
        <v>1899</v>
      </c>
      <c r="B964" s="43" t="s">
        <v>1900</v>
      </c>
      <c r="C964" s="44" t="s">
        <v>1901</v>
      </c>
      <c r="D964" s="44">
        <v>2026</v>
      </c>
      <c r="E964" s="64" t="s">
        <v>1902</v>
      </c>
      <c r="F964" s="43" t="s">
        <v>1903</v>
      </c>
      <c r="G964" s="44" t="s">
        <v>78</v>
      </c>
      <c r="H964" s="44">
        <v>1</v>
      </c>
      <c r="I964" s="44" t="s">
        <v>290</v>
      </c>
      <c r="J964" s="44" t="s">
        <v>79</v>
      </c>
      <c r="K964" s="44">
        <v>0</v>
      </c>
      <c r="L964" s="44" t="s">
        <v>104</v>
      </c>
      <c r="M964" s="44" t="s">
        <v>380</v>
      </c>
      <c r="N964" s="44">
        <v>-1.0999999999999999E-2</v>
      </c>
      <c r="O964" s="44">
        <v>4.0000000000000001E-3</v>
      </c>
      <c r="P964" s="91">
        <f t="shared" si="391"/>
        <v>-2.75</v>
      </c>
      <c r="Q964" s="44" t="s">
        <v>312</v>
      </c>
      <c r="R964" s="91">
        <f t="shared" si="392"/>
        <v>-1.8839999999999999E-2</v>
      </c>
      <c r="S964" s="91">
        <f t="shared" si="393"/>
        <v>-3.1599999999999996E-3</v>
      </c>
      <c r="T964" s="44">
        <v>1</v>
      </c>
      <c r="U964" s="44">
        <v>5320</v>
      </c>
      <c r="V964" s="44" t="s">
        <v>312</v>
      </c>
      <c r="W964" s="44" t="s">
        <v>312</v>
      </c>
      <c r="X964" s="44">
        <f t="shared" si="398"/>
        <v>5320</v>
      </c>
      <c r="Y964" s="91">
        <f t="shared" si="394"/>
        <v>-3.7676314820364758E-2</v>
      </c>
      <c r="Z964" s="91">
        <f t="shared" si="395"/>
        <v>1.3700478116496276E-2</v>
      </c>
      <c r="AA964" s="91">
        <f t="shared" si="399"/>
        <v>-3.7676314820364758E-2</v>
      </c>
      <c r="AB964" s="44" t="s">
        <v>81</v>
      </c>
      <c r="AC964" s="91">
        <f t="shared" si="400"/>
        <v>-0.87504999999999988</v>
      </c>
      <c r="AD964" s="91" cm="1">
        <f t="array" ref="AD964">_xlfn.IFS(
AND(L964="marginal_effect",M964="level"),N964*AN964/BF964,
AND(L964="marginal_effect",M964="sd (Y)"),N964*BI964*AN964/BF964,
AND(L964="marginal_effect",M964="sd (X)"),N964/AQ964*AN964/BF964,
AND(L964="semi_elasticity",M964="level"),N964*AN964,
AND(L964="semi_elasticity",M964="sd (Y)"),N964*AN964*BI964,
AND(L964="semi_elasticity",M964="sd (X)"),N964*AN964/AQ964,
AND(L964="level-log",M964="level"),N964/BF964,
AND(L964="level-log",M964="sd (X)"),N964/BF964/AQ964,
AND(L964="level-log",M964="sd (Y)"),N964/BF964*BI964,
AND(L964="elasticity",M964="level"),N964,
AND(L964="elasticity",M964="sd (X)"),N964/AQ964,
AND(L964="elasticity",M964="sd (Y)"),N964*BI964,
AND(L964="marginal_effect",M964="percent_of_mean"),N964*AN964/BF964/10)</f>
        <v>-0.87504999999999988</v>
      </c>
      <c r="AE964" s="50">
        <f t="shared" si="401"/>
        <v>1</v>
      </c>
      <c r="AF964" s="91">
        <f t="shared" si="396"/>
        <v>0.31819999999999998</v>
      </c>
      <c r="AG964" s="91" cm="1">
        <f t="array" ref="AG964">_xlfn.IFS(
AND(L964="marginal_effect",M964="level"),O964*AN964/BF964,
AND(L964="marginal_effect",M964="sd (Y)"),O964*BI964*AN964/BF964,
AND(L964="marginal_effect",M964="sd (X)"),O964/AQ964*AN964/BF964,
AND(L964="semi_elasticity",M964="level"),O964*AN964,
AND(L964="semi_elasticity",M964="sd (Y)"),O964*AN964*BI964,
AND(L964="semi_elasticity",M964="sd (X)"),O964*AN964/AQ964,
AND(L964="level-log",M964="level"),O964/BF964,
AND(L964="level-log",M964="sd (X)"),O964/BF964/AQ964,
AND(L964="level-log",M964="sd (Y)"),O964/BF964*BI964,
AND(L964="elasticity",M964="level"),O964,
AND(L964="elasticity",M964="sd (X)"),O964/AQ964,
AND(L964="elasticity",M964="sd (Y)"),O964*BI964,
AND(L964="marginal_effect",M964="percent_of_mean"),O964*AN964/BF964/10)</f>
        <v>0.31819999999999998</v>
      </c>
      <c r="AH964" s="50">
        <f t="shared" si="389"/>
        <v>1</v>
      </c>
      <c r="AI964" s="91">
        <f t="shared" si="402"/>
        <v>-0.87504999999999988</v>
      </c>
      <c r="AJ964" s="44">
        <v>0</v>
      </c>
      <c r="AK964" s="44">
        <f t="shared" si="397"/>
        <v>1</v>
      </c>
      <c r="AL964" s="76" t="s">
        <v>1908</v>
      </c>
      <c r="AM964" s="44" t="s">
        <v>1909</v>
      </c>
      <c r="AN964" s="44">
        <v>79.55</v>
      </c>
      <c r="AO964" s="44">
        <v>0</v>
      </c>
      <c r="AP964" s="44">
        <f t="shared" si="403"/>
        <v>79.55</v>
      </c>
      <c r="AQ964" s="44">
        <v>25.59</v>
      </c>
      <c r="AR964" s="44" t="s">
        <v>312</v>
      </c>
      <c r="AS964" s="44" t="s">
        <v>312</v>
      </c>
      <c r="AT964" s="44" t="s">
        <v>107</v>
      </c>
      <c r="AU964" s="44" t="s">
        <v>109</v>
      </c>
      <c r="AV964" s="44" t="s">
        <v>133</v>
      </c>
      <c r="AW964" s="44" t="s">
        <v>109</v>
      </c>
      <c r="AX964" s="44" t="s">
        <v>86</v>
      </c>
      <c r="AY964" s="44">
        <v>0</v>
      </c>
      <c r="AZ964" s="44">
        <v>0</v>
      </c>
      <c r="BA964" s="44" t="s">
        <v>87</v>
      </c>
      <c r="BB964" s="44" t="s">
        <v>134</v>
      </c>
      <c r="BC964" s="44" t="s">
        <v>89</v>
      </c>
      <c r="BD964" s="44" t="s">
        <v>90</v>
      </c>
      <c r="BE964" s="44" t="s">
        <v>1905</v>
      </c>
      <c r="BF964" s="44">
        <v>5649.28</v>
      </c>
      <c r="BG964" s="44">
        <v>0</v>
      </c>
      <c r="BH964" s="44">
        <v>16497.22</v>
      </c>
      <c r="BI964" s="44" t="s">
        <v>312</v>
      </c>
      <c r="BJ964" s="44" t="s">
        <v>312</v>
      </c>
      <c r="BK964" s="44" t="s">
        <v>91</v>
      </c>
      <c r="BL964" s="44" t="s">
        <v>1393</v>
      </c>
      <c r="BM964" s="44">
        <v>1</v>
      </c>
      <c r="BN964" s="44" t="s">
        <v>484</v>
      </c>
      <c r="BO964" s="44" t="s">
        <v>312</v>
      </c>
      <c r="BP964" s="44" t="s">
        <v>312</v>
      </c>
      <c r="BQ964" s="44" t="s">
        <v>117</v>
      </c>
      <c r="BR964" s="44" t="s">
        <v>118</v>
      </c>
      <c r="BS964" s="44" t="s">
        <v>312</v>
      </c>
      <c r="BT964" s="44" t="s">
        <v>312</v>
      </c>
      <c r="BU964" s="44">
        <v>2003</v>
      </c>
      <c r="BV964" s="44">
        <v>2015</v>
      </c>
      <c r="BW964" s="44" t="s">
        <v>901</v>
      </c>
      <c r="BX964" s="44" t="s">
        <v>95</v>
      </c>
      <c r="BY964" s="44" t="s">
        <v>96</v>
      </c>
      <c r="BZ964" s="44">
        <v>0</v>
      </c>
      <c r="CA964" s="44">
        <v>0</v>
      </c>
      <c r="CB964" s="44" t="s">
        <v>97</v>
      </c>
      <c r="CC964" s="44" t="s">
        <v>1910</v>
      </c>
      <c r="CD964" s="44">
        <v>1</v>
      </c>
      <c r="CE964" s="44" t="s">
        <v>1911</v>
      </c>
      <c r="CF964" s="44">
        <v>0</v>
      </c>
      <c r="CG964" s="44" t="s">
        <v>97</v>
      </c>
      <c r="CH964" s="44">
        <v>0</v>
      </c>
      <c r="CI964" s="44" t="s">
        <v>1393</v>
      </c>
      <c r="CJ964" s="44" t="s">
        <v>98</v>
      </c>
      <c r="CK964" s="44">
        <v>4</v>
      </c>
      <c r="CL964" s="44">
        <v>0</v>
      </c>
      <c r="CM964" s="44">
        <v>0</v>
      </c>
      <c r="CN964" s="44" t="s">
        <v>99</v>
      </c>
      <c r="CO964" s="44" t="s">
        <v>97</v>
      </c>
      <c r="CP964" s="44" t="s">
        <v>100</v>
      </c>
      <c r="CQ964" s="44" t="s">
        <v>126</v>
      </c>
      <c r="CR964" s="45">
        <v>46251</v>
      </c>
      <c r="CT964" s="44" t="s">
        <v>551</v>
      </c>
    </row>
    <row r="965" spans="1:98" s="47" customFormat="1" x14ac:dyDescent="0.35">
      <c r="A965" s="46" t="s">
        <v>1912</v>
      </c>
      <c r="B965" s="46" t="s">
        <v>1916</v>
      </c>
      <c r="C965" s="47" t="s">
        <v>1913</v>
      </c>
      <c r="D965" s="47">
        <v>2021</v>
      </c>
      <c r="E965" s="46" t="s">
        <v>1914</v>
      </c>
      <c r="F965" s="46" t="s">
        <v>1915</v>
      </c>
      <c r="G965" s="47" t="s">
        <v>78</v>
      </c>
      <c r="H965" s="47">
        <v>1</v>
      </c>
      <c r="I965" s="47" t="s">
        <v>290</v>
      </c>
      <c r="J965" s="47" t="s">
        <v>79</v>
      </c>
      <c r="K965" s="47">
        <v>482</v>
      </c>
      <c r="L965" s="47" t="s">
        <v>104</v>
      </c>
      <c r="M965" s="47" t="s">
        <v>380</v>
      </c>
      <c r="N965" s="47">
        <v>2.9999999999999997E-4</v>
      </c>
      <c r="O965" s="47">
        <v>2E-3</v>
      </c>
      <c r="P965" s="92">
        <f t="shared" si="391"/>
        <v>0.15</v>
      </c>
      <c r="Q965" s="47" t="s">
        <v>312</v>
      </c>
      <c r="R965" s="92">
        <f t="shared" si="392"/>
        <v>-3.62E-3</v>
      </c>
      <c r="S965" s="92">
        <f t="shared" si="393"/>
        <v>4.2199999999999998E-3</v>
      </c>
      <c r="T965" s="47">
        <v>1</v>
      </c>
      <c r="U965" s="47">
        <v>1593247</v>
      </c>
      <c r="V965" s="47" t="s">
        <v>312</v>
      </c>
      <c r="W965" s="47" t="s">
        <v>312</v>
      </c>
      <c r="X965" s="47">
        <f t="shared" si="398"/>
        <v>1593247</v>
      </c>
      <c r="Y965" s="92">
        <f t="shared" si="394"/>
        <v>1.1883645865729526E-4</v>
      </c>
      <c r="Z965" s="92">
        <f t="shared" si="395"/>
        <v>7.9224305771530181E-4</v>
      </c>
      <c r="AA965" s="92">
        <f t="shared" si="399"/>
        <v>1.1883645865729526E-4</v>
      </c>
      <c r="AB965" s="47" t="s">
        <v>81</v>
      </c>
      <c r="AC965" s="92">
        <f t="shared" si="400"/>
        <v>1.6056000000000001E-2</v>
      </c>
      <c r="AD965" s="92" cm="1">
        <f t="array" ref="AD965">_xlfn.IFS(
AND(L965="marginal_effect",M965="level"),N965*AN965/BF965,
AND(L965="marginal_effect",M965="sd (Y)"),N965*BI965*AN965/BF965,
AND(L965="marginal_effect",M965="sd (X)"),N965/AQ965*AN965/BF965,
AND(L965="semi_elasticity",M965="level"),N965*AN965,
AND(L965="semi_elasticity",M965="sd (Y)"),N965*AN965*BI965,
AND(L965="semi_elasticity",M965="sd (X)"),N965*AN965/AQ965,
AND(L965="level-log",M965="level"),N965/BF965,
AND(L965="level-log",M965="sd (X)"),N965/BF965/AQ965,
AND(L965="level-log",M965="sd (Y)"),N965/BF965*BI965,
AND(L965="elasticity",M965="level"),N965,
AND(L965="elasticity",M965="sd (X)"),N965/AQ965,
AND(L965="elasticity",M965="sd (Y)"),N965*BI965,
AND(L965="marginal_effect",M965="percent_of_mean"),N965*AN965/BF965/10)</f>
        <v>1.6056000000000001E-2</v>
      </c>
      <c r="AE965" s="51">
        <f t="shared" si="401"/>
        <v>1</v>
      </c>
      <c r="AF965" s="92">
        <f t="shared" si="396"/>
        <v>0.10704000000000001</v>
      </c>
      <c r="AG965" s="92" cm="1">
        <f t="array" ref="AG965">_xlfn.IFS(
AND(L965="marginal_effect",M965="level"),O965*AN965/BF965,
AND(L965="marginal_effect",M965="sd (Y)"),O965*BI965*AN965/BF965,
AND(L965="marginal_effect",M965="sd (X)"),O965/AQ965*AN965/BF965,
AND(L965="semi_elasticity",M965="level"),O965*AN965,
AND(L965="semi_elasticity",M965="sd (Y)"),O965*AN965*BI965,
AND(L965="semi_elasticity",M965="sd (X)"),O965*AN965/AQ965,
AND(L965="level-log",M965="level"),O965/BF965,
AND(L965="level-log",M965="sd (X)"),O965/BF965/AQ965,
AND(L965="level-log",M965="sd (Y)"),O965/BF965*BI965,
AND(L965="elasticity",M965="level"),O965,
AND(L965="elasticity",M965="sd (X)"),O965/AQ965,
AND(L965="elasticity",M965="sd (Y)"),O965*BI965,
AND(L965="marginal_effect",M965="percent_of_mean"),O965*AN965/BF965/10)</f>
        <v>0.10704000000000001</v>
      </c>
      <c r="AH965" s="51">
        <f t="shared" si="389"/>
        <v>1</v>
      </c>
      <c r="AI965" s="92">
        <f t="shared" si="402"/>
        <v>1.6056000000000001E-2</v>
      </c>
      <c r="AJ965" s="47">
        <v>0</v>
      </c>
      <c r="AK965" s="47">
        <f t="shared" si="397"/>
        <v>1</v>
      </c>
      <c r="AL965" s="47" t="s">
        <v>82</v>
      </c>
      <c r="AM965" s="47" t="s">
        <v>1333</v>
      </c>
      <c r="AN965" s="47">
        <v>53.52</v>
      </c>
      <c r="AO965" s="47">
        <v>0</v>
      </c>
      <c r="AP965" s="47">
        <f t="shared" si="403"/>
        <v>53.52</v>
      </c>
      <c r="AQ965" s="47">
        <v>25.46</v>
      </c>
      <c r="AR965" s="47">
        <v>2.62</v>
      </c>
      <c r="AS965" s="47">
        <v>134.84</v>
      </c>
      <c r="AT965" s="47" t="s">
        <v>107</v>
      </c>
      <c r="AU965" s="47" t="s">
        <v>109</v>
      </c>
      <c r="AV965" s="47" t="s">
        <v>133</v>
      </c>
      <c r="AW965" s="47" t="s">
        <v>85</v>
      </c>
      <c r="AX965" s="47" t="s">
        <v>86</v>
      </c>
      <c r="AY965" s="47">
        <v>0</v>
      </c>
      <c r="AZ965" s="47">
        <v>0</v>
      </c>
      <c r="BA965" s="47" t="s">
        <v>391</v>
      </c>
      <c r="BB965" s="47" t="s">
        <v>134</v>
      </c>
      <c r="BC965" s="47" t="s">
        <v>134</v>
      </c>
      <c r="BD965" s="47" t="s">
        <v>134</v>
      </c>
      <c r="BE965" s="47" t="s">
        <v>1905</v>
      </c>
      <c r="BF965" s="47">
        <v>88</v>
      </c>
      <c r="BG965" s="47">
        <v>0</v>
      </c>
      <c r="BH965" s="47">
        <v>160</v>
      </c>
      <c r="BI965" s="47">
        <v>0.13</v>
      </c>
      <c r="BJ965" s="47">
        <v>16248</v>
      </c>
      <c r="BK965" s="47" t="s">
        <v>91</v>
      </c>
      <c r="BL965" s="47" t="s">
        <v>116</v>
      </c>
      <c r="BM965" s="47">
        <v>1</v>
      </c>
      <c r="BN965" s="47" t="s">
        <v>2177</v>
      </c>
      <c r="BO965" s="47" t="s">
        <v>312</v>
      </c>
      <c r="BP965" s="47" t="s">
        <v>312</v>
      </c>
      <c r="BQ965" s="47" t="s">
        <v>117</v>
      </c>
      <c r="BR965" s="47" t="s">
        <v>134</v>
      </c>
      <c r="BS965" s="47" t="s">
        <v>312</v>
      </c>
      <c r="BT965" s="47" t="s">
        <v>312</v>
      </c>
      <c r="BU965" s="47">
        <v>1998</v>
      </c>
      <c r="BV965" s="47">
        <v>2007</v>
      </c>
      <c r="BW965" s="47" t="s">
        <v>901</v>
      </c>
      <c r="BX965" s="47" t="s">
        <v>95</v>
      </c>
      <c r="BY965" s="47" t="s">
        <v>96</v>
      </c>
      <c r="BZ965" s="47">
        <v>0</v>
      </c>
      <c r="CA965" s="47">
        <v>0</v>
      </c>
      <c r="CB965" s="47" t="s">
        <v>97</v>
      </c>
      <c r="CC965" s="47" t="s">
        <v>1375</v>
      </c>
      <c r="CD965" s="47">
        <v>0</v>
      </c>
      <c r="CE965" s="47" t="s">
        <v>97</v>
      </c>
      <c r="CF965" s="47">
        <v>0</v>
      </c>
      <c r="CG965" s="47" t="s">
        <v>97</v>
      </c>
      <c r="CH965" s="47">
        <v>0</v>
      </c>
      <c r="CI965" s="47" t="s">
        <v>116</v>
      </c>
      <c r="CJ965" s="47" t="s">
        <v>98</v>
      </c>
      <c r="CK965" s="47">
        <v>27</v>
      </c>
      <c r="CL965" s="47">
        <v>0</v>
      </c>
      <c r="CM965" s="47">
        <v>0</v>
      </c>
      <c r="CN965" s="47" t="s">
        <v>99</v>
      </c>
      <c r="CO965" s="47" t="s">
        <v>97</v>
      </c>
      <c r="CP965" s="47" t="s">
        <v>100</v>
      </c>
      <c r="CQ965" s="47" t="s">
        <v>126</v>
      </c>
      <c r="CR965" s="48">
        <v>46252</v>
      </c>
      <c r="CT965" s="47" t="s">
        <v>543</v>
      </c>
    </row>
    <row r="966" spans="1:98" s="47" customFormat="1" x14ac:dyDescent="0.35">
      <c r="A966" s="46" t="s">
        <v>1912</v>
      </c>
      <c r="B966" s="46" t="s">
        <v>1917</v>
      </c>
      <c r="C966" s="47" t="s">
        <v>1913</v>
      </c>
      <c r="D966" s="47">
        <v>2021</v>
      </c>
      <c r="E966" s="46" t="s">
        <v>1914</v>
      </c>
      <c r="F966" s="46" t="s">
        <v>1915</v>
      </c>
      <c r="G966" s="47" t="s">
        <v>78</v>
      </c>
      <c r="H966" s="47">
        <v>1</v>
      </c>
      <c r="I966" s="47" t="s">
        <v>290</v>
      </c>
      <c r="J966" s="47" t="s">
        <v>79</v>
      </c>
      <c r="K966" s="47">
        <v>482</v>
      </c>
      <c r="L966" s="47" t="s">
        <v>104</v>
      </c>
      <c r="M966" s="47" t="s">
        <v>380</v>
      </c>
      <c r="N966" s="47">
        <v>4.0000000000000002E-4</v>
      </c>
      <c r="O966" s="47">
        <v>2E-3</v>
      </c>
      <c r="P966" s="92">
        <f t="shared" si="391"/>
        <v>0.2</v>
      </c>
      <c r="Q966" s="47" t="s">
        <v>312</v>
      </c>
      <c r="R966" s="92">
        <f t="shared" si="392"/>
        <v>-3.5199999999999997E-3</v>
      </c>
      <c r="S966" s="92">
        <f t="shared" si="393"/>
        <v>4.3200000000000001E-3</v>
      </c>
      <c r="T966" s="47">
        <v>1</v>
      </c>
      <c r="U966" s="47">
        <v>1593247</v>
      </c>
      <c r="V966" s="47" t="s">
        <v>312</v>
      </c>
      <c r="W966" s="47" t="s">
        <v>312</v>
      </c>
      <c r="X966" s="47">
        <f t="shared" si="398"/>
        <v>1593247</v>
      </c>
      <c r="Y966" s="92">
        <f t="shared" si="394"/>
        <v>1.5844861067287181E-4</v>
      </c>
      <c r="Z966" s="92">
        <f t="shared" si="395"/>
        <v>7.9224305336435903E-4</v>
      </c>
      <c r="AA966" s="92">
        <f t="shared" si="399"/>
        <v>1.5844861067287181E-4</v>
      </c>
      <c r="AB966" s="47" t="s">
        <v>81</v>
      </c>
      <c r="AC966" s="92">
        <f t="shared" si="400"/>
        <v>2.1408000000000003E-2</v>
      </c>
      <c r="AD966" s="92" cm="1">
        <f t="array" ref="AD966">_xlfn.IFS(
AND(L966="marginal_effect",M966="level"),N966*AN966/BF966,
AND(L966="marginal_effect",M966="sd (Y)"),N966*BI966*AN966/BF966,
AND(L966="marginal_effect",M966="sd (X)"),N966/AQ966*AN966/BF966,
AND(L966="semi_elasticity",M966="level"),N966*AN966,
AND(L966="semi_elasticity",M966="sd (Y)"),N966*AN966*BI966,
AND(L966="semi_elasticity",M966="sd (X)"),N966*AN966/AQ966,
AND(L966="level-log",M966="level"),N966/BF966,
AND(L966="level-log",M966="sd (X)"),N966/BF966/AQ966,
AND(L966="level-log",M966="sd (Y)"),N966/BF966*BI966,
AND(L966="elasticity",M966="level"),N966,
AND(L966="elasticity",M966="sd (X)"),N966/AQ966,
AND(L966="elasticity",M966="sd (Y)"),N966*BI966,
AND(L966="marginal_effect",M966="percent_of_mean"),N966*AN966/BF966/10)</f>
        <v>2.1408000000000003E-2</v>
      </c>
      <c r="AE966" s="51">
        <f t="shared" si="401"/>
        <v>1</v>
      </c>
      <c r="AF966" s="92">
        <f t="shared" si="396"/>
        <v>0.10704000000000001</v>
      </c>
      <c r="AG966" s="92" cm="1">
        <f t="array" ref="AG966">_xlfn.IFS(
AND(L966="marginal_effect",M966="level"),O966*AN966/BF966,
AND(L966="marginal_effect",M966="sd (Y)"),O966*BI966*AN966/BF966,
AND(L966="marginal_effect",M966="sd (X)"),O966/AQ966*AN966/BF966,
AND(L966="semi_elasticity",M966="level"),O966*AN966,
AND(L966="semi_elasticity",M966="sd (Y)"),O966*AN966*BI966,
AND(L966="semi_elasticity",M966="sd (X)"),O966*AN966/AQ966,
AND(L966="level-log",M966="level"),O966/BF966,
AND(L966="level-log",M966="sd (X)"),O966/BF966/AQ966,
AND(L966="level-log",M966="sd (Y)"),O966/BF966*BI966,
AND(L966="elasticity",M966="level"),O966,
AND(L966="elasticity",M966="sd (X)"),O966/AQ966,
AND(L966="elasticity",M966="sd (Y)"),O966*BI966,
AND(L966="marginal_effect",M966="percent_of_mean"),O966*AN966/BF966/10)</f>
        <v>0.10704000000000001</v>
      </c>
      <c r="AH966" s="51">
        <f t="shared" si="389"/>
        <v>1</v>
      </c>
      <c r="AI966" s="92">
        <f t="shared" si="402"/>
        <v>2.1408000000000003E-2</v>
      </c>
      <c r="AJ966" s="47">
        <v>0</v>
      </c>
      <c r="AK966" s="47">
        <f t="shared" si="397"/>
        <v>1</v>
      </c>
      <c r="AL966" s="47" t="s">
        <v>82</v>
      </c>
      <c r="AM966" s="47" t="s">
        <v>1333</v>
      </c>
      <c r="AN966" s="47">
        <v>53.52</v>
      </c>
      <c r="AO966" s="47">
        <v>0</v>
      </c>
      <c r="AP966" s="47">
        <f t="shared" si="403"/>
        <v>53.52</v>
      </c>
      <c r="AQ966" s="47">
        <v>25.46</v>
      </c>
      <c r="AR966" s="47">
        <v>2.62</v>
      </c>
      <c r="AS966" s="47">
        <v>134.84</v>
      </c>
      <c r="AT966" s="47" t="s">
        <v>107</v>
      </c>
      <c r="AU966" s="47" t="s">
        <v>109</v>
      </c>
      <c r="AV966" s="47" t="s">
        <v>133</v>
      </c>
      <c r="AW966" s="47" t="s">
        <v>85</v>
      </c>
      <c r="AX966" s="47" t="s">
        <v>86</v>
      </c>
      <c r="AY966" s="47">
        <v>0</v>
      </c>
      <c r="AZ966" s="47">
        <v>0</v>
      </c>
      <c r="BA966" s="47" t="s">
        <v>391</v>
      </c>
      <c r="BB966" s="47" t="s">
        <v>134</v>
      </c>
      <c r="BC966" s="47" t="s">
        <v>134</v>
      </c>
      <c r="BD966" s="47" t="s">
        <v>134</v>
      </c>
      <c r="BE966" s="47" t="s">
        <v>1905</v>
      </c>
      <c r="BF966" s="47">
        <v>88</v>
      </c>
      <c r="BG966" s="47">
        <v>0</v>
      </c>
      <c r="BH966" s="47">
        <v>160</v>
      </c>
      <c r="BI966" s="47">
        <v>0.13</v>
      </c>
      <c r="BJ966" s="47">
        <v>16248</v>
      </c>
      <c r="BK966" s="47" t="s">
        <v>91</v>
      </c>
      <c r="BL966" s="47" t="s">
        <v>116</v>
      </c>
      <c r="BM966" s="47">
        <v>1</v>
      </c>
      <c r="BN966" s="47" t="s">
        <v>2177</v>
      </c>
      <c r="BO966" s="47" t="s">
        <v>312</v>
      </c>
      <c r="BP966" s="47" t="s">
        <v>312</v>
      </c>
      <c r="BQ966" s="47" t="s">
        <v>117</v>
      </c>
      <c r="BR966" s="47" t="s">
        <v>134</v>
      </c>
      <c r="BS966" s="47" t="s">
        <v>312</v>
      </c>
      <c r="BT966" s="47" t="s">
        <v>312</v>
      </c>
      <c r="BU966" s="47">
        <v>1998</v>
      </c>
      <c r="BV966" s="47">
        <v>2007</v>
      </c>
      <c r="BW966" s="47" t="s">
        <v>901</v>
      </c>
      <c r="BX966" s="47" t="s">
        <v>95</v>
      </c>
      <c r="BY966" s="47" t="s">
        <v>96</v>
      </c>
      <c r="BZ966" s="47">
        <v>0</v>
      </c>
      <c r="CA966" s="47">
        <v>0</v>
      </c>
      <c r="CB966" s="47" t="s">
        <v>97</v>
      </c>
      <c r="CC966" s="47" t="s">
        <v>1375</v>
      </c>
      <c r="CD966" s="47">
        <v>1</v>
      </c>
      <c r="CE966" s="47" t="s">
        <v>1920</v>
      </c>
      <c r="CF966" s="47">
        <v>0</v>
      </c>
      <c r="CG966" s="47" t="s">
        <v>97</v>
      </c>
      <c r="CH966" s="47">
        <v>0</v>
      </c>
      <c r="CI966" s="47" t="s">
        <v>116</v>
      </c>
      <c r="CJ966" s="47" t="s">
        <v>98</v>
      </c>
      <c r="CK966" s="47">
        <v>27</v>
      </c>
      <c r="CL966" s="47">
        <v>0</v>
      </c>
      <c r="CM966" s="47">
        <v>0</v>
      </c>
      <c r="CN966" s="47" t="s">
        <v>99</v>
      </c>
      <c r="CO966" s="47" t="s">
        <v>97</v>
      </c>
      <c r="CP966" s="47" t="s">
        <v>100</v>
      </c>
      <c r="CQ966" s="47" t="s">
        <v>126</v>
      </c>
      <c r="CR966" s="48">
        <v>46252</v>
      </c>
      <c r="CT966" s="47" t="s">
        <v>549</v>
      </c>
    </row>
    <row r="967" spans="1:98" s="47" customFormat="1" x14ac:dyDescent="0.35">
      <c r="A967" s="46" t="s">
        <v>1912</v>
      </c>
      <c r="B967" s="46" t="s">
        <v>1918</v>
      </c>
      <c r="C967" s="47" t="s">
        <v>1913</v>
      </c>
      <c r="D967" s="47">
        <v>2021</v>
      </c>
      <c r="E967" s="46" t="s">
        <v>1914</v>
      </c>
      <c r="F967" s="46" t="s">
        <v>1915</v>
      </c>
      <c r="G967" s="47" t="s">
        <v>78</v>
      </c>
      <c r="H967" s="47">
        <v>1</v>
      </c>
      <c r="I967" s="47" t="s">
        <v>290</v>
      </c>
      <c r="J967" s="47" t="s">
        <v>79</v>
      </c>
      <c r="K967" s="47">
        <v>482</v>
      </c>
      <c r="L967" s="47" t="s">
        <v>104</v>
      </c>
      <c r="M967" s="47" t="s">
        <v>380</v>
      </c>
      <c r="N967" s="47">
        <v>-8.0000000000000002E-3</v>
      </c>
      <c r="O967" s="47">
        <v>1.6000000000000001E-3</v>
      </c>
      <c r="P967" s="92">
        <f t="shared" si="391"/>
        <v>-5</v>
      </c>
      <c r="Q967" s="47" t="s">
        <v>312</v>
      </c>
      <c r="R967" s="92">
        <f t="shared" si="392"/>
        <v>-1.1136E-2</v>
      </c>
      <c r="S967" s="92">
        <f t="shared" si="393"/>
        <v>-4.8640000000000003E-3</v>
      </c>
      <c r="T967" s="47">
        <v>1</v>
      </c>
      <c r="U967" s="47">
        <v>1593247</v>
      </c>
      <c r="V967" s="47" t="s">
        <v>312</v>
      </c>
      <c r="W967" s="47" t="s">
        <v>312</v>
      </c>
      <c r="X967" s="47">
        <f t="shared" si="398"/>
        <v>1593247</v>
      </c>
      <c r="Y967" s="92">
        <f t="shared" si="394"/>
        <v>-3.9611842387486567E-3</v>
      </c>
      <c r="Z967" s="92">
        <f t="shared" si="395"/>
        <v>7.9223684774973129E-4</v>
      </c>
      <c r="AA967" s="92">
        <f t="shared" si="399"/>
        <v>-3.9611842387486567E-3</v>
      </c>
      <c r="AB967" s="47" t="s">
        <v>81</v>
      </c>
      <c r="AC967" s="92">
        <f t="shared" si="400"/>
        <v>-0.42816000000000004</v>
      </c>
      <c r="AD967" s="92" cm="1">
        <f t="array" ref="AD967">_xlfn.IFS(
AND(L967="marginal_effect",M967="level"),N967*AN967/BF967,
AND(L967="marginal_effect",M967="sd (Y)"),N967*BI967*AN967/BF967,
AND(L967="marginal_effect",M967="sd (X)"),N967/AQ967*AN967/BF967,
AND(L967="semi_elasticity",M967="level"),N967*AN967,
AND(L967="semi_elasticity",M967="sd (Y)"),N967*AN967*BI967,
AND(L967="semi_elasticity",M967="sd (X)"),N967*AN967/AQ967,
AND(L967="level-log",M967="level"),N967/BF967,
AND(L967="level-log",M967="sd (X)"),N967/BF967/AQ967,
AND(L967="level-log",M967="sd (Y)"),N967/BF967*BI967,
AND(L967="elasticity",M967="level"),N967,
AND(L967="elasticity",M967="sd (X)"),N967/AQ967,
AND(L967="elasticity",M967="sd (Y)"),N967*BI967,
AND(L967="marginal_effect",M967="percent_of_mean"),N967*AN967/BF967/10)</f>
        <v>-0.42816000000000004</v>
      </c>
      <c r="AE967" s="51">
        <f t="shared" si="401"/>
        <v>1</v>
      </c>
      <c r="AF967" s="92">
        <f t="shared" si="396"/>
        <v>8.5632000000000014E-2</v>
      </c>
      <c r="AG967" s="92" cm="1">
        <f t="array" ref="AG967">_xlfn.IFS(
AND(L967="marginal_effect",M967="level"),O967*AN967/BF967,
AND(L967="marginal_effect",M967="sd (Y)"),O967*BI967*AN967/BF967,
AND(L967="marginal_effect",M967="sd (X)"),O967/AQ967*AN967/BF967,
AND(L967="semi_elasticity",M967="level"),O967*AN967,
AND(L967="semi_elasticity",M967="sd (Y)"),O967*AN967*BI967,
AND(L967="semi_elasticity",M967="sd (X)"),O967*AN967/AQ967,
AND(L967="level-log",M967="level"),O967/BF967,
AND(L967="level-log",M967="sd (X)"),O967/BF967/AQ967,
AND(L967="level-log",M967="sd (Y)"),O967/BF967*BI967,
AND(L967="elasticity",M967="level"),O967,
AND(L967="elasticity",M967="sd (X)"),O967/AQ967,
AND(L967="elasticity",M967="sd (Y)"),O967*BI967,
AND(L967="marginal_effect",M967="percent_of_mean"),O967*AN967/BF967/10)</f>
        <v>8.5632000000000014E-2</v>
      </c>
      <c r="AH967" s="51">
        <f t="shared" si="389"/>
        <v>1</v>
      </c>
      <c r="AI967" s="92">
        <f t="shared" si="402"/>
        <v>-0.42816000000000004</v>
      </c>
      <c r="AJ967" s="47">
        <v>0</v>
      </c>
      <c r="AK967" s="47">
        <f t="shared" si="397"/>
        <v>1</v>
      </c>
      <c r="AL967" s="47" t="s">
        <v>82</v>
      </c>
      <c r="AM967" s="47" t="s">
        <v>1333</v>
      </c>
      <c r="AN967" s="47">
        <v>53.52</v>
      </c>
      <c r="AO967" s="47">
        <v>0</v>
      </c>
      <c r="AP967" s="47">
        <f t="shared" si="403"/>
        <v>53.52</v>
      </c>
      <c r="AQ967" s="47">
        <v>25.46</v>
      </c>
      <c r="AR967" s="47">
        <v>2.62</v>
      </c>
      <c r="AS967" s="47">
        <v>134.84</v>
      </c>
      <c r="AT967" s="47" t="s">
        <v>107</v>
      </c>
      <c r="AU967" s="47" t="s">
        <v>109</v>
      </c>
      <c r="AV967" s="47" t="s">
        <v>133</v>
      </c>
      <c r="AW967" s="47" t="s">
        <v>85</v>
      </c>
      <c r="AX967" s="47" t="s">
        <v>86</v>
      </c>
      <c r="AY967" s="47">
        <v>0</v>
      </c>
      <c r="AZ967" s="47">
        <v>0</v>
      </c>
      <c r="BA967" s="47" t="s">
        <v>391</v>
      </c>
      <c r="BB967" s="47" t="s">
        <v>134</v>
      </c>
      <c r="BC967" s="47" t="s">
        <v>134</v>
      </c>
      <c r="BD967" s="47" t="s">
        <v>134</v>
      </c>
      <c r="BE967" s="47" t="s">
        <v>1905</v>
      </c>
      <c r="BF967" s="47">
        <v>88</v>
      </c>
      <c r="BG967" s="47">
        <v>0</v>
      </c>
      <c r="BH967" s="47">
        <v>160</v>
      </c>
      <c r="BI967" s="47">
        <v>0.13</v>
      </c>
      <c r="BJ967" s="47">
        <v>16248</v>
      </c>
      <c r="BK967" s="47" t="s">
        <v>91</v>
      </c>
      <c r="BL967" s="47" t="s">
        <v>116</v>
      </c>
      <c r="BM967" s="47">
        <v>1</v>
      </c>
      <c r="BN967" s="47" t="s">
        <v>2177</v>
      </c>
      <c r="BO967" s="47" t="s">
        <v>312</v>
      </c>
      <c r="BP967" s="47" t="s">
        <v>312</v>
      </c>
      <c r="BQ967" s="47" t="s">
        <v>117</v>
      </c>
      <c r="BR967" s="47" t="s">
        <v>134</v>
      </c>
      <c r="BS967" s="47" t="s">
        <v>312</v>
      </c>
      <c r="BT967" s="47" t="s">
        <v>312</v>
      </c>
      <c r="BU967" s="47">
        <v>1998</v>
      </c>
      <c r="BV967" s="47">
        <v>2007</v>
      </c>
      <c r="BW967" s="47" t="s">
        <v>901</v>
      </c>
      <c r="BX967" s="47" t="s">
        <v>95</v>
      </c>
      <c r="BY967" s="47" t="s">
        <v>748</v>
      </c>
      <c r="BZ967" s="47">
        <v>1</v>
      </c>
      <c r="CA967" s="47">
        <v>1</v>
      </c>
      <c r="CB967" s="47" t="s">
        <v>303</v>
      </c>
      <c r="CC967" s="47" t="s">
        <v>1375</v>
      </c>
      <c r="CD967" s="47">
        <v>0</v>
      </c>
      <c r="CE967" s="47" t="s">
        <v>97</v>
      </c>
      <c r="CF967" s="47">
        <v>0</v>
      </c>
      <c r="CG967" s="47" t="s">
        <v>97</v>
      </c>
      <c r="CH967" s="47">
        <v>0</v>
      </c>
      <c r="CI967" s="47" t="s">
        <v>116</v>
      </c>
      <c r="CJ967" s="47" t="s">
        <v>98</v>
      </c>
      <c r="CK967" s="47">
        <v>27</v>
      </c>
      <c r="CL967" s="47">
        <v>0</v>
      </c>
      <c r="CM967" s="47">
        <v>0</v>
      </c>
      <c r="CN967" s="47" t="s">
        <v>99</v>
      </c>
      <c r="CO967" s="47" t="s">
        <v>97</v>
      </c>
      <c r="CP967" s="47" t="s">
        <v>100</v>
      </c>
      <c r="CQ967" s="47" t="s">
        <v>126</v>
      </c>
      <c r="CR967" s="48">
        <v>46252</v>
      </c>
      <c r="CT967" s="47" t="s">
        <v>552</v>
      </c>
    </row>
    <row r="968" spans="1:98" s="47" customFormat="1" x14ac:dyDescent="0.35">
      <c r="A968" s="46" t="s">
        <v>1912</v>
      </c>
      <c r="B968" s="46" t="s">
        <v>1919</v>
      </c>
      <c r="C968" s="47" t="s">
        <v>1913</v>
      </c>
      <c r="D968" s="47">
        <v>2021</v>
      </c>
      <c r="E968" s="46" t="s">
        <v>1914</v>
      </c>
      <c r="F968" s="46" t="s">
        <v>1915</v>
      </c>
      <c r="G968" s="47" t="s">
        <v>78</v>
      </c>
      <c r="H968" s="47">
        <v>1</v>
      </c>
      <c r="I968" s="47" t="s">
        <v>290</v>
      </c>
      <c r="J968" s="47" t="s">
        <v>79</v>
      </c>
      <c r="K968" s="47">
        <v>482</v>
      </c>
      <c r="L968" s="47" t="s">
        <v>104</v>
      </c>
      <c r="M968" s="47" t="s">
        <v>380</v>
      </c>
      <c r="N968" s="47">
        <v>-8.2000000000000007E-3</v>
      </c>
      <c r="O968" s="47">
        <v>1.4E-3</v>
      </c>
      <c r="P968" s="92">
        <f t="shared" si="391"/>
        <v>-5.8571428571428577</v>
      </c>
      <c r="Q968" s="47" t="s">
        <v>312</v>
      </c>
      <c r="R968" s="92">
        <f t="shared" si="392"/>
        <v>-1.0944000000000001E-2</v>
      </c>
      <c r="S968" s="92">
        <f t="shared" si="393"/>
        <v>-5.4560000000000008E-3</v>
      </c>
      <c r="T968" s="47">
        <v>1</v>
      </c>
      <c r="U968" s="47">
        <v>1593247</v>
      </c>
      <c r="V968" s="47" t="s">
        <v>312</v>
      </c>
      <c r="W968" s="47" t="s">
        <v>312</v>
      </c>
      <c r="X968" s="47">
        <f t="shared" si="398"/>
        <v>1593247</v>
      </c>
      <c r="Y968" s="92">
        <f t="shared" si="394"/>
        <v>-4.6402308424494249E-3</v>
      </c>
      <c r="Z968" s="92">
        <f t="shared" si="395"/>
        <v>7.9223453407673103E-4</v>
      </c>
      <c r="AA968" s="92">
        <f t="shared" si="399"/>
        <v>-4.6402308424494249E-3</v>
      </c>
      <c r="AB968" s="47" t="s">
        <v>81</v>
      </c>
      <c r="AC968" s="92">
        <f t="shared" si="400"/>
        <v>-0.43886400000000009</v>
      </c>
      <c r="AD968" s="92" cm="1">
        <f t="array" ref="AD968">_xlfn.IFS(
AND(L968="marginal_effect",M968="level"),N968*AN968/BF968,
AND(L968="marginal_effect",M968="sd (Y)"),N968*BI968*AN968/BF968,
AND(L968="marginal_effect",M968="sd (X)"),N968/AQ968*AN968/BF968,
AND(L968="semi_elasticity",M968="level"),N968*AN968,
AND(L968="semi_elasticity",M968="sd (Y)"),N968*AN968*BI968,
AND(L968="semi_elasticity",M968="sd (X)"),N968*AN968/AQ968,
AND(L968="level-log",M968="level"),N968/BF968,
AND(L968="level-log",M968="sd (X)"),N968/BF968/AQ968,
AND(L968="level-log",M968="sd (Y)"),N968/BF968*BI968,
AND(L968="elasticity",M968="level"),N968,
AND(L968="elasticity",M968="sd (X)"),N968/AQ968,
AND(L968="elasticity",M968="sd (Y)"),N968*BI968,
AND(L968="marginal_effect",M968="percent_of_mean"),N968*AN968/BF968/10)</f>
        <v>-0.43886400000000009</v>
      </c>
      <c r="AE968" s="51">
        <f t="shared" si="401"/>
        <v>1</v>
      </c>
      <c r="AF968" s="92">
        <f t="shared" si="396"/>
        <v>7.4928000000000008E-2</v>
      </c>
      <c r="AG968" s="92" cm="1">
        <f t="array" ref="AG968">_xlfn.IFS(
AND(L968="marginal_effect",M968="level"),O968*AN968/BF968,
AND(L968="marginal_effect",M968="sd (Y)"),O968*BI968*AN968/BF968,
AND(L968="marginal_effect",M968="sd (X)"),O968/AQ968*AN968/BF968,
AND(L968="semi_elasticity",M968="level"),O968*AN968,
AND(L968="semi_elasticity",M968="sd (Y)"),O968*AN968*BI968,
AND(L968="semi_elasticity",M968="sd (X)"),O968*AN968/AQ968,
AND(L968="level-log",M968="level"),O968/BF968,
AND(L968="level-log",M968="sd (X)"),O968/BF968/AQ968,
AND(L968="level-log",M968="sd (Y)"),O968/BF968*BI968,
AND(L968="elasticity",M968="level"),O968,
AND(L968="elasticity",M968="sd (X)"),O968/AQ968,
AND(L968="elasticity",M968="sd (Y)"),O968*BI968,
AND(L968="marginal_effect",M968="percent_of_mean"),O968*AN968/BF968/10)</f>
        <v>7.4928000000000008E-2</v>
      </c>
      <c r="AH968" s="51">
        <f t="shared" si="389"/>
        <v>1</v>
      </c>
      <c r="AI968" s="92">
        <f t="shared" si="402"/>
        <v>-0.43886400000000009</v>
      </c>
      <c r="AJ968" s="47">
        <v>0</v>
      </c>
      <c r="AK968" s="47">
        <f t="shared" si="397"/>
        <v>1</v>
      </c>
      <c r="AL968" s="47" t="s">
        <v>82</v>
      </c>
      <c r="AM968" s="47" t="s">
        <v>1333</v>
      </c>
      <c r="AN968" s="47">
        <v>53.52</v>
      </c>
      <c r="AO968" s="47">
        <v>0</v>
      </c>
      <c r="AP968" s="47">
        <f t="shared" si="403"/>
        <v>53.52</v>
      </c>
      <c r="AQ968" s="47">
        <v>25.46</v>
      </c>
      <c r="AR968" s="47">
        <v>2.62</v>
      </c>
      <c r="AS968" s="47">
        <v>134.84</v>
      </c>
      <c r="AT968" s="47" t="s">
        <v>107</v>
      </c>
      <c r="AU968" s="47" t="s">
        <v>109</v>
      </c>
      <c r="AV968" s="47" t="s">
        <v>133</v>
      </c>
      <c r="AW968" s="47" t="s">
        <v>85</v>
      </c>
      <c r="AX968" s="47" t="s">
        <v>86</v>
      </c>
      <c r="AY968" s="47">
        <v>0</v>
      </c>
      <c r="AZ968" s="47">
        <v>0</v>
      </c>
      <c r="BA968" s="47" t="s">
        <v>391</v>
      </c>
      <c r="BB968" s="47" t="s">
        <v>134</v>
      </c>
      <c r="BC968" s="47" t="s">
        <v>134</v>
      </c>
      <c r="BD968" s="47" t="s">
        <v>134</v>
      </c>
      <c r="BE968" s="47" t="s">
        <v>1905</v>
      </c>
      <c r="BF968" s="47">
        <v>88</v>
      </c>
      <c r="BG968" s="47">
        <v>0</v>
      </c>
      <c r="BH968" s="47">
        <v>160</v>
      </c>
      <c r="BI968" s="47">
        <v>0.13</v>
      </c>
      <c r="BJ968" s="47">
        <v>16248</v>
      </c>
      <c r="BK968" s="47" t="s">
        <v>91</v>
      </c>
      <c r="BL968" s="47" t="s">
        <v>116</v>
      </c>
      <c r="BM968" s="47">
        <v>1</v>
      </c>
      <c r="BN968" s="47" t="s">
        <v>2177</v>
      </c>
      <c r="BO968" s="47" t="s">
        <v>312</v>
      </c>
      <c r="BP968" s="47" t="s">
        <v>312</v>
      </c>
      <c r="BQ968" s="47" t="s">
        <v>117</v>
      </c>
      <c r="BR968" s="47" t="s">
        <v>134</v>
      </c>
      <c r="BS968" s="47" t="s">
        <v>312</v>
      </c>
      <c r="BT968" s="47" t="s">
        <v>312</v>
      </c>
      <c r="BU968" s="47">
        <v>1998</v>
      </c>
      <c r="BV968" s="47">
        <v>2007</v>
      </c>
      <c r="BW968" s="47" t="s">
        <v>901</v>
      </c>
      <c r="BX968" s="47" t="s">
        <v>95</v>
      </c>
      <c r="BY968" s="47" t="s">
        <v>748</v>
      </c>
      <c r="BZ968" s="47">
        <v>1</v>
      </c>
      <c r="CA968" s="47">
        <v>1</v>
      </c>
      <c r="CB968" s="47" t="s">
        <v>303</v>
      </c>
      <c r="CC968" s="47" t="s">
        <v>1375</v>
      </c>
      <c r="CD968" s="47">
        <v>1</v>
      </c>
      <c r="CE968" s="47" t="s">
        <v>1920</v>
      </c>
      <c r="CF968" s="47">
        <v>0</v>
      </c>
      <c r="CG968" s="47" t="s">
        <v>97</v>
      </c>
      <c r="CH968" s="47">
        <v>0</v>
      </c>
      <c r="CI968" s="47" t="s">
        <v>116</v>
      </c>
      <c r="CJ968" s="47" t="s">
        <v>98</v>
      </c>
      <c r="CK968" s="47">
        <v>27</v>
      </c>
      <c r="CL968" s="47">
        <v>1</v>
      </c>
      <c r="CM968" s="47">
        <v>1</v>
      </c>
      <c r="CN968" s="47" t="s">
        <v>99</v>
      </c>
      <c r="CO968" s="47" t="s">
        <v>97</v>
      </c>
      <c r="CP968" s="47" t="s">
        <v>100</v>
      </c>
      <c r="CQ968" s="47" t="s">
        <v>126</v>
      </c>
      <c r="CR968" s="48">
        <v>46252</v>
      </c>
      <c r="CT968" s="47" t="s">
        <v>553</v>
      </c>
    </row>
    <row r="969" spans="1:98" s="47" customFormat="1" x14ac:dyDescent="0.35">
      <c r="A969" s="46" t="s">
        <v>1912</v>
      </c>
      <c r="B969" s="46" t="s">
        <v>1921</v>
      </c>
      <c r="C969" s="47" t="s">
        <v>1913</v>
      </c>
      <c r="D969" s="47">
        <v>2021</v>
      </c>
      <c r="E969" s="46" t="s">
        <v>1914</v>
      </c>
      <c r="F969" s="46" t="s">
        <v>1915</v>
      </c>
      <c r="G969" s="47" t="s">
        <v>78</v>
      </c>
      <c r="H969" s="47">
        <v>1</v>
      </c>
      <c r="I969" s="47" t="s">
        <v>290</v>
      </c>
      <c r="J969" s="47" t="s">
        <v>79</v>
      </c>
      <c r="K969" s="47">
        <v>482</v>
      </c>
      <c r="L969" s="47" t="s">
        <v>104</v>
      </c>
      <c r="M969" s="47" t="s">
        <v>380</v>
      </c>
      <c r="N969" s="47">
        <v>-6.1000000000000004E-3</v>
      </c>
      <c r="O969" s="47">
        <v>2.5999999999999999E-3</v>
      </c>
      <c r="P969" s="92">
        <f t="shared" si="391"/>
        <v>-2.3461538461538463</v>
      </c>
      <c r="Q969" s="47" t="s">
        <v>312</v>
      </c>
      <c r="R969" s="92">
        <f t="shared" si="392"/>
        <v>-1.1196000000000001E-2</v>
      </c>
      <c r="S969" s="92">
        <f t="shared" si="393"/>
        <v>-1.0040000000000006E-3</v>
      </c>
      <c r="T969" s="47">
        <v>1</v>
      </c>
      <c r="U969" s="47">
        <v>913848</v>
      </c>
      <c r="V969" s="47" t="s">
        <v>312</v>
      </c>
      <c r="W969" s="47" t="s">
        <v>312</v>
      </c>
      <c r="X969" s="47">
        <f t="shared" si="398"/>
        <v>913848</v>
      </c>
      <c r="Y969" s="92">
        <f t="shared" si="394"/>
        <v>-2.4542465899511671E-3</v>
      </c>
      <c r="Z969" s="92">
        <f t="shared" si="395"/>
        <v>1.0460723170283663E-3</v>
      </c>
      <c r="AA969" s="92">
        <f t="shared" si="399"/>
        <v>-2.4542465899511671E-3</v>
      </c>
      <c r="AB969" s="47" t="s">
        <v>81</v>
      </c>
      <c r="AC969" s="92">
        <f t="shared" si="400"/>
        <v>-0.32647200000000004</v>
      </c>
      <c r="AD969" s="92" cm="1">
        <f t="array" ref="AD969">_xlfn.IFS(
AND(L969="marginal_effect",M969="level"),N969*AN969/BF969,
AND(L969="marginal_effect",M969="sd (Y)"),N969*BI969*AN969/BF969,
AND(L969="marginal_effect",M969="sd (X)"),N969/AQ969*AN969/BF969,
AND(L969="semi_elasticity",M969="level"),N969*AN969,
AND(L969="semi_elasticity",M969="sd (Y)"),N969*AN969*BI969,
AND(L969="semi_elasticity",M969="sd (X)"),N969*AN969/AQ969,
AND(L969="level-log",M969="level"),N969/BF969,
AND(L969="level-log",M969="sd (X)"),N969/BF969/AQ969,
AND(L969="level-log",M969="sd (Y)"),N969/BF969*BI969,
AND(L969="elasticity",M969="level"),N969,
AND(L969="elasticity",M969="sd (X)"),N969/AQ969,
AND(L969="elasticity",M969="sd (Y)"),N969*BI969,
AND(L969="marginal_effect",M969="percent_of_mean"),N969*AN969/BF969/10)</f>
        <v>-0.32647200000000004</v>
      </c>
      <c r="AE969" s="51">
        <f t="shared" si="401"/>
        <v>1</v>
      </c>
      <c r="AF969" s="92">
        <f t="shared" si="396"/>
        <v>0.139152</v>
      </c>
      <c r="AG969" s="92" cm="1">
        <f t="array" ref="AG969">_xlfn.IFS(
AND(L969="marginal_effect",M969="level"),O969*AN969/BF969,
AND(L969="marginal_effect",M969="sd (Y)"),O969*BI969*AN969/BF969,
AND(L969="marginal_effect",M969="sd (X)"),O969/AQ969*AN969/BF969,
AND(L969="semi_elasticity",M969="level"),O969*AN969,
AND(L969="semi_elasticity",M969="sd (Y)"),O969*AN969*BI969,
AND(L969="semi_elasticity",M969="sd (X)"),O969*AN969/AQ969,
AND(L969="level-log",M969="level"),O969/BF969,
AND(L969="level-log",M969="sd (X)"),O969/BF969/AQ969,
AND(L969="level-log",M969="sd (Y)"),O969/BF969*BI969,
AND(L969="elasticity",M969="level"),O969,
AND(L969="elasticity",M969="sd (X)"),O969/AQ969,
AND(L969="elasticity",M969="sd (Y)"),O969*BI969,
AND(L969="marginal_effect",M969="percent_of_mean"),O969*AN969/BF969/10)</f>
        <v>0.139152</v>
      </c>
      <c r="AH969" s="51">
        <f t="shared" si="389"/>
        <v>1</v>
      </c>
      <c r="AI969" s="92">
        <f t="shared" si="402"/>
        <v>-0.32647200000000004</v>
      </c>
      <c r="AJ969" s="47">
        <v>0</v>
      </c>
      <c r="AK969" s="47">
        <f t="shared" si="397"/>
        <v>1</v>
      </c>
      <c r="AL969" s="47" t="s">
        <v>82</v>
      </c>
      <c r="AM969" s="47" t="s">
        <v>1333</v>
      </c>
      <c r="AN969" s="47">
        <v>53.52</v>
      </c>
      <c r="AO969" s="47">
        <v>1</v>
      </c>
      <c r="AP969" s="47">
        <f t="shared" si="403"/>
        <v>53.52</v>
      </c>
      <c r="AQ969" s="47">
        <v>25.46</v>
      </c>
      <c r="AR969" s="47">
        <v>2.62</v>
      </c>
      <c r="AS969" s="47">
        <v>134.84</v>
      </c>
      <c r="AT969" s="47" t="s">
        <v>107</v>
      </c>
      <c r="AU969" s="47" t="s">
        <v>109</v>
      </c>
      <c r="AV969" s="47" t="s">
        <v>133</v>
      </c>
      <c r="AW969" s="47" t="s">
        <v>85</v>
      </c>
      <c r="AX969" s="47" t="s">
        <v>86</v>
      </c>
      <c r="AY969" s="47">
        <v>0</v>
      </c>
      <c r="AZ969" s="47">
        <v>0</v>
      </c>
      <c r="BA969" s="47" t="s">
        <v>391</v>
      </c>
      <c r="BB969" s="47" t="s">
        <v>134</v>
      </c>
      <c r="BC969" s="47" t="s">
        <v>134</v>
      </c>
      <c r="BD969" s="47" t="s">
        <v>134</v>
      </c>
      <c r="BE969" s="47" t="s">
        <v>1905</v>
      </c>
      <c r="BF969" s="47">
        <v>88</v>
      </c>
      <c r="BG969" s="47">
        <v>1</v>
      </c>
      <c r="BH969" s="47">
        <v>160</v>
      </c>
      <c r="BI969" s="47">
        <v>0.13</v>
      </c>
      <c r="BJ969" s="47">
        <v>16248</v>
      </c>
      <c r="BK969" s="47" t="s">
        <v>91</v>
      </c>
      <c r="BL969" s="47" t="s">
        <v>116</v>
      </c>
      <c r="BM969" s="47">
        <v>1</v>
      </c>
      <c r="BN969" s="47" t="s">
        <v>2177</v>
      </c>
      <c r="BO969" s="47" t="s">
        <v>312</v>
      </c>
      <c r="BP969" s="47" t="s">
        <v>312</v>
      </c>
      <c r="BQ969" s="47" t="s">
        <v>117</v>
      </c>
      <c r="BR969" s="47" t="s">
        <v>134</v>
      </c>
      <c r="BS969" s="47" t="s">
        <v>312</v>
      </c>
      <c r="BT969" s="47" t="s">
        <v>312</v>
      </c>
      <c r="BU969" s="47">
        <v>1998</v>
      </c>
      <c r="BV969" s="47">
        <v>2007</v>
      </c>
      <c r="BW969" s="47" t="s">
        <v>901</v>
      </c>
      <c r="BX969" s="47" t="s">
        <v>95</v>
      </c>
      <c r="BY969" s="47" t="s">
        <v>748</v>
      </c>
      <c r="BZ969" s="47">
        <v>1</v>
      </c>
      <c r="CA969" s="47">
        <v>1</v>
      </c>
      <c r="CB969" s="47" t="s">
        <v>303</v>
      </c>
      <c r="CC969" s="47" t="s">
        <v>1375</v>
      </c>
      <c r="CD969" s="47">
        <v>1</v>
      </c>
      <c r="CE969" s="47" t="s">
        <v>1920</v>
      </c>
      <c r="CF969" s="47">
        <v>0</v>
      </c>
      <c r="CG969" s="47" t="s">
        <v>97</v>
      </c>
      <c r="CH969" s="47">
        <v>0</v>
      </c>
      <c r="CI969" s="47" t="s">
        <v>116</v>
      </c>
      <c r="CJ969" s="47" t="s">
        <v>98</v>
      </c>
      <c r="CK969" s="47">
        <v>27</v>
      </c>
      <c r="CL969" s="47">
        <v>0</v>
      </c>
      <c r="CM969" s="47">
        <v>0</v>
      </c>
      <c r="CN969" s="47" t="s">
        <v>124</v>
      </c>
      <c r="CO969" s="47" t="s">
        <v>943</v>
      </c>
      <c r="CP969" s="47" t="s">
        <v>100</v>
      </c>
      <c r="CQ969" s="47" t="s">
        <v>126</v>
      </c>
      <c r="CR969" s="48">
        <v>46252</v>
      </c>
      <c r="CT969" s="47" t="s">
        <v>1923</v>
      </c>
    </row>
    <row r="970" spans="1:98" s="47" customFormat="1" x14ac:dyDescent="0.35">
      <c r="A970" s="46" t="s">
        <v>1912</v>
      </c>
      <c r="B970" s="46" t="s">
        <v>1922</v>
      </c>
      <c r="C970" s="47" t="s">
        <v>1913</v>
      </c>
      <c r="D970" s="47">
        <v>2021</v>
      </c>
      <c r="E970" s="46" t="s">
        <v>1914</v>
      </c>
      <c r="F970" s="46" t="s">
        <v>1915</v>
      </c>
      <c r="G970" s="47" t="s">
        <v>78</v>
      </c>
      <c r="H970" s="47">
        <v>1</v>
      </c>
      <c r="I970" s="47" t="s">
        <v>290</v>
      </c>
      <c r="J970" s="47" t="s">
        <v>79</v>
      </c>
      <c r="K970" s="47">
        <v>482</v>
      </c>
      <c r="L970" s="47" t="s">
        <v>104</v>
      </c>
      <c r="M970" s="47" t="s">
        <v>380</v>
      </c>
      <c r="N970" s="47">
        <v>-5.7999999999999996E-3</v>
      </c>
      <c r="O970" s="47">
        <v>2.7000000000000001E-3</v>
      </c>
      <c r="P970" s="92">
        <f t="shared" si="391"/>
        <v>-2.1481481481481479</v>
      </c>
      <c r="Q970" s="47" t="s">
        <v>312</v>
      </c>
      <c r="R970" s="92">
        <f t="shared" si="392"/>
        <v>-1.1091999999999999E-2</v>
      </c>
      <c r="S970" s="92">
        <f t="shared" si="393"/>
        <v>-5.0799999999999977E-4</v>
      </c>
      <c r="T970" s="47">
        <v>1</v>
      </c>
      <c r="U970" s="47">
        <v>679391</v>
      </c>
      <c r="V970" s="47" t="s">
        <v>312</v>
      </c>
      <c r="W970" s="47" t="s">
        <v>312</v>
      </c>
      <c r="X970" s="47">
        <f t="shared" si="398"/>
        <v>679391</v>
      </c>
      <c r="Y970" s="92">
        <f t="shared" si="394"/>
        <v>-2.6061707114336014E-3</v>
      </c>
      <c r="Z970" s="92">
        <f t="shared" si="395"/>
        <v>1.213217400150125E-3</v>
      </c>
      <c r="AA970" s="92">
        <f t="shared" si="399"/>
        <v>-2.6061707114336014E-3</v>
      </c>
      <c r="AB970" s="47" t="s">
        <v>81</v>
      </c>
      <c r="AC970" s="92">
        <f t="shared" si="400"/>
        <v>-0.31041599999999997</v>
      </c>
      <c r="AD970" s="92" cm="1">
        <f t="array" ref="AD970">_xlfn.IFS(
AND(L970="marginal_effect",M970="level"),N970*AN970/BF970,
AND(L970="marginal_effect",M970="sd (Y)"),N970*BI970*AN970/BF970,
AND(L970="marginal_effect",M970="sd (X)"),N970/AQ970*AN970/BF970,
AND(L970="semi_elasticity",M970="level"),N970*AN970,
AND(L970="semi_elasticity",M970="sd (Y)"),N970*AN970*BI970,
AND(L970="semi_elasticity",M970="sd (X)"),N970*AN970/AQ970,
AND(L970="level-log",M970="level"),N970/BF970,
AND(L970="level-log",M970="sd (X)"),N970/BF970/AQ970,
AND(L970="level-log",M970="sd (Y)"),N970/BF970*BI970,
AND(L970="elasticity",M970="level"),N970,
AND(L970="elasticity",M970="sd (X)"),N970/AQ970,
AND(L970="elasticity",M970="sd (Y)"),N970*BI970,
AND(L970="marginal_effect",M970="percent_of_mean"),N970*AN970/BF970/10)</f>
        <v>-0.31041599999999997</v>
      </c>
      <c r="AE970" s="51">
        <f t="shared" si="401"/>
        <v>1</v>
      </c>
      <c r="AF970" s="92">
        <f t="shared" si="396"/>
        <v>0.14450400000000002</v>
      </c>
      <c r="AG970" s="92" cm="1">
        <f t="array" ref="AG970">_xlfn.IFS(
AND(L970="marginal_effect",M970="level"),O970*AN970/BF970,
AND(L970="marginal_effect",M970="sd (Y)"),O970*BI970*AN970/BF970,
AND(L970="marginal_effect",M970="sd (X)"),O970/AQ970*AN970/BF970,
AND(L970="semi_elasticity",M970="level"),O970*AN970,
AND(L970="semi_elasticity",M970="sd (Y)"),O970*AN970*BI970,
AND(L970="semi_elasticity",M970="sd (X)"),O970*AN970/AQ970,
AND(L970="level-log",M970="level"),O970/BF970,
AND(L970="level-log",M970="sd (X)"),O970/BF970/AQ970,
AND(L970="level-log",M970="sd (Y)"),O970/BF970*BI970,
AND(L970="elasticity",M970="level"),O970,
AND(L970="elasticity",M970="sd (X)"),O970/AQ970,
AND(L970="elasticity",M970="sd (Y)"),O970*BI970,
AND(L970="marginal_effect",M970="percent_of_mean"),O970*AN970/BF970/10)</f>
        <v>0.14450400000000002</v>
      </c>
      <c r="AH970" s="51">
        <f t="shared" si="389"/>
        <v>1</v>
      </c>
      <c r="AI970" s="92">
        <f t="shared" si="402"/>
        <v>-0.31041599999999997</v>
      </c>
      <c r="AJ970" s="47">
        <v>0</v>
      </c>
      <c r="AK970" s="47">
        <f t="shared" si="397"/>
        <v>1</v>
      </c>
      <c r="AL970" s="47" t="s">
        <v>82</v>
      </c>
      <c r="AM970" s="47" t="s">
        <v>1333</v>
      </c>
      <c r="AN970" s="47">
        <v>53.52</v>
      </c>
      <c r="AO970" s="47">
        <v>1</v>
      </c>
      <c r="AP970" s="47">
        <f t="shared" si="403"/>
        <v>53.52</v>
      </c>
      <c r="AQ970" s="47">
        <v>25.46</v>
      </c>
      <c r="AR970" s="47">
        <v>2.62</v>
      </c>
      <c r="AS970" s="47">
        <v>134.84</v>
      </c>
      <c r="AT970" s="47" t="s">
        <v>107</v>
      </c>
      <c r="AU970" s="47" t="s">
        <v>109</v>
      </c>
      <c r="AV970" s="47" t="s">
        <v>133</v>
      </c>
      <c r="AW970" s="47" t="s">
        <v>85</v>
      </c>
      <c r="AX970" s="47" t="s">
        <v>86</v>
      </c>
      <c r="AY970" s="47">
        <v>0</v>
      </c>
      <c r="AZ970" s="47">
        <v>0</v>
      </c>
      <c r="BA970" s="47" t="s">
        <v>391</v>
      </c>
      <c r="BB970" s="47" t="s">
        <v>134</v>
      </c>
      <c r="BC970" s="47" t="s">
        <v>134</v>
      </c>
      <c r="BD970" s="47" t="s">
        <v>134</v>
      </c>
      <c r="BE970" s="47" t="s">
        <v>1905</v>
      </c>
      <c r="BF970" s="47">
        <v>88</v>
      </c>
      <c r="BG970" s="47">
        <v>1</v>
      </c>
      <c r="BH970" s="47">
        <v>160</v>
      </c>
      <c r="BI970" s="47">
        <v>0.13</v>
      </c>
      <c r="BJ970" s="47">
        <v>16248</v>
      </c>
      <c r="BK970" s="47" t="s">
        <v>91</v>
      </c>
      <c r="BL970" s="47" t="s">
        <v>116</v>
      </c>
      <c r="BM970" s="47">
        <v>1</v>
      </c>
      <c r="BN970" s="47" t="s">
        <v>2177</v>
      </c>
      <c r="BO970" s="47" t="s">
        <v>312</v>
      </c>
      <c r="BP970" s="47" t="s">
        <v>312</v>
      </c>
      <c r="BQ970" s="47" t="s">
        <v>117</v>
      </c>
      <c r="BR970" s="47" t="s">
        <v>134</v>
      </c>
      <c r="BS970" s="47" t="s">
        <v>312</v>
      </c>
      <c r="BT970" s="47" t="s">
        <v>312</v>
      </c>
      <c r="BU970" s="47">
        <v>1998</v>
      </c>
      <c r="BV970" s="47">
        <v>2007</v>
      </c>
      <c r="BW970" s="47" t="s">
        <v>901</v>
      </c>
      <c r="BX970" s="47" t="s">
        <v>95</v>
      </c>
      <c r="BY970" s="47" t="s">
        <v>748</v>
      </c>
      <c r="BZ970" s="47">
        <v>1</v>
      </c>
      <c r="CA970" s="47">
        <v>1</v>
      </c>
      <c r="CB970" s="47" t="s">
        <v>303</v>
      </c>
      <c r="CC970" s="47" t="s">
        <v>1375</v>
      </c>
      <c r="CD970" s="47">
        <v>1</v>
      </c>
      <c r="CE970" s="47" t="s">
        <v>1920</v>
      </c>
      <c r="CF970" s="47">
        <v>0</v>
      </c>
      <c r="CG970" s="47" t="s">
        <v>97</v>
      </c>
      <c r="CH970" s="47">
        <v>0</v>
      </c>
      <c r="CI970" s="47" t="s">
        <v>116</v>
      </c>
      <c r="CJ970" s="47" t="s">
        <v>98</v>
      </c>
      <c r="CK970" s="47">
        <v>27</v>
      </c>
      <c r="CL970" s="47">
        <v>0</v>
      </c>
      <c r="CM970" s="47">
        <v>0</v>
      </c>
      <c r="CN970" s="47" t="s">
        <v>124</v>
      </c>
      <c r="CO970" s="47" t="s">
        <v>943</v>
      </c>
      <c r="CP970" s="47" t="s">
        <v>100</v>
      </c>
      <c r="CQ970" s="47" t="s">
        <v>126</v>
      </c>
      <c r="CR970" s="48">
        <v>46252</v>
      </c>
      <c r="CT970" s="47" t="s">
        <v>1924</v>
      </c>
    </row>
    <row r="971" spans="1:98" s="47" customFormat="1" x14ac:dyDescent="0.35">
      <c r="A971" s="46" t="s">
        <v>1912</v>
      </c>
      <c r="B971" s="46" t="s">
        <v>1925</v>
      </c>
      <c r="C971" s="47" t="s">
        <v>1913</v>
      </c>
      <c r="D971" s="47">
        <v>2021</v>
      </c>
      <c r="E971" s="46" t="s">
        <v>1914</v>
      </c>
      <c r="F971" s="46" t="s">
        <v>1915</v>
      </c>
      <c r="G971" s="47" t="s">
        <v>78</v>
      </c>
      <c r="H971" s="47">
        <v>1</v>
      </c>
      <c r="I971" s="47" t="s">
        <v>290</v>
      </c>
      <c r="J971" s="47" t="s">
        <v>79</v>
      </c>
      <c r="K971" s="47">
        <v>482</v>
      </c>
      <c r="L971" s="47" t="s">
        <v>104</v>
      </c>
      <c r="M971" s="47" t="s">
        <v>380</v>
      </c>
      <c r="N971" s="47">
        <v>-8.2000000000000007E-3</v>
      </c>
      <c r="O971" s="47">
        <v>3.8E-3</v>
      </c>
      <c r="P971" s="92">
        <f t="shared" si="391"/>
        <v>-2.1578947368421053</v>
      </c>
      <c r="Q971" s="47" t="s">
        <v>312</v>
      </c>
      <c r="R971" s="92">
        <f t="shared" si="392"/>
        <v>-1.5648000000000002E-2</v>
      </c>
      <c r="S971" s="92">
        <f t="shared" si="393"/>
        <v>-7.5200000000000093E-4</v>
      </c>
      <c r="T971" s="47">
        <v>1</v>
      </c>
      <c r="U971" s="47">
        <v>1593247</v>
      </c>
      <c r="V971" s="47" t="s">
        <v>312</v>
      </c>
      <c r="W971" s="47" t="s">
        <v>312</v>
      </c>
      <c r="X971" s="47">
        <f t="shared" si="398"/>
        <v>1593247</v>
      </c>
      <c r="Y971" s="92">
        <f t="shared" si="394"/>
        <v>-1.7095746383692188E-3</v>
      </c>
      <c r="Z971" s="92">
        <f t="shared" si="395"/>
        <v>7.9224190558573558E-4</v>
      </c>
      <c r="AA971" s="92">
        <f t="shared" si="399"/>
        <v>-1.7095746383692188E-3</v>
      </c>
      <c r="AB971" s="47" t="s">
        <v>81</v>
      </c>
      <c r="AC971" s="92">
        <f t="shared" si="400"/>
        <v>-0.43886400000000009</v>
      </c>
      <c r="AD971" s="92" cm="1">
        <f t="array" ref="AD971">_xlfn.IFS(
AND(L971="marginal_effect",M971="level"),N971*AN971/BF971,
AND(L971="marginal_effect",M971="sd (Y)"),N971*BI971*AN971/BF971,
AND(L971="marginal_effect",M971="sd (X)"),N971/AQ971*AN971/BF971,
AND(L971="semi_elasticity",M971="level"),N971*AN971,
AND(L971="semi_elasticity",M971="sd (Y)"),N971*AN971*BI971,
AND(L971="semi_elasticity",M971="sd (X)"),N971*AN971/AQ971,
AND(L971="level-log",M971="level"),N971/BF971,
AND(L971="level-log",M971="sd (X)"),N971/BF971/AQ971,
AND(L971="level-log",M971="sd (Y)"),N971/BF971*BI971,
AND(L971="elasticity",M971="level"),N971,
AND(L971="elasticity",M971="sd (X)"),N971/AQ971,
AND(L971="elasticity",M971="sd (Y)"),N971*BI971,
AND(L971="marginal_effect",M971="percent_of_mean"),N971*AN971/BF971/10)</f>
        <v>-0.43886400000000009</v>
      </c>
      <c r="AE971" s="51">
        <f t="shared" si="401"/>
        <v>1</v>
      </c>
      <c r="AF971" s="92">
        <f t="shared" si="396"/>
        <v>0.203376</v>
      </c>
      <c r="AG971" s="92" cm="1">
        <f t="array" ref="AG971">_xlfn.IFS(
AND(L971="marginal_effect",M971="level"),O971*AN971/BF971,
AND(L971="marginal_effect",M971="sd (Y)"),O971*BI971*AN971/BF971,
AND(L971="marginal_effect",M971="sd (X)"),O971/AQ971*AN971/BF971,
AND(L971="semi_elasticity",M971="level"),O971*AN971,
AND(L971="semi_elasticity",M971="sd (Y)"),O971*AN971*BI971,
AND(L971="semi_elasticity",M971="sd (X)"),O971*AN971/AQ971,
AND(L971="level-log",M971="level"),O971/BF971,
AND(L971="level-log",M971="sd (X)"),O971/BF971/AQ971,
AND(L971="level-log",M971="sd (Y)"),O971/BF971*BI971,
AND(L971="elasticity",M971="level"),O971,
AND(L971="elasticity",M971="sd (X)"),O971/AQ971,
AND(L971="elasticity",M971="sd (Y)"),O971*BI971,
AND(L971="marginal_effect",M971="percent_of_mean"),O971*AN971/BF971/10)</f>
        <v>0.203376</v>
      </c>
      <c r="AH971" s="51">
        <f t="shared" ref="AH971:AH1002" si="404">IF(AF971=AG971,1,0)</f>
        <v>1</v>
      </c>
      <c r="AI971" s="92">
        <f t="shared" si="402"/>
        <v>-0.43886400000000009</v>
      </c>
      <c r="AJ971" s="47">
        <v>0</v>
      </c>
      <c r="AK971" s="47">
        <f t="shared" si="397"/>
        <v>1</v>
      </c>
      <c r="AL971" s="47" t="s">
        <v>82</v>
      </c>
      <c r="AM971" s="47" t="s">
        <v>1333</v>
      </c>
      <c r="AN971" s="47">
        <v>53.52</v>
      </c>
      <c r="AO971" s="47">
        <v>0</v>
      </c>
      <c r="AP971" s="47">
        <f t="shared" si="403"/>
        <v>53.52</v>
      </c>
      <c r="AQ971" s="47">
        <v>25.46</v>
      </c>
      <c r="AR971" s="47">
        <v>2.62</v>
      </c>
      <c r="AS971" s="47">
        <v>134.84</v>
      </c>
      <c r="AT971" s="47" t="s">
        <v>107</v>
      </c>
      <c r="AU971" s="47" t="s">
        <v>109</v>
      </c>
      <c r="AV971" s="47" t="s">
        <v>133</v>
      </c>
      <c r="AW971" s="47" t="s">
        <v>85</v>
      </c>
      <c r="AX971" s="47" t="s">
        <v>86</v>
      </c>
      <c r="AY971" s="47">
        <v>0</v>
      </c>
      <c r="AZ971" s="47">
        <v>0</v>
      </c>
      <c r="BA971" s="47" t="s">
        <v>391</v>
      </c>
      <c r="BB971" s="47" t="s">
        <v>134</v>
      </c>
      <c r="BC971" s="47" t="s">
        <v>134</v>
      </c>
      <c r="BD971" s="47" t="s">
        <v>134</v>
      </c>
      <c r="BE971" s="47" t="s">
        <v>1905</v>
      </c>
      <c r="BF971" s="47">
        <v>88</v>
      </c>
      <c r="BG971" s="47">
        <v>0</v>
      </c>
      <c r="BH971" s="47">
        <v>160</v>
      </c>
      <c r="BI971" s="47">
        <v>0.13</v>
      </c>
      <c r="BJ971" s="47">
        <v>16248</v>
      </c>
      <c r="BK971" s="47" t="s">
        <v>91</v>
      </c>
      <c r="BL971" s="47" t="s">
        <v>116</v>
      </c>
      <c r="BM971" s="47">
        <v>1</v>
      </c>
      <c r="BN971" s="47" t="s">
        <v>2177</v>
      </c>
      <c r="BO971" s="47" t="s">
        <v>312</v>
      </c>
      <c r="BP971" s="47" t="s">
        <v>312</v>
      </c>
      <c r="BQ971" s="47" t="s">
        <v>117</v>
      </c>
      <c r="BR971" s="47" t="s">
        <v>134</v>
      </c>
      <c r="BS971" s="47" t="s">
        <v>312</v>
      </c>
      <c r="BT971" s="47" t="s">
        <v>312</v>
      </c>
      <c r="BU971" s="47">
        <v>1998</v>
      </c>
      <c r="BV971" s="47">
        <v>2007</v>
      </c>
      <c r="BW971" s="47" t="s">
        <v>901</v>
      </c>
      <c r="BX971" s="47" t="s">
        <v>95</v>
      </c>
      <c r="BY971" s="47" t="s">
        <v>748</v>
      </c>
      <c r="BZ971" s="47">
        <v>1</v>
      </c>
      <c r="CA971" s="47">
        <v>1</v>
      </c>
      <c r="CB971" s="47" t="s">
        <v>303</v>
      </c>
      <c r="CC971" s="47" t="s">
        <v>1375</v>
      </c>
      <c r="CD971" s="47">
        <v>1</v>
      </c>
      <c r="CE971" s="47" t="s">
        <v>1920</v>
      </c>
      <c r="CF971" s="47">
        <v>0</v>
      </c>
      <c r="CG971" s="47" t="s">
        <v>97</v>
      </c>
      <c r="CH971" s="47">
        <v>0</v>
      </c>
      <c r="CI971" s="47" t="s">
        <v>1932</v>
      </c>
      <c r="CJ971" s="47" t="s">
        <v>98</v>
      </c>
      <c r="CK971" s="47">
        <v>27</v>
      </c>
      <c r="CL971" s="47">
        <v>0</v>
      </c>
      <c r="CM971" s="47">
        <v>0</v>
      </c>
      <c r="CN971" s="47" t="s">
        <v>124</v>
      </c>
      <c r="CO971" s="47" t="s">
        <v>97</v>
      </c>
      <c r="CP971" s="47" t="s">
        <v>100</v>
      </c>
      <c r="CQ971" s="47" t="s">
        <v>126</v>
      </c>
      <c r="CR971" s="48">
        <v>46252</v>
      </c>
      <c r="CT971" s="47" t="s">
        <v>1934</v>
      </c>
    </row>
    <row r="972" spans="1:98" s="47" customFormat="1" x14ac:dyDescent="0.35">
      <c r="A972" s="46" t="s">
        <v>1912</v>
      </c>
      <c r="B972" s="46" t="s">
        <v>1926</v>
      </c>
      <c r="C972" s="47" t="s">
        <v>1913</v>
      </c>
      <c r="D972" s="47">
        <v>2021</v>
      </c>
      <c r="E972" s="46" t="s">
        <v>1914</v>
      </c>
      <c r="F972" s="46" t="s">
        <v>1915</v>
      </c>
      <c r="G972" s="47" t="s">
        <v>78</v>
      </c>
      <c r="H972" s="47">
        <v>1</v>
      </c>
      <c r="I972" s="47" t="s">
        <v>290</v>
      </c>
      <c r="J972" s="47" t="s">
        <v>79</v>
      </c>
      <c r="K972" s="47">
        <v>482</v>
      </c>
      <c r="L972" s="47" t="s">
        <v>104</v>
      </c>
      <c r="M972" s="47" t="s">
        <v>380</v>
      </c>
      <c r="N972" s="47">
        <v>-8.2000000000000007E-3</v>
      </c>
      <c r="O972" s="47">
        <v>4.1999999999999997E-3</v>
      </c>
      <c r="P972" s="92">
        <f t="shared" si="391"/>
        <v>-1.9523809523809528</v>
      </c>
      <c r="Q972" s="47" t="s">
        <v>312</v>
      </c>
      <c r="R972" s="92">
        <f t="shared" si="392"/>
        <v>-1.6432000000000002E-2</v>
      </c>
      <c r="S972" s="92">
        <f t="shared" si="393"/>
        <v>3.1999999999999043E-5</v>
      </c>
      <c r="T972" s="47">
        <v>1</v>
      </c>
      <c r="U972" s="47">
        <v>1593247</v>
      </c>
      <c r="V972" s="47" t="s">
        <v>312</v>
      </c>
      <c r="W972" s="47" t="s">
        <v>312</v>
      </c>
      <c r="X972" s="47">
        <f t="shared" si="398"/>
        <v>1593247</v>
      </c>
      <c r="Y972" s="92">
        <f t="shared" si="394"/>
        <v>-1.5467584161777776E-3</v>
      </c>
      <c r="Z972" s="92">
        <f t="shared" si="395"/>
        <v>7.9224211560325177E-4</v>
      </c>
      <c r="AA972" s="92">
        <f t="shared" si="399"/>
        <v>-1.5467584161777776E-3</v>
      </c>
      <c r="AB972" s="47" t="s">
        <v>81</v>
      </c>
      <c r="AC972" s="92">
        <f t="shared" si="400"/>
        <v>-0.43886400000000009</v>
      </c>
      <c r="AD972" s="92" cm="1">
        <f t="array" ref="AD972">_xlfn.IFS(
AND(L972="marginal_effect",M972="level"),N972*AN972/BF972,
AND(L972="marginal_effect",M972="sd (Y)"),N972*BI972*AN972/BF972,
AND(L972="marginal_effect",M972="sd (X)"),N972/AQ972*AN972/BF972,
AND(L972="semi_elasticity",M972="level"),N972*AN972,
AND(L972="semi_elasticity",M972="sd (Y)"),N972*AN972*BI972,
AND(L972="semi_elasticity",M972="sd (X)"),N972*AN972/AQ972,
AND(L972="level-log",M972="level"),N972/BF972,
AND(L972="level-log",M972="sd (X)"),N972/BF972/AQ972,
AND(L972="level-log",M972="sd (Y)"),N972/BF972*BI972,
AND(L972="elasticity",M972="level"),N972,
AND(L972="elasticity",M972="sd (X)"),N972/AQ972,
AND(L972="elasticity",M972="sd (Y)"),N972*BI972,
AND(L972="marginal_effect",M972="percent_of_mean"),N972*AN972/BF972/10)</f>
        <v>-0.43886400000000009</v>
      </c>
      <c r="AE972" s="51">
        <f t="shared" si="401"/>
        <v>1</v>
      </c>
      <c r="AF972" s="92">
        <f t="shared" si="396"/>
        <v>0.22478400000000001</v>
      </c>
      <c r="AG972" s="92" cm="1">
        <f t="array" ref="AG972">_xlfn.IFS(
AND(L972="marginal_effect",M972="level"),O972*AN972/BF972,
AND(L972="marginal_effect",M972="sd (Y)"),O972*BI972*AN972/BF972,
AND(L972="marginal_effect",M972="sd (X)"),O972/AQ972*AN972/BF972,
AND(L972="semi_elasticity",M972="level"),O972*AN972,
AND(L972="semi_elasticity",M972="sd (Y)"),O972*AN972*BI972,
AND(L972="semi_elasticity",M972="sd (X)"),O972*AN972/AQ972,
AND(L972="level-log",M972="level"),O972/BF972,
AND(L972="level-log",M972="sd (X)"),O972/BF972/AQ972,
AND(L972="level-log",M972="sd (Y)"),O972/BF972*BI972,
AND(L972="elasticity",M972="level"),O972,
AND(L972="elasticity",M972="sd (X)"),O972/AQ972,
AND(L972="elasticity",M972="sd (Y)"),O972*BI972,
AND(L972="marginal_effect",M972="percent_of_mean"),O972*AN972/BF972/10)</f>
        <v>0.22478400000000001</v>
      </c>
      <c r="AH972" s="51">
        <f t="shared" si="404"/>
        <v>1</v>
      </c>
      <c r="AI972" s="92">
        <f t="shared" si="402"/>
        <v>-0.43886400000000009</v>
      </c>
      <c r="AJ972" s="47">
        <v>0</v>
      </c>
      <c r="AK972" s="47">
        <f t="shared" si="397"/>
        <v>1</v>
      </c>
      <c r="AL972" s="47" t="s">
        <v>82</v>
      </c>
      <c r="AM972" s="47" t="s">
        <v>1333</v>
      </c>
      <c r="AN972" s="47">
        <v>53.52</v>
      </c>
      <c r="AO972" s="47">
        <v>0</v>
      </c>
      <c r="AP972" s="47">
        <f t="shared" si="403"/>
        <v>53.52</v>
      </c>
      <c r="AQ972" s="47">
        <v>25.46</v>
      </c>
      <c r="AR972" s="47">
        <v>2.62</v>
      </c>
      <c r="AS972" s="47">
        <v>134.84</v>
      </c>
      <c r="AT972" s="47" t="s">
        <v>107</v>
      </c>
      <c r="AU972" s="47" t="s">
        <v>109</v>
      </c>
      <c r="AV972" s="47" t="s">
        <v>133</v>
      </c>
      <c r="AW972" s="47" t="s">
        <v>85</v>
      </c>
      <c r="AX972" s="47" t="s">
        <v>86</v>
      </c>
      <c r="AY972" s="47">
        <v>0</v>
      </c>
      <c r="AZ972" s="47">
        <v>0</v>
      </c>
      <c r="BA972" s="47" t="s">
        <v>391</v>
      </c>
      <c r="BB972" s="47" t="s">
        <v>134</v>
      </c>
      <c r="BC972" s="47" t="s">
        <v>134</v>
      </c>
      <c r="BD972" s="47" t="s">
        <v>134</v>
      </c>
      <c r="BE972" s="47" t="s">
        <v>1905</v>
      </c>
      <c r="BF972" s="47">
        <v>88</v>
      </c>
      <c r="BG972" s="47">
        <v>0</v>
      </c>
      <c r="BH972" s="47">
        <v>160</v>
      </c>
      <c r="BI972" s="47">
        <v>0.13</v>
      </c>
      <c r="BJ972" s="47">
        <v>16248</v>
      </c>
      <c r="BK972" s="47" t="s">
        <v>91</v>
      </c>
      <c r="BL972" s="47" t="s">
        <v>116</v>
      </c>
      <c r="BM972" s="47">
        <v>1</v>
      </c>
      <c r="BN972" s="47" t="s">
        <v>2177</v>
      </c>
      <c r="BO972" s="47" t="s">
        <v>312</v>
      </c>
      <c r="BP972" s="47" t="s">
        <v>312</v>
      </c>
      <c r="BQ972" s="47" t="s">
        <v>117</v>
      </c>
      <c r="BR972" s="47" t="s">
        <v>134</v>
      </c>
      <c r="BS972" s="47" t="s">
        <v>312</v>
      </c>
      <c r="BT972" s="47" t="s">
        <v>312</v>
      </c>
      <c r="BU972" s="47">
        <v>1998</v>
      </c>
      <c r="BV972" s="47">
        <v>2007</v>
      </c>
      <c r="BW972" s="47" t="s">
        <v>901</v>
      </c>
      <c r="BX972" s="47" t="s">
        <v>95</v>
      </c>
      <c r="BY972" s="47" t="s">
        <v>748</v>
      </c>
      <c r="BZ972" s="47">
        <v>1</v>
      </c>
      <c r="CA972" s="47">
        <v>1</v>
      </c>
      <c r="CB972" s="47" t="s">
        <v>303</v>
      </c>
      <c r="CC972" s="47" t="s">
        <v>1375</v>
      </c>
      <c r="CD972" s="47">
        <v>1</v>
      </c>
      <c r="CE972" s="47" t="s">
        <v>1920</v>
      </c>
      <c r="CF972" s="47">
        <v>0</v>
      </c>
      <c r="CG972" s="47" t="s">
        <v>97</v>
      </c>
      <c r="CH972" s="47">
        <v>0</v>
      </c>
      <c r="CI972" s="47" t="s">
        <v>1454</v>
      </c>
      <c r="CJ972" s="47" t="s">
        <v>98</v>
      </c>
      <c r="CK972" s="47">
        <v>27</v>
      </c>
      <c r="CL972" s="47">
        <v>0</v>
      </c>
      <c r="CM972" s="47">
        <v>0</v>
      </c>
      <c r="CN972" s="47" t="s">
        <v>124</v>
      </c>
      <c r="CO972" s="47" t="s">
        <v>97</v>
      </c>
      <c r="CP972" s="47" t="s">
        <v>100</v>
      </c>
      <c r="CQ972" s="47" t="s">
        <v>126</v>
      </c>
      <c r="CR972" s="48">
        <v>46252</v>
      </c>
      <c r="CT972" s="47" t="s">
        <v>1935</v>
      </c>
    </row>
    <row r="973" spans="1:98" s="47" customFormat="1" x14ac:dyDescent="0.35">
      <c r="A973" s="46" t="s">
        <v>1912</v>
      </c>
      <c r="B973" s="46" t="s">
        <v>1927</v>
      </c>
      <c r="C973" s="47" t="s">
        <v>1913</v>
      </c>
      <c r="D973" s="47">
        <v>2021</v>
      </c>
      <c r="E973" s="46" t="s">
        <v>1914</v>
      </c>
      <c r="F973" s="46" t="s">
        <v>1915</v>
      </c>
      <c r="G973" s="47" t="s">
        <v>78</v>
      </c>
      <c r="H973" s="47">
        <v>1</v>
      </c>
      <c r="I973" s="47" t="s">
        <v>290</v>
      </c>
      <c r="J973" s="47" t="s">
        <v>79</v>
      </c>
      <c r="K973" s="47">
        <v>482</v>
      </c>
      <c r="L973" s="47" t="s">
        <v>104</v>
      </c>
      <c r="M973" s="47" t="s">
        <v>380</v>
      </c>
      <c r="N973" s="47">
        <v>-8.2000000000000007E-3</v>
      </c>
      <c r="O973" s="47">
        <v>4.4999999999999997E-3</v>
      </c>
      <c r="P973" s="92">
        <f t="shared" si="391"/>
        <v>-1.8222222222222224</v>
      </c>
      <c r="Q973" s="47" t="s">
        <v>312</v>
      </c>
      <c r="R973" s="92">
        <f t="shared" si="392"/>
        <v>-1.702E-2</v>
      </c>
      <c r="S973" s="92">
        <f t="shared" si="393"/>
        <v>6.1999999999999902E-4</v>
      </c>
      <c r="T973" s="47">
        <v>1</v>
      </c>
      <c r="U973" s="47">
        <v>1593247</v>
      </c>
      <c r="V973" s="47" t="s">
        <v>312</v>
      </c>
      <c r="W973" s="47" t="s">
        <v>312</v>
      </c>
      <c r="X973" s="47">
        <f t="shared" si="398"/>
        <v>1593247</v>
      </c>
      <c r="Y973" s="92">
        <f t="shared" si="394"/>
        <v>-1.4436414110144816E-3</v>
      </c>
      <c r="Z973" s="92">
        <f t="shared" si="395"/>
        <v>7.9224223775184964E-4</v>
      </c>
      <c r="AA973" s="92">
        <f t="shared" si="399"/>
        <v>-1.4436414110144816E-3</v>
      </c>
      <c r="AB973" s="47" t="s">
        <v>81</v>
      </c>
      <c r="AC973" s="92">
        <f t="shared" si="400"/>
        <v>-0.43886400000000009</v>
      </c>
      <c r="AD973" s="92" cm="1">
        <f t="array" ref="AD973">_xlfn.IFS(
AND(L973="marginal_effect",M973="level"),N973*AN973/BF973,
AND(L973="marginal_effect",M973="sd (Y)"),N973*BI973*AN973/BF973,
AND(L973="marginal_effect",M973="sd (X)"),N973/AQ973*AN973/BF973,
AND(L973="semi_elasticity",M973="level"),N973*AN973,
AND(L973="semi_elasticity",M973="sd (Y)"),N973*AN973*BI973,
AND(L973="semi_elasticity",M973="sd (X)"),N973*AN973/AQ973,
AND(L973="level-log",M973="level"),N973/BF973,
AND(L973="level-log",M973="sd (X)"),N973/BF973/AQ973,
AND(L973="level-log",M973="sd (Y)"),N973/BF973*BI973,
AND(L973="elasticity",M973="level"),N973,
AND(L973="elasticity",M973="sd (X)"),N973/AQ973,
AND(L973="elasticity",M973="sd (Y)"),N973*BI973,
AND(L973="marginal_effect",M973="percent_of_mean"),N973*AN973/BF973/10)</f>
        <v>-0.43886400000000009</v>
      </c>
      <c r="AE973" s="51">
        <f t="shared" si="401"/>
        <v>1</v>
      </c>
      <c r="AF973" s="92">
        <f t="shared" si="396"/>
        <v>0.24084</v>
      </c>
      <c r="AG973" s="92" cm="1">
        <f t="array" ref="AG973">_xlfn.IFS(
AND(L973="marginal_effect",M973="level"),O973*AN973/BF973,
AND(L973="marginal_effect",M973="sd (Y)"),O973*BI973*AN973/BF973,
AND(L973="marginal_effect",M973="sd (X)"),O973/AQ973*AN973/BF973,
AND(L973="semi_elasticity",M973="level"),O973*AN973,
AND(L973="semi_elasticity",M973="sd (Y)"),O973*AN973*BI973,
AND(L973="semi_elasticity",M973="sd (X)"),O973*AN973/AQ973,
AND(L973="level-log",M973="level"),O973/BF973,
AND(L973="level-log",M973="sd (X)"),O973/BF973/AQ973,
AND(L973="level-log",M973="sd (Y)"),O973/BF973*BI973,
AND(L973="elasticity",M973="level"),O973,
AND(L973="elasticity",M973="sd (X)"),O973/AQ973,
AND(L973="elasticity",M973="sd (Y)"),O973*BI973,
AND(L973="marginal_effect",M973="percent_of_mean"),O973*AN973/BF973/10)</f>
        <v>0.24084</v>
      </c>
      <c r="AH973" s="51">
        <f t="shared" si="404"/>
        <v>1</v>
      </c>
      <c r="AI973" s="92">
        <f t="shared" si="402"/>
        <v>-0.43886400000000009</v>
      </c>
      <c r="AJ973" s="47">
        <v>0</v>
      </c>
      <c r="AK973" s="47">
        <f t="shared" si="397"/>
        <v>1</v>
      </c>
      <c r="AL973" s="47" t="s">
        <v>82</v>
      </c>
      <c r="AM973" s="47" t="s">
        <v>1333</v>
      </c>
      <c r="AN973" s="47">
        <v>53.52</v>
      </c>
      <c r="AO973" s="47">
        <v>0</v>
      </c>
      <c r="AP973" s="47">
        <f t="shared" si="403"/>
        <v>53.52</v>
      </c>
      <c r="AQ973" s="47">
        <v>25.46</v>
      </c>
      <c r="AR973" s="47">
        <v>2.62</v>
      </c>
      <c r="AS973" s="47">
        <v>134.84</v>
      </c>
      <c r="AT973" s="47" t="s">
        <v>107</v>
      </c>
      <c r="AU973" s="47" t="s">
        <v>109</v>
      </c>
      <c r="AV973" s="47" t="s">
        <v>133</v>
      </c>
      <c r="AW973" s="47" t="s">
        <v>85</v>
      </c>
      <c r="AX973" s="47" t="s">
        <v>86</v>
      </c>
      <c r="AY973" s="47">
        <v>0</v>
      </c>
      <c r="AZ973" s="47">
        <v>0</v>
      </c>
      <c r="BA973" s="47" t="s">
        <v>391</v>
      </c>
      <c r="BB973" s="47" t="s">
        <v>134</v>
      </c>
      <c r="BC973" s="47" t="s">
        <v>134</v>
      </c>
      <c r="BD973" s="47" t="s">
        <v>134</v>
      </c>
      <c r="BE973" s="47" t="s">
        <v>1905</v>
      </c>
      <c r="BF973" s="47">
        <v>88</v>
      </c>
      <c r="BG973" s="47">
        <v>0</v>
      </c>
      <c r="BH973" s="47">
        <v>160</v>
      </c>
      <c r="BI973" s="47">
        <v>0.13</v>
      </c>
      <c r="BJ973" s="47">
        <v>16248</v>
      </c>
      <c r="BK973" s="47" t="s">
        <v>91</v>
      </c>
      <c r="BL973" s="47" t="s">
        <v>116</v>
      </c>
      <c r="BM973" s="47">
        <v>1</v>
      </c>
      <c r="BN973" s="47" t="s">
        <v>2177</v>
      </c>
      <c r="BO973" s="47" t="s">
        <v>312</v>
      </c>
      <c r="BP973" s="47" t="s">
        <v>312</v>
      </c>
      <c r="BQ973" s="47" t="s">
        <v>117</v>
      </c>
      <c r="BR973" s="47" t="s">
        <v>134</v>
      </c>
      <c r="BS973" s="47" t="s">
        <v>312</v>
      </c>
      <c r="BT973" s="47" t="s">
        <v>312</v>
      </c>
      <c r="BU973" s="47">
        <v>1998</v>
      </c>
      <c r="BV973" s="47">
        <v>2007</v>
      </c>
      <c r="BW973" s="47" t="s">
        <v>901</v>
      </c>
      <c r="BX973" s="47" t="s">
        <v>95</v>
      </c>
      <c r="BY973" s="47" t="s">
        <v>748</v>
      </c>
      <c r="BZ973" s="47">
        <v>1</v>
      </c>
      <c r="CA973" s="47">
        <v>1</v>
      </c>
      <c r="CB973" s="47" t="s">
        <v>303</v>
      </c>
      <c r="CC973" s="47" t="s">
        <v>1375</v>
      </c>
      <c r="CD973" s="47">
        <v>1</v>
      </c>
      <c r="CE973" s="47" t="s">
        <v>1920</v>
      </c>
      <c r="CF973" s="47">
        <v>0</v>
      </c>
      <c r="CG973" s="47" t="s">
        <v>97</v>
      </c>
      <c r="CH973" s="47">
        <v>0</v>
      </c>
      <c r="CI973" s="47" t="s">
        <v>1393</v>
      </c>
      <c r="CJ973" s="47" t="s">
        <v>98</v>
      </c>
      <c r="CK973" s="47">
        <v>27</v>
      </c>
      <c r="CL973" s="47">
        <v>0</v>
      </c>
      <c r="CM973" s="47">
        <v>0</v>
      </c>
      <c r="CN973" s="47" t="s">
        <v>124</v>
      </c>
      <c r="CO973" s="47" t="s">
        <v>97</v>
      </c>
      <c r="CP973" s="47" t="s">
        <v>100</v>
      </c>
      <c r="CQ973" s="47" t="s">
        <v>126</v>
      </c>
      <c r="CR973" s="48">
        <v>46252</v>
      </c>
      <c r="CT973" s="47" t="s">
        <v>1936</v>
      </c>
    </row>
    <row r="974" spans="1:98" s="47" customFormat="1" x14ac:dyDescent="0.35">
      <c r="A974" s="46" t="s">
        <v>1912</v>
      </c>
      <c r="B974" s="46" t="s">
        <v>1928</v>
      </c>
      <c r="C974" s="47" t="s">
        <v>1913</v>
      </c>
      <c r="D974" s="47">
        <v>2021</v>
      </c>
      <c r="E974" s="46" t="s">
        <v>1914</v>
      </c>
      <c r="F974" s="46" t="s">
        <v>1915</v>
      </c>
      <c r="G974" s="47" t="s">
        <v>78</v>
      </c>
      <c r="H974" s="47">
        <v>1</v>
      </c>
      <c r="I974" s="47" t="s">
        <v>290</v>
      </c>
      <c r="J974" s="47" t="s">
        <v>79</v>
      </c>
      <c r="K974" s="47">
        <v>482</v>
      </c>
      <c r="L974" s="47" t="s">
        <v>104</v>
      </c>
      <c r="M974" s="47" t="s">
        <v>380</v>
      </c>
      <c r="N974" s="47">
        <v>-1.1900000000000001E-2</v>
      </c>
      <c r="O974" s="47">
        <v>3.7000000000000002E-3</v>
      </c>
      <c r="P974" s="92">
        <f t="shared" si="391"/>
        <v>-3.2162162162162162</v>
      </c>
      <c r="Q974" s="47" t="s">
        <v>312</v>
      </c>
      <c r="R974" s="92">
        <f t="shared" si="392"/>
        <v>-1.9152000000000002E-2</v>
      </c>
      <c r="S974" s="92">
        <f t="shared" si="393"/>
        <v>-4.6480000000000011E-3</v>
      </c>
      <c r="T974" s="47">
        <v>1</v>
      </c>
      <c r="U974" s="47">
        <v>1593247</v>
      </c>
      <c r="V974" s="47" t="s">
        <v>312</v>
      </c>
      <c r="W974" s="47" t="s">
        <v>312</v>
      </c>
      <c r="X974" s="47">
        <f t="shared" si="398"/>
        <v>1593247</v>
      </c>
      <c r="Y974" s="92">
        <f t="shared" si="394"/>
        <v>-2.5480167160020491E-3</v>
      </c>
      <c r="Z974" s="92">
        <f t="shared" si="395"/>
        <v>7.9224049153004891E-4</v>
      </c>
      <c r="AA974" s="92">
        <f t="shared" si="399"/>
        <v>-2.5480167160020491E-3</v>
      </c>
      <c r="AB974" s="47" t="s">
        <v>81</v>
      </c>
      <c r="AC974" s="92">
        <f t="shared" si="400"/>
        <v>-0.63688800000000012</v>
      </c>
      <c r="AD974" s="92" cm="1">
        <f t="array" ref="AD974">_xlfn.IFS(
AND(L974="marginal_effect",M974="level"),N974*AN974/BF974,
AND(L974="marginal_effect",M974="sd (Y)"),N974*BI974*AN974/BF974,
AND(L974="marginal_effect",M974="sd (X)"),N974/AQ974*AN974/BF974,
AND(L974="semi_elasticity",M974="level"),N974*AN974,
AND(L974="semi_elasticity",M974="sd (Y)"),N974*AN974*BI974,
AND(L974="semi_elasticity",M974="sd (X)"),N974*AN974/AQ974,
AND(L974="level-log",M974="level"),N974/BF974,
AND(L974="level-log",M974="sd (X)"),N974/BF974/AQ974,
AND(L974="level-log",M974="sd (Y)"),N974/BF974*BI974,
AND(L974="elasticity",M974="level"),N974,
AND(L974="elasticity",M974="sd (X)"),N974/AQ974,
AND(L974="elasticity",M974="sd (Y)"),N974*BI974,
AND(L974="marginal_effect",M974="percent_of_mean"),N974*AN974/BF974/10)</f>
        <v>-0.63688800000000012</v>
      </c>
      <c r="AE974" s="51">
        <f t="shared" si="401"/>
        <v>1</v>
      </c>
      <c r="AF974" s="92">
        <f t="shared" si="396"/>
        <v>0.19802400000000003</v>
      </c>
      <c r="AG974" s="92" cm="1">
        <f t="array" ref="AG974">_xlfn.IFS(
AND(L974="marginal_effect",M974="level"),O974*AN974/BF974,
AND(L974="marginal_effect",M974="sd (Y)"),O974*BI974*AN974/BF974,
AND(L974="marginal_effect",M974="sd (X)"),O974/AQ974*AN974/BF974,
AND(L974="semi_elasticity",M974="level"),O974*AN974,
AND(L974="semi_elasticity",M974="sd (Y)"),O974*AN974*BI974,
AND(L974="semi_elasticity",M974="sd (X)"),O974*AN974/AQ974,
AND(L974="level-log",M974="level"),O974/BF974,
AND(L974="level-log",M974="sd (X)"),O974/BF974/AQ974,
AND(L974="level-log",M974="sd (Y)"),O974/BF974*BI974,
AND(L974="elasticity",M974="level"),O974,
AND(L974="elasticity",M974="sd (X)"),O974/AQ974,
AND(L974="elasticity",M974="sd (Y)"),O974*BI974,
AND(L974="marginal_effect",M974="percent_of_mean"),O974*AN974/BF974/10)</f>
        <v>0.19802400000000003</v>
      </c>
      <c r="AH974" s="51">
        <f t="shared" si="404"/>
        <v>1</v>
      </c>
      <c r="AI974" s="92">
        <f t="shared" si="402"/>
        <v>-0.63688800000000012</v>
      </c>
      <c r="AJ974" s="47">
        <v>0</v>
      </c>
      <c r="AK974" s="47">
        <f t="shared" si="397"/>
        <v>1</v>
      </c>
      <c r="AL974" s="47" t="s">
        <v>82</v>
      </c>
      <c r="AM974" s="47" t="s">
        <v>1333</v>
      </c>
      <c r="AN974" s="47">
        <v>53.52</v>
      </c>
      <c r="AO974" s="47">
        <v>0</v>
      </c>
      <c r="AP974" s="47">
        <f t="shared" si="403"/>
        <v>53.52</v>
      </c>
      <c r="AQ974" s="47">
        <v>25.46</v>
      </c>
      <c r="AR974" s="47">
        <v>2.62</v>
      </c>
      <c r="AS974" s="47">
        <v>134.84</v>
      </c>
      <c r="AT974" s="47" t="s">
        <v>107</v>
      </c>
      <c r="AU974" s="47" t="s">
        <v>109</v>
      </c>
      <c r="AV974" s="47" t="s">
        <v>133</v>
      </c>
      <c r="AW974" s="47" t="s">
        <v>85</v>
      </c>
      <c r="AX974" s="47" t="s">
        <v>86</v>
      </c>
      <c r="AY974" s="47">
        <v>0</v>
      </c>
      <c r="AZ974" s="47">
        <v>0</v>
      </c>
      <c r="BA974" s="47" t="s">
        <v>391</v>
      </c>
      <c r="BB974" s="47" t="s">
        <v>134</v>
      </c>
      <c r="BC974" s="47" t="s">
        <v>134</v>
      </c>
      <c r="BD974" s="47" t="s">
        <v>134</v>
      </c>
      <c r="BE974" s="47" t="s">
        <v>1905</v>
      </c>
      <c r="BF974" s="47">
        <v>88</v>
      </c>
      <c r="BG974" s="47">
        <v>0</v>
      </c>
      <c r="BH974" s="47">
        <v>160</v>
      </c>
      <c r="BI974" s="47">
        <v>0.13</v>
      </c>
      <c r="BJ974" s="47">
        <v>16248</v>
      </c>
      <c r="BK974" s="47" t="s">
        <v>91</v>
      </c>
      <c r="BL974" s="47" t="s">
        <v>116</v>
      </c>
      <c r="BM974" s="47">
        <v>1</v>
      </c>
      <c r="BN974" s="47" t="s">
        <v>2177</v>
      </c>
      <c r="BO974" s="47" t="s">
        <v>312</v>
      </c>
      <c r="BP974" s="47" t="s">
        <v>312</v>
      </c>
      <c r="BQ974" s="47" t="s">
        <v>117</v>
      </c>
      <c r="BR974" s="47" t="s">
        <v>134</v>
      </c>
      <c r="BS974" s="47" t="s">
        <v>312</v>
      </c>
      <c r="BT974" s="47" t="s">
        <v>312</v>
      </c>
      <c r="BU974" s="47">
        <v>1998</v>
      </c>
      <c r="BV974" s="47">
        <v>2007</v>
      </c>
      <c r="BW974" s="47" t="s">
        <v>901</v>
      </c>
      <c r="BX974" s="47" t="s">
        <v>95</v>
      </c>
      <c r="BY974" s="47" t="s">
        <v>748</v>
      </c>
      <c r="BZ974" s="47">
        <v>1</v>
      </c>
      <c r="CA974" s="47">
        <v>1</v>
      </c>
      <c r="CB974" s="47" t="s">
        <v>303</v>
      </c>
      <c r="CC974" s="47" t="s">
        <v>1933</v>
      </c>
      <c r="CD974" s="47">
        <v>1</v>
      </c>
      <c r="CE974" s="47" t="s">
        <v>1920</v>
      </c>
      <c r="CF974" s="47">
        <v>0</v>
      </c>
      <c r="CG974" s="47" t="s">
        <v>97</v>
      </c>
      <c r="CH974" s="47">
        <v>0</v>
      </c>
      <c r="CI974" s="47" t="s">
        <v>116</v>
      </c>
      <c r="CJ974" s="47" t="s">
        <v>98</v>
      </c>
      <c r="CK974" s="47">
        <v>27</v>
      </c>
      <c r="CL974" s="47">
        <v>0</v>
      </c>
      <c r="CM974" s="47">
        <v>0</v>
      </c>
      <c r="CN974" s="47" t="s">
        <v>124</v>
      </c>
      <c r="CO974" s="47" t="s">
        <v>97</v>
      </c>
      <c r="CP974" s="47" t="s">
        <v>100</v>
      </c>
      <c r="CQ974" s="47" t="s">
        <v>126</v>
      </c>
      <c r="CR974" s="48">
        <v>46252</v>
      </c>
      <c r="CT974" s="47" t="s">
        <v>1937</v>
      </c>
    </row>
    <row r="975" spans="1:98" s="47" customFormat="1" x14ac:dyDescent="0.35">
      <c r="A975" s="46" t="s">
        <v>1912</v>
      </c>
      <c r="B975" s="46" t="s">
        <v>1929</v>
      </c>
      <c r="C975" s="47" t="s">
        <v>1913</v>
      </c>
      <c r="D975" s="47">
        <v>2021</v>
      </c>
      <c r="E975" s="46" t="s">
        <v>1914</v>
      </c>
      <c r="F975" s="46" t="s">
        <v>1915</v>
      </c>
      <c r="G975" s="47" t="s">
        <v>78</v>
      </c>
      <c r="H975" s="47">
        <v>1</v>
      </c>
      <c r="I975" s="47" t="s">
        <v>290</v>
      </c>
      <c r="J975" s="47" t="s">
        <v>79</v>
      </c>
      <c r="K975" s="47">
        <v>482</v>
      </c>
      <c r="L975" s="47" t="s">
        <v>104</v>
      </c>
      <c r="M975" s="47" t="s">
        <v>380</v>
      </c>
      <c r="N975" s="47">
        <v>-1.32E-2</v>
      </c>
      <c r="O975" s="47">
        <v>3.7000000000000002E-3</v>
      </c>
      <c r="P975" s="92">
        <f t="shared" si="391"/>
        <v>-3.5675675675675675</v>
      </c>
      <c r="Q975" s="47" t="s">
        <v>312</v>
      </c>
      <c r="R975" s="92">
        <f t="shared" si="392"/>
        <v>-2.0451999999999998E-2</v>
      </c>
      <c r="S975" s="92">
        <f t="shared" si="393"/>
        <v>-5.9480000000000002E-3</v>
      </c>
      <c r="T975" s="47">
        <v>1</v>
      </c>
      <c r="U975" s="47">
        <v>1593247</v>
      </c>
      <c r="V975" s="47" t="s">
        <v>312</v>
      </c>
      <c r="W975" s="47" t="s">
        <v>312</v>
      </c>
      <c r="X975" s="47">
        <f t="shared" si="398"/>
        <v>1593247</v>
      </c>
      <c r="Y975" s="92">
        <f t="shared" si="394"/>
        <v>-2.8263693691918629E-3</v>
      </c>
      <c r="Z975" s="92">
        <f t="shared" si="395"/>
        <v>7.9223989894014349E-4</v>
      </c>
      <c r="AA975" s="92">
        <f t="shared" si="399"/>
        <v>-2.8263693691918629E-3</v>
      </c>
      <c r="AB975" s="47" t="s">
        <v>81</v>
      </c>
      <c r="AC975" s="92">
        <f t="shared" si="400"/>
        <v>-0.70646400000000009</v>
      </c>
      <c r="AD975" s="92" cm="1">
        <f t="array" ref="AD975">_xlfn.IFS(
AND(L975="marginal_effect",M975="level"),N975*AN975/BF975,
AND(L975="marginal_effect",M975="sd (Y)"),N975*BI975*AN975/BF975,
AND(L975="marginal_effect",M975="sd (X)"),N975/AQ975*AN975/BF975,
AND(L975="semi_elasticity",M975="level"),N975*AN975,
AND(L975="semi_elasticity",M975="sd (Y)"),N975*AN975*BI975,
AND(L975="semi_elasticity",M975="sd (X)"),N975*AN975/AQ975,
AND(L975="level-log",M975="level"),N975/BF975,
AND(L975="level-log",M975="sd (X)"),N975/BF975/AQ975,
AND(L975="level-log",M975="sd (Y)"),N975/BF975*BI975,
AND(L975="elasticity",M975="level"),N975,
AND(L975="elasticity",M975="sd (X)"),N975/AQ975,
AND(L975="elasticity",M975="sd (Y)"),N975*BI975,
AND(L975="marginal_effect",M975="percent_of_mean"),N975*AN975/BF975/10)</f>
        <v>-0.70646400000000009</v>
      </c>
      <c r="AE975" s="51">
        <f t="shared" si="401"/>
        <v>1</v>
      </c>
      <c r="AF975" s="92">
        <f t="shared" si="396"/>
        <v>0.19802400000000003</v>
      </c>
      <c r="AG975" s="92" cm="1">
        <f t="array" ref="AG975">_xlfn.IFS(
AND(L975="marginal_effect",M975="level"),O975*AN975/BF975,
AND(L975="marginal_effect",M975="sd (Y)"),O975*BI975*AN975/BF975,
AND(L975="marginal_effect",M975="sd (X)"),O975/AQ975*AN975/BF975,
AND(L975="semi_elasticity",M975="level"),O975*AN975,
AND(L975="semi_elasticity",M975="sd (Y)"),O975*AN975*BI975,
AND(L975="semi_elasticity",M975="sd (X)"),O975*AN975/AQ975,
AND(L975="level-log",M975="level"),O975/BF975,
AND(L975="level-log",M975="sd (X)"),O975/BF975/AQ975,
AND(L975="level-log",M975="sd (Y)"),O975/BF975*BI975,
AND(L975="elasticity",M975="level"),O975,
AND(L975="elasticity",M975="sd (X)"),O975/AQ975,
AND(L975="elasticity",M975="sd (Y)"),O975*BI975,
AND(L975="marginal_effect",M975="percent_of_mean"),O975*AN975/BF975/10)</f>
        <v>0.19802400000000003</v>
      </c>
      <c r="AH975" s="51">
        <f t="shared" si="404"/>
        <v>1</v>
      </c>
      <c r="AI975" s="92">
        <f t="shared" si="402"/>
        <v>-0.70646400000000009</v>
      </c>
      <c r="AJ975" s="47">
        <v>0</v>
      </c>
      <c r="AK975" s="47">
        <f t="shared" si="397"/>
        <v>1</v>
      </c>
      <c r="AL975" s="47" t="s">
        <v>82</v>
      </c>
      <c r="AM975" s="47" t="s">
        <v>1333</v>
      </c>
      <c r="AN975" s="47">
        <v>53.52</v>
      </c>
      <c r="AO975" s="47">
        <v>0</v>
      </c>
      <c r="AP975" s="47">
        <f t="shared" si="403"/>
        <v>53.52</v>
      </c>
      <c r="AQ975" s="47">
        <v>25.46</v>
      </c>
      <c r="AR975" s="47">
        <v>2.62</v>
      </c>
      <c r="AS975" s="47">
        <v>134.84</v>
      </c>
      <c r="AT975" s="47" t="s">
        <v>107</v>
      </c>
      <c r="AU975" s="47" t="s">
        <v>109</v>
      </c>
      <c r="AV975" s="47" t="s">
        <v>133</v>
      </c>
      <c r="AW975" s="47" t="s">
        <v>85</v>
      </c>
      <c r="AX975" s="47" t="s">
        <v>86</v>
      </c>
      <c r="AY975" s="47">
        <v>0</v>
      </c>
      <c r="AZ975" s="47">
        <v>0</v>
      </c>
      <c r="BA975" s="47" t="s">
        <v>391</v>
      </c>
      <c r="BB975" s="47" t="s">
        <v>134</v>
      </c>
      <c r="BC975" s="47" t="s">
        <v>134</v>
      </c>
      <c r="BD975" s="47" t="s">
        <v>134</v>
      </c>
      <c r="BE975" s="47" t="s">
        <v>1905</v>
      </c>
      <c r="BF975" s="47">
        <v>88</v>
      </c>
      <c r="BG975" s="47">
        <v>0</v>
      </c>
      <c r="BH975" s="47">
        <v>160</v>
      </c>
      <c r="BI975" s="47">
        <v>0.13</v>
      </c>
      <c r="BJ975" s="47">
        <v>16248</v>
      </c>
      <c r="BK975" s="47" t="s">
        <v>91</v>
      </c>
      <c r="BL975" s="47" t="s">
        <v>116</v>
      </c>
      <c r="BM975" s="47">
        <v>1</v>
      </c>
      <c r="BN975" s="47" t="s">
        <v>2177</v>
      </c>
      <c r="BO975" s="47" t="s">
        <v>312</v>
      </c>
      <c r="BP975" s="47" t="s">
        <v>312</v>
      </c>
      <c r="BQ975" s="47" t="s">
        <v>117</v>
      </c>
      <c r="BR975" s="47" t="s">
        <v>134</v>
      </c>
      <c r="BS975" s="47" t="s">
        <v>312</v>
      </c>
      <c r="BT975" s="47" t="s">
        <v>312</v>
      </c>
      <c r="BU975" s="47">
        <v>1998</v>
      </c>
      <c r="BV975" s="47">
        <v>2007</v>
      </c>
      <c r="BW975" s="47" t="s">
        <v>901</v>
      </c>
      <c r="BX975" s="47" t="s">
        <v>95</v>
      </c>
      <c r="BY975" s="47" t="s">
        <v>748</v>
      </c>
      <c r="BZ975" s="47">
        <v>1</v>
      </c>
      <c r="CA975" s="47">
        <v>1</v>
      </c>
      <c r="CB975" s="47" t="s">
        <v>303</v>
      </c>
      <c r="CC975" s="47" t="s">
        <v>1933</v>
      </c>
      <c r="CD975" s="47">
        <v>1</v>
      </c>
      <c r="CE975" s="47" t="s">
        <v>1920</v>
      </c>
      <c r="CF975" s="47">
        <v>0</v>
      </c>
      <c r="CG975" s="47" t="s">
        <v>97</v>
      </c>
      <c r="CH975" s="47">
        <v>0</v>
      </c>
      <c r="CI975" s="47" t="s">
        <v>116</v>
      </c>
      <c r="CJ975" s="47" t="s">
        <v>98</v>
      </c>
      <c r="CK975" s="47">
        <v>27</v>
      </c>
      <c r="CL975" s="47">
        <v>0</v>
      </c>
      <c r="CM975" s="47">
        <v>0</v>
      </c>
      <c r="CN975" s="47" t="s">
        <v>124</v>
      </c>
      <c r="CO975" s="47" t="s">
        <v>97</v>
      </c>
      <c r="CP975" s="47" t="s">
        <v>100</v>
      </c>
      <c r="CQ975" s="47" t="s">
        <v>126</v>
      </c>
      <c r="CR975" s="48">
        <v>46252</v>
      </c>
      <c r="CT975" s="47" t="s">
        <v>1938</v>
      </c>
    </row>
    <row r="976" spans="1:98" s="47" customFormat="1" x14ac:dyDescent="0.35">
      <c r="A976" s="46" t="s">
        <v>1912</v>
      </c>
      <c r="B976" s="46" t="s">
        <v>1930</v>
      </c>
      <c r="C976" s="47" t="s">
        <v>1913</v>
      </c>
      <c r="D976" s="47">
        <v>2021</v>
      </c>
      <c r="E976" s="46" t="s">
        <v>1914</v>
      </c>
      <c r="F976" s="46" t="s">
        <v>1915</v>
      </c>
      <c r="G976" s="47" t="s">
        <v>78</v>
      </c>
      <c r="H976" s="47">
        <v>1</v>
      </c>
      <c r="I976" s="47" t="s">
        <v>290</v>
      </c>
      <c r="J976" s="47" t="s">
        <v>79</v>
      </c>
      <c r="K976" s="47">
        <v>482</v>
      </c>
      <c r="L976" s="47" t="s">
        <v>104</v>
      </c>
      <c r="M976" s="47" t="s">
        <v>380</v>
      </c>
      <c r="N976" s="47">
        <v>-5.5999999999999999E-3</v>
      </c>
      <c r="O976" s="47">
        <v>8.0000000000000004E-4</v>
      </c>
      <c r="P976" s="92">
        <f t="shared" si="391"/>
        <v>-7</v>
      </c>
      <c r="Q976" s="47" t="s">
        <v>312</v>
      </c>
      <c r="R976" s="92">
        <f t="shared" si="392"/>
        <v>-7.1679999999999999E-3</v>
      </c>
      <c r="S976" s="92">
        <f t="shared" si="393"/>
        <v>-4.032E-3</v>
      </c>
      <c r="T976" s="47">
        <v>1</v>
      </c>
      <c r="U976" s="47">
        <v>1593247</v>
      </c>
      <c r="V976" s="47" t="s">
        <v>312</v>
      </c>
      <c r="W976" s="47" t="s">
        <v>312</v>
      </c>
      <c r="X976" s="47">
        <f t="shared" si="398"/>
        <v>1593247</v>
      </c>
      <c r="Y976" s="92">
        <f t="shared" si="394"/>
        <v>-5.5456161666507494E-3</v>
      </c>
      <c r="Z976" s="92">
        <f t="shared" si="395"/>
        <v>7.9223088095010713E-4</v>
      </c>
      <c r="AA976" s="92">
        <f t="shared" si="399"/>
        <v>-5.5456161666507494E-3</v>
      </c>
      <c r="AB976" s="47" t="s">
        <v>81</v>
      </c>
      <c r="AC976" s="92">
        <f t="shared" si="400"/>
        <v>-0.29971200000000003</v>
      </c>
      <c r="AD976" s="92" cm="1">
        <f t="array" ref="AD976">_xlfn.IFS(
AND(L976="marginal_effect",M976="level"),N976*AN976/BF976,
AND(L976="marginal_effect",M976="sd (Y)"),N976*BI976*AN976/BF976,
AND(L976="marginal_effect",M976="sd (X)"),N976/AQ976*AN976/BF976,
AND(L976="semi_elasticity",M976="level"),N976*AN976,
AND(L976="semi_elasticity",M976="sd (Y)"),N976*AN976*BI976,
AND(L976="semi_elasticity",M976="sd (X)"),N976*AN976/AQ976,
AND(L976="level-log",M976="level"),N976/BF976,
AND(L976="level-log",M976="sd (X)"),N976/BF976/AQ976,
AND(L976="level-log",M976="sd (Y)"),N976/BF976*BI976,
AND(L976="elasticity",M976="level"),N976,
AND(L976="elasticity",M976="sd (X)"),N976/AQ976,
AND(L976="elasticity",M976="sd (Y)"),N976*BI976,
AND(L976="marginal_effect",M976="percent_of_mean"),N976*AN976/BF976/10)</f>
        <v>-0.29971200000000003</v>
      </c>
      <c r="AE976" s="51">
        <f t="shared" si="401"/>
        <v>1</v>
      </c>
      <c r="AF976" s="92">
        <f t="shared" si="396"/>
        <v>4.2816000000000007E-2</v>
      </c>
      <c r="AG976" s="92" cm="1">
        <f t="array" ref="AG976">_xlfn.IFS(
AND(L976="marginal_effect",M976="level"),O976*AN976/BF976,
AND(L976="marginal_effect",M976="sd (Y)"),O976*BI976*AN976/BF976,
AND(L976="marginal_effect",M976="sd (X)"),O976/AQ976*AN976/BF976,
AND(L976="semi_elasticity",M976="level"),O976*AN976,
AND(L976="semi_elasticity",M976="sd (Y)"),O976*AN976*BI976,
AND(L976="semi_elasticity",M976="sd (X)"),O976*AN976/AQ976,
AND(L976="level-log",M976="level"),O976/BF976,
AND(L976="level-log",M976="sd (X)"),O976/BF976/AQ976,
AND(L976="level-log",M976="sd (Y)"),O976/BF976*BI976,
AND(L976="elasticity",M976="level"),O976,
AND(L976="elasticity",M976="sd (X)"),O976/AQ976,
AND(L976="elasticity",M976="sd (Y)"),O976*BI976,
AND(L976="marginal_effect",M976="percent_of_mean"),O976*AN976/BF976/10)</f>
        <v>4.2816000000000007E-2</v>
      </c>
      <c r="AH976" s="51">
        <f t="shared" si="404"/>
        <v>1</v>
      </c>
      <c r="AI976" s="92">
        <f t="shared" si="402"/>
        <v>-0.29971200000000003</v>
      </c>
      <c r="AJ976" s="47">
        <v>0</v>
      </c>
      <c r="AK976" s="47">
        <f t="shared" si="397"/>
        <v>1</v>
      </c>
      <c r="AL976" s="47" t="s">
        <v>82</v>
      </c>
      <c r="AM976" s="47" t="s">
        <v>1333</v>
      </c>
      <c r="AN976" s="47">
        <v>53.52</v>
      </c>
      <c r="AO976" s="47">
        <v>0</v>
      </c>
      <c r="AP976" s="47">
        <f t="shared" si="403"/>
        <v>53.52</v>
      </c>
      <c r="AQ976" s="47">
        <v>25.46</v>
      </c>
      <c r="AR976" s="47">
        <v>2.62</v>
      </c>
      <c r="AS976" s="47">
        <v>134.84</v>
      </c>
      <c r="AT976" s="47" t="s">
        <v>107</v>
      </c>
      <c r="AU976" s="47" t="s">
        <v>109</v>
      </c>
      <c r="AV976" s="47" t="s">
        <v>133</v>
      </c>
      <c r="AW976" s="47" t="s">
        <v>85</v>
      </c>
      <c r="AX976" s="47" t="s">
        <v>86</v>
      </c>
      <c r="AY976" s="47">
        <v>0</v>
      </c>
      <c r="AZ976" s="47">
        <v>0</v>
      </c>
      <c r="BA976" s="47" t="s">
        <v>391</v>
      </c>
      <c r="BB976" s="47" t="s">
        <v>134</v>
      </c>
      <c r="BC976" s="47" t="s">
        <v>134</v>
      </c>
      <c r="BD976" s="47" t="s">
        <v>134</v>
      </c>
      <c r="BE976" s="47" t="s">
        <v>1905</v>
      </c>
      <c r="BF976" s="47">
        <v>88</v>
      </c>
      <c r="BG976" s="47">
        <v>0</v>
      </c>
      <c r="BH976" s="47">
        <v>160</v>
      </c>
      <c r="BI976" s="47">
        <v>0.13</v>
      </c>
      <c r="BJ976" s="47">
        <v>16248</v>
      </c>
      <c r="BK976" s="47" t="s">
        <v>91</v>
      </c>
      <c r="BL976" s="47" t="s">
        <v>116</v>
      </c>
      <c r="BM976" s="47">
        <v>1</v>
      </c>
      <c r="BN976" s="47" t="s">
        <v>2177</v>
      </c>
      <c r="BO976" s="47" t="s">
        <v>312</v>
      </c>
      <c r="BP976" s="47" t="s">
        <v>312</v>
      </c>
      <c r="BQ976" s="47" t="s">
        <v>117</v>
      </c>
      <c r="BR976" s="47" t="s">
        <v>134</v>
      </c>
      <c r="BS976" s="47" t="s">
        <v>312</v>
      </c>
      <c r="BT976" s="47" t="s">
        <v>312</v>
      </c>
      <c r="BU976" s="47">
        <v>1998</v>
      </c>
      <c r="BV976" s="47">
        <v>2007</v>
      </c>
      <c r="BW976" s="47" t="s">
        <v>901</v>
      </c>
      <c r="BX976" s="47" t="s">
        <v>95</v>
      </c>
      <c r="BY976" s="47" t="s">
        <v>748</v>
      </c>
      <c r="BZ976" s="47">
        <v>1</v>
      </c>
      <c r="CA976" s="47">
        <v>1</v>
      </c>
      <c r="CB976" s="47" t="s">
        <v>303</v>
      </c>
      <c r="CC976" s="47" t="s">
        <v>1933</v>
      </c>
      <c r="CD976" s="47">
        <v>1</v>
      </c>
      <c r="CE976" s="47" t="s">
        <v>1920</v>
      </c>
      <c r="CF976" s="47">
        <v>0</v>
      </c>
      <c r="CG976" s="47" t="s">
        <v>97</v>
      </c>
      <c r="CH976" s="47">
        <v>0</v>
      </c>
      <c r="CI976" s="47" t="s">
        <v>116</v>
      </c>
      <c r="CJ976" s="47" t="s">
        <v>98</v>
      </c>
      <c r="CK976" s="47">
        <v>27</v>
      </c>
      <c r="CL976" s="47">
        <v>0</v>
      </c>
      <c r="CM976" s="47">
        <v>0</v>
      </c>
      <c r="CN976" s="47" t="s">
        <v>124</v>
      </c>
      <c r="CO976" s="47" t="s">
        <v>97</v>
      </c>
      <c r="CP976" s="47" t="s">
        <v>100</v>
      </c>
      <c r="CQ976" s="47" t="s">
        <v>126</v>
      </c>
      <c r="CR976" s="48">
        <v>46252</v>
      </c>
      <c r="CT976" s="47" t="s">
        <v>1939</v>
      </c>
    </row>
    <row r="977" spans="1:99" s="47" customFormat="1" x14ac:dyDescent="0.35">
      <c r="A977" s="46" t="s">
        <v>1912</v>
      </c>
      <c r="B977" s="46" t="s">
        <v>1931</v>
      </c>
      <c r="C977" s="47" t="s">
        <v>1913</v>
      </c>
      <c r="D977" s="47">
        <v>2021</v>
      </c>
      <c r="E977" s="46" t="s">
        <v>1914</v>
      </c>
      <c r="F977" s="46" t="s">
        <v>1915</v>
      </c>
      <c r="G977" s="47" t="s">
        <v>78</v>
      </c>
      <c r="H977" s="47">
        <v>1</v>
      </c>
      <c r="I977" s="47" t="s">
        <v>290</v>
      </c>
      <c r="J977" s="47" t="s">
        <v>79</v>
      </c>
      <c r="K977" s="47">
        <v>482</v>
      </c>
      <c r="L977" s="47" t="s">
        <v>104</v>
      </c>
      <c r="M977" s="47" t="s">
        <v>380</v>
      </c>
      <c r="N977" s="47">
        <v>-8.5000000000000006E-3</v>
      </c>
      <c r="O977" s="47">
        <v>1.5E-3</v>
      </c>
      <c r="P977" s="92">
        <f t="shared" si="391"/>
        <v>-5.666666666666667</v>
      </c>
      <c r="Q977" s="47" t="s">
        <v>312</v>
      </c>
      <c r="R977" s="92">
        <f t="shared" si="392"/>
        <v>-1.1440000000000001E-2</v>
      </c>
      <c r="S977" s="92">
        <f t="shared" si="393"/>
        <v>-5.5600000000000007E-3</v>
      </c>
      <c r="T977" s="47">
        <v>1</v>
      </c>
      <c r="U977" s="47">
        <v>1593247</v>
      </c>
      <c r="V977" s="47" t="s">
        <v>312</v>
      </c>
      <c r="W977" s="47" t="s">
        <v>312</v>
      </c>
      <c r="X977" s="47">
        <f t="shared" si="398"/>
        <v>1593247</v>
      </c>
      <c r="Y977" s="92">
        <f t="shared" si="394"/>
        <v>-4.4893321188385982E-3</v>
      </c>
      <c r="Z977" s="92">
        <f t="shared" si="395"/>
        <v>7.9223507979504662E-4</v>
      </c>
      <c r="AA977" s="92">
        <f t="shared" si="399"/>
        <v>-4.4893321188385982E-3</v>
      </c>
      <c r="AB977" s="47" t="s">
        <v>81</v>
      </c>
      <c r="AC977" s="92">
        <f t="shared" si="400"/>
        <v>-0.45492000000000005</v>
      </c>
      <c r="AD977" s="92" cm="1">
        <f t="array" ref="AD977">_xlfn.IFS(
AND(L977="marginal_effect",M977="level"),N977*AN977/BF977,
AND(L977="marginal_effect",M977="sd (Y)"),N977*BI977*AN977/BF977,
AND(L977="marginal_effect",M977="sd (X)"),N977/AQ977*AN977/BF977,
AND(L977="semi_elasticity",M977="level"),N977*AN977,
AND(L977="semi_elasticity",M977="sd (Y)"),N977*AN977*BI977,
AND(L977="semi_elasticity",M977="sd (X)"),N977*AN977/AQ977,
AND(L977="level-log",M977="level"),N977/BF977,
AND(L977="level-log",M977="sd (X)"),N977/BF977/AQ977,
AND(L977="level-log",M977="sd (Y)"),N977/BF977*BI977,
AND(L977="elasticity",M977="level"),N977,
AND(L977="elasticity",M977="sd (X)"),N977/AQ977,
AND(L977="elasticity",M977="sd (Y)"),N977*BI977,
AND(L977="marginal_effect",M977="percent_of_mean"),N977*AN977/BF977/10)</f>
        <v>-0.45492000000000005</v>
      </c>
      <c r="AE977" s="51">
        <f t="shared" si="401"/>
        <v>1</v>
      </c>
      <c r="AF977" s="92">
        <f t="shared" si="396"/>
        <v>8.0280000000000004E-2</v>
      </c>
      <c r="AG977" s="92" cm="1">
        <f t="array" ref="AG977">_xlfn.IFS(
AND(L977="marginal_effect",M977="level"),O977*AN977/BF977,
AND(L977="marginal_effect",M977="sd (Y)"),O977*BI977*AN977/BF977,
AND(L977="marginal_effect",M977="sd (X)"),O977/AQ977*AN977/BF977,
AND(L977="semi_elasticity",M977="level"),O977*AN977,
AND(L977="semi_elasticity",M977="sd (Y)"),O977*AN977*BI977,
AND(L977="semi_elasticity",M977="sd (X)"),O977*AN977/AQ977,
AND(L977="level-log",M977="level"),O977/BF977,
AND(L977="level-log",M977="sd (X)"),O977/BF977/AQ977,
AND(L977="level-log",M977="sd (Y)"),O977/BF977*BI977,
AND(L977="elasticity",M977="level"),O977,
AND(L977="elasticity",M977="sd (X)"),O977/AQ977,
AND(L977="elasticity",M977="sd (Y)"),O977*BI977,
AND(L977="marginal_effect",M977="percent_of_mean"),O977*AN977/BF977/10)</f>
        <v>8.0280000000000004E-2</v>
      </c>
      <c r="AH977" s="51">
        <f t="shared" si="404"/>
        <v>1</v>
      </c>
      <c r="AI977" s="92">
        <f t="shared" si="402"/>
        <v>-0.45492000000000005</v>
      </c>
      <c r="AJ977" s="47">
        <v>0</v>
      </c>
      <c r="AK977" s="47">
        <f t="shared" si="397"/>
        <v>1</v>
      </c>
      <c r="AL977" s="47" t="s">
        <v>82</v>
      </c>
      <c r="AM977" s="47" t="s">
        <v>1333</v>
      </c>
      <c r="AN977" s="47">
        <v>53.52</v>
      </c>
      <c r="AO977" s="47">
        <v>0</v>
      </c>
      <c r="AP977" s="47">
        <f t="shared" si="403"/>
        <v>53.52</v>
      </c>
      <c r="AQ977" s="47">
        <v>25.46</v>
      </c>
      <c r="AR977" s="47">
        <v>2.62</v>
      </c>
      <c r="AS977" s="47">
        <v>134.84</v>
      </c>
      <c r="AT977" s="47" t="s">
        <v>107</v>
      </c>
      <c r="AU977" s="47" t="s">
        <v>109</v>
      </c>
      <c r="AV977" s="47" t="s">
        <v>133</v>
      </c>
      <c r="AW977" s="47" t="s">
        <v>85</v>
      </c>
      <c r="AX977" s="47" t="s">
        <v>86</v>
      </c>
      <c r="AY977" s="47">
        <v>0</v>
      </c>
      <c r="AZ977" s="47">
        <v>0</v>
      </c>
      <c r="BA977" s="47" t="s">
        <v>391</v>
      </c>
      <c r="BB977" s="47" t="s">
        <v>134</v>
      </c>
      <c r="BC977" s="47" t="s">
        <v>134</v>
      </c>
      <c r="BD977" s="47" t="s">
        <v>134</v>
      </c>
      <c r="BE977" s="47" t="s">
        <v>1905</v>
      </c>
      <c r="BF977" s="47">
        <v>88</v>
      </c>
      <c r="BG977" s="47">
        <v>0</v>
      </c>
      <c r="BH977" s="47">
        <v>160</v>
      </c>
      <c r="BI977" s="47">
        <v>0.13</v>
      </c>
      <c r="BJ977" s="47">
        <v>16248</v>
      </c>
      <c r="BK977" s="47" t="s">
        <v>91</v>
      </c>
      <c r="BL977" s="47" t="s">
        <v>116</v>
      </c>
      <c r="BM977" s="47">
        <v>1</v>
      </c>
      <c r="BN977" s="47" t="s">
        <v>2177</v>
      </c>
      <c r="BO977" s="47" t="s">
        <v>312</v>
      </c>
      <c r="BP977" s="47" t="s">
        <v>312</v>
      </c>
      <c r="BQ977" s="47" t="s">
        <v>117</v>
      </c>
      <c r="BR977" s="47" t="s">
        <v>134</v>
      </c>
      <c r="BS977" s="47" t="s">
        <v>312</v>
      </c>
      <c r="BT977" s="47" t="s">
        <v>312</v>
      </c>
      <c r="BU977" s="47">
        <v>1998</v>
      </c>
      <c r="BV977" s="47">
        <v>2007</v>
      </c>
      <c r="BW977" s="47" t="s">
        <v>901</v>
      </c>
      <c r="BX977" s="47" t="s">
        <v>95</v>
      </c>
      <c r="BY977" s="47" t="s">
        <v>748</v>
      </c>
      <c r="BZ977" s="47">
        <v>1</v>
      </c>
      <c r="CA977" s="47">
        <v>1</v>
      </c>
      <c r="CB977" s="47" t="s">
        <v>303</v>
      </c>
      <c r="CC977" s="47" t="s">
        <v>1933</v>
      </c>
      <c r="CD977" s="47">
        <v>1</v>
      </c>
      <c r="CE977" s="47" t="s">
        <v>1920</v>
      </c>
      <c r="CF977" s="47">
        <v>0</v>
      </c>
      <c r="CG977" s="47" t="s">
        <v>97</v>
      </c>
      <c r="CH977" s="47">
        <v>0</v>
      </c>
      <c r="CI977" s="47" t="s">
        <v>116</v>
      </c>
      <c r="CJ977" s="47" t="s">
        <v>98</v>
      </c>
      <c r="CK977" s="47">
        <v>27</v>
      </c>
      <c r="CL977" s="47">
        <v>0</v>
      </c>
      <c r="CM977" s="47">
        <v>0</v>
      </c>
      <c r="CN977" s="47" t="s">
        <v>124</v>
      </c>
      <c r="CO977" s="47" t="s">
        <v>97</v>
      </c>
      <c r="CP977" s="47" t="s">
        <v>100</v>
      </c>
      <c r="CQ977" s="47" t="s">
        <v>126</v>
      </c>
      <c r="CR977" s="48">
        <v>46252</v>
      </c>
      <c r="CT977" s="47" t="s">
        <v>1940</v>
      </c>
    </row>
    <row r="978" spans="1:99" s="47" customFormat="1" x14ac:dyDescent="0.35">
      <c r="A978" s="46" t="s">
        <v>1912</v>
      </c>
      <c r="B978" s="46" t="s">
        <v>1947</v>
      </c>
      <c r="C978" s="47" t="s">
        <v>1913</v>
      </c>
      <c r="D978" s="47">
        <v>2021</v>
      </c>
      <c r="E978" s="46" t="s">
        <v>1914</v>
      </c>
      <c r="F978" s="46" t="s">
        <v>1915</v>
      </c>
      <c r="G978" s="47" t="s">
        <v>78</v>
      </c>
      <c r="H978" s="47">
        <v>1</v>
      </c>
      <c r="I978" s="47" t="s">
        <v>290</v>
      </c>
      <c r="J978" s="47" t="s">
        <v>79</v>
      </c>
      <c r="K978" s="47">
        <v>482</v>
      </c>
      <c r="L978" s="47" t="s">
        <v>104</v>
      </c>
      <c r="M978" s="47" t="s">
        <v>380</v>
      </c>
      <c r="N978" s="47">
        <v>-8.8000000000000005E-3</v>
      </c>
      <c r="O978" s="47">
        <v>2.3E-3</v>
      </c>
      <c r="P978" s="92">
        <f t="shared" si="391"/>
        <v>-3.8260869565217392</v>
      </c>
      <c r="Q978" s="47" t="s">
        <v>312</v>
      </c>
      <c r="R978" s="92">
        <f t="shared" si="392"/>
        <v>-1.3308E-2</v>
      </c>
      <c r="S978" s="92">
        <f t="shared" si="393"/>
        <v>-4.2920000000000007E-3</v>
      </c>
      <c r="T978" s="47">
        <v>1</v>
      </c>
      <c r="U978" s="47">
        <v>1593247</v>
      </c>
      <c r="V978" s="47" t="s">
        <v>312</v>
      </c>
      <c r="W978" s="47" t="s">
        <v>312</v>
      </c>
      <c r="X978" s="47">
        <f t="shared" si="398"/>
        <v>1593247</v>
      </c>
      <c r="Y978" s="92">
        <f t="shared" si="394"/>
        <v>-3.0311769255492015E-3</v>
      </c>
      <c r="Z978" s="92">
        <f t="shared" si="395"/>
        <v>7.9223942372308681E-4</v>
      </c>
      <c r="AA978" s="92">
        <f t="shared" si="399"/>
        <v>-3.0311769255492015E-3</v>
      </c>
      <c r="AB978" s="47" t="s">
        <v>81</v>
      </c>
      <c r="AC978" s="92">
        <f t="shared" si="400"/>
        <v>-0.47097600000000006</v>
      </c>
      <c r="AD978" s="92" cm="1">
        <f t="array" ref="AD978">_xlfn.IFS(
AND(L978="marginal_effect",M978="level"),N978*AN978/BF978,
AND(L978="marginal_effect",M978="sd (Y)"),N978*BI978*AN978/BF978,
AND(L978="marginal_effect",M978="sd (X)"),N978/AQ978*AN978/BF978,
AND(L978="semi_elasticity",M978="level"),N978*AN978,
AND(L978="semi_elasticity",M978="sd (Y)"),N978*AN978*BI978,
AND(L978="semi_elasticity",M978="sd (X)"),N978*AN978/AQ978,
AND(L978="level-log",M978="level"),N978/BF978,
AND(L978="level-log",M978="sd (X)"),N978/BF978/AQ978,
AND(L978="level-log",M978="sd (Y)"),N978/BF978*BI978,
AND(L978="elasticity",M978="level"),N978,
AND(L978="elasticity",M978="sd (X)"),N978/AQ978,
AND(L978="elasticity",M978="sd (Y)"),N978*BI978,
AND(L978="marginal_effect",M978="percent_of_mean"),N978*AN978/BF978/10)</f>
        <v>-0.47097600000000006</v>
      </c>
      <c r="AE978" s="51">
        <f t="shared" si="401"/>
        <v>1</v>
      </c>
      <c r="AF978" s="92">
        <f t="shared" si="396"/>
        <v>0.12309600000000001</v>
      </c>
      <c r="AG978" s="92" cm="1">
        <f t="array" ref="AG978">_xlfn.IFS(
AND(L978="marginal_effect",M978="level"),O978*AN978/BF978,
AND(L978="marginal_effect",M978="sd (Y)"),O978*BI978*AN978/BF978,
AND(L978="marginal_effect",M978="sd (X)"),O978/AQ978*AN978/BF978,
AND(L978="semi_elasticity",M978="level"),O978*AN978,
AND(L978="semi_elasticity",M978="sd (Y)"),O978*AN978*BI978,
AND(L978="semi_elasticity",M978="sd (X)"),O978*AN978/AQ978,
AND(L978="level-log",M978="level"),O978/BF978,
AND(L978="level-log",M978="sd (X)"),O978/BF978/AQ978,
AND(L978="level-log",M978="sd (Y)"),O978/BF978*BI978,
AND(L978="elasticity",M978="level"),O978,
AND(L978="elasticity",M978="sd (X)"),O978/AQ978,
AND(L978="elasticity",M978="sd (Y)"),O978*BI978,
AND(L978="marginal_effect",M978="percent_of_mean"),O978*AN978/BF978/10)</f>
        <v>0.12309600000000001</v>
      </c>
      <c r="AH978" s="51">
        <f t="shared" si="404"/>
        <v>1</v>
      </c>
      <c r="AI978" s="92">
        <f t="shared" si="402"/>
        <v>-0.47097600000000006</v>
      </c>
      <c r="AJ978" s="47">
        <v>0</v>
      </c>
      <c r="AK978" s="47">
        <f t="shared" si="397"/>
        <v>1</v>
      </c>
      <c r="AL978" s="47" t="s">
        <v>82</v>
      </c>
      <c r="AM978" s="47" t="s">
        <v>1333</v>
      </c>
      <c r="AN978" s="47">
        <v>53.52</v>
      </c>
      <c r="AO978" s="47">
        <v>0</v>
      </c>
      <c r="AP978" s="47">
        <f t="shared" si="403"/>
        <v>53.52</v>
      </c>
      <c r="AQ978" s="47">
        <v>25.46</v>
      </c>
      <c r="AR978" s="47">
        <v>2.62</v>
      </c>
      <c r="AS978" s="47">
        <v>134.84</v>
      </c>
      <c r="AT978" s="47" t="s">
        <v>107</v>
      </c>
      <c r="AU978" s="47" t="s">
        <v>109</v>
      </c>
      <c r="AV978" s="47" t="s">
        <v>133</v>
      </c>
      <c r="AW978" s="47" t="s">
        <v>85</v>
      </c>
      <c r="AX978" s="47" t="s">
        <v>86</v>
      </c>
      <c r="AY978" s="47">
        <v>0</v>
      </c>
      <c r="AZ978" s="47">
        <v>0</v>
      </c>
      <c r="BA978" s="47" t="s">
        <v>391</v>
      </c>
      <c r="BB978" s="47" t="s">
        <v>134</v>
      </c>
      <c r="BC978" s="47" t="s">
        <v>134</v>
      </c>
      <c r="BD978" s="47" t="s">
        <v>134</v>
      </c>
      <c r="BE978" s="47" t="s">
        <v>1905</v>
      </c>
      <c r="BF978" s="47">
        <v>88</v>
      </c>
      <c r="BG978" s="47">
        <v>0</v>
      </c>
      <c r="BH978" s="47">
        <v>160</v>
      </c>
      <c r="BI978" s="47">
        <v>0.13</v>
      </c>
      <c r="BJ978" s="47">
        <v>16248</v>
      </c>
      <c r="BK978" s="47" t="s">
        <v>91</v>
      </c>
      <c r="BL978" s="47" t="s">
        <v>116</v>
      </c>
      <c r="BM978" s="47">
        <v>1</v>
      </c>
      <c r="BN978" s="47" t="s">
        <v>2177</v>
      </c>
      <c r="BO978" s="47" t="s">
        <v>312</v>
      </c>
      <c r="BP978" s="47" t="s">
        <v>312</v>
      </c>
      <c r="BQ978" s="47" t="s">
        <v>117</v>
      </c>
      <c r="BR978" s="47" t="s">
        <v>134</v>
      </c>
      <c r="BS978" s="47" t="s">
        <v>312</v>
      </c>
      <c r="BT978" s="47" t="s">
        <v>312</v>
      </c>
      <c r="BU978" s="47">
        <v>1998</v>
      </c>
      <c r="BV978" s="47">
        <v>2007</v>
      </c>
      <c r="BW978" s="47" t="s">
        <v>901</v>
      </c>
      <c r="BX978" s="47" t="s">
        <v>95</v>
      </c>
      <c r="BY978" s="47" t="s">
        <v>748</v>
      </c>
      <c r="BZ978" s="47">
        <v>1</v>
      </c>
      <c r="CA978" s="47">
        <v>1</v>
      </c>
      <c r="CB978" s="47" t="s">
        <v>303</v>
      </c>
      <c r="CC978" s="47" t="s">
        <v>1375</v>
      </c>
      <c r="CD978" s="47">
        <v>1</v>
      </c>
      <c r="CE978" s="47" t="s">
        <v>1920</v>
      </c>
      <c r="CF978" s="47">
        <v>0</v>
      </c>
      <c r="CG978" s="47" t="s">
        <v>97</v>
      </c>
      <c r="CH978" s="47">
        <v>0</v>
      </c>
      <c r="CI978" s="47" t="s">
        <v>116</v>
      </c>
      <c r="CJ978" s="47" t="s">
        <v>98</v>
      </c>
      <c r="CK978" s="47">
        <v>27</v>
      </c>
      <c r="CL978" s="47">
        <v>0</v>
      </c>
      <c r="CM978" s="47">
        <v>0</v>
      </c>
      <c r="CN978" s="47" t="s">
        <v>124</v>
      </c>
      <c r="CO978" s="47" t="s">
        <v>97</v>
      </c>
      <c r="CP978" s="47" t="s">
        <v>100</v>
      </c>
      <c r="CQ978" s="47" t="s">
        <v>126</v>
      </c>
      <c r="CR978" s="48">
        <v>46252</v>
      </c>
      <c r="CT978" s="47" t="s">
        <v>1941</v>
      </c>
      <c r="CU978" s="47" t="s">
        <v>1946</v>
      </c>
    </row>
    <row r="979" spans="1:99" s="47" customFormat="1" x14ac:dyDescent="0.35">
      <c r="A979" s="46" t="s">
        <v>1912</v>
      </c>
      <c r="B979" s="46" t="s">
        <v>1948</v>
      </c>
      <c r="C979" s="47" t="s">
        <v>1913</v>
      </c>
      <c r="D979" s="47">
        <v>2021</v>
      </c>
      <c r="E979" s="46" t="s">
        <v>1914</v>
      </c>
      <c r="F979" s="46" t="s">
        <v>1915</v>
      </c>
      <c r="G979" s="47" t="s">
        <v>78</v>
      </c>
      <c r="H979" s="47">
        <v>1</v>
      </c>
      <c r="I979" s="47" t="s">
        <v>290</v>
      </c>
      <c r="J979" s="47" t="s">
        <v>79</v>
      </c>
      <c r="K979" s="47">
        <v>482</v>
      </c>
      <c r="L979" s="47" t="s">
        <v>104</v>
      </c>
      <c r="M979" s="47" t="s">
        <v>380</v>
      </c>
      <c r="N979" s="47">
        <v>-9.1000000000000004E-3</v>
      </c>
      <c r="O979" s="47">
        <v>1.5E-3</v>
      </c>
      <c r="P979" s="92">
        <f t="shared" si="391"/>
        <v>-6.0666666666666664</v>
      </c>
      <c r="Q979" s="47" t="s">
        <v>312</v>
      </c>
      <c r="R979" s="92">
        <f t="shared" si="392"/>
        <v>-1.204E-2</v>
      </c>
      <c r="S979" s="92">
        <f t="shared" si="393"/>
        <v>-6.1600000000000005E-3</v>
      </c>
      <c r="T979" s="47">
        <v>1</v>
      </c>
      <c r="U979" s="47">
        <v>1689266</v>
      </c>
      <c r="V979" s="47" t="s">
        <v>312</v>
      </c>
      <c r="W979" s="47" t="s">
        <v>312</v>
      </c>
      <c r="X979" s="47">
        <f t="shared" si="398"/>
        <v>1689266</v>
      </c>
      <c r="Y979" s="92">
        <f t="shared" si="394"/>
        <v>-4.667629562016792E-3</v>
      </c>
      <c r="Z979" s="92">
        <f t="shared" si="395"/>
        <v>7.6938948824452618E-4</v>
      </c>
      <c r="AA979" s="92">
        <f t="shared" si="399"/>
        <v>-4.667629562016792E-3</v>
      </c>
      <c r="AB979" s="47" t="s">
        <v>81</v>
      </c>
      <c r="AC979" s="92">
        <f t="shared" si="400"/>
        <v>-0.48703200000000008</v>
      </c>
      <c r="AD979" s="92" cm="1">
        <f t="array" ref="AD979">_xlfn.IFS(
AND(L979="marginal_effect",M979="level"),N979*AN979/BF979,
AND(L979="marginal_effect",M979="sd (Y)"),N979*BI979*AN979/BF979,
AND(L979="marginal_effect",M979="sd (X)"),N979/AQ979*AN979/BF979,
AND(L979="semi_elasticity",M979="level"),N979*AN979,
AND(L979="semi_elasticity",M979="sd (Y)"),N979*AN979*BI979,
AND(L979="semi_elasticity",M979="sd (X)"),N979*AN979/AQ979,
AND(L979="level-log",M979="level"),N979/BF979,
AND(L979="level-log",M979="sd (X)"),N979/BF979/AQ979,
AND(L979="level-log",M979="sd (Y)"),N979/BF979*BI979,
AND(L979="elasticity",M979="level"),N979,
AND(L979="elasticity",M979="sd (X)"),N979/AQ979,
AND(L979="elasticity",M979="sd (Y)"),N979*BI979,
AND(L979="marginal_effect",M979="percent_of_mean"),N979*AN979/BF979/10)</f>
        <v>-0.48703200000000008</v>
      </c>
      <c r="AE979" s="51">
        <f t="shared" si="401"/>
        <v>1</v>
      </c>
      <c r="AF979" s="92">
        <f t="shared" si="396"/>
        <v>8.0280000000000004E-2</v>
      </c>
      <c r="AG979" s="92" cm="1">
        <f t="array" ref="AG979">_xlfn.IFS(
AND(L979="marginal_effect",M979="level"),O979*AN979/BF979,
AND(L979="marginal_effect",M979="sd (Y)"),O979*BI979*AN979/BF979,
AND(L979="marginal_effect",M979="sd (X)"),O979/AQ979*AN979/BF979,
AND(L979="semi_elasticity",M979="level"),O979*AN979,
AND(L979="semi_elasticity",M979="sd (Y)"),O979*AN979*BI979,
AND(L979="semi_elasticity",M979="sd (X)"),O979*AN979/AQ979,
AND(L979="level-log",M979="level"),O979/BF979,
AND(L979="level-log",M979="sd (X)"),O979/BF979/AQ979,
AND(L979="level-log",M979="sd (Y)"),O979/BF979*BI979,
AND(L979="elasticity",M979="level"),O979,
AND(L979="elasticity",M979="sd (X)"),O979/AQ979,
AND(L979="elasticity",M979="sd (Y)"),O979*BI979,
AND(L979="marginal_effect",M979="percent_of_mean"),O979*AN979/BF979/10)</f>
        <v>8.0280000000000004E-2</v>
      </c>
      <c r="AH979" s="51">
        <f t="shared" si="404"/>
        <v>1</v>
      </c>
      <c r="AI979" s="92">
        <f t="shared" si="402"/>
        <v>-0.48703200000000008</v>
      </c>
      <c r="AJ979" s="47">
        <v>0</v>
      </c>
      <c r="AK979" s="47">
        <f t="shared" si="397"/>
        <v>1</v>
      </c>
      <c r="AL979" s="47" t="s">
        <v>82</v>
      </c>
      <c r="AM979" s="47" t="s">
        <v>1333</v>
      </c>
      <c r="AN979" s="47">
        <v>53.52</v>
      </c>
      <c r="AO979" s="47">
        <v>0</v>
      </c>
      <c r="AP979" s="47">
        <f t="shared" si="403"/>
        <v>53.52</v>
      </c>
      <c r="AQ979" s="47">
        <v>25.46</v>
      </c>
      <c r="AR979" s="47">
        <v>2.62</v>
      </c>
      <c r="AS979" s="47">
        <v>134.84</v>
      </c>
      <c r="AT979" s="47" t="s">
        <v>107</v>
      </c>
      <c r="AU979" s="47" t="s">
        <v>109</v>
      </c>
      <c r="AV979" s="47" t="s">
        <v>133</v>
      </c>
      <c r="AW979" s="47" t="s">
        <v>85</v>
      </c>
      <c r="AX979" s="47" t="s">
        <v>86</v>
      </c>
      <c r="AY979" s="47">
        <v>0</v>
      </c>
      <c r="AZ979" s="47">
        <v>0</v>
      </c>
      <c r="BA979" s="47" t="s">
        <v>391</v>
      </c>
      <c r="BB979" s="47" t="s">
        <v>134</v>
      </c>
      <c r="BC979" s="47" t="s">
        <v>134</v>
      </c>
      <c r="BD979" s="47" t="s">
        <v>134</v>
      </c>
      <c r="BE979" s="47" t="s">
        <v>1905</v>
      </c>
      <c r="BF979" s="47">
        <v>88</v>
      </c>
      <c r="BG979" s="47">
        <v>0</v>
      </c>
      <c r="BH979" s="47">
        <v>160</v>
      </c>
      <c r="BI979" s="47">
        <v>0.13</v>
      </c>
      <c r="BJ979" s="47">
        <v>16248</v>
      </c>
      <c r="BK979" s="47" t="s">
        <v>91</v>
      </c>
      <c r="BL979" s="47" t="s">
        <v>116</v>
      </c>
      <c r="BM979" s="47">
        <v>1</v>
      </c>
      <c r="BN979" s="47" t="s">
        <v>2177</v>
      </c>
      <c r="BO979" s="47" t="s">
        <v>312</v>
      </c>
      <c r="BP979" s="47" t="s">
        <v>312</v>
      </c>
      <c r="BQ979" s="47" t="s">
        <v>117</v>
      </c>
      <c r="BR979" s="47" t="s">
        <v>134</v>
      </c>
      <c r="BS979" s="47" t="s">
        <v>312</v>
      </c>
      <c r="BT979" s="47" t="s">
        <v>312</v>
      </c>
      <c r="BU979" s="47">
        <v>1998</v>
      </c>
      <c r="BV979" s="47">
        <v>2007</v>
      </c>
      <c r="BW979" s="47" t="s">
        <v>901</v>
      </c>
      <c r="BX979" s="47" t="s">
        <v>95</v>
      </c>
      <c r="BY979" s="47" t="s">
        <v>748</v>
      </c>
      <c r="BZ979" s="47">
        <v>1</v>
      </c>
      <c r="CA979" s="47">
        <v>1</v>
      </c>
      <c r="CB979" s="47" t="s">
        <v>303</v>
      </c>
      <c r="CC979" s="47" t="s">
        <v>1375</v>
      </c>
      <c r="CD979" s="47">
        <v>1</v>
      </c>
      <c r="CE979" s="47" t="s">
        <v>1920</v>
      </c>
      <c r="CF979" s="47">
        <v>0</v>
      </c>
      <c r="CG979" s="47" t="s">
        <v>97</v>
      </c>
      <c r="CH979" s="47">
        <v>0</v>
      </c>
      <c r="CI979" s="47" t="s">
        <v>116</v>
      </c>
      <c r="CJ979" s="47" t="s">
        <v>98</v>
      </c>
      <c r="CK979" s="47">
        <v>27</v>
      </c>
      <c r="CL979" s="47">
        <v>0</v>
      </c>
      <c r="CM979" s="47">
        <v>0</v>
      </c>
      <c r="CN979" s="47" t="s">
        <v>124</v>
      </c>
      <c r="CO979" s="47" t="s">
        <v>97</v>
      </c>
      <c r="CP979" s="47" t="s">
        <v>100</v>
      </c>
      <c r="CQ979" s="47" t="s">
        <v>126</v>
      </c>
      <c r="CR979" s="48">
        <v>46252</v>
      </c>
      <c r="CT979" s="47" t="s">
        <v>1942</v>
      </c>
    </row>
    <row r="980" spans="1:99" s="47" customFormat="1" x14ac:dyDescent="0.35">
      <c r="A980" s="46" t="s">
        <v>1912</v>
      </c>
      <c r="B980" s="46" t="s">
        <v>1949</v>
      </c>
      <c r="C980" s="47" t="s">
        <v>1913</v>
      </c>
      <c r="D980" s="47">
        <v>2021</v>
      </c>
      <c r="E980" s="46" t="s">
        <v>1914</v>
      </c>
      <c r="F980" s="46" t="s">
        <v>1915</v>
      </c>
      <c r="G980" s="47" t="s">
        <v>78</v>
      </c>
      <c r="H980" s="47">
        <v>1</v>
      </c>
      <c r="I980" s="47" t="s">
        <v>290</v>
      </c>
      <c r="J980" s="47" t="s">
        <v>79</v>
      </c>
      <c r="K980" s="47">
        <v>482</v>
      </c>
      <c r="L980" s="47" t="s">
        <v>104</v>
      </c>
      <c r="M980" s="47" t="s">
        <v>380</v>
      </c>
      <c r="N980" s="47">
        <v>-7.3000000000000001E-3</v>
      </c>
      <c r="O980" s="47">
        <v>1.8E-3</v>
      </c>
      <c r="P980" s="92">
        <f t="shared" si="391"/>
        <v>-4.0555555555555554</v>
      </c>
      <c r="Q980" s="47" t="s">
        <v>312</v>
      </c>
      <c r="R980" s="92">
        <f t="shared" si="392"/>
        <v>-1.0828000000000001E-2</v>
      </c>
      <c r="S980" s="92">
        <f t="shared" si="393"/>
        <v>-3.7720000000000002E-3</v>
      </c>
      <c r="T980" s="47">
        <v>1</v>
      </c>
      <c r="U980" s="47">
        <v>1798403</v>
      </c>
      <c r="V980" s="47" t="s">
        <v>312</v>
      </c>
      <c r="W980" s="47" t="s">
        <v>312</v>
      </c>
      <c r="X980" s="47">
        <f t="shared" si="398"/>
        <v>1798403</v>
      </c>
      <c r="Y980" s="92">
        <f t="shared" si="394"/>
        <v>-3.0241606624553117E-3</v>
      </c>
      <c r="Z980" s="92">
        <f t="shared" si="395"/>
        <v>7.4568345101637824E-4</v>
      </c>
      <c r="AA980" s="92">
        <f t="shared" si="399"/>
        <v>-3.0241606624553117E-3</v>
      </c>
      <c r="AB980" s="47" t="s">
        <v>81</v>
      </c>
      <c r="AC980" s="92">
        <f t="shared" si="400"/>
        <v>-0.39069600000000004</v>
      </c>
      <c r="AD980" s="92" cm="1">
        <f t="array" ref="AD980">_xlfn.IFS(
AND(L980="marginal_effect",M980="level"),N980*AN980/BF980,
AND(L980="marginal_effect",M980="sd (Y)"),N980*BI980*AN980/BF980,
AND(L980="marginal_effect",M980="sd (X)"),N980/AQ980*AN980/BF980,
AND(L980="semi_elasticity",M980="level"),N980*AN980,
AND(L980="semi_elasticity",M980="sd (Y)"),N980*AN980*BI980,
AND(L980="semi_elasticity",M980="sd (X)"),N980*AN980/AQ980,
AND(L980="level-log",M980="level"),N980/BF980,
AND(L980="level-log",M980="sd (X)"),N980/BF980/AQ980,
AND(L980="level-log",M980="sd (Y)"),N980/BF980*BI980,
AND(L980="elasticity",M980="level"),N980,
AND(L980="elasticity",M980="sd (X)"),N980/AQ980,
AND(L980="elasticity",M980="sd (Y)"),N980*BI980,
AND(L980="marginal_effect",M980="percent_of_mean"),N980*AN980/BF980/10)</f>
        <v>-0.39069600000000004</v>
      </c>
      <c r="AE980" s="51">
        <f t="shared" si="401"/>
        <v>1</v>
      </c>
      <c r="AF980" s="92">
        <f t="shared" si="396"/>
        <v>9.6336000000000005E-2</v>
      </c>
      <c r="AG980" s="92" cm="1">
        <f t="array" ref="AG980">_xlfn.IFS(
AND(L980="marginal_effect",M980="level"),O980*AN980/BF980,
AND(L980="marginal_effect",M980="sd (Y)"),O980*BI980*AN980/BF980,
AND(L980="marginal_effect",M980="sd (X)"),O980/AQ980*AN980/BF980,
AND(L980="semi_elasticity",M980="level"),O980*AN980,
AND(L980="semi_elasticity",M980="sd (Y)"),O980*AN980*BI980,
AND(L980="semi_elasticity",M980="sd (X)"),O980*AN980/AQ980,
AND(L980="level-log",M980="level"),O980/BF980,
AND(L980="level-log",M980="sd (X)"),O980/BF980/AQ980,
AND(L980="level-log",M980="sd (Y)"),O980/BF980*BI980,
AND(L980="elasticity",M980="level"),O980,
AND(L980="elasticity",M980="sd (X)"),O980/AQ980,
AND(L980="elasticity",M980="sd (Y)"),O980*BI980,
AND(L980="marginal_effect",M980="percent_of_mean"),O980*AN980/BF980/10)</f>
        <v>9.6336000000000005E-2</v>
      </c>
      <c r="AH980" s="51">
        <f t="shared" si="404"/>
        <v>1</v>
      </c>
      <c r="AI980" s="92">
        <f t="shared" si="402"/>
        <v>-0.39069600000000004</v>
      </c>
      <c r="AJ980" s="47">
        <v>0</v>
      </c>
      <c r="AK980" s="47">
        <f t="shared" si="397"/>
        <v>1</v>
      </c>
      <c r="AL980" s="47" t="s">
        <v>82</v>
      </c>
      <c r="AM980" s="47" t="s">
        <v>1333</v>
      </c>
      <c r="AN980" s="47">
        <v>53.52</v>
      </c>
      <c r="AO980" s="47">
        <v>0</v>
      </c>
      <c r="AP980" s="47">
        <f t="shared" si="403"/>
        <v>53.52</v>
      </c>
      <c r="AQ980" s="47">
        <v>25.46</v>
      </c>
      <c r="AR980" s="47">
        <v>2.62</v>
      </c>
      <c r="AS980" s="47">
        <v>134.84</v>
      </c>
      <c r="AT980" s="47" t="s">
        <v>107</v>
      </c>
      <c r="AU980" s="47" t="s">
        <v>109</v>
      </c>
      <c r="AV980" s="47" t="s">
        <v>133</v>
      </c>
      <c r="AW980" s="47" t="s">
        <v>85</v>
      </c>
      <c r="AX980" s="47" t="s">
        <v>86</v>
      </c>
      <c r="AY980" s="47">
        <v>0</v>
      </c>
      <c r="AZ980" s="47">
        <v>0</v>
      </c>
      <c r="BA980" s="47" t="s">
        <v>391</v>
      </c>
      <c r="BB980" s="47" t="s">
        <v>134</v>
      </c>
      <c r="BC980" s="47" t="s">
        <v>134</v>
      </c>
      <c r="BD980" s="47" t="s">
        <v>134</v>
      </c>
      <c r="BE980" s="47" t="s">
        <v>1905</v>
      </c>
      <c r="BF980" s="47">
        <v>88</v>
      </c>
      <c r="BG980" s="47">
        <v>0</v>
      </c>
      <c r="BH980" s="47">
        <v>160</v>
      </c>
      <c r="BI980" s="47">
        <v>0.13</v>
      </c>
      <c r="BJ980" s="47">
        <v>16248</v>
      </c>
      <c r="BK980" s="47" t="s">
        <v>91</v>
      </c>
      <c r="BL980" s="47" t="s">
        <v>116</v>
      </c>
      <c r="BM980" s="47">
        <v>1</v>
      </c>
      <c r="BN980" s="47" t="s">
        <v>2177</v>
      </c>
      <c r="BO980" s="47" t="s">
        <v>312</v>
      </c>
      <c r="BP980" s="47" t="s">
        <v>312</v>
      </c>
      <c r="BQ980" s="47" t="s">
        <v>117</v>
      </c>
      <c r="BR980" s="47" t="s">
        <v>134</v>
      </c>
      <c r="BS980" s="47" t="s">
        <v>312</v>
      </c>
      <c r="BT980" s="47" t="s">
        <v>312</v>
      </c>
      <c r="BU980" s="47">
        <v>1998</v>
      </c>
      <c r="BV980" s="47">
        <v>2007</v>
      </c>
      <c r="BW980" s="47" t="s">
        <v>901</v>
      </c>
      <c r="BX980" s="47" t="s">
        <v>95</v>
      </c>
      <c r="BY980" s="47" t="s">
        <v>748</v>
      </c>
      <c r="BZ980" s="47">
        <v>1</v>
      </c>
      <c r="CA980" s="47">
        <v>1</v>
      </c>
      <c r="CB980" s="47" t="s">
        <v>303</v>
      </c>
      <c r="CC980" s="47" t="s">
        <v>1375</v>
      </c>
      <c r="CD980" s="47">
        <v>1</v>
      </c>
      <c r="CE980" s="47" t="s">
        <v>1920</v>
      </c>
      <c r="CF980" s="47">
        <v>0</v>
      </c>
      <c r="CG980" s="47" t="s">
        <v>97</v>
      </c>
      <c r="CH980" s="47">
        <v>0</v>
      </c>
      <c r="CI980" s="47" t="s">
        <v>116</v>
      </c>
      <c r="CJ980" s="47" t="s">
        <v>98</v>
      </c>
      <c r="CK980" s="47">
        <v>27</v>
      </c>
      <c r="CL980" s="47">
        <v>0</v>
      </c>
      <c r="CM980" s="47">
        <v>0</v>
      </c>
      <c r="CN980" s="47" t="s">
        <v>124</v>
      </c>
      <c r="CO980" s="47" t="s">
        <v>97</v>
      </c>
      <c r="CP980" s="47" t="s">
        <v>100</v>
      </c>
      <c r="CQ980" s="47" t="s">
        <v>126</v>
      </c>
      <c r="CR980" s="48">
        <v>46252</v>
      </c>
      <c r="CT980" s="47" t="s">
        <v>1943</v>
      </c>
    </row>
    <row r="981" spans="1:99" s="47" customFormat="1" x14ac:dyDescent="0.35">
      <c r="A981" s="46" t="s">
        <v>1912</v>
      </c>
      <c r="B981" s="46" t="s">
        <v>1950</v>
      </c>
      <c r="C981" s="47" t="s">
        <v>1913</v>
      </c>
      <c r="D981" s="47">
        <v>2021</v>
      </c>
      <c r="E981" s="46" t="s">
        <v>1914</v>
      </c>
      <c r="F981" s="46" t="s">
        <v>1915</v>
      </c>
      <c r="G981" s="47" t="s">
        <v>78</v>
      </c>
      <c r="H981" s="47">
        <v>1</v>
      </c>
      <c r="I981" s="47" t="s">
        <v>290</v>
      </c>
      <c r="J981" s="47" t="s">
        <v>79</v>
      </c>
      <c r="K981" s="47">
        <v>482</v>
      </c>
      <c r="L981" s="47" t="s">
        <v>104</v>
      </c>
      <c r="M981" s="47" t="s">
        <v>380</v>
      </c>
      <c r="N981" s="47">
        <v>-8.0000000000000002E-3</v>
      </c>
      <c r="O981" s="47">
        <v>1.5E-3</v>
      </c>
      <c r="P981" s="92">
        <f t="shared" si="391"/>
        <v>-5.333333333333333</v>
      </c>
      <c r="Q981" s="47" t="s">
        <v>312</v>
      </c>
      <c r="R981" s="92">
        <f t="shared" si="392"/>
        <v>-1.094E-2</v>
      </c>
      <c r="S981" s="92">
        <f t="shared" si="393"/>
        <v>-5.0600000000000003E-3</v>
      </c>
      <c r="T981" s="47">
        <v>1</v>
      </c>
      <c r="U981" s="47">
        <v>1494973</v>
      </c>
      <c r="V981" s="47" t="s">
        <v>312</v>
      </c>
      <c r="W981" s="47" t="s">
        <v>312</v>
      </c>
      <c r="X981" s="47">
        <f t="shared" si="398"/>
        <v>1494973</v>
      </c>
      <c r="Y981" s="92">
        <f t="shared" si="394"/>
        <v>-4.3619222667091815E-3</v>
      </c>
      <c r="Z981" s="92">
        <f t="shared" si="395"/>
        <v>8.1786042500797153E-4</v>
      </c>
      <c r="AA981" s="92">
        <f t="shared" si="399"/>
        <v>-4.3619222667091815E-3</v>
      </c>
      <c r="AB981" s="47" t="s">
        <v>81</v>
      </c>
      <c r="AC981" s="92">
        <f t="shared" si="400"/>
        <v>-0.42816000000000004</v>
      </c>
      <c r="AD981" s="92" cm="1">
        <f t="array" ref="AD981">_xlfn.IFS(
AND(L981="marginal_effect",M981="level"),N981*AN981/BF981,
AND(L981="marginal_effect",M981="sd (Y)"),N981*BI981*AN981/BF981,
AND(L981="marginal_effect",M981="sd (X)"),N981/AQ981*AN981/BF981,
AND(L981="semi_elasticity",M981="level"),N981*AN981,
AND(L981="semi_elasticity",M981="sd (Y)"),N981*AN981*BI981,
AND(L981="semi_elasticity",M981="sd (X)"),N981*AN981/AQ981,
AND(L981="level-log",M981="level"),N981/BF981,
AND(L981="level-log",M981="sd (X)"),N981/BF981/AQ981,
AND(L981="level-log",M981="sd (Y)"),N981/BF981*BI981,
AND(L981="elasticity",M981="level"),N981,
AND(L981="elasticity",M981="sd (X)"),N981/AQ981,
AND(L981="elasticity",M981="sd (Y)"),N981*BI981,
AND(L981="marginal_effect",M981="percent_of_mean"),N981*AN981/BF981/10)</f>
        <v>-0.42816000000000004</v>
      </c>
      <c r="AE981" s="51">
        <f t="shared" si="401"/>
        <v>1</v>
      </c>
      <c r="AF981" s="92">
        <f t="shared" si="396"/>
        <v>8.0280000000000004E-2</v>
      </c>
      <c r="AG981" s="92" cm="1">
        <f t="array" ref="AG981">_xlfn.IFS(
AND(L981="marginal_effect",M981="level"),O981*AN981/BF981,
AND(L981="marginal_effect",M981="sd (Y)"),O981*BI981*AN981/BF981,
AND(L981="marginal_effect",M981="sd (X)"),O981/AQ981*AN981/BF981,
AND(L981="semi_elasticity",M981="level"),O981*AN981,
AND(L981="semi_elasticity",M981="sd (Y)"),O981*AN981*BI981,
AND(L981="semi_elasticity",M981="sd (X)"),O981*AN981/AQ981,
AND(L981="level-log",M981="level"),O981/BF981,
AND(L981="level-log",M981="sd (X)"),O981/BF981/AQ981,
AND(L981="level-log",M981="sd (Y)"),O981/BF981*BI981,
AND(L981="elasticity",M981="level"),O981,
AND(L981="elasticity",M981="sd (X)"),O981/AQ981,
AND(L981="elasticity",M981="sd (Y)"),O981*BI981,
AND(L981="marginal_effect",M981="percent_of_mean"),O981*AN981/BF981/10)</f>
        <v>8.0280000000000004E-2</v>
      </c>
      <c r="AH981" s="51">
        <f t="shared" si="404"/>
        <v>1</v>
      </c>
      <c r="AI981" s="92">
        <f t="shared" si="402"/>
        <v>-0.42816000000000004</v>
      </c>
      <c r="AJ981" s="47">
        <v>0</v>
      </c>
      <c r="AK981" s="47">
        <f t="shared" si="397"/>
        <v>1</v>
      </c>
      <c r="AL981" s="47" t="s">
        <v>82</v>
      </c>
      <c r="AM981" s="47" t="s">
        <v>1333</v>
      </c>
      <c r="AN981" s="47">
        <v>53.52</v>
      </c>
      <c r="AO981" s="47">
        <v>0</v>
      </c>
      <c r="AP981" s="47">
        <f t="shared" si="403"/>
        <v>53.52</v>
      </c>
      <c r="AQ981" s="47">
        <v>25.46</v>
      </c>
      <c r="AR981" s="47">
        <v>2.62</v>
      </c>
      <c r="AS981" s="47">
        <v>134.84</v>
      </c>
      <c r="AT981" s="47" t="s">
        <v>107</v>
      </c>
      <c r="AU981" s="47" t="s">
        <v>109</v>
      </c>
      <c r="AV981" s="47" t="s">
        <v>133</v>
      </c>
      <c r="AW981" s="47" t="s">
        <v>85</v>
      </c>
      <c r="AX981" s="47" t="s">
        <v>86</v>
      </c>
      <c r="AY981" s="47">
        <v>0</v>
      </c>
      <c r="AZ981" s="47">
        <v>0</v>
      </c>
      <c r="BA981" s="47" t="s">
        <v>391</v>
      </c>
      <c r="BB981" s="47" t="s">
        <v>134</v>
      </c>
      <c r="BC981" s="47" t="s">
        <v>134</v>
      </c>
      <c r="BD981" s="47" t="s">
        <v>134</v>
      </c>
      <c r="BE981" s="47" t="s">
        <v>1905</v>
      </c>
      <c r="BF981" s="47">
        <v>88</v>
      </c>
      <c r="BG981" s="47">
        <v>0</v>
      </c>
      <c r="BH981" s="47">
        <v>160</v>
      </c>
      <c r="BI981" s="47">
        <v>0.13</v>
      </c>
      <c r="BJ981" s="47">
        <v>16248</v>
      </c>
      <c r="BK981" s="47" t="s">
        <v>91</v>
      </c>
      <c r="BL981" s="47" t="s">
        <v>116</v>
      </c>
      <c r="BM981" s="47">
        <v>1</v>
      </c>
      <c r="BN981" s="47" t="s">
        <v>2177</v>
      </c>
      <c r="BO981" s="47" t="s">
        <v>312</v>
      </c>
      <c r="BP981" s="47" t="s">
        <v>312</v>
      </c>
      <c r="BQ981" s="47" t="s">
        <v>117</v>
      </c>
      <c r="BR981" s="47" t="s">
        <v>134</v>
      </c>
      <c r="BS981" s="47" t="s">
        <v>312</v>
      </c>
      <c r="BT981" s="47" t="s">
        <v>312</v>
      </c>
      <c r="BU981" s="47">
        <v>1998</v>
      </c>
      <c r="BV981" s="47">
        <v>2007</v>
      </c>
      <c r="BW981" s="47" t="s">
        <v>901</v>
      </c>
      <c r="BX981" s="47" t="s">
        <v>95</v>
      </c>
      <c r="BY981" s="47" t="s">
        <v>748</v>
      </c>
      <c r="BZ981" s="47">
        <v>1</v>
      </c>
      <c r="CA981" s="47">
        <v>1</v>
      </c>
      <c r="CB981" s="47" t="s">
        <v>303</v>
      </c>
      <c r="CC981" s="47" t="s">
        <v>1375</v>
      </c>
      <c r="CD981" s="47">
        <v>1</v>
      </c>
      <c r="CE981" s="47" t="s">
        <v>1920</v>
      </c>
      <c r="CF981" s="47">
        <v>0</v>
      </c>
      <c r="CG981" s="47" t="s">
        <v>97</v>
      </c>
      <c r="CH981" s="47">
        <v>0</v>
      </c>
      <c r="CI981" s="47" t="s">
        <v>116</v>
      </c>
      <c r="CJ981" s="47" t="s">
        <v>98</v>
      </c>
      <c r="CK981" s="47">
        <v>27</v>
      </c>
      <c r="CL981" s="47">
        <v>0</v>
      </c>
      <c r="CM981" s="47">
        <v>0</v>
      </c>
      <c r="CN981" s="47" t="s">
        <v>124</v>
      </c>
      <c r="CO981" s="47" t="s">
        <v>116</v>
      </c>
      <c r="CP981" s="47" t="s">
        <v>100</v>
      </c>
      <c r="CQ981" s="47" t="s">
        <v>126</v>
      </c>
      <c r="CR981" s="48">
        <v>46252</v>
      </c>
      <c r="CT981" s="47" t="s">
        <v>1944</v>
      </c>
    </row>
    <row r="982" spans="1:99" s="47" customFormat="1" x14ac:dyDescent="0.35">
      <c r="A982" s="46" t="s">
        <v>1912</v>
      </c>
      <c r="B982" s="46" t="s">
        <v>1951</v>
      </c>
      <c r="C982" s="47" t="s">
        <v>1913</v>
      </c>
      <c r="D982" s="47">
        <v>2021</v>
      </c>
      <c r="E982" s="46" t="s">
        <v>1914</v>
      </c>
      <c r="F982" s="46" t="s">
        <v>1915</v>
      </c>
      <c r="G982" s="47" t="s">
        <v>78</v>
      </c>
      <c r="H982" s="47">
        <v>1</v>
      </c>
      <c r="I982" s="47" t="s">
        <v>290</v>
      </c>
      <c r="J982" s="47" t="s">
        <v>79</v>
      </c>
      <c r="K982" s="47">
        <v>482</v>
      </c>
      <c r="L982" s="47" t="s">
        <v>80</v>
      </c>
      <c r="M982" s="47" t="s">
        <v>380</v>
      </c>
      <c r="N982" s="47">
        <v>-0.52249999999999996</v>
      </c>
      <c r="O982" s="47">
        <v>9.0200000000000002E-2</v>
      </c>
      <c r="P982" s="92">
        <f t="shared" si="391"/>
        <v>-5.7926829268292677</v>
      </c>
      <c r="Q982" s="47" t="s">
        <v>312</v>
      </c>
      <c r="R982" s="92">
        <f t="shared" si="392"/>
        <v>-0.69929200000000002</v>
      </c>
      <c r="S982" s="92">
        <f t="shared" si="393"/>
        <v>-0.34570799999999996</v>
      </c>
      <c r="T982" s="47">
        <v>1</v>
      </c>
      <c r="U982" s="47">
        <v>1593247</v>
      </c>
      <c r="V982" s="47" t="s">
        <v>312</v>
      </c>
      <c r="W982" s="47" t="s">
        <v>312</v>
      </c>
      <c r="X982" s="47">
        <f t="shared" si="398"/>
        <v>1593247</v>
      </c>
      <c r="Y982" s="92">
        <f t="shared" si="394"/>
        <v>-4.5891645410757863E-3</v>
      </c>
      <c r="Z982" s="92">
        <f t="shared" si="395"/>
        <v>7.922347207751884E-4</v>
      </c>
      <c r="AA982" s="92">
        <f t="shared" si="399"/>
        <v>-4.5891645410757863E-3</v>
      </c>
      <c r="AB982" s="47" t="s">
        <v>81</v>
      </c>
      <c r="AC982" s="92">
        <f>N982</f>
        <v>-0.52249999999999996</v>
      </c>
      <c r="AD982" s="92" cm="1">
        <f t="array" ref="AD982">_xlfn.IFS(
AND(L982="marginal_effect",M982="level"),N982*AN982/BF982,
AND(L982="marginal_effect",M982="sd (Y)"),N982*BI982*AN982/BF982,
AND(L982="marginal_effect",M982="sd (X)"),N982/AQ982*AN982/BF982,
AND(L982="semi_elasticity",M982="level"),N982*AN982,
AND(L982="semi_elasticity",M982="sd (Y)"),N982*AN982*BI982,
AND(L982="semi_elasticity",M982="sd (X)"),N982*AN982/AQ982,
AND(L982="level-log",M982="level"),N982/BF982,
AND(L982="level-log",M982="sd (X)"),N982/BF982/AQ982,
AND(L982="level-log",M982="sd (Y)"),N982/BF982*BI982,
AND(L982="elasticity",M982="level"),N982,
AND(L982="elasticity",M982="sd (X)"),N982/AQ982,
AND(L982="elasticity",M982="sd (Y)"),N982*BI982,
AND(L982="marginal_effect",M982="percent_of_mean"),N982*AN982/BF982/10)</f>
        <v>-0.52249999999999996</v>
      </c>
      <c r="AE982" s="51">
        <f t="shared" si="401"/>
        <v>1</v>
      </c>
      <c r="AF982" s="92">
        <f>O982</f>
        <v>9.0200000000000002E-2</v>
      </c>
      <c r="AG982" s="92" cm="1">
        <f t="array" ref="AG982">_xlfn.IFS(
AND(L982="marginal_effect",M982="level"),O982*AN982/BF982,
AND(L982="marginal_effect",M982="sd (Y)"),O982*BI982*AN982/BF982,
AND(L982="marginal_effect",M982="sd (X)"),O982/AQ982*AN982/BF982,
AND(L982="semi_elasticity",M982="level"),O982*AN982,
AND(L982="semi_elasticity",M982="sd (Y)"),O982*AN982*BI982,
AND(L982="semi_elasticity",M982="sd (X)"),O982*AN982/AQ982,
AND(L982="level-log",M982="level"),O982/BF982,
AND(L982="level-log",M982="sd (X)"),O982/BF982/AQ982,
AND(L982="level-log",M982="sd (Y)"),O982/BF982*BI982,
AND(L982="elasticity",M982="level"),O982,
AND(L982="elasticity",M982="sd (X)"),O982/AQ982,
AND(L982="elasticity",M982="sd (Y)"),O982*BI982,
AND(L982="marginal_effect",M982="percent_of_mean"),O982*AN982/BF982/10)</f>
        <v>9.0200000000000002E-2</v>
      </c>
      <c r="AH982" s="51">
        <f t="shared" si="404"/>
        <v>1</v>
      </c>
      <c r="AI982" s="92">
        <f t="shared" si="402"/>
        <v>-0.52249999999999996</v>
      </c>
      <c r="AJ982" s="47">
        <v>0</v>
      </c>
      <c r="AK982" s="47">
        <f t="shared" si="397"/>
        <v>1</v>
      </c>
      <c r="AL982" s="47" t="s">
        <v>82</v>
      </c>
      <c r="AM982" s="47" t="s">
        <v>1333</v>
      </c>
      <c r="AN982" s="47">
        <v>53.52</v>
      </c>
      <c r="AO982" s="47">
        <v>0</v>
      </c>
      <c r="AP982" s="47">
        <f t="shared" si="403"/>
        <v>53.52</v>
      </c>
      <c r="AQ982" s="47">
        <v>25.46</v>
      </c>
      <c r="AR982" s="47">
        <v>2.62</v>
      </c>
      <c r="AS982" s="47">
        <v>134.84</v>
      </c>
      <c r="AT982" s="47" t="s">
        <v>107</v>
      </c>
      <c r="AU982" s="47" t="s">
        <v>109</v>
      </c>
      <c r="AV982" s="47" t="s">
        <v>133</v>
      </c>
      <c r="AW982" s="47" t="s">
        <v>85</v>
      </c>
      <c r="AX982" s="47" t="s">
        <v>86</v>
      </c>
      <c r="AY982" s="47">
        <v>0</v>
      </c>
      <c r="AZ982" s="47">
        <v>0</v>
      </c>
      <c r="BA982" s="47" t="s">
        <v>391</v>
      </c>
      <c r="BB982" s="47" t="s">
        <v>134</v>
      </c>
      <c r="BC982" s="47" t="s">
        <v>134</v>
      </c>
      <c r="BD982" s="47" t="s">
        <v>134</v>
      </c>
      <c r="BE982" s="47" t="s">
        <v>1905</v>
      </c>
      <c r="BF982" s="47">
        <v>88</v>
      </c>
      <c r="BG982" s="47">
        <v>0</v>
      </c>
      <c r="BH982" s="47">
        <v>160</v>
      </c>
      <c r="BI982" s="47">
        <v>0.13</v>
      </c>
      <c r="BJ982" s="47">
        <v>16248</v>
      </c>
      <c r="BK982" s="47" t="s">
        <v>91</v>
      </c>
      <c r="BL982" s="47" t="s">
        <v>116</v>
      </c>
      <c r="BM982" s="47">
        <v>1</v>
      </c>
      <c r="BN982" s="47" t="s">
        <v>2177</v>
      </c>
      <c r="BO982" s="47" t="s">
        <v>312</v>
      </c>
      <c r="BP982" s="47" t="s">
        <v>312</v>
      </c>
      <c r="BQ982" s="47" t="s">
        <v>117</v>
      </c>
      <c r="BR982" s="47" t="s">
        <v>134</v>
      </c>
      <c r="BS982" s="47" t="s">
        <v>312</v>
      </c>
      <c r="BT982" s="47" t="s">
        <v>312</v>
      </c>
      <c r="BU982" s="47">
        <v>1998</v>
      </c>
      <c r="BV982" s="47">
        <v>2007</v>
      </c>
      <c r="BW982" s="47" t="s">
        <v>901</v>
      </c>
      <c r="BX982" s="47" t="s">
        <v>95</v>
      </c>
      <c r="BY982" s="47" t="s">
        <v>748</v>
      </c>
      <c r="BZ982" s="47">
        <v>1</v>
      </c>
      <c r="CA982" s="47">
        <v>1</v>
      </c>
      <c r="CB982" s="47" t="s">
        <v>303</v>
      </c>
      <c r="CC982" s="47" t="s">
        <v>1375</v>
      </c>
      <c r="CD982" s="47">
        <v>1</v>
      </c>
      <c r="CE982" s="47" t="s">
        <v>1920</v>
      </c>
      <c r="CF982" s="47">
        <v>0</v>
      </c>
      <c r="CG982" s="47" t="s">
        <v>97</v>
      </c>
      <c r="CH982" s="47">
        <v>0</v>
      </c>
      <c r="CI982" s="47" t="s">
        <v>116</v>
      </c>
      <c r="CJ982" s="47" t="s">
        <v>98</v>
      </c>
      <c r="CK982" s="47">
        <v>27</v>
      </c>
      <c r="CL982" s="47">
        <v>0</v>
      </c>
      <c r="CM982" s="47">
        <v>0</v>
      </c>
      <c r="CN982" s="47" t="s">
        <v>124</v>
      </c>
      <c r="CO982" s="47" t="s">
        <v>97</v>
      </c>
      <c r="CP982" s="47" t="s">
        <v>100</v>
      </c>
      <c r="CQ982" s="47" t="s">
        <v>126</v>
      </c>
      <c r="CR982" s="48">
        <v>46252</v>
      </c>
      <c r="CT982" s="47" t="s">
        <v>1945</v>
      </c>
    </row>
    <row r="983" spans="1:99" s="47" customFormat="1" x14ac:dyDescent="0.35">
      <c r="A983" s="46" t="s">
        <v>1912</v>
      </c>
      <c r="B983" s="46" t="s">
        <v>1952</v>
      </c>
      <c r="C983" s="47" t="s">
        <v>1913</v>
      </c>
      <c r="D983" s="47">
        <v>2021</v>
      </c>
      <c r="E983" s="46" t="s">
        <v>1914</v>
      </c>
      <c r="F983" s="46" t="s">
        <v>1915</v>
      </c>
      <c r="G983" s="47" t="s">
        <v>78</v>
      </c>
      <c r="H983" s="47">
        <v>1</v>
      </c>
      <c r="I983" s="47" t="s">
        <v>290</v>
      </c>
      <c r="J983" s="47" t="s">
        <v>79</v>
      </c>
      <c r="K983" s="47">
        <v>482</v>
      </c>
      <c r="L983" s="47" t="s">
        <v>104</v>
      </c>
      <c r="M983" s="47" t="s">
        <v>380</v>
      </c>
      <c r="N983" s="47">
        <v>-1.24E-2</v>
      </c>
      <c r="O983" s="47">
        <v>1.4E-3</v>
      </c>
      <c r="P983" s="92">
        <f t="shared" si="391"/>
        <v>-8.8571428571428577</v>
      </c>
      <c r="Q983" s="47" t="s">
        <v>312</v>
      </c>
      <c r="R983" s="92">
        <f t="shared" si="392"/>
        <v>-1.5143999999999999E-2</v>
      </c>
      <c r="S983" s="92">
        <f t="shared" si="393"/>
        <v>-9.6559999999999997E-3</v>
      </c>
      <c r="T983" s="47">
        <v>1</v>
      </c>
      <c r="U983" s="47">
        <v>1432765</v>
      </c>
      <c r="V983" s="47" t="s">
        <v>312</v>
      </c>
      <c r="W983" s="47" t="s">
        <v>312</v>
      </c>
      <c r="X983" s="47">
        <f t="shared" si="398"/>
        <v>1432765</v>
      </c>
      <c r="Y983" s="92">
        <f t="shared" si="394"/>
        <v>-7.3993620576991081E-3</v>
      </c>
      <c r="Z983" s="92">
        <f t="shared" si="395"/>
        <v>8.3541184522409285E-4</v>
      </c>
      <c r="AA983" s="92">
        <f t="shared" si="399"/>
        <v>-7.3993620576991081E-3</v>
      </c>
      <c r="AB983" s="47" t="s">
        <v>81</v>
      </c>
      <c r="AC983" s="92">
        <f t="shared" ref="AC983:AC991" si="405">N983*AN983</f>
        <v>-0.66364800000000002</v>
      </c>
      <c r="AD983" s="92" cm="1">
        <f t="array" ref="AD983">_xlfn.IFS(
AND(L983="marginal_effect",M983="level"),N983*AN983/BF983,
AND(L983="marginal_effect",M983="sd (Y)"),N983*BI983*AN983/BF983,
AND(L983="marginal_effect",M983="sd (X)"),N983/AQ983*AN983/BF983,
AND(L983="semi_elasticity",M983="level"),N983*AN983,
AND(L983="semi_elasticity",M983="sd (Y)"),N983*AN983*BI983,
AND(L983="semi_elasticity",M983="sd (X)"),N983*AN983/AQ983,
AND(L983="level-log",M983="level"),N983/BF983,
AND(L983="level-log",M983="sd (X)"),N983/BF983/AQ983,
AND(L983="level-log",M983="sd (Y)"),N983/BF983*BI983,
AND(L983="elasticity",M983="level"),N983,
AND(L983="elasticity",M983="sd (X)"),N983/AQ983,
AND(L983="elasticity",M983="sd (Y)"),N983*BI983,
AND(L983="marginal_effect",M983="percent_of_mean"),N983*AN983/BF983/10)</f>
        <v>-0.66364800000000002</v>
      </c>
      <c r="AE983" s="51">
        <f t="shared" si="401"/>
        <v>1</v>
      </c>
      <c r="AF983" s="92">
        <f t="shared" ref="AF983:AF991" si="406">O983*AN983</f>
        <v>7.4928000000000008E-2</v>
      </c>
      <c r="AG983" s="92" cm="1">
        <f t="array" ref="AG983">_xlfn.IFS(
AND(L983="marginal_effect",M983="level"),O983*AN983/BF983,
AND(L983="marginal_effect",M983="sd (Y)"),O983*BI983*AN983/BF983,
AND(L983="marginal_effect",M983="sd (X)"),O983/AQ983*AN983/BF983,
AND(L983="semi_elasticity",M983="level"),O983*AN983,
AND(L983="semi_elasticity",M983="sd (Y)"),O983*AN983*BI983,
AND(L983="semi_elasticity",M983="sd (X)"),O983*AN983/AQ983,
AND(L983="level-log",M983="level"),O983/BF983,
AND(L983="level-log",M983="sd (X)"),O983/BF983/AQ983,
AND(L983="level-log",M983="sd (Y)"),O983/BF983*BI983,
AND(L983="elasticity",M983="level"),O983,
AND(L983="elasticity",M983="sd (X)"),O983/AQ983,
AND(L983="elasticity",M983="sd (Y)"),O983*BI983,
AND(L983="marginal_effect",M983="percent_of_mean"),O983*AN983/BF983/10)</f>
        <v>7.4928000000000008E-2</v>
      </c>
      <c r="AH983" s="51">
        <f t="shared" si="404"/>
        <v>1</v>
      </c>
      <c r="AI983" s="92">
        <f t="shared" si="402"/>
        <v>-0.66364800000000002</v>
      </c>
      <c r="AJ983" s="47">
        <v>0</v>
      </c>
      <c r="AK983" s="47">
        <f t="shared" si="397"/>
        <v>1</v>
      </c>
      <c r="AL983" s="47" t="s">
        <v>82</v>
      </c>
      <c r="AM983" s="47" t="s">
        <v>1333</v>
      </c>
      <c r="AN983" s="47">
        <v>53.52</v>
      </c>
      <c r="AO983" s="47">
        <v>1</v>
      </c>
      <c r="AP983" s="47">
        <f t="shared" si="403"/>
        <v>53.52</v>
      </c>
      <c r="AQ983" s="47">
        <v>25.46</v>
      </c>
      <c r="AR983" s="47">
        <v>2.62</v>
      </c>
      <c r="AS983" s="47">
        <v>134.84</v>
      </c>
      <c r="AT983" s="47" t="s">
        <v>107</v>
      </c>
      <c r="AU983" s="47" t="s">
        <v>109</v>
      </c>
      <c r="AV983" s="47" t="s">
        <v>133</v>
      </c>
      <c r="AW983" s="47" t="s">
        <v>85</v>
      </c>
      <c r="AX983" s="47" t="s">
        <v>86</v>
      </c>
      <c r="AY983" s="47">
        <v>0</v>
      </c>
      <c r="AZ983" s="47">
        <v>0</v>
      </c>
      <c r="BA983" s="47" t="s">
        <v>391</v>
      </c>
      <c r="BB983" s="47" t="s">
        <v>134</v>
      </c>
      <c r="BC983" s="47" t="s">
        <v>134</v>
      </c>
      <c r="BD983" s="47" t="s">
        <v>134</v>
      </c>
      <c r="BE983" s="47" t="s">
        <v>1905</v>
      </c>
      <c r="BF983" s="47">
        <v>88</v>
      </c>
      <c r="BG983" s="47">
        <v>1</v>
      </c>
      <c r="BH983" s="47">
        <v>160</v>
      </c>
      <c r="BI983" s="47">
        <v>0.13</v>
      </c>
      <c r="BJ983" s="47">
        <v>16248</v>
      </c>
      <c r="BK983" s="47" t="s">
        <v>91</v>
      </c>
      <c r="BL983" s="47" t="s">
        <v>116</v>
      </c>
      <c r="BM983" s="47">
        <v>1</v>
      </c>
      <c r="BN983" s="47" t="s">
        <v>2177</v>
      </c>
      <c r="BO983" s="47" t="s">
        <v>312</v>
      </c>
      <c r="BP983" s="47" t="s">
        <v>312</v>
      </c>
      <c r="BQ983" s="47" t="s">
        <v>117</v>
      </c>
      <c r="BR983" s="47" t="s">
        <v>134</v>
      </c>
      <c r="BS983" s="47" t="s">
        <v>312</v>
      </c>
      <c r="BT983" s="47" t="s">
        <v>312</v>
      </c>
      <c r="BU983" s="47">
        <v>1998</v>
      </c>
      <c r="BV983" s="47">
        <v>2007</v>
      </c>
      <c r="BW983" s="47" t="s">
        <v>901</v>
      </c>
      <c r="BX983" s="47" t="s">
        <v>95</v>
      </c>
      <c r="BY983" s="47" t="s">
        <v>748</v>
      </c>
      <c r="BZ983" s="47">
        <v>1</v>
      </c>
      <c r="CA983" s="47">
        <v>1</v>
      </c>
      <c r="CB983" s="47" t="s">
        <v>303</v>
      </c>
      <c r="CC983" s="47" t="s">
        <v>1375</v>
      </c>
      <c r="CD983" s="47">
        <v>1</v>
      </c>
      <c r="CE983" s="47" t="s">
        <v>1920</v>
      </c>
      <c r="CF983" s="47">
        <v>0</v>
      </c>
      <c r="CG983" s="47" t="s">
        <v>97</v>
      </c>
      <c r="CH983" s="47">
        <v>0</v>
      </c>
      <c r="CI983" s="47" t="s">
        <v>116</v>
      </c>
      <c r="CJ983" s="47" t="s">
        <v>98</v>
      </c>
      <c r="CK983" s="47">
        <v>27</v>
      </c>
      <c r="CL983" s="47">
        <v>0</v>
      </c>
      <c r="CM983" s="47">
        <v>0</v>
      </c>
      <c r="CN983" s="47" t="s">
        <v>124</v>
      </c>
      <c r="CO983" s="47" t="s">
        <v>116</v>
      </c>
      <c r="CP983" s="47" t="s">
        <v>100</v>
      </c>
      <c r="CQ983" s="47" t="s">
        <v>126</v>
      </c>
      <c r="CR983" s="48">
        <v>46252</v>
      </c>
      <c r="CT983" s="47" t="s">
        <v>438</v>
      </c>
    </row>
    <row r="984" spans="1:99" s="47" customFormat="1" x14ac:dyDescent="0.35">
      <c r="A984" s="46" t="s">
        <v>1912</v>
      </c>
      <c r="B984" s="46" t="s">
        <v>1953</v>
      </c>
      <c r="C984" s="47" t="s">
        <v>1913</v>
      </c>
      <c r="D984" s="47">
        <v>2021</v>
      </c>
      <c r="E984" s="46" t="s">
        <v>1914</v>
      </c>
      <c r="F984" s="46" t="s">
        <v>1915</v>
      </c>
      <c r="G984" s="47" t="s">
        <v>78</v>
      </c>
      <c r="H984" s="47">
        <v>1</v>
      </c>
      <c r="I984" s="47" t="s">
        <v>290</v>
      </c>
      <c r="J984" s="47" t="s">
        <v>79</v>
      </c>
      <c r="K984" s="47">
        <v>482</v>
      </c>
      <c r="L984" s="47" t="s">
        <v>104</v>
      </c>
      <c r="M984" s="47" t="s">
        <v>380</v>
      </c>
      <c r="N984" s="47">
        <v>-1.1900000000000001E-2</v>
      </c>
      <c r="O984" s="47">
        <v>5.5999999999999999E-3</v>
      </c>
      <c r="P984" s="92">
        <f t="shared" si="391"/>
        <v>-2.125</v>
      </c>
      <c r="Q984" s="47" t="s">
        <v>312</v>
      </c>
      <c r="R984" s="92">
        <f t="shared" si="392"/>
        <v>-2.2876000000000001E-2</v>
      </c>
      <c r="S984" s="92">
        <f t="shared" si="393"/>
        <v>-9.2400000000000121E-4</v>
      </c>
      <c r="T984" s="47">
        <v>1</v>
      </c>
      <c r="U984" s="47">
        <v>112792</v>
      </c>
      <c r="V984" s="47" t="s">
        <v>312</v>
      </c>
      <c r="W984" s="47" t="s">
        <v>312</v>
      </c>
      <c r="X984" s="47">
        <f t="shared" si="398"/>
        <v>112792</v>
      </c>
      <c r="Y984" s="92">
        <f t="shared" si="394"/>
        <v>-6.3271931493898538E-3</v>
      </c>
      <c r="Z984" s="92">
        <f t="shared" si="395"/>
        <v>2.9775026585364016E-3</v>
      </c>
      <c r="AA984" s="92">
        <f t="shared" si="399"/>
        <v>-6.3271931493898538E-3</v>
      </c>
      <c r="AB984" s="47" t="s">
        <v>81</v>
      </c>
      <c r="AC984" s="92">
        <f t="shared" si="405"/>
        <v>-0.63688800000000012</v>
      </c>
      <c r="AD984" s="92" cm="1">
        <f t="array" ref="AD984">_xlfn.IFS(
AND(L984="marginal_effect",M984="level"),N984*AN984/BF984,
AND(L984="marginal_effect",M984="sd (Y)"),N984*BI984*AN984/BF984,
AND(L984="marginal_effect",M984="sd (X)"),N984/AQ984*AN984/BF984,
AND(L984="semi_elasticity",M984="level"),N984*AN984,
AND(L984="semi_elasticity",M984="sd (Y)"),N984*AN984*BI984,
AND(L984="semi_elasticity",M984="sd (X)"),N984*AN984/AQ984,
AND(L984="level-log",M984="level"),N984/BF984,
AND(L984="level-log",M984="sd (X)"),N984/BF984/AQ984,
AND(L984="level-log",M984="sd (Y)"),N984/BF984*BI984,
AND(L984="elasticity",M984="level"),N984,
AND(L984="elasticity",M984="sd (X)"),N984/AQ984,
AND(L984="elasticity",M984="sd (Y)"),N984*BI984,
AND(L984="marginal_effect",M984="percent_of_mean"),N984*AN984/BF984/10)</f>
        <v>-0.63688800000000012</v>
      </c>
      <c r="AE984" s="51">
        <f t="shared" si="401"/>
        <v>1</v>
      </c>
      <c r="AF984" s="92">
        <f t="shared" si="406"/>
        <v>0.29971200000000003</v>
      </c>
      <c r="AG984" s="92" cm="1">
        <f t="array" ref="AG984">_xlfn.IFS(
AND(L984="marginal_effect",M984="level"),O984*AN984/BF984,
AND(L984="marginal_effect",M984="sd (Y)"),O984*BI984*AN984/BF984,
AND(L984="marginal_effect",M984="sd (X)"),O984/AQ984*AN984/BF984,
AND(L984="semi_elasticity",M984="level"),O984*AN984,
AND(L984="semi_elasticity",M984="sd (Y)"),O984*AN984*BI984,
AND(L984="semi_elasticity",M984="sd (X)"),O984*AN984/AQ984,
AND(L984="level-log",M984="level"),O984/BF984,
AND(L984="level-log",M984="sd (X)"),O984/BF984/AQ984,
AND(L984="level-log",M984="sd (Y)"),O984/BF984*BI984,
AND(L984="elasticity",M984="level"),O984,
AND(L984="elasticity",M984="sd (X)"),O984/AQ984,
AND(L984="elasticity",M984="sd (Y)"),O984*BI984,
AND(L984="marginal_effect",M984="percent_of_mean"),O984*AN984/BF984/10)</f>
        <v>0.29971200000000003</v>
      </c>
      <c r="AH984" s="51">
        <f t="shared" si="404"/>
        <v>1</v>
      </c>
      <c r="AI984" s="92">
        <f t="shared" si="402"/>
        <v>-0.63688800000000012</v>
      </c>
      <c r="AJ984" s="47">
        <v>0</v>
      </c>
      <c r="AK984" s="47">
        <f t="shared" si="397"/>
        <v>1</v>
      </c>
      <c r="AL984" s="47" t="s">
        <v>82</v>
      </c>
      <c r="AM984" s="47" t="s">
        <v>1333</v>
      </c>
      <c r="AN984" s="47">
        <v>53.52</v>
      </c>
      <c r="AO984" s="47">
        <v>1</v>
      </c>
      <c r="AP984" s="47">
        <f t="shared" si="403"/>
        <v>53.52</v>
      </c>
      <c r="AQ984" s="47">
        <v>25.46</v>
      </c>
      <c r="AR984" s="47">
        <v>2.62</v>
      </c>
      <c r="AS984" s="47">
        <v>134.84</v>
      </c>
      <c r="AT984" s="47" t="s">
        <v>107</v>
      </c>
      <c r="AU984" s="47" t="s">
        <v>109</v>
      </c>
      <c r="AV984" s="47" t="s">
        <v>133</v>
      </c>
      <c r="AW984" s="47" t="s">
        <v>85</v>
      </c>
      <c r="AX984" s="47" t="s">
        <v>86</v>
      </c>
      <c r="AY984" s="47">
        <v>0</v>
      </c>
      <c r="AZ984" s="47">
        <v>0</v>
      </c>
      <c r="BA984" s="47" t="s">
        <v>391</v>
      </c>
      <c r="BB984" s="47" t="s">
        <v>134</v>
      </c>
      <c r="BC984" s="47" t="s">
        <v>134</v>
      </c>
      <c r="BD984" s="47" t="s">
        <v>114</v>
      </c>
      <c r="BE984" s="47" t="s">
        <v>1905</v>
      </c>
      <c r="BF984" s="47">
        <v>88</v>
      </c>
      <c r="BG984" s="47">
        <v>1</v>
      </c>
      <c r="BH984" s="47">
        <v>160</v>
      </c>
      <c r="BI984" s="47">
        <v>0.13</v>
      </c>
      <c r="BJ984" s="47">
        <v>16248</v>
      </c>
      <c r="BK984" s="47" t="s">
        <v>91</v>
      </c>
      <c r="BL984" s="47" t="s">
        <v>116</v>
      </c>
      <c r="BM984" s="47">
        <v>1</v>
      </c>
      <c r="BN984" s="47" t="s">
        <v>2177</v>
      </c>
      <c r="BO984" s="47" t="s">
        <v>312</v>
      </c>
      <c r="BP984" s="47" t="s">
        <v>312</v>
      </c>
      <c r="BQ984" s="47" t="s">
        <v>117</v>
      </c>
      <c r="BR984" s="47" t="s">
        <v>134</v>
      </c>
      <c r="BS984" s="47" t="s">
        <v>312</v>
      </c>
      <c r="BT984" s="47" t="s">
        <v>312</v>
      </c>
      <c r="BU984" s="47">
        <v>1998</v>
      </c>
      <c r="BV984" s="47">
        <v>2007</v>
      </c>
      <c r="BW984" s="47" t="s">
        <v>901</v>
      </c>
      <c r="BX984" s="47" t="s">
        <v>95</v>
      </c>
      <c r="BY984" s="47" t="s">
        <v>748</v>
      </c>
      <c r="BZ984" s="47">
        <v>1</v>
      </c>
      <c r="CA984" s="47">
        <v>1</v>
      </c>
      <c r="CB984" s="47" t="s">
        <v>303</v>
      </c>
      <c r="CC984" s="47" t="s">
        <v>1375</v>
      </c>
      <c r="CD984" s="47">
        <v>1</v>
      </c>
      <c r="CE984" s="47" t="s">
        <v>1920</v>
      </c>
      <c r="CF984" s="47">
        <v>0</v>
      </c>
      <c r="CG984" s="47" t="s">
        <v>97</v>
      </c>
      <c r="CH984" s="47">
        <v>0</v>
      </c>
      <c r="CI984" s="47" t="s">
        <v>1393</v>
      </c>
      <c r="CJ984" s="47" t="s">
        <v>98</v>
      </c>
      <c r="CK984" s="47">
        <v>27</v>
      </c>
      <c r="CL984" s="47">
        <v>0</v>
      </c>
      <c r="CM984" s="47">
        <v>0</v>
      </c>
      <c r="CN984" s="47" t="s">
        <v>124</v>
      </c>
      <c r="CO984" s="47" t="s">
        <v>1959</v>
      </c>
      <c r="CP984" s="47" t="s">
        <v>100</v>
      </c>
      <c r="CQ984" s="47" t="s">
        <v>126</v>
      </c>
      <c r="CR984" s="48">
        <v>46252</v>
      </c>
      <c r="CT984" s="47" t="s">
        <v>450</v>
      </c>
    </row>
    <row r="985" spans="1:99" s="47" customFormat="1" x14ac:dyDescent="0.35">
      <c r="A985" s="46" t="s">
        <v>1912</v>
      </c>
      <c r="B985" s="46" t="s">
        <v>1954</v>
      </c>
      <c r="C985" s="47" t="s">
        <v>1913</v>
      </c>
      <c r="D985" s="47">
        <v>2021</v>
      </c>
      <c r="E985" s="46" t="s">
        <v>1914</v>
      </c>
      <c r="F985" s="46" t="s">
        <v>1915</v>
      </c>
      <c r="G985" s="47" t="s">
        <v>78</v>
      </c>
      <c r="H985" s="47">
        <v>1</v>
      </c>
      <c r="I985" s="47" t="s">
        <v>290</v>
      </c>
      <c r="J985" s="47" t="s">
        <v>79</v>
      </c>
      <c r="K985" s="47">
        <v>482</v>
      </c>
      <c r="L985" s="47" t="s">
        <v>104</v>
      </c>
      <c r="M985" s="47" t="s">
        <v>380</v>
      </c>
      <c r="N985" s="47">
        <v>-1.34E-2</v>
      </c>
      <c r="O985" s="47">
        <v>2.8E-3</v>
      </c>
      <c r="P985" s="92">
        <f t="shared" si="391"/>
        <v>-4.7857142857142856</v>
      </c>
      <c r="Q985" s="47" t="s">
        <v>312</v>
      </c>
      <c r="R985" s="92">
        <f t="shared" si="392"/>
        <v>-1.8888000000000002E-2</v>
      </c>
      <c r="S985" s="92">
        <f t="shared" si="393"/>
        <v>-7.9120000000000006E-3</v>
      </c>
      <c r="T985" s="47">
        <v>1</v>
      </c>
      <c r="U985" s="47">
        <v>467768</v>
      </c>
      <c r="V985" s="47" t="s">
        <v>312</v>
      </c>
      <c r="W985" s="47" t="s">
        <v>312</v>
      </c>
      <c r="X985" s="47">
        <f t="shared" si="398"/>
        <v>467768</v>
      </c>
      <c r="Y985" s="92">
        <f t="shared" si="394"/>
        <v>-6.9971451166915581E-3</v>
      </c>
      <c r="Z985" s="92">
        <f t="shared" si="395"/>
        <v>1.4620900243833108E-3</v>
      </c>
      <c r="AA985" s="92">
        <f t="shared" si="399"/>
        <v>-6.9971451166915581E-3</v>
      </c>
      <c r="AB985" s="47" t="s">
        <v>81</v>
      </c>
      <c r="AC985" s="92">
        <f t="shared" si="405"/>
        <v>-0.71716800000000003</v>
      </c>
      <c r="AD985" s="92" cm="1">
        <f t="array" ref="AD985">_xlfn.IFS(
AND(L985="marginal_effect",M985="level"),N985*AN985/BF985,
AND(L985="marginal_effect",M985="sd (Y)"),N985*BI985*AN985/BF985,
AND(L985="marginal_effect",M985="sd (X)"),N985/AQ985*AN985/BF985,
AND(L985="semi_elasticity",M985="level"),N985*AN985,
AND(L985="semi_elasticity",M985="sd (Y)"),N985*AN985*BI985,
AND(L985="semi_elasticity",M985="sd (X)"),N985*AN985/AQ985,
AND(L985="level-log",M985="level"),N985/BF985,
AND(L985="level-log",M985="sd (X)"),N985/BF985/AQ985,
AND(L985="level-log",M985="sd (Y)"),N985/BF985*BI985,
AND(L985="elasticity",M985="level"),N985,
AND(L985="elasticity",M985="sd (X)"),N985/AQ985,
AND(L985="elasticity",M985="sd (Y)"),N985*BI985,
AND(L985="marginal_effect",M985="percent_of_mean"),N985*AN985/BF985/10)</f>
        <v>-0.71716800000000003</v>
      </c>
      <c r="AE985" s="51">
        <f t="shared" si="401"/>
        <v>1</v>
      </c>
      <c r="AF985" s="92">
        <f t="shared" si="406"/>
        <v>0.14985600000000002</v>
      </c>
      <c r="AG985" s="92" cm="1">
        <f t="array" ref="AG985">_xlfn.IFS(
AND(L985="marginal_effect",M985="level"),O985*AN985/BF985,
AND(L985="marginal_effect",M985="sd (Y)"),O985*BI985*AN985/BF985,
AND(L985="marginal_effect",M985="sd (X)"),O985/AQ985*AN985/BF985,
AND(L985="semi_elasticity",M985="level"),O985*AN985,
AND(L985="semi_elasticity",M985="sd (Y)"),O985*AN985*BI985,
AND(L985="semi_elasticity",M985="sd (X)"),O985*AN985/AQ985,
AND(L985="level-log",M985="level"),O985/BF985,
AND(L985="level-log",M985="sd (X)"),O985/BF985/AQ985,
AND(L985="level-log",M985="sd (Y)"),O985/BF985*BI985,
AND(L985="elasticity",M985="level"),O985,
AND(L985="elasticity",M985="sd (X)"),O985/AQ985,
AND(L985="elasticity",M985="sd (Y)"),O985*BI985,
AND(L985="marginal_effect",M985="percent_of_mean"),O985*AN985/BF985/10)</f>
        <v>0.14985600000000002</v>
      </c>
      <c r="AH985" s="51">
        <f t="shared" si="404"/>
        <v>1</v>
      </c>
      <c r="AI985" s="92">
        <f t="shared" si="402"/>
        <v>-0.71716800000000003</v>
      </c>
      <c r="AJ985" s="47">
        <v>0</v>
      </c>
      <c r="AK985" s="47">
        <f t="shared" si="397"/>
        <v>1</v>
      </c>
      <c r="AL985" s="47" t="s">
        <v>82</v>
      </c>
      <c r="AM985" s="47" t="s">
        <v>1333</v>
      </c>
      <c r="AN985" s="47">
        <v>53.52</v>
      </c>
      <c r="AO985" s="47">
        <v>1</v>
      </c>
      <c r="AP985" s="47">
        <f t="shared" si="403"/>
        <v>53.52</v>
      </c>
      <c r="AQ985" s="47">
        <v>25.46</v>
      </c>
      <c r="AR985" s="47">
        <v>2.62</v>
      </c>
      <c r="AS985" s="47">
        <v>134.84</v>
      </c>
      <c r="AT985" s="47" t="s">
        <v>107</v>
      </c>
      <c r="AU985" s="47" t="s">
        <v>109</v>
      </c>
      <c r="AV985" s="47" t="s">
        <v>133</v>
      </c>
      <c r="AW985" s="47" t="s">
        <v>85</v>
      </c>
      <c r="AX985" s="47" t="s">
        <v>86</v>
      </c>
      <c r="AY985" s="47">
        <v>0</v>
      </c>
      <c r="AZ985" s="47">
        <v>0</v>
      </c>
      <c r="BA985" s="47" t="s">
        <v>391</v>
      </c>
      <c r="BB985" s="47" t="s">
        <v>134</v>
      </c>
      <c r="BC985" s="47" t="s">
        <v>134</v>
      </c>
      <c r="BD985" s="47" t="s">
        <v>433</v>
      </c>
      <c r="BE985" s="47" t="s">
        <v>1905</v>
      </c>
      <c r="BF985" s="47">
        <v>88</v>
      </c>
      <c r="BG985" s="47">
        <v>1</v>
      </c>
      <c r="BH985" s="47">
        <v>160</v>
      </c>
      <c r="BI985" s="47">
        <v>0.13</v>
      </c>
      <c r="BJ985" s="47">
        <v>16248</v>
      </c>
      <c r="BK985" s="47" t="s">
        <v>91</v>
      </c>
      <c r="BL985" s="47" t="s">
        <v>116</v>
      </c>
      <c r="BM985" s="47">
        <v>1</v>
      </c>
      <c r="BN985" s="47" t="s">
        <v>2177</v>
      </c>
      <c r="BO985" s="47" t="s">
        <v>312</v>
      </c>
      <c r="BP985" s="47" t="s">
        <v>312</v>
      </c>
      <c r="BQ985" s="47" t="s">
        <v>117</v>
      </c>
      <c r="BR985" s="47" t="s">
        <v>134</v>
      </c>
      <c r="BS985" s="47" t="s">
        <v>312</v>
      </c>
      <c r="BT985" s="47" t="s">
        <v>312</v>
      </c>
      <c r="BU985" s="47">
        <v>1998</v>
      </c>
      <c r="BV985" s="47">
        <v>2007</v>
      </c>
      <c r="BW985" s="47" t="s">
        <v>901</v>
      </c>
      <c r="BX985" s="47" t="s">
        <v>95</v>
      </c>
      <c r="BY985" s="47" t="s">
        <v>748</v>
      </c>
      <c r="BZ985" s="47">
        <v>1</v>
      </c>
      <c r="CA985" s="47">
        <v>1</v>
      </c>
      <c r="CB985" s="47" t="s">
        <v>303</v>
      </c>
      <c r="CC985" s="47" t="s">
        <v>1375</v>
      </c>
      <c r="CD985" s="47">
        <v>1</v>
      </c>
      <c r="CE985" s="47" t="s">
        <v>1920</v>
      </c>
      <c r="CF985" s="47">
        <v>0</v>
      </c>
      <c r="CG985" s="47" t="s">
        <v>97</v>
      </c>
      <c r="CH985" s="47">
        <v>0</v>
      </c>
      <c r="CI985" s="47" t="s">
        <v>1393</v>
      </c>
      <c r="CJ985" s="47" t="s">
        <v>98</v>
      </c>
      <c r="CK985" s="47">
        <v>27</v>
      </c>
      <c r="CL985" s="47">
        <v>0</v>
      </c>
      <c r="CM985" s="47">
        <v>0</v>
      </c>
      <c r="CN985" s="47" t="s">
        <v>124</v>
      </c>
      <c r="CO985" s="47" t="s">
        <v>1959</v>
      </c>
      <c r="CP985" s="47" t="s">
        <v>100</v>
      </c>
      <c r="CQ985" s="47" t="s">
        <v>126</v>
      </c>
      <c r="CR985" s="48">
        <v>46252</v>
      </c>
      <c r="CT985" s="47" t="s">
        <v>451</v>
      </c>
    </row>
    <row r="986" spans="1:99" s="47" customFormat="1" x14ac:dyDescent="0.35">
      <c r="A986" s="46" t="s">
        <v>1912</v>
      </c>
      <c r="B986" s="46" t="s">
        <v>1955</v>
      </c>
      <c r="C986" s="47" t="s">
        <v>1913</v>
      </c>
      <c r="D986" s="47">
        <v>2021</v>
      </c>
      <c r="E986" s="46" t="s">
        <v>1914</v>
      </c>
      <c r="F986" s="46" t="s">
        <v>1915</v>
      </c>
      <c r="G986" s="47" t="s">
        <v>78</v>
      </c>
      <c r="H986" s="47">
        <v>1</v>
      </c>
      <c r="I986" s="47" t="s">
        <v>290</v>
      </c>
      <c r="J986" s="47" t="s">
        <v>79</v>
      </c>
      <c r="K986" s="47">
        <v>482</v>
      </c>
      <c r="L986" s="47" t="s">
        <v>104</v>
      </c>
      <c r="M986" s="47" t="s">
        <v>380</v>
      </c>
      <c r="N986" s="47">
        <v>-6.1000000000000004E-3</v>
      </c>
      <c r="O986" s="47">
        <v>2.8E-3</v>
      </c>
      <c r="P986" s="92">
        <f t="shared" si="391"/>
        <v>-2.1785714285714288</v>
      </c>
      <c r="Q986" s="47" t="s">
        <v>312</v>
      </c>
      <c r="R986" s="92">
        <f t="shared" si="392"/>
        <v>-1.1588000000000001E-2</v>
      </c>
      <c r="S986" s="92">
        <f t="shared" si="393"/>
        <v>-6.1200000000000056E-4</v>
      </c>
      <c r="T986" s="47">
        <v>1</v>
      </c>
      <c r="U986" s="47">
        <v>435842</v>
      </c>
      <c r="V986" s="47" t="s">
        <v>312</v>
      </c>
      <c r="W986" s="47" t="s">
        <v>312</v>
      </c>
      <c r="X986" s="47">
        <f t="shared" si="398"/>
        <v>435842</v>
      </c>
      <c r="Y986" s="92">
        <f t="shared" si="394"/>
        <v>-3.2999313080420761E-3</v>
      </c>
      <c r="Z986" s="92">
        <f t="shared" si="395"/>
        <v>1.514722567625871E-3</v>
      </c>
      <c r="AA986" s="92">
        <f t="shared" si="399"/>
        <v>-3.2999313080420761E-3</v>
      </c>
      <c r="AB986" s="47" t="s">
        <v>81</v>
      </c>
      <c r="AC986" s="92">
        <f t="shared" si="405"/>
        <v>-0.32647200000000004</v>
      </c>
      <c r="AD986" s="92" cm="1">
        <f t="array" ref="AD986">_xlfn.IFS(
AND(L986="marginal_effect",M986="level"),N986*AN986/BF986,
AND(L986="marginal_effect",M986="sd (Y)"),N986*BI986*AN986/BF986,
AND(L986="marginal_effect",M986="sd (X)"),N986/AQ986*AN986/BF986,
AND(L986="semi_elasticity",M986="level"),N986*AN986,
AND(L986="semi_elasticity",M986="sd (Y)"),N986*AN986*BI986,
AND(L986="semi_elasticity",M986="sd (X)"),N986*AN986/AQ986,
AND(L986="level-log",M986="level"),N986/BF986,
AND(L986="level-log",M986="sd (X)"),N986/BF986/AQ986,
AND(L986="level-log",M986="sd (Y)"),N986/BF986*BI986,
AND(L986="elasticity",M986="level"),N986,
AND(L986="elasticity",M986="sd (X)"),N986/AQ986,
AND(L986="elasticity",M986="sd (Y)"),N986*BI986,
AND(L986="marginal_effect",M986="percent_of_mean"),N986*AN986/BF986/10)</f>
        <v>-0.32647200000000004</v>
      </c>
      <c r="AE986" s="51">
        <f t="shared" si="401"/>
        <v>1</v>
      </c>
      <c r="AF986" s="92">
        <f t="shared" si="406"/>
        <v>0.14985600000000002</v>
      </c>
      <c r="AG986" s="92" cm="1">
        <f t="array" ref="AG986">_xlfn.IFS(
AND(L986="marginal_effect",M986="level"),O986*AN986/BF986,
AND(L986="marginal_effect",M986="sd (Y)"),O986*BI986*AN986/BF986,
AND(L986="marginal_effect",M986="sd (X)"),O986/AQ986*AN986/BF986,
AND(L986="semi_elasticity",M986="level"),O986*AN986,
AND(L986="semi_elasticity",M986="sd (Y)"),O986*AN986*BI986,
AND(L986="semi_elasticity",M986="sd (X)"),O986*AN986/AQ986,
AND(L986="level-log",M986="level"),O986/BF986,
AND(L986="level-log",M986="sd (X)"),O986/BF986/AQ986,
AND(L986="level-log",M986="sd (Y)"),O986/BF986*BI986,
AND(L986="elasticity",M986="level"),O986,
AND(L986="elasticity",M986="sd (X)"),O986/AQ986,
AND(L986="elasticity",M986="sd (Y)"),O986*BI986,
AND(L986="marginal_effect",M986="percent_of_mean"),O986*AN986/BF986/10)</f>
        <v>0.14985600000000002</v>
      </c>
      <c r="AH986" s="51">
        <f t="shared" si="404"/>
        <v>1</v>
      </c>
      <c r="AI986" s="92">
        <f t="shared" si="402"/>
        <v>-0.32647200000000004</v>
      </c>
      <c r="AJ986" s="47">
        <v>0</v>
      </c>
      <c r="AK986" s="47">
        <f t="shared" si="397"/>
        <v>1</v>
      </c>
      <c r="AL986" s="47" t="s">
        <v>82</v>
      </c>
      <c r="AM986" s="47" t="s">
        <v>1333</v>
      </c>
      <c r="AN986" s="47">
        <v>53.52</v>
      </c>
      <c r="AO986" s="47">
        <v>1</v>
      </c>
      <c r="AP986" s="47">
        <f t="shared" si="403"/>
        <v>53.52</v>
      </c>
      <c r="AQ986" s="47">
        <v>25.46</v>
      </c>
      <c r="AR986" s="47">
        <v>2.62</v>
      </c>
      <c r="AS986" s="47">
        <v>134.84</v>
      </c>
      <c r="AT986" s="47" t="s">
        <v>107</v>
      </c>
      <c r="AU986" s="47" t="s">
        <v>109</v>
      </c>
      <c r="AV986" s="47" t="s">
        <v>133</v>
      </c>
      <c r="AW986" s="47" t="s">
        <v>85</v>
      </c>
      <c r="AX986" s="47" t="s">
        <v>86</v>
      </c>
      <c r="AY986" s="47">
        <v>0</v>
      </c>
      <c r="AZ986" s="47">
        <v>0</v>
      </c>
      <c r="BA986" s="47" t="s">
        <v>391</v>
      </c>
      <c r="BB986" s="47" t="s">
        <v>134</v>
      </c>
      <c r="BC986" s="47" t="s">
        <v>134</v>
      </c>
      <c r="BD986" s="47" t="s">
        <v>433</v>
      </c>
      <c r="BE986" s="47" t="s">
        <v>1905</v>
      </c>
      <c r="BF986" s="47">
        <v>88</v>
      </c>
      <c r="BG986" s="47">
        <v>1</v>
      </c>
      <c r="BH986" s="47">
        <v>160</v>
      </c>
      <c r="BI986" s="47">
        <v>0.13</v>
      </c>
      <c r="BJ986" s="47">
        <v>16248</v>
      </c>
      <c r="BK986" s="47" t="s">
        <v>91</v>
      </c>
      <c r="BL986" s="47" t="s">
        <v>116</v>
      </c>
      <c r="BM986" s="47">
        <v>1</v>
      </c>
      <c r="BN986" s="47" t="s">
        <v>2177</v>
      </c>
      <c r="BO986" s="47" t="s">
        <v>312</v>
      </c>
      <c r="BP986" s="47" t="s">
        <v>312</v>
      </c>
      <c r="BQ986" s="47" t="s">
        <v>117</v>
      </c>
      <c r="BR986" s="47" t="s">
        <v>134</v>
      </c>
      <c r="BS986" s="47" t="s">
        <v>312</v>
      </c>
      <c r="BT986" s="47" t="s">
        <v>312</v>
      </c>
      <c r="BU986" s="47">
        <v>1998</v>
      </c>
      <c r="BV986" s="47">
        <v>2007</v>
      </c>
      <c r="BW986" s="47" t="s">
        <v>901</v>
      </c>
      <c r="BX986" s="47" t="s">
        <v>95</v>
      </c>
      <c r="BY986" s="47" t="s">
        <v>748</v>
      </c>
      <c r="BZ986" s="47">
        <v>1</v>
      </c>
      <c r="CA986" s="47">
        <v>1</v>
      </c>
      <c r="CB986" s="47" t="s">
        <v>303</v>
      </c>
      <c r="CC986" s="47" t="s">
        <v>1375</v>
      </c>
      <c r="CD986" s="47">
        <v>1</v>
      </c>
      <c r="CE986" s="47" t="s">
        <v>1920</v>
      </c>
      <c r="CF986" s="47">
        <v>0</v>
      </c>
      <c r="CG986" s="47" t="s">
        <v>97</v>
      </c>
      <c r="CH986" s="47">
        <v>0</v>
      </c>
      <c r="CI986" s="47" t="s">
        <v>1393</v>
      </c>
      <c r="CJ986" s="47" t="s">
        <v>98</v>
      </c>
      <c r="CK986" s="47">
        <v>27</v>
      </c>
      <c r="CL986" s="47">
        <v>0</v>
      </c>
      <c r="CM986" s="47">
        <v>0</v>
      </c>
      <c r="CN986" s="47" t="s">
        <v>124</v>
      </c>
      <c r="CO986" s="47" t="s">
        <v>1959</v>
      </c>
      <c r="CP986" s="47" t="s">
        <v>100</v>
      </c>
      <c r="CQ986" s="47" t="s">
        <v>126</v>
      </c>
      <c r="CR986" s="48">
        <v>46252</v>
      </c>
      <c r="CT986" s="47" t="s">
        <v>452</v>
      </c>
    </row>
    <row r="987" spans="1:99" s="47" customFormat="1" x14ac:dyDescent="0.35">
      <c r="A987" s="46" t="s">
        <v>1912</v>
      </c>
      <c r="B987" s="46" t="s">
        <v>1956</v>
      </c>
      <c r="C987" s="47" t="s">
        <v>1913</v>
      </c>
      <c r="D987" s="47">
        <v>2021</v>
      </c>
      <c r="E987" s="46" t="s">
        <v>1914</v>
      </c>
      <c r="F987" s="46" t="s">
        <v>1915</v>
      </c>
      <c r="G987" s="47" t="s">
        <v>78</v>
      </c>
      <c r="H987" s="47">
        <v>1</v>
      </c>
      <c r="I987" s="47" t="s">
        <v>290</v>
      </c>
      <c r="J987" s="47" t="s">
        <v>79</v>
      </c>
      <c r="K987" s="47">
        <v>482</v>
      </c>
      <c r="L987" s="47" t="s">
        <v>104</v>
      </c>
      <c r="M987" s="47" t="s">
        <v>380</v>
      </c>
      <c r="N987" s="47">
        <v>-6.0000000000000001E-3</v>
      </c>
      <c r="O987" s="47">
        <v>2.2000000000000001E-3</v>
      </c>
      <c r="P987" s="92">
        <f t="shared" si="391"/>
        <v>-2.7272727272727271</v>
      </c>
      <c r="Q987" s="47" t="s">
        <v>312</v>
      </c>
      <c r="R987" s="92">
        <f t="shared" si="392"/>
        <v>-1.0312E-2</v>
      </c>
      <c r="S987" s="92">
        <f t="shared" si="393"/>
        <v>-1.6880000000000003E-3</v>
      </c>
      <c r="T987" s="47">
        <v>1</v>
      </c>
      <c r="U987" s="47">
        <v>576842</v>
      </c>
      <c r="V987" s="47" t="s">
        <v>312</v>
      </c>
      <c r="W987" s="47" t="s">
        <v>312</v>
      </c>
      <c r="X987" s="47">
        <f t="shared" si="398"/>
        <v>576842</v>
      </c>
      <c r="Y987" s="92">
        <f t="shared" si="394"/>
        <v>-3.5908505691690791E-3</v>
      </c>
      <c r="Z987" s="92">
        <f t="shared" si="395"/>
        <v>1.316645208695329E-3</v>
      </c>
      <c r="AA987" s="92">
        <f t="shared" si="399"/>
        <v>-3.5908505691690791E-3</v>
      </c>
      <c r="AB987" s="47" t="s">
        <v>81</v>
      </c>
      <c r="AC987" s="92">
        <f t="shared" si="405"/>
        <v>-0.32112000000000002</v>
      </c>
      <c r="AD987" s="92" cm="1">
        <f t="array" ref="AD987">_xlfn.IFS(
AND(L987="marginal_effect",M987="level"),N987*AN987/BF987,
AND(L987="marginal_effect",M987="sd (Y)"),N987*BI987*AN987/BF987,
AND(L987="marginal_effect",M987="sd (X)"),N987/AQ987*AN987/BF987,
AND(L987="semi_elasticity",M987="level"),N987*AN987,
AND(L987="semi_elasticity",M987="sd (Y)"),N987*AN987*BI987,
AND(L987="semi_elasticity",M987="sd (X)"),N987*AN987/AQ987,
AND(L987="level-log",M987="level"),N987/BF987,
AND(L987="level-log",M987="sd (X)"),N987/BF987/AQ987,
AND(L987="level-log",M987="sd (Y)"),N987/BF987*BI987,
AND(L987="elasticity",M987="level"),N987,
AND(L987="elasticity",M987="sd (X)"),N987/AQ987,
AND(L987="elasticity",M987="sd (Y)"),N987*BI987,
AND(L987="marginal_effect",M987="percent_of_mean"),N987*AN987/BF987/10)</f>
        <v>-0.32112000000000002</v>
      </c>
      <c r="AE987" s="51">
        <f t="shared" si="401"/>
        <v>1</v>
      </c>
      <c r="AF987" s="92">
        <f t="shared" si="406"/>
        <v>0.11774400000000002</v>
      </c>
      <c r="AG987" s="92" cm="1">
        <f t="array" ref="AG987">_xlfn.IFS(
AND(L987="marginal_effect",M987="level"),O987*AN987/BF987,
AND(L987="marginal_effect",M987="sd (Y)"),O987*BI987*AN987/BF987,
AND(L987="marginal_effect",M987="sd (X)"),O987/AQ987*AN987/BF987,
AND(L987="semi_elasticity",M987="level"),O987*AN987,
AND(L987="semi_elasticity",M987="sd (Y)"),O987*AN987*BI987,
AND(L987="semi_elasticity",M987="sd (X)"),O987*AN987/AQ987,
AND(L987="level-log",M987="level"),O987/BF987,
AND(L987="level-log",M987="sd (X)"),O987/BF987/AQ987,
AND(L987="level-log",M987="sd (Y)"),O987/BF987*BI987,
AND(L987="elasticity",M987="level"),O987,
AND(L987="elasticity",M987="sd (X)"),O987/AQ987,
AND(L987="elasticity",M987="sd (Y)"),O987*BI987,
AND(L987="marginal_effect",M987="percent_of_mean"),O987*AN987/BF987/10)</f>
        <v>0.11774400000000002</v>
      </c>
      <c r="AH987" s="51">
        <f t="shared" si="404"/>
        <v>1</v>
      </c>
      <c r="AI987" s="92">
        <f t="shared" si="402"/>
        <v>-0.32112000000000002</v>
      </c>
      <c r="AJ987" s="47">
        <v>0</v>
      </c>
      <c r="AK987" s="47">
        <f t="shared" si="397"/>
        <v>1</v>
      </c>
      <c r="AL987" s="47" t="s">
        <v>82</v>
      </c>
      <c r="AM987" s="47" t="s">
        <v>1333</v>
      </c>
      <c r="AN987" s="47">
        <v>53.52</v>
      </c>
      <c r="AO987" s="47">
        <v>1</v>
      </c>
      <c r="AP987" s="47">
        <f t="shared" si="403"/>
        <v>53.52</v>
      </c>
      <c r="AQ987" s="47">
        <v>25.46</v>
      </c>
      <c r="AR987" s="47">
        <v>2.62</v>
      </c>
      <c r="AS987" s="47">
        <v>134.84</v>
      </c>
      <c r="AT987" s="47" t="s">
        <v>107</v>
      </c>
      <c r="AU987" s="47" t="s">
        <v>109</v>
      </c>
      <c r="AV987" s="47" t="s">
        <v>133</v>
      </c>
      <c r="AW987" s="47" t="s">
        <v>85</v>
      </c>
      <c r="AX987" s="47" t="s">
        <v>86</v>
      </c>
      <c r="AY987" s="47">
        <v>0</v>
      </c>
      <c r="AZ987" s="47">
        <v>0</v>
      </c>
      <c r="BA987" s="47" t="s">
        <v>391</v>
      </c>
      <c r="BB987" s="47" t="s">
        <v>134</v>
      </c>
      <c r="BC987" s="47" t="s">
        <v>134</v>
      </c>
      <c r="BD987" s="47" t="s">
        <v>90</v>
      </c>
      <c r="BE987" s="47" t="s">
        <v>1905</v>
      </c>
      <c r="BF987" s="47">
        <v>88</v>
      </c>
      <c r="BG987" s="47">
        <v>1</v>
      </c>
      <c r="BH987" s="47">
        <v>160</v>
      </c>
      <c r="BI987" s="47">
        <v>0.13</v>
      </c>
      <c r="BJ987" s="47">
        <v>16248</v>
      </c>
      <c r="BK987" s="47" t="s">
        <v>91</v>
      </c>
      <c r="BL987" s="47" t="s">
        <v>116</v>
      </c>
      <c r="BM987" s="47">
        <v>1</v>
      </c>
      <c r="BN987" s="47" t="s">
        <v>2177</v>
      </c>
      <c r="BO987" s="47" t="s">
        <v>312</v>
      </c>
      <c r="BP987" s="47" t="s">
        <v>312</v>
      </c>
      <c r="BQ987" s="47" t="s">
        <v>117</v>
      </c>
      <c r="BR987" s="47" t="s">
        <v>134</v>
      </c>
      <c r="BS987" s="47" t="s">
        <v>312</v>
      </c>
      <c r="BT987" s="47" t="s">
        <v>312</v>
      </c>
      <c r="BU987" s="47">
        <v>1998</v>
      </c>
      <c r="BV987" s="47">
        <v>2007</v>
      </c>
      <c r="BW987" s="47" t="s">
        <v>901</v>
      </c>
      <c r="BX987" s="47" t="s">
        <v>95</v>
      </c>
      <c r="BY987" s="47" t="s">
        <v>748</v>
      </c>
      <c r="BZ987" s="47">
        <v>1</v>
      </c>
      <c r="CA987" s="47">
        <v>1</v>
      </c>
      <c r="CB987" s="47" t="s">
        <v>303</v>
      </c>
      <c r="CC987" s="47" t="s">
        <v>1375</v>
      </c>
      <c r="CD987" s="47">
        <v>1</v>
      </c>
      <c r="CE987" s="47" t="s">
        <v>1920</v>
      </c>
      <c r="CF987" s="47">
        <v>0</v>
      </c>
      <c r="CG987" s="47" t="s">
        <v>97</v>
      </c>
      <c r="CH987" s="47">
        <v>0</v>
      </c>
      <c r="CI987" s="47" t="s">
        <v>1393</v>
      </c>
      <c r="CJ987" s="47" t="s">
        <v>98</v>
      </c>
      <c r="CK987" s="47">
        <v>27</v>
      </c>
      <c r="CL987" s="47">
        <v>0</v>
      </c>
      <c r="CM987" s="47">
        <v>0</v>
      </c>
      <c r="CN987" s="47" t="s">
        <v>124</v>
      </c>
      <c r="CO987" s="47" t="s">
        <v>1959</v>
      </c>
      <c r="CP987" s="47" t="s">
        <v>100</v>
      </c>
      <c r="CQ987" s="47" t="s">
        <v>126</v>
      </c>
      <c r="CR987" s="48">
        <v>46252</v>
      </c>
      <c r="CT987" s="47" t="s">
        <v>521</v>
      </c>
    </row>
    <row r="988" spans="1:99" s="47" customFormat="1" x14ac:dyDescent="0.35">
      <c r="A988" s="46" t="s">
        <v>1912</v>
      </c>
      <c r="B988" s="46" t="s">
        <v>1957</v>
      </c>
      <c r="C988" s="47" t="s">
        <v>1913</v>
      </c>
      <c r="D988" s="47">
        <v>2021</v>
      </c>
      <c r="E988" s="46" t="s">
        <v>1914</v>
      </c>
      <c r="F988" s="46" t="s">
        <v>1915</v>
      </c>
      <c r="G988" s="47" t="s">
        <v>78</v>
      </c>
      <c r="H988" s="47">
        <v>1</v>
      </c>
      <c r="I988" s="47" t="s">
        <v>290</v>
      </c>
      <c r="J988" s="47" t="s">
        <v>79</v>
      </c>
      <c r="K988" s="47">
        <v>482</v>
      </c>
      <c r="L988" s="47" t="s">
        <v>104</v>
      </c>
      <c r="M988" s="47" t="s">
        <v>380</v>
      </c>
      <c r="N988" s="47">
        <v>-1.2800000000000001E-2</v>
      </c>
      <c r="O988" s="47">
        <v>2.5000000000000001E-3</v>
      </c>
      <c r="P988" s="92">
        <f t="shared" si="391"/>
        <v>-5.12</v>
      </c>
      <c r="Q988" s="47" t="s">
        <v>312</v>
      </c>
      <c r="R988" s="92">
        <f t="shared" si="392"/>
        <v>-1.77E-2</v>
      </c>
      <c r="S988" s="92">
        <f t="shared" si="393"/>
        <v>-7.9000000000000008E-3</v>
      </c>
      <c r="T988" s="47">
        <v>1</v>
      </c>
      <c r="U988" s="47">
        <v>580560</v>
      </c>
      <c r="V988" s="47" t="s">
        <v>312</v>
      </c>
      <c r="W988" s="47" t="s">
        <v>312</v>
      </c>
      <c r="X988" s="47">
        <f t="shared" si="398"/>
        <v>580560</v>
      </c>
      <c r="Y988" s="92">
        <f t="shared" si="394"/>
        <v>-6.719494474825405E-3</v>
      </c>
      <c r="Z988" s="92">
        <f t="shared" si="395"/>
        <v>1.3124012646143371E-3</v>
      </c>
      <c r="AA988" s="92">
        <f t="shared" si="399"/>
        <v>-6.719494474825405E-3</v>
      </c>
      <c r="AB988" s="47" t="s">
        <v>81</v>
      </c>
      <c r="AC988" s="92">
        <f t="shared" si="405"/>
        <v>-0.68505600000000011</v>
      </c>
      <c r="AD988" s="92" cm="1">
        <f t="array" ref="AD988">_xlfn.IFS(
AND(L988="marginal_effect",M988="level"),N988*AN988/BF988,
AND(L988="marginal_effect",M988="sd (Y)"),N988*BI988*AN988/BF988,
AND(L988="marginal_effect",M988="sd (X)"),N988/AQ988*AN988/BF988,
AND(L988="semi_elasticity",M988="level"),N988*AN988,
AND(L988="semi_elasticity",M988="sd (Y)"),N988*AN988*BI988,
AND(L988="semi_elasticity",M988="sd (X)"),N988*AN988/AQ988,
AND(L988="level-log",M988="level"),N988/BF988,
AND(L988="level-log",M988="sd (X)"),N988/BF988/AQ988,
AND(L988="level-log",M988="sd (Y)"),N988/BF988*BI988,
AND(L988="elasticity",M988="level"),N988,
AND(L988="elasticity",M988="sd (X)"),N988/AQ988,
AND(L988="elasticity",M988="sd (Y)"),N988*BI988,
AND(L988="marginal_effect",M988="percent_of_mean"),N988*AN988/BF988/10)</f>
        <v>-0.68505600000000011</v>
      </c>
      <c r="AE988" s="51">
        <f t="shared" si="401"/>
        <v>1</v>
      </c>
      <c r="AF988" s="92">
        <f t="shared" si="406"/>
        <v>0.1338</v>
      </c>
      <c r="AG988" s="92" cm="1">
        <f t="array" ref="AG988">_xlfn.IFS(
AND(L988="marginal_effect",M988="level"),O988*AN988/BF988,
AND(L988="marginal_effect",M988="sd (Y)"),O988*BI988*AN988/BF988,
AND(L988="marginal_effect",M988="sd (X)"),O988/AQ988*AN988/BF988,
AND(L988="semi_elasticity",M988="level"),O988*AN988,
AND(L988="semi_elasticity",M988="sd (Y)"),O988*AN988*BI988,
AND(L988="semi_elasticity",M988="sd (X)"),O988*AN988/AQ988,
AND(L988="level-log",M988="level"),O988/BF988,
AND(L988="level-log",M988="sd (X)"),O988/BF988/AQ988,
AND(L988="level-log",M988="sd (Y)"),O988/BF988*BI988,
AND(L988="elasticity",M988="level"),O988,
AND(L988="elasticity",M988="sd (X)"),O988/AQ988,
AND(L988="elasticity",M988="sd (Y)"),O988*BI988,
AND(L988="marginal_effect",M988="percent_of_mean"),O988*AN988/BF988/10)</f>
        <v>0.1338</v>
      </c>
      <c r="AH988" s="51">
        <f t="shared" si="404"/>
        <v>1</v>
      </c>
      <c r="AI988" s="92">
        <f t="shared" si="402"/>
        <v>-0.68505600000000011</v>
      </c>
      <c r="AJ988" s="47">
        <v>0</v>
      </c>
      <c r="AK988" s="47">
        <f t="shared" si="397"/>
        <v>1</v>
      </c>
      <c r="AL988" s="47" t="s">
        <v>82</v>
      </c>
      <c r="AM988" s="47" t="s">
        <v>1333</v>
      </c>
      <c r="AN988" s="47">
        <v>53.52</v>
      </c>
      <c r="AO988" s="47">
        <v>1</v>
      </c>
      <c r="AP988" s="47">
        <f t="shared" si="403"/>
        <v>53.52</v>
      </c>
      <c r="AQ988" s="47">
        <v>25.46</v>
      </c>
      <c r="AR988" s="47">
        <v>2.62</v>
      </c>
      <c r="AS988" s="47">
        <v>134.84</v>
      </c>
      <c r="AT988" s="47" t="s">
        <v>107</v>
      </c>
      <c r="AU988" s="47" t="s">
        <v>109</v>
      </c>
      <c r="AV988" s="47" t="s">
        <v>133</v>
      </c>
      <c r="AW988" s="47" t="s">
        <v>85</v>
      </c>
      <c r="AX988" s="47" t="s">
        <v>86</v>
      </c>
      <c r="AY988" s="47">
        <v>0</v>
      </c>
      <c r="AZ988" s="47">
        <v>0</v>
      </c>
      <c r="BA988" s="47" t="s">
        <v>391</v>
      </c>
      <c r="BB988" s="47" t="s">
        <v>134</v>
      </c>
      <c r="BC988" s="47" t="s">
        <v>134</v>
      </c>
      <c r="BD988" s="47" t="s">
        <v>114</v>
      </c>
      <c r="BE988" s="47" t="s">
        <v>1905</v>
      </c>
      <c r="BF988" s="47">
        <v>88</v>
      </c>
      <c r="BG988" s="47">
        <v>1</v>
      </c>
      <c r="BH988" s="47">
        <v>160</v>
      </c>
      <c r="BI988" s="47">
        <v>0.13</v>
      </c>
      <c r="BJ988" s="47">
        <v>16248</v>
      </c>
      <c r="BK988" s="47" t="s">
        <v>91</v>
      </c>
      <c r="BL988" s="47" t="s">
        <v>116</v>
      </c>
      <c r="BM988" s="47">
        <v>1</v>
      </c>
      <c r="BN988" s="47" t="s">
        <v>2177</v>
      </c>
      <c r="BO988" s="47" t="s">
        <v>312</v>
      </c>
      <c r="BP988" s="47" t="s">
        <v>312</v>
      </c>
      <c r="BQ988" s="47" t="s">
        <v>117</v>
      </c>
      <c r="BR988" s="47" t="s">
        <v>134</v>
      </c>
      <c r="BS988" s="47" t="s">
        <v>312</v>
      </c>
      <c r="BT988" s="47" t="s">
        <v>312</v>
      </c>
      <c r="BU988" s="47">
        <v>1998</v>
      </c>
      <c r="BV988" s="47">
        <v>2007</v>
      </c>
      <c r="BW988" s="47" t="s">
        <v>901</v>
      </c>
      <c r="BX988" s="47" t="s">
        <v>95</v>
      </c>
      <c r="BY988" s="47" t="s">
        <v>748</v>
      </c>
      <c r="BZ988" s="47">
        <v>1</v>
      </c>
      <c r="CA988" s="47">
        <v>1</v>
      </c>
      <c r="CB988" s="47" t="s">
        <v>303</v>
      </c>
      <c r="CC988" s="47" t="s">
        <v>1375</v>
      </c>
      <c r="CD988" s="47">
        <v>1</v>
      </c>
      <c r="CE988" s="47" t="s">
        <v>1920</v>
      </c>
      <c r="CF988" s="47">
        <v>0</v>
      </c>
      <c r="CG988" s="47" t="s">
        <v>97</v>
      </c>
      <c r="CH988" s="47">
        <v>0</v>
      </c>
      <c r="CI988" s="47" t="s">
        <v>1393</v>
      </c>
      <c r="CJ988" s="47" t="s">
        <v>98</v>
      </c>
      <c r="CK988" s="47">
        <v>27</v>
      </c>
      <c r="CL988" s="47">
        <v>0</v>
      </c>
      <c r="CM988" s="47">
        <v>0</v>
      </c>
      <c r="CN988" s="47" t="s">
        <v>124</v>
      </c>
      <c r="CO988" s="47" t="s">
        <v>1959</v>
      </c>
      <c r="CP988" s="47" t="s">
        <v>100</v>
      </c>
      <c r="CQ988" s="47" t="s">
        <v>126</v>
      </c>
      <c r="CR988" s="48">
        <v>46252</v>
      </c>
      <c r="CT988" s="47" t="s">
        <v>510</v>
      </c>
    </row>
    <row r="989" spans="1:99" s="47" customFormat="1" x14ac:dyDescent="0.35">
      <c r="A989" s="46" t="s">
        <v>1912</v>
      </c>
      <c r="B989" s="46" t="s">
        <v>1958</v>
      </c>
      <c r="C989" s="47" t="s">
        <v>1913</v>
      </c>
      <c r="D989" s="47">
        <v>2021</v>
      </c>
      <c r="E989" s="46" t="s">
        <v>1914</v>
      </c>
      <c r="F989" s="46" t="s">
        <v>1915</v>
      </c>
      <c r="G989" s="47" t="s">
        <v>78</v>
      </c>
      <c r="H989" s="47">
        <v>1</v>
      </c>
      <c r="I989" s="47" t="s">
        <v>290</v>
      </c>
      <c r="J989" s="47" t="s">
        <v>79</v>
      </c>
      <c r="K989" s="47">
        <v>482</v>
      </c>
      <c r="L989" s="47" t="s">
        <v>104</v>
      </c>
      <c r="M989" s="47" t="s">
        <v>380</v>
      </c>
      <c r="N989" s="47">
        <v>-6.1000000000000004E-3</v>
      </c>
      <c r="O989" s="47">
        <v>1.6999999999999999E-3</v>
      </c>
      <c r="P989" s="92">
        <f t="shared" si="391"/>
        <v>-3.5882352941176476</v>
      </c>
      <c r="Q989" s="47" t="s">
        <v>312</v>
      </c>
      <c r="R989" s="92">
        <f t="shared" si="392"/>
        <v>-9.4319999999999994E-3</v>
      </c>
      <c r="S989" s="92">
        <f t="shared" si="393"/>
        <v>-2.7680000000000005E-3</v>
      </c>
      <c r="T989" s="47">
        <v>1</v>
      </c>
      <c r="U989" s="47">
        <v>1012687</v>
      </c>
      <c r="V989" s="47" t="s">
        <v>312</v>
      </c>
      <c r="W989" s="47" t="s">
        <v>312</v>
      </c>
      <c r="X989" s="47">
        <f t="shared" si="398"/>
        <v>1012687</v>
      </c>
      <c r="Y989" s="92">
        <f t="shared" si="394"/>
        <v>-3.5656649775601952E-3</v>
      </c>
      <c r="Z989" s="92">
        <f t="shared" si="395"/>
        <v>9.937099117790706E-4</v>
      </c>
      <c r="AA989" s="92">
        <f t="shared" si="399"/>
        <v>-3.5656649775601952E-3</v>
      </c>
      <c r="AB989" s="47" t="s">
        <v>81</v>
      </c>
      <c r="AC989" s="92">
        <f t="shared" si="405"/>
        <v>-0.32647200000000004</v>
      </c>
      <c r="AD989" s="92" cm="1">
        <f t="array" ref="AD989">_xlfn.IFS(
AND(L989="marginal_effect",M989="level"),N989*AN989/BF989,
AND(L989="marginal_effect",M989="sd (Y)"),N989*BI989*AN989/BF989,
AND(L989="marginal_effect",M989="sd (X)"),N989/AQ989*AN989/BF989,
AND(L989="semi_elasticity",M989="level"),N989*AN989,
AND(L989="semi_elasticity",M989="sd (Y)"),N989*AN989*BI989,
AND(L989="semi_elasticity",M989="sd (X)"),N989*AN989/AQ989,
AND(L989="level-log",M989="level"),N989/BF989,
AND(L989="level-log",M989="sd (X)"),N989/BF989/AQ989,
AND(L989="level-log",M989="sd (Y)"),N989/BF989*BI989,
AND(L989="elasticity",M989="level"),N989,
AND(L989="elasticity",M989="sd (X)"),N989/AQ989,
AND(L989="elasticity",M989="sd (Y)"),N989*BI989,
AND(L989="marginal_effect",M989="percent_of_mean"),N989*AN989/BF989/10)</f>
        <v>-0.32647200000000004</v>
      </c>
      <c r="AE989" s="51">
        <f t="shared" si="401"/>
        <v>1</v>
      </c>
      <c r="AF989" s="92">
        <f t="shared" si="406"/>
        <v>9.0983999999999995E-2</v>
      </c>
      <c r="AG989" s="92" cm="1">
        <f t="array" ref="AG989">_xlfn.IFS(
AND(L989="marginal_effect",M989="level"),O989*AN989/BF989,
AND(L989="marginal_effect",M989="sd (Y)"),O989*BI989*AN989/BF989,
AND(L989="marginal_effect",M989="sd (X)"),O989/AQ989*AN989/BF989,
AND(L989="semi_elasticity",M989="level"),O989*AN989,
AND(L989="semi_elasticity",M989="sd (Y)"),O989*AN989*BI989,
AND(L989="semi_elasticity",M989="sd (X)"),O989*AN989/AQ989,
AND(L989="level-log",M989="level"),O989/BF989,
AND(L989="level-log",M989="sd (X)"),O989/BF989/AQ989,
AND(L989="level-log",M989="sd (Y)"),O989/BF989*BI989,
AND(L989="elasticity",M989="level"),O989,
AND(L989="elasticity",M989="sd (X)"),O989/AQ989,
AND(L989="elasticity",M989="sd (Y)"),O989*BI989,
AND(L989="marginal_effect",M989="percent_of_mean"),O989*AN989/BF989/10)</f>
        <v>9.0983999999999995E-2</v>
      </c>
      <c r="AH989" s="51">
        <f t="shared" si="404"/>
        <v>1</v>
      </c>
      <c r="AI989" s="92">
        <f t="shared" si="402"/>
        <v>-0.32647200000000004</v>
      </c>
      <c r="AJ989" s="47">
        <v>0</v>
      </c>
      <c r="AK989" s="47">
        <f t="shared" si="397"/>
        <v>1</v>
      </c>
      <c r="AL989" s="47" t="s">
        <v>82</v>
      </c>
      <c r="AM989" s="47" t="s">
        <v>1333</v>
      </c>
      <c r="AN989" s="47">
        <v>53.52</v>
      </c>
      <c r="AO989" s="47">
        <v>1</v>
      </c>
      <c r="AP989" s="47">
        <f t="shared" si="403"/>
        <v>53.52</v>
      </c>
      <c r="AQ989" s="47">
        <v>25.46</v>
      </c>
      <c r="AR989" s="47">
        <v>2.62</v>
      </c>
      <c r="AS989" s="47">
        <v>134.84</v>
      </c>
      <c r="AT989" s="47" t="s">
        <v>107</v>
      </c>
      <c r="AU989" s="47" t="s">
        <v>109</v>
      </c>
      <c r="AV989" s="47" t="s">
        <v>133</v>
      </c>
      <c r="AW989" s="47" t="s">
        <v>85</v>
      </c>
      <c r="AX989" s="47" t="s">
        <v>86</v>
      </c>
      <c r="AY989" s="47">
        <v>0</v>
      </c>
      <c r="AZ989" s="47">
        <v>0</v>
      </c>
      <c r="BA989" s="47" t="s">
        <v>391</v>
      </c>
      <c r="BB989" s="47" t="s">
        <v>134</v>
      </c>
      <c r="BC989" s="47" t="s">
        <v>134</v>
      </c>
      <c r="BD989" s="47" t="s">
        <v>90</v>
      </c>
      <c r="BE989" s="47" t="s">
        <v>1905</v>
      </c>
      <c r="BF989" s="47">
        <v>88</v>
      </c>
      <c r="BG989" s="47">
        <v>1</v>
      </c>
      <c r="BH989" s="47">
        <v>160</v>
      </c>
      <c r="BI989" s="47">
        <v>0.13</v>
      </c>
      <c r="BJ989" s="47">
        <v>16248</v>
      </c>
      <c r="BK989" s="47" t="s">
        <v>91</v>
      </c>
      <c r="BL989" s="47" t="s">
        <v>116</v>
      </c>
      <c r="BM989" s="47">
        <v>1</v>
      </c>
      <c r="BN989" s="47" t="s">
        <v>2177</v>
      </c>
      <c r="BO989" s="47" t="s">
        <v>312</v>
      </c>
      <c r="BP989" s="47" t="s">
        <v>312</v>
      </c>
      <c r="BQ989" s="47" t="s">
        <v>117</v>
      </c>
      <c r="BR989" s="47" t="s">
        <v>134</v>
      </c>
      <c r="BS989" s="47" t="s">
        <v>312</v>
      </c>
      <c r="BT989" s="47" t="s">
        <v>312</v>
      </c>
      <c r="BU989" s="47">
        <v>1998</v>
      </c>
      <c r="BV989" s="47">
        <v>2007</v>
      </c>
      <c r="BW989" s="47" t="s">
        <v>901</v>
      </c>
      <c r="BX989" s="47" t="s">
        <v>95</v>
      </c>
      <c r="BY989" s="47" t="s">
        <v>748</v>
      </c>
      <c r="BZ989" s="47">
        <v>1</v>
      </c>
      <c r="CA989" s="47">
        <v>1</v>
      </c>
      <c r="CB989" s="47" t="s">
        <v>303</v>
      </c>
      <c r="CC989" s="47" t="s">
        <v>1375</v>
      </c>
      <c r="CD989" s="47">
        <v>1</v>
      </c>
      <c r="CE989" s="47" t="s">
        <v>1920</v>
      </c>
      <c r="CF989" s="47">
        <v>0</v>
      </c>
      <c r="CG989" s="47" t="s">
        <v>97</v>
      </c>
      <c r="CH989" s="47">
        <v>0</v>
      </c>
      <c r="CI989" s="47" t="s">
        <v>1393</v>
      </c>
      <c r="CJ989" s="47" t="s">
        <v>98</v>
      </c>
      <c r="CK989" s="47">
        <v>27</v>
      </c>
      <c r="CL989" s="47">
        <v>0</v>
      </c>
      <c r="CM989" s="47">
        <v>0</v>
      </c>
      <c r="CN989" s="47" t="s">
        <v>124</v>
      </c>
      <c r="CO989" s="47" t="s">
        <v>1959</v>
      </c>
      <c r="CP989" s="47" t="s">
        <v>100</v>
      </c>
      <c r="CQ989" s="47" t="s">
        <v>126</v>
      </c>
      <c r="CR989" s="48">
        <v>46252</v>
      </c>
      <c r="CT989" s="47" t="s">
        <v>511</v>
      </c>
    </row>
    <row r="990" spans="1:99" s="47" customFormat="1" x14ac:dyDescent="0.35">
      <c r="A990" s="46" t="s">
        <v>1912</v>
      </c>
      <c r="B990" s="46" t="s">
        <v>1960</v>
      </c>
      <c r="C990" s="47" t="s">
        <v>1913</v>
      </c>
      <c r="D990" s="47">
        <v>2021</v>
      </c>
      <c r="E990" s="46" t="s">
        <v>1914</v>
      </c>
      <c r="F990" s="46" t="s">
        <v>1915</v>
      </c>
      <c r="G990" s="47" t="s">
        <v>78</v>
      </c>
      <c r="H990" s="47">
        <v>1</v>
      </c>
      <c r="I990" s="47" t="s">
        <v>290</v>
      </c>
      <c r="J990" s="47" t="s">
        <v>79</v>
      </c>
      <c r="K990" s="47">
        <v>482</v>
      </c>
      <c r="L990" s="47" t="s">
        <v>104</v>
      </c>
      <c r="M990" s="47" t="s">
        <v>380</v>
      </c>
      <c r="N990" s="47">
        <v>-4.5999999999999999E-3</v>
      </c>
      <c r="O990" s="47">
        <v>2.5000000000000001E-3</v>
      </c>
      <c r="P990" s="92">
        <f t="shared" ref="P990:P1021" si="407">N990/O990</f>
        <v>-1.8399999999999999</v>
      </c>
      <c r="Q990" s="47" t="s">
        <v>312</v>
      </c>
      <c r="R990" s="92">
        <f t="shared" ref="R990:R1021" si="408">N990-1.96*O990</f>
        <v>-9.4999999999999998E-3</v>
      </c>
      <c r="S990" s="92">
        <f t="shared" ref="S990:S1021" si="409">N990+1.96*O990</f>
        <v>2.9999999999999992E-4</v>
      </c>
      <c r="T990" s="47">
        <v>1</v>
      </c>
      <c r="U990" s="47">
        <v>530827</v>
      </c>
      <c r="V990" s="47" t="s">
        <v>312</v>
      </c>
      <c r="W990" s="47" t="s">
        <v>312</v>
      </c>
      <c r="X990" s="47">
        <f t="shared" si="398"/>
        <v>530827</v>
      </c>
      <c r="Y990" s="92">
        <f t="shared" ref="Y990:Y1012" si="410">P990/(P990^2 + X990)^(1/2)</f>
        <v>-2.5254567519897297E-3</v>
      </c>
      <c r="Z990" s="92">
        <f t="shared" ref="Z990:Z1012" si="411">((1-Y990^2)/X990)^(1/2)</f>
        <v>1.3725308434726793E-3</v>
      </c>
      <c r="AA990" s="92">
        <f t="shared" si="399"/>
        <v>-2.5254567519897297E-3</v>
      </c>
      <c r="AB990" s="47" t="s">
        <v>81</v>
      </c>
      <c r="AC990" s="92">
        <f t="shared" si="405"/>
        <v>-0.24619200000000002</v>
      </c>
      <c r="AD990" s="92" cm="1">
        <f t="array" ref="AD990">_xlfn.IFS(
AND(L990="marginal_effect",M990="level"),N990*AN990/BF990,
AND(L990="marginal_effect",M990="sd (Y)"),N990*BI990*AN990/BF990,
AND(L990="marginal_effect",M990="sd (X)"),N990/AQ990*AN990/BF990,
AND(L990="semi_elasticity",M990="level"),N990*AN990,
AND(L990="semi_elasticity",M990="sd (Y)"),N990*AN990*BI990,
AND(L990="semi_elasticity",M990="sd (X)"),N990*AN990/AQ990,
AND(L990="level-log",M990="level"),N990/BF990,
AND(L990="level-log",M990="sd (X)"),N990/BF990/AQ990,
AND(L990="level-log",M990="sd (Y)"),N990/BF990*BI990,
AND(L990="elasticity",M990="level"),N990,
AND(L990="elasticity",M990="sd (X)"),N990/AQ990,
AND(L990="elasticity",M990="sd (Y)"),N990*BI990,
AND(L990="marginal_effect",M990="percent_of_mean"),N990*AN990/BF990/10)</f>
        <v>-0.24619200000000002</v>
      </c>
      <c r="AE990" s="51">
        <f t="shared" si="401"/>
        <v>1</v>
      </c>
      <c r="AF990" s="92">
        <f t="shared" si="406"/>
        <v>0.1338</v>
      </c>
      <c r="AG990" s="92" cm="1">
        <f t="array" ref="AG990">_xlfn.IFS(
AND(L990="marginal_effect",M990="level"),O990*AN990/BF990,
AND(L990="marginal_effect",M990="sd (Y)"),O990*BI990*AN990/BF990,
AND(L990="marginal_effect",M990="sd (X)"),O990/AQ990*AN990/BF990,
AND(L990="semi_elasticity",M990="level"),O990*AN990,
AND(L990="semi_elasticity",M990="sd (Y)"),O990*AN990*BI990,
AND(L990="semi_elasticity",M990="sd (X)"),O990*AN990/AQ990,
AND(L990="level-log",M990="level"),O990/BF990,
AND(L990="level-log",M990="sd (X)"),O990/BF990/AQ990,
AND(L990="level-log",M990="sd (Y)"),O990/BF990*BI990,
AND(L990="elasticity",M990="level"),O990,
AND(L990="elasticity",M990="sd (X)"),O990/AQ990,
AND(L990="elasticity",M990="sd (Y)"),O990*BI990,
AND(L990="marginal_effect",M990="percent_of_mean"),O990*AN990/BF990/10)</f>
        <v>0.1338</v>
      </c>
      <c r="AH990" s="51">
        <f t="shared" si="404"/>
        <v>1</v>
      </c>
      <c r="AI990" s="92">
        <f t="shared" si="402"/>
        <v>-0.24619200000000002</v>
      </c>
      <c r="AJ990" s="47">
        <v>0</v>
      </c>
      <c r="AK990" s="47">
        <f t="shared" ref="AK990:AK1021" si="412">IF(P990=(AC990/AF990),1,0)</f>
        <v>1</v>
      </c>
      <c r="AL990" s="47" t="s">
        <v>82</v>
      </c>
      <c r="AM990" s="47" t="s">
        <v>1333</v>
      </c>
      <c r="AN990" s="47">
        <v>53.52</v>
      </c>
      <c r="AO990" s="47">
        <v>1</v>
      </c>
      <c r="AP990" s="47">
        <f t="shared" si="403"/>
        <v>53.52</v>
      </c>
      <c r="AQ990" s="47">
        <v>25.46</v>
      </c>
      <c r="AR990" s="47">
        <v>2.62</v>
      </c>
      <c r="AS990" s="47">
        <v>134.84</v>
      </c>
      <c r="AT990" s="47" t="s">
        <v>107</v>
      </c>
      <c r="AU990" s="47" t="s">
        <v>109</v>
      </c>
      <c r="AV990" s="47" t="s">
        <v>133</v>
      </c>
      <c r="AW990" s="47" t="s">
        <v>85</v>
      </c>
      <c r="AX990" s="47" t="s">
        <v>86</v>
      </c>
      <c r="AY990" s="47">
        <v>0</v>
      </c>
      <c r="AZ990" s="47">
        <v>0</v>
      </c>
      <c r="BA990" s="47" t="s">
        <v>391</v>
      </c>
      <c r="BB990" s="47" t="s">
        <v>134</v>
      </c>
      <c r="BC990" s="47" t="s">
        <v>134</v>
      </c>
      <c r="BD990" s="47" t="s">
        <v>134</v>
      </c>
      <c r="BE990" s="47" t="s">
        <v>1905</v>
      </c>
      <c r="BF990" s="47">
        <v>88</v>
      </c>
      <c r="BG990" s="47">
        <v>1</v>
      </c>
      <c r="BH990" s="47">
        <v>160</v>
      </c>
      <c r="BI990" s="47">
        <v>0.13</v>
      </c>
      <c r="BJ990" s="47">
        <v>16248</v>
      </c>
      <c r="BK990" s="47" t="s">
        <v>91</v>
      </c>
      <c r="BL990" s="47" t="s">
        <v>116</v>
      </c>
      <c r="BM990" s="47">
        <v>1</v>
      </c>
      <c r="BN990" s="47" t="s">
        <v>2177</v>
      </c>
      <c r="BO990" s="47" t="s">
        <v>312</v>
      </c>
      <c r="BP990" s="47" t="s">
        <v>312</v>
      </c>
      <c r="BQ990" s="47" t="s">
        <v>117</v>
      </c>
      <c r="BR990" s="47" t="s">
        <v>134</v>
      </c>
      <c r="BS990" s="47" t="s">
        <v>312</v>
      </c>
      <c r="BT990" s="47" t="s">
        <v>312</v>
      </c>
      <c r="BU990" s="47">
        <v>1998</v>
      </c>
      <c r="BV990" s="47">
        <v>2007</v>
      </c>
      <c r="BW990" s="47" t="s">
        <v>901</v>
      </c>
      <c r="BX990" s="47" t="s">
        <v>95</v>
      </c>
      <c r="BY990" s="47" t="s">
        <v>748</v>
      </c>
      <c r="BZ990" s="47">
        <v>1</v>
      </c>
      <c r="CA990" s="47">
        <v>1</v>
      </c>
      <c r="CB990" s="47" t="s">
        <v>303</v>
      </c>
      <c r="CC990" s="47" t="s">
        <v>1375</v>
      </c>
      <c r="CD990" s="47">
        <v>1</v>
      </c>
      <c r="CE990" s="47" t="s">
        <v>1920</v>
      </c>
      <c r="CF990" s="47">
        <v>0</v>
      </c>
      <c r="CG990" s="47" t="s">
        <v>97</v>
      </c>
      <c r="CH990" s="47">
        <v>0</v>
      </c>
      <c r="CI990" s="47" t="s">
        <v>116</v>
      </c>
      <c r="CJ990" s="47" t="s">
        <v>98</v>
      </c>
      <c r="CK990" s="47">
        <v>27</v>
      </c>
      <c r="CL990" s="47">
        <v>0</v>
      </c>
      <c r="CM990" s="47">
        <v>0</v>
      </c>
      <c r="CN990" s="47" t="s">
        <v>124</v>
      </c>
      <c r="CO990" s="47" t="s">
        <v>1962</v>
      </c>
      <c r="CP990" s="47" t="s">
        <v>100</v>
      </c>
      <c r="CQ990" s="47" t="s">
        <v>126</v>
      </c>
      <c r="CR990" s="48">
        <v>46252</v>
      </c>
      <c r="CT990" s="47" t="s">
        <v>786</v>
      </c>
    </row>
    <row r="991" spans="1:99" s="47" customFormat="1" x14ac:dyDescent="0.35">
      <c r="A991" s="46" t="s">
        <v>1912</v>
      </c>
      <c r="B991" s="46" t="s">
        <v>1961</v>
      </c>
      <c r="C991" s="47" t="s">
        <v>1913</v>
      </c>
      <c r="D991" s="47">
        <v>2021</v>
      </c>
      <c r="E991" s="46" t="s">
        <v>1914</v>
      </c>
      <c r="F991" s="46" t="s">
        <v>1915</v>
      </c>
      <c r="G991" s="47" t="s">
        <v>78</v>
      </c>
      <c r="H991" s="47">
        <v>1</v>
      </c>
      <c r="I991" s="47" t="s">
        <v>290</v>
      </c>
      <c r="J991" s="47" t="s">
        <v>79</v>
      </c>
      <c r="K991" s="47">
        <v>482</v>
      </c>
      <c r="L991" s="47" t="s">
        <v>104</v>
      </c>
      <c r="M991" s="47" t="s">
        <v>380</v>
      </c>
      <c r="N991" s="47">
        <v>-1.04E-2</v>
      </c>
      <c r="O991" s="47">
        <v>1.6999999999999999E-3</v>
      </c>
      <c r="P991" s="92">
        <f t="shared" si="407"/>
        <v>-6.1176470588235299</v>
      </c>
      <c r="Q991" s="47" t="s">
        <v>312</v>
      </c>
      <c r="R991" s="92">
        <f t="shared" si="408"/>
        <v>-1.3731999999999999E-2</v>
      </c>
      <c r="S991" s="92">
        <f t="shared" si="409"/>
        <v>-7.0679999999999996E-3</v>
      </c>
      <c r="T991" s="47">
        <v>1</v>
      </c>
      <c r="U991" s="47">
        <v>1062420</v>
      </c>
      <c r="V991" s="47" t="s">
        <v>312</v>
      </c>
      <c r="W991" s="47" t="s">
        <v>312</v>
      </c>
      <c r="X991" s="47">
        <f t="shared" si="398"/>
        <v>1062420</v>
      </c>
      <c r="Y991" s="92">
        <f t="shared" si="410"/>
        <v>-5.9351083237946288E-3</v>
      </c>
      <c r="Z991" s="92">
        <f t="shared" si="411"/>
        <v>9.7016193754335283E-4</v>
      </c>
      <c r="AA991" s="92">
        <f t="shared" si="399"/>
        <v>-5.9351083237946288E-3</v>
      </c>
      <c r="AB991" s="47" t="s">
        <v>81</v>
      </c>
      <c r="AC991" s="92">
        <f t="shared" si="405"/>
        <v>-0.55660799999999999</v>
      </c>
      <c r="AD991" s="92" cm="1">
        <f t="array" ref="AD991">_xlfn.IFS(
AND(L991="marginal_effect",M991="level"),N991*AN991/BF991,
AND(L991="marginal_effect",M991="sd (Y)"),N991*BI991*AN991/BF991,
AND(L991="marginal_effect",M991="sd (X)"),N991/AQ991*AN991/BF991,
AND(L991="semi_elasticity",M991="level"),N991*AN991,
AND(L991="semi_elasticity",M991="sd (Y)"),N991*AN991*BI991,
AND(L991="semi_elasticity",M991="sd (X)"),N991*AN991/AQ991,
AND(L991="level-log",M991="level"),N991/BF991,
AND(L991="level-log",M991="sd (X)"),N991/BF991/AQ991,
AND(L991="level-log",M991="sd (Y)"),N991/BF991*BI991,
AND(L991="elasticity",M991="level"),N991,
AND(L991="elasticity",M991="sd (X)"),N991/AQ991,
AND(L991="elasticity",M991="sd (Y)"),N991*BI991,
AND(L991="marginal_effect",M991="percent_of_mean"),N991*AN991/BF991/10)</f>
        <v>-0.55660799999999999</v>
      </c>
      <c r="AE991" s="51">
        <f t="shared" si="401"/>
        <v>1</v>
      </c>
      <c r="AF991" s="92">
        <f t="shared" si="406"/>
        <v>9.0983999999999995E-2</v>
      </c>
      <c r="AG991" s="92" cm="1">
        <f t="array" ref="AG991">_xlfn.IFS(
AND(L991="marginal_effect",M991="level"),O991*AN991/BF991,
AND(L991="marginal_effect",M991="sd (Y)"),O991*BI991*AN991/BF991,
AND(L991="marginal_effect",M991="sd (X)"),O991/AQ991*AN991/BF991,
AND(L991="semi_elasticity",M991="level"),O991*AN991,
AND(L991="semi_elasticity",M991="sd (Y)"),O991*AN991*BI991,
AND(L991="semi_elasticity",M991="sd (X)"),O991*AN991/AQ991,
AND(L991="level-log",M991="level"),O991/BF991,
AND(L991="level-log",M991="sd (X)"),O991/BF991/AQ991,
AND(L991="level-log",M991="sd (Y)"),O991/BF991*BI991,
AND(L991="elasticity",M991="level"),O991,
AND(L991="elasticity",M991="sd (X)"),O991/AQ991,
AND(L991="elasticity",M991="sd (Y)"),O991*BI991,
AND(L991="marginal_effect",M991="percent_of_mean"),O991*AN991/BF991/10)</f>
        <v>9.0983999999999995E-2</v>
      </c>
      <c r="AH991" s="51">
        <f t="shared" si="404"/>
        <v>1</v>
      </c>
      <c r="AI991" s="92">
        <f t="shared" si="402"/>
        <v>-0.55660799999999999</v>
      </c>
      <c r="AJ991" s="47">
        <v>0</v>
      </c>
      <c r="AK991" s="47">
        <f t="shared" si="412"/>
        <v>1</v>
      </c>
      <c r="AL991" s="47" t="s">
        <v>82</v>
      </c>
      <c r="AM991" s="47" t="s">
        <v>1333</v>
      </c>
      <c r="AN991" s="47">
        <v>53.52</v>
      </c>
      <c r="AO991" s="47">
        <v>1</v>
      </c>
      <c r="AP991" s="47">
        <f t="shared" si="403"/>
        <v>53.52</v>
      </c>
      <c r="AQ991" s="47">
        <v>25.46</v>
      </c>
      <c r="AR991" s="47">
        <v>2.62</v>
      </c>
      <c r="AS991" s="47">
        <v>134.84</v>
      </c>
      <c r="AT991" s="47" t="s">
        <v>107</v>
      </c>
      <c r="AU991" s="47" t="s">
        <v>109</v>
      </c>
      <c r="AV991" s="47" t="s">
        <v>133</v>
      </c>
      <c r="AW991" s="47" t="s">
        <v>85</v>
      </c>
      <c r="AX991" s="47" t="s">
        <v>86</v>
      </c>
      <c r="AY991" s="47">
        <v>0</v>
      </c>
      <c r="AZ991" s="47">
        <v>0</v>
      </c>
      <c r="BA991" s="47" t="s">
        <v>391</v>
      </c>
      <c r="BB991" s="47" t="s">
        <v>134</v>
      </c>
      <c r="BC991" s="47" t="s">
        <v>134</v>
      </c>
      <c r="BD991" s="47" t="s">
        <v>134</v>
      </c>
      <c r="BE991" s="47" t="s">
        <v>1905</v>
      </c>
      <c r="BF991" s="47">
        <v>88</v>
      </c>
      <c r="BG991" s="47">
        <v>1</v>
      </c>
      <c r="BH991" s="47">
        <v>160</v>
      </c>
      <c r="BI991" s="47">
        <v>0.13</v>
      </c>
      <c r="BJ991" s="47">
        <v>16248</v>
      </c>
      <c r="BK991" s="47" t="s">
        <v>91</v>
      </c>
      <c r="BL991" s="47" t="s">
        <v>116</v>
      </c>
      <c r="BM991" s="47">
        <v>1</v>
      </c>
      <c r="BN991" s="47" t="s">
        <v>2177</v>
      </c>
      <c r="BO991" s="47" t="s">
        <v>312</v>
      </c>
      <c r="BP991" s="47" t="s">
        <v>312</v>
      </c>
      <c r="BQ991" s="47" t="s">
        <v>117</v>
      </c>
      <c r="BR991" s="47" t="s">
        <v>134</v>
      </c>
      <c r="BS991" s="47" t="s">
        <v>312</v>
      </c>
      <c r="BT991" s="47" t="s">
        <v>312</v>
      </c>
      <c r="BU991" s="47">
        <v>1998</v>
      </c>
      <c r="BV991" s="47">
        <v>2007</v>
      </c>
      <c r="BW991" s="47" t="s">
        <v>901</v>
      </c>
      <c r="BX991" s="47" t="s">
        <v>95</v>
      </c>
      <c r="BY991" s="47" t="s">
        <v>748</v>
      </c>
      <c r="BZ991" s="47">
        <v>1</v>
      </c>
      <c r="CA991" s="47">
        <v>1</v>
      </c>
      <c r="CB991" s="47" t="s">
        <v>303</v>
      </c>
      <c r="CC991" s="47" t="s">
        <v>1375</v>
      </c>
      <c r="CD991" s="47">
        <v>1</v>
      </c>
      <c r="CE991" s="47" t="s">
        <v>1920</v>
      </c>
      <c r="CF991" s="47">
        <v>0</v>
      </c>
      <c r="CG991" s="47" t="s">
        <v>97</v>
      </c>
      <c r="CH991" s="47">
        <v>0</v>
      </c>
      <c r="CI991" s="47" t="s">
        <v>116</v>
      </c>
      <c r="CJ991" s="47" t="s">
        <v>98</v>
      </c>
      <c r="CK991" s="47">
        <v>27</v>
      </c>
      <c r="CL991" s="47">
        <v>0</v>
      </c>
      <c r="CM991" s="47">
        <v>0</v>
      </c>
      <c r="CN991" s="47" t="s">
        <v>124</v>
      </c>
      <c r="CO991" s="47" t="s">
        <v>1962</v>
      </c>
      <c r="CP991" s="47" t="s">
        <v>100</v>
      </c>
      <c r="CQ991" s="47" t="s">
        <v>126</v>
      </c>
      <c r="CR991" s="48">
        <v>46252</v>
      </c>
      <c r="CT991" s="47" t="s">
        <v>787</v>
      </c>
    </row>
    <row r="992" spans="1:99" s="55" customFormat="1" x14ac:dyDescent="0.35">
      <c r="A992" s="54" t="s">
        <v>1963</v>
      </c>
      <c r="B992" s="54" t="s">
        <v>1971</v>
      </c>
      <c r="C992" s="55" t="s">
        <v>1964</v>
      </c>
      <c r="D992" s="55">
        <v>2015</v>
      </c>
      <c r="E992" s="60" t="s">
        <v>1965</v>
      </c>
      <c r="F992" s="54" t="s">
        <v>1966</v>
      </c>
      <c r="G992" s="55" t="s">
        <v>78</v>
      </c>
      <c r="H992" s="55">
        <v>1</v>
      </c>
      <c r="I992" s="55" t="s">
        <v>1967</v>
      </c>
      <c r="J992" s="55" t="s">
        <v>79</v>
      </c>
      <c r="K992" s="55">
        <v>16</v>
      </c>
      <c r="L992" s="55" t="s">
        <v>80</v>
      </c>
      <c r="M992" s="55" t="s">
        <v>380</v>
      </c>
      <c r="N992" s="55">
        <v>-6.0199999999999997E-2</v>
      </c>
      <c r="O992" s="55">
        <v>1.2E-2</v>
      </c>
      <c r="P992" s="88">
        <f t="shared" si="407"/>
        <v>-5.0166666666666666</v>
      </c>
      <c r="Q992" s="55" t="s">
        <v>312</v>
      </c>
      <c r="R992" s="88">
        <f t="shared" si="408"/>
        <v>-8.3719999999999989E-2</v>
      </c>
      <c r="S992" s="88">
        <f t="shared" si="409"/>
        <v>-3.6679999999999997E-2</v>
      </c>
      <c r="T992" s="55">
        <v>1</v>
      </c>
      <c r="U992" s="55">
        <v>1485</v>
      </c>
      <c r="V992" s="55">
        <v>6</v>
      </c>
      <c r="W992" s="55">
        <v>1</v>
      </c>
      <c r="X992" s="55">
        <f>U992-V992</f>
        <v>1479</v>
      </c>
      <c r="Y992" s="88">
        <f t="shared" si="410"/>
        <v>-0.12935023587695932</v>
      </c>
      <c r="Z992" s="88">
        <f t="shared" si="411"/>
        <v>2.5784100174809168E-2</v>
      </c>
      <c r="AA992" s="88">
        <f t="shared" si="399"/>
        <v>-0.12935023587695932</v>
      </c>
      <c r="AB992" s="55" t="s">
        <v>81</v>
      </c>
      <c r="AC992" s="88">
        <f>N992</f>
        <v>-6.0199999999999997E-2</v>
      </c>
      <c r="AD992" s="88" cm="1">
        <f t="array" ref="AD992">_xlfn.IFS(
AND(L992="marginal_effect",M992="level"),N992*AN992/BF992,
AND(L992="marginal_effect",M992="sd (Y)"),N992*BI992*AN992/BF992,
AND(L992="marginal_effect",M992="sd (X)"),N992/AQ992*AN992/BF992,
AND(L992="semi_elasticity",M992="level"),N992*AN992,
AND(L992="semi_elasticity",M992="sd (Y)"),N992*AN992*BI992,
AND(L992="semi_elasticity",M992="sd (X)"),N992*AN992/AQ992,
AND(L992="level-log",M992="level"),N992/BF992,
AND(L992="level-log",M992="sd (X)"),N992/BF992/AQ992,
AND(L992="level-log",M992="sd (Y)"),N992/BF992*BI992,
AND(L992="elasticity",M992="level"),N992,
AND(L992="elasticity",M992="sd (X)"),N992/AQ992,
AND(L992="elasticity",M992="sd (Y)"),N992*BI992,
AND(L992="marginal_effect",M992="percent_of_mean"),N992*AN992/BF992/10)</f>
        <v>-6.0199999999999997E-2</v>
      </c>
      <c r="AE992" s="56">
        <f t="shared" si="401"/>
        <v>1</v>
      </c>
      <c r="AF992" s="88">
        <f>O992</f>
        <v>1.2E-2</v>
      </c>
      <c r="AG992" s="88" cm="1">
        <f t="array" ref="AG992">_xlfn.IFS(
AND(L992="marginal_effect",M992="level"),O992*AN992/BF992,
AND(L992="marginal_effect",M992="sd (Y)"),O992*BI992*AN992/BF992,
AND(L992="marginal_effect",M992="sd (X)"),O992/AQ992*AN992/BF992,
AND(L992="semi_elasticity",M992="level"),O992*AN992,
AND(L992="semi_elasticity",M992="sd (Y)"),O992*AN992*BI992,
AND(L992="semi_elasticity",M992="sd (X)"),O992*AN992/AQ992,
AND(L992="level-log",M992="level"),O992/BF992,
AND(L992="level-log",M992="sd (X)"),O992/BF992/AQ992,
AND(L992="level-log",M992="sd (Y)"),O992/BF992*BI992,
AND(L992="elasticity",M992="level"),O992,
AND(L992="elasticity",M992="sd (X)"),O992/AQ992,
AND(L992="elasticity",M992="sd (Y)"),O992*BI992,
AND(L992="marginal_effect",M992="percent_of_mean"),O992*AN992/BF992/10)</f>
        <v>1.2E-2</v>
      </c>
      <c r="AH992" s="56">
        <f t="shared" si="404"/>
        <v>1</v>
      </c>
      <c r="AI992" s="88">
        <f t="shared" si="402"/>
        <v>-6.0199999999999997E-2</v>
      </c>
      <c r="AJ992" s="55">
        <v>0</v>
      </c>
      <c r="AK992" s="55">
        <f t="shared" si="412"/>
        <v>1</v>
      </c>
      <c r="AL992" s="55" t="s">
        <v>131</v>
      </c>
      <c r="AM992" s="55" t="s">
        <v>312</v>
      </c>
      <c r="AN992" s="55" t="s">
        <v>312</v>
      </c>
      <c r="AO992" s="55" t="s">
        <v>312</v>
      </c>
      <c r="AP992" s="55" t="s">
        <v>312</v>
      </c>
      <c r="AQ992" s="55" t="s">
        <v>312</v>
      </c>
      <c r="AR992" s="55" t="s">
        <v>312</v>
      </c>
      <c r="AS992" s="55" t="s">
        <v>312</v>
      </c>
      <c r="AT992" s="55" t="s">
        <v>83</v>
      </c>
      <c r="AU992" s="55" t="s">
        <v>109</v>
      </c>
      <c r="AV992" s="55" t="s">
        <v>133</v>
      </c>
      <c r="AW992" s="55" t="s">
        <v>134</v>
      </c>
      <c r="AX992" s="55" t="s">
        <v>86</v>
      </c>
      <c r="AY992" s="55">
        <v>0</v>
      </c>
      <c r="AZ992" s="55">
        <v>0</v>
      </c>
      <c r="BA992" s="55" t="s">
        <v>391</v>
      </c>
      <c r="BB992" s="55" t="s">
        <v>134</v>
      </c>
      <c r="BC992" s="55" t="s">
        <v>134</v>
      </c>
      <c r="BD992" s="55" t="s">
        <v>134</v>
      </c>
      <c r="BE992" s="55" t="s">
        <v>1968</v>
      </c>
      <c r="BF992" s="55">
        <v>24869.65</v>
      </c>
      <c r="BG992" s="55">
        <v>0</v>
      </c>
      <c r="BH992" s="55">
        <v>4454.3</v>
      </c>
      <c r="BI992" s="55">
        <v>11988.95</v>
      </c>
      <c r="BJ992" s="55">
        <v>49399.54</v>
      </c>
      <c r="BK992" s="55" t="s">
        <v>91</v>
      </c>
      <c r="BL992" s="55" t="s">
        <v>1969</v>
      </c>
      <c r="BM992" s="55">
        <v>1</v>
      </c>
      <c r="BN992" s="55" t="s">
        <v>312</v>
      </c>
      <c r="BO992" s="55" t="s">
        <v>312</v>
      </c>
      <c r="BP992" s="55" t="s">
        <v>312</v>
      </c>
      <c r="BQ992" s="55" t="s">
        <v>92</v>
      </c>
      <c r="BR992" s="55" t="s">
        <v>134</v>
      </c>
      <c r="BS992" s="55" t="s">
        <v>312</v>
      </c>
      <c r="BT992" s="55" t="s">
        <v>312</v>
      </c>
      <c r="BU992" s="55">
        <v>2009</v>
      </c>
      <c r="BV992" s="55">
        <v>2009</v>
      </c>
      <c r="BW992" s="55" t="s">
        <v>901</v>
      </c>
      <c r="BX992" s="55" t="s">
        <v>1970</v>
      </c>
      <c r="BY992" s="55" t="s">
        <v>96</v>
      </c>
      <c r="BZ992" s="55">
        <v>0</v>
      </c>
      <c r="CA992" s="55">
        <v>0</v>
      </c>
      <c r="CB992" s="55" t="s">
        <v>97</v>
      </c>
      <c r="CC992" s="55" t="s">
        <v>97</v>
      </c>
      <c r="CD992" s="55">
        <v>0</v>
      </c>
      <c r="CE992" s="55" t="s">
        <v>97</v>
      </c>
      <c r="CF992" s="55">
        <v>0</v>
      </c>
      <c r="CG992" s="55" t="s">
        <v>97</v>
      </c>
      <c r="CH992" s="55">
        <v>0</v>
      </c>
      <c r="CI992" s="55" t="s">
        <v>97</v>
      </c>
      <c r="CJ992" s="55" t="s">
        <v>98</v>
      </c>
      <c r="CK992" s="55">
        <v>5</v>
      </c>
      <c r="CL992" s="55">
        <v>0</v>
      </c>
      <c r="CM992" s="55">
        <v>0</v>
      </c>
      <c r="CN992" s="55" t="s">
        <v>99</v>
      </c>
      <c r="CO992" s="55" t="s">
        <v>97</v>
      </c>
      <c r="CP992" s="55" t="s">
        <v>100</v>
      </c>
      <c r="CQ992" s="55" t="s">
        <v>126</v>
      </c>
      <c r="CR992" s="57">
        <v>46252</v>
      </c>
      <c r="CT992" s="55" t="s">
        <v>780</v>
      </c>
    </row>
    <row r="993" spans="1:98" s="55" customFormat="1" x14ac:dyDescent="0.35">
      <c r="A993" s="54" t="s">
        <v>1963</v>
      </c>
      <c r="B993" s="54" t="s">
        <v>1972</v>
      </c>
      <c r="C993" s="55" t="s">
        <v>1964</v>
      </c>
      <c r="D993" s="55">
        <v>2015</v>
      </c>
      <c r="E993" s="60" t="s">
        <v>1965</v>
      </c>
      <c r="F993" s="54" t="s">
        <v>1966</v>
      </c>
      <c r="G993" s="55" t="s">
        <v>78</v>
      </c>
      <c r="H993" s="55">
        <v>1</v>
      </c>
      <c r="I993" s="55" t="s">
        <v>1967</v>
      </c>
      <c r="J993" s="55" t="s">
        <v>79</v>
      </c>
      <c r="K993" s="55">
        <v>16</v>
      </c>
      <c r="L993" s="55" t="s">
        <v>80</v>
      </c>
      <c r="M993" s="55" t="s">
        <v>380</v>
      </c>
      <c r="N993" s="55">
        <v>-5.9499999999999997E-2</v>
      </c>
      <c r="O993" s="55">
        <v>8.0000000000000002E-3</v>
      </c>
      <c r="P993" s="88">
        <f t="shared" si="407"/>
        <v>-7.4374999999999991</v>
      </c>
      <c r="Q993" s="55" t="s">
        <v>312</v>
      </c>
      <c r="R993" s="88">
        <f t="shared" si="408"/>
        <v>-7.5179999999999997E-2</v>
      </c>
      <c r="S993" s="88">
        <f t="shared" si="409"/>
        <v>-4.3819999999999998E-2</v>
      </c>
      <c r="T993" s="55">
        <v>1</v>
      </c>
      <c r="U993" s="55">
        <v>1485</v>
      </c>
      <c r="V993" s="55">
        <v>6</v>
      </c>
      <c r="W993" s="55">
        <v>1</v>
      </c>
      <c r="X993" s="55">
        <f>U993-V993</f>
        <v>1479</v>
      </c>
      <c r="Y993" s="88">
        <f t="shared" si="410"/>
        <v>-0.18987575522882802</v>
      </c>
      <c r="Z993" s="88">
        <f t="shared" si="411"/>
        <v>2.5529513308077716E-2</v>
      </c>
      <c r="AA993" s="88">
        <f t="shared" si="399"/>
        <v>-0.18987575522882802</v>
      </c>
      <c r="AB993" s="55" t="s">
        <v>81</v>
      </c>
      <c r="AC993" s="88">
        <f>N993</f>
        <v>-5.9499999999999997E-2</v>
      </c>
      <c r="AD993" s="88" cm="1">
        <f t="array" ref="AD993">_xlfn.IFS(
AND(L993="marginal_effect",M993="level"),N993*AN993/BH992,
AND(L993="marginal_effect",M993="sd (Y)"),N993*BI993*AN993/BH992,
AND(L993="marginal_effect",M993="sd (X)"),N993/AQ993*AN993/BH992,
AND(L993="semi_elasticity",M993="level"),N993*AN993,
AND(L993="semi_elasticity",M993="sd (Y)"),N993*AN993*BI993,
AND(L993="semi_elasticity",M993="sd (X)"),N993*AN993/AQ993,
AND(L993="level-log",M993="level"),N993/BH992,
AND(L993="level-log",M993="sd (X)"),N993/BH992/AQ993,
AND(L993="level-log",M993="sd (Y)"),N993/BH992*BI993,
AND(L993="elasticity",M993="level"),N993,
AND(L993="elasticity",M993="sd (X)"),N993/AQ993,
AND(L993="elasticity",M993="sd (Y)"),N993*BI993,
AND(L993="marginal_effect",M993="percent_of_mean"),N993*AN993/BH992/10)</f>
        <v>-5.9499999999999997E-2</v>
      </c>
      <c r="AE993" s="56">
        <f t="shared" si="401"/>
        <v>1</v>
      </c>
      <c r="AF993" s="88">
        <f>O993</f>
        <v>8.0000000000000002E-3</v>
      </c>
      <c r="AG993" s="88" cm="1">
        <f t="array" ref="AG993">_xlfn.IFS(
AND(L993="marginal_effect",M993="level"),O993*AN993/BH992,
AND(L993="marginal_effect",M993="sd (Y)"),O993*BI993*AN993/BH992,
AND(L993="marginal_effect",M993="sd (X)"),O993/AQ993*AN993/BH992,
AND(L993="semi_elasticity",M993="level"),O993*AN993,
AND(L993="semi_elasticity",M993="sd (Y)"),O993*AN993*BI993,
AND(L993="semi_elasticity",M993="sd (X)"),O993*AN993/AQ993,
AND(L993="level-log",M993="level"),O993/BH992,
AND(L993="level-log",M993="sd (X)"),O993/BH992/AQ993,
AND(L993="level-log",M993="sd (Y)"),O993/BH992*BI993,
AND(L993="elasticity",M993="level"),O993,
AND(L993="elasticity",M993="sd (X)"),O993/AQ993,
AND(L993="elasticity",M993="sd (Y)"),O993*BI993,
AND(L993="marginal_effect",M993="percent_of_mean"),O993*AN993/BH992/10)</f>
        <v>8.0000000000000002E-3</v>
      </c>
      <c r="AH993" s="56">
        <f t="shared" si="404"/>
        <v>1</v>
      </c>
      <c r="AI993" s="88">
        <f t="shared" si="402"/>
        <v>-5.9499999999999997E-2</v>
      </c>
      <c r="AJ993" s="55">
        <v>0</v>
      </c>
      <c r="AK993" s="55">
        <f t="shared" si="412"/>
        <v>1</v>
      </c>
      <c r="AL993" s="55" t="s">
        <v>131</v>
      </c>
      <c r="AM993" s="55" t="s">
        <v>312</v>
      </c>
      <c r="AN993" s="55" t="s">
        <v>312</v>
      </c>
      <c r="AO993" s="55" t="s">
        <v>312</v>
      </c>
      <c r="AP993" s="55" t="s">
        <v>312</v>
      </c>
      <c r="AQ993" s="55" t="s">
        <v>312</v>
      </c>
      <c r="AR993" s="55" t="s">
        <v>312</v>
      </c>
      <c r="AS993" s="55" t="s">
        <v>312</v>
      </c>
      <c r="AT993" s="55" t="s">
        <v>83</v>
      </c>
      <c r="AU993" s="55" t="s">
        <v>109</v>
      </c>
      <c r="AV993" s="55" t="s">
        <v>133</v>
      </c>
      <c r="AW993" s="55" t="s">
        <v>134</v>
      </c>
      <c r="AX993" s="55" t="s">
        <v>86</v>
      </c>
      <c r="AY993" s="55">
        <v>0</v>
      </c>
      <c r="AZ993" s="55">
        <v>0</v>
      </c>
      <c r="BA993" s="55" t="s">
        <v>391</v>
      </c>
      <c r="BB993" s="55" t="s">
        <v>134</v>
      </c>
      <c r="BC993" s="55" t="s">
        <v>134</v>
      </c>
      <c r="BD993" s="55" t="s">
        <v>134</v>
      </c>
      <c r="BE993" s="55" t="s">
        <v>1968</v>
      </c>
      <c r="BF993" s="55">
        <v>24869.65</v>
      </c>
      <c r="BG993" s="55">
        <v>0</v>
      </c>
      <c r="BH993" s="55">
        <v>4454.3</v>
      </c>
      <c r="BI993" s="55">
        <v>11988.95</v>
      </c>
      <c r="BJ993" s="55">
        <v>49399.54</v>
      </c>
      <c r="BK993" s="55" t="s">
        <v>91</v>
      </c>
      <c r="BL993" s="55" t="s">
        <v>1969</v>
      </c>
      <c r="BM993" s="55">
        <v>1</v>
      </c>
      <c r="BN993" s="55" t="s">
        <v>312</v>
      </c>
      <c r="BO993" s="55" t="s">
        <v>312</v>
      </c>
      <c r="BP993" s="55" t="s">
        <v>312</v>
      </c>
      <c r="BQ993" s="55" t="s">
        <v>92</v>
      </c>
      <c r="BR993" s="55" t="s">
        <v>134</v>
      </c>
      <c r="BS993" s="55" t="s">
        <v>312</v>
      </c>
      <c r="BT993" s="55" t="s">
        <v>312</v>
      </c>
      <c r="BU993" s="55">
        <v>2009</v>
      </c>
      <c r="BV993" s="55">
        <v>2009</v>
      </c>
      <c r="BW993" s="55" t="s">
        <v>901</v>
      </c>
      <c r="BX993" s="55" t="s">
        <v>1970</v>
      </c>
      <c r="BY993" s="55" t="s">
        <v>96</v>
      </c>
      <c r="BZ993" s="55">
        <v>0</v>
      </c>
      <c r="CA993" s="55">
        <v>0</v>
      </c>
      <c r="CB993" s="55" t="s">
        <v>97</v>
      </c>
      <c r="CC993" s="55" t="s">
        <v>1407</v>
      </c>
      <c r="CD993" s="55">
        <v>0</v>
      </c>
      <c r="CE993" s="55" t="s">
        <v>97</v>
      </c>
      <c r="CF993" s="55">
        <v>0</v>
      </c>
      <c r="CG993" s="55" t="s">
        <v>97</v>
      </c>
      <c r="CH993" s="55">
        <v>0</v>
      </c>
      <c r="CI993" s="55" t="s">
        <v>97</v>
      </c>
      <c r="CJ993" s="55" t="s">
        <v>98</v>
      </c>
      <c r="CK993" s="55">
        <v>5</v>
      </c>
      <c r="CL993" s="55">
        <v>0</v>
      </c>
      <c r="CM993" s="55">
        <v>0</v>
      </c>
      <c r="CN993" s="55" t="s">
        <v>99</v>
      </c>
      <c r="CO993" s="55" t="s">
        <v>97</v>
      </c>
      <c r="CP993" s="55" t="s">
        <v>100</v>
      </c>
      <c r="CQ993" s="55" t="s">
        <v>126</v>
      </c>
      <c r="CR993" s="57">
        <v>46252</v>
      </c>
      <c r="CT993" s="55" t="s">
        <v>673</v>
      </c>
    </row>
    <row r="994" spans="1:98" s="55" customFormat="1" x14ac:dyDescent="0.35">
      <c r="A994" s="54" t="s">
        <v>1963</v>
      </c>
      <c r="B994" s="54" t="s">
        <v>1973</v>
      </c>
      <c r="C994" s="55" t="s">
        <v>1964</v>
      </c>
      <c r="D994" s="55">
        <v>2015</v>
      </c>
      <c r="E994" s="60" t="s">
        <v>1965</v>
      </c>
      <c r="F994" s="54" t="s">
        <v>1966</v>
      </c>
      <c r="G994" s="55" t="s">
        <v>78</v>
      </c>
      <c r="H994" s="55">
        <v>1</v>
      </c>
      <c r="I994" s="55" t="s">
        <v>1967</v>
      </c>
      <c r="J994" s="55" t="s">
        <v>79</v>
      </c>
      <c r="K994" s="55">
        <v>16</v>
      </c>
      <c r="L994" s="55" t="s">
        <v>80</v>
      </c>
      <c r="M994" s="55" t="s">
        <v>380</v>
      </c>
      <c r="N994" s="55">
        <v>-6.5500000000000003E-2</v>
      </c>
      <c r="O994" s="55">
        <v>8.0000000000000002E-3</v>
      </c>
      <c r="P994" s="88">
        <f t="shared" si="407"/>
        <v>-8.1875</v>
      </c>
      <c r="Q994" s="55" t="s">
        <v>312</v>
      </c>
      <c r="R994" s="88">
        <f t="shared" si="408"/>
        <v>-8.1180000000000002E-2</v>
      </c>
      <c r="S994" s="88">
        <f t="shared" si="409"/>
        <v>-4.9820000000000003E-2</v>
      </c>
      <c r="T994" s="55">
        <v>1</v>
      </c>
      <c r="U994" s="55">
        <v>1485</v>
      </c>
      <c r="V994" s="55">
        <v>6</v>
      </c>
      <c r="W994" s="55">
        <v>1</v>
      </c>
      <c r="X994" s="55">
        <f>U994-V994</f>
        <v>1479</v>
      </c>
      <c r="Y994" s="88">
        <f t="shared" si="410"/>
        <v>-0.20822919985935079</v>
      </c>
      <c r="Z994" s="88">
        <f t="shared" si="411"/>
        <v>2.5432574028623003E-2</v>
      </c>
      <c r="AA994" s="88">
        <f t="shared" ref="AA994:AA1025" si="413">Y994</f>
        <v>-0.20822919985935079</v>
      </c>
      <c r="AB994" s="55" t="s">
        <v>81</v>
      </c>
      <c r="AC994" s="88">
        <f>N994</f>
        <v>-6.5500000000000003E-2</v>
      </c>
      <c r="AD994" s="88" cm="1">
        <f t="array" ref="AD994">_xlfn.IFS(
AND(L994="marginal_effect",M994="level"),N994*AN994/BF994,
AND(L994="marginal_effect",M994="sd (Y)"),N994*BI994*AN994/BF994,
AND(L994="marginal_effect",M994="sd (X)"),N994/AQ994*AN994/BF994,
AND(L994="semi_elasticity",M994="level"),N994*AN994,
AND(L994="semi_elasticity",M994="sd (Y)"),N994*AN994*BI994,
AND(L994="semi_elasticity",M994="sd (X)"),N994*AN994/AQ994,
AND(L994="level-log",M994="level"),N994/BF994,
AND(L994="level-log",M994="sd (X)"),N994/BF994/AQ994,
AND(L994="level-log",M994="sd (Y)"),N994/BF994*BI994,
AND(L994="elasticity",M994="level"),N994,
AND(L994="elasticity",M994="sd (X)"),N994/AQ994,
AND(L994="elasticity",M994="sd (Y)"),N994*BI994,
AND(L994="marginal_effect",M994="percent_of_mean"),N994*AN994/BF994/10)</f>
        <v>-6.5500000000000003E-2</v>
      </c>
      <c r="AE994" s="56">
        <f t="shared" ref="AE994:AE1025" si="414">IF(AC994=AD994,1,0)</f>
        <v>1</v>
      </c>
      <c r="AF994" s="88">
        <f>O994</f>
        <v>8.0000000000000002E-3</v>
      </c>
      <c r="AG994" s="88" cm="1">
        <f t="array" ref="AG994">_xlfn.IFS(
AND(L994="marginal_effect",M994="level"),O994*AN994/BF994,
AND(L994="marginal_effect",M994="sd (Y)"),O994*BI994*AN994/BF994,
AND(L994="marginal_effect",M994="sd (X)"),O994/AQ994*AN994/BF994,
AND(L994="semi_elasticity",M994="level"),O994*AN994,
AND(L994="semi_elasticity",M994="sd (Y)"),O994*AN994*BI994,
AND(L994="semi_elasticity",M994="sd (X)"),O994*AN994/AQ994,
AND(L994="level-log",M994="level"),O994/BF994,
AND(L994="level-log",M994="sd (X)"),O994/BF994/AQ994,
AND(L994="level-log",M994="sd (Y)"),O994/BF994*BI994,
AND(L994="elasticity",M994="level"),O994,
AND(L994="elasticity",M994="sd (X)"),O994/AQ994,
AND(L994="elasticity",M994="sd (Y)"),O994*BI994,
AND(L994="marginal_effect",M994="percent_of_mean"),O994*AN994/BF994/10)</f>
        <v>8.0000000000000002E-3</v>
      </c>
      <c r="AH994" s="56">
        <f t="shared" si="404"/>
        <v>1</v>
      </c>
      <c r="AI994" s="88">
        <f t="shared" ref="AI994:AI1025" si="415">AC994</f>
        <v>-6.5500000000000003E-2</v>
      </c>
      <c r="AJ994" s="55">
        <v>0</v>
      </c>
      <c r="AK994" s="55">
        <f t="shared" si="412"/>
        <v>1</v>
      </c>
      <c r="AL994" s="55" t="s">
        <v>131</v>
      </c>
      <c r="AM994" s="55" t="s">
        <v>312</v>
      </c>
      <c r="AN994" s="55" t="s">
        <v>312</v>
      </c>
      <c r="AO994" s="55" t="s">
        <v>312</v>
      </c>
      <c r="AP994" s="55" t="s">
        <v>312</v>
      </c>
      <c r="AQ994" s="55" t="s">
        <v>312</v>
      </c>
      <c r="AR994" s="55" t="s">
        <v>312</v>
      </c>
      <c r="AS994" s="55" t="s">
        <v>312</v>
      </c>
      <c r="AT994" s="55" t="s">
        <v>83</v>
      </c>
      <c r="AU994" s="55" t="s">
        <v>109</v>
      </c>
      <c r="AV994" s="55" t="s">
        <v>133</v>
      </c>
      <c r="AW994" s="55" t="s">
        <v>134</v>
      </c>
      <c r="AX994" s="55" t="s">
        <v>86</v>
      </c>
      <c r="AY994" s="55">
        <v>0</v>
      </c>
      <c r="AZ994" s="55">
        <v>0</v>
      </c>
      <c r="BA994" s="55" t="s">
        <v>391</v>
      </c>
      <c r="BB994" s="55" t="s">
        <v>134</v>
      </c>
      <c r="BC994" s="55" t="s">
        <v>134</v>
      </c>
      <c r="BD994" s="55" t="s">
        <v>134</v>
      </c>
      <c r="BE994" s="55" t="s">
        <v>1968</v>
      </c>
      <c r="BF994" s="55">
        <v>24869.65</v>
      </c>
      <c r="BG994" s="55">
        <v>0</v>
      </c>
      <c r="BH994" s="55">
        <v>4454.3</v>
      </c>
      <c r="BI994" s="55">
        <v>11988.95</v>
      </c>
      <c r="BJ994" s="55">
        <v>49399.54</v>
      </c>
      <c r="BK994" s="55" t="s">
        <v>91</v>
      </c>
      <c r="BL994" s="55" t="s">
        <v>1969</v>
      </c>
      <c r="BM994" s="55">
        <v>1</v>
      </c>
      <c r="BN994" s="55" t="s">
        <v>312</v>
      </c>
      <c r="BO994" s="55" t="s">
        <v>312</v>
      </c>
      <c r="BP994" s="55" t="s">
        <v>312</v>
      </c>
      <c r="BQ994" s="55" t="s">
        <v>92</v>
      </c>
      <c r="BR994" s="55" t="s">
        <v>134</v>
      </c>
      <c r="BS994" s="55" t="s">
        <v>312</v>
      </c>
      <c r="BT994" s="55" t="s">
        <v>312</v>
      </c>
      <c r="BU994" s="55">
        <v>2009</v>
      </c>
      <c r="BV994" s="55">
        <v>2009</v>
      </c>
      <c r="BW994" s="55" t="s">
        <v>901</v>
      </c>
      <c r="BX994" s="55" t="s">
        <v>1970</v>
      </c>
      <c r="BY994" s="55" t="s">
        <v>748</v>
      </c>
      <c r="BZ994" s="55">
        <v>1</v>
      </c>
      <c r="CA994" s="55">
        <v>1</v>
      </c>
      <c r="CB994" s="55" t="s">
        <v>1976</v>
      </c>
      <c r="CC994" s="55" t="s">
        <v>1407</v>
      </c>
      <c r="CD994" s="55">
        <v>0</v>
      </c>
      <c r="CE994" s="55" t="s">
        <v>97</v>
      </c>
      <c r="CF994" s="55">
        <v>0</v>
      </c>
      <c r="CG994" s="55" t="s">
        <v>97</v>
      </c>
      <c r="CH994" s="55">
        <v>0</v>
      </c>
      <c r="CI994" s="55" t="s">
        <v>97</v>
      </c>
      <c r="CJ994" s="55" t="s">
        <v>98</v>
      </c>
      <c r="CK994" s="55">
        <v>5</v>
      </c>
      <c r="CL994" s="55">
        <v>0</v>
      </c>
      <c r="CM994" s="55">
        <v>0</v>
      </c>
      <c r="CN994" s="55" t="s">
        <v>99</v>
      </c>
      <c r="CO994" s="55" t="s">
        <v>97</v>
      </c>
      <c r="CP994" s="55" t="s">
        <v>100</v>
      </c>
      <c r="CQ994" s="55" t="s">
        <v>126</v>
      </c>
      <c r="CR994" s="57">
        <v>46252</v>
      </c>
      <c r="CT994" s="55" t="s">
        <v>672</v>
      </c>
    </row>
    <row r="995" spans="1:98" s="55" customFormat="1" x14ac:dyDescent="0.35">
      <c r="A995" s="54" t="s">
        <v>1963</v>
      </c>
      <c r="B995" s="54" t="s">
        <v>1974</v>
      </c>
      <c r="C995" s="55" t="s">
        <v>1964</v>
      </c>
      <c r="D995" s="55">
        <v>2015</v>
      </c>
      <c r="E995" s="60" t="s">
        <v>1965</v>
      </c>
      <c r="F995" s="54" t="s">
        <v>1966</v>
      </c>
      <c r="G995" s="55" t="s">
        <v>78</v>
      </c>
      <c r="H995" s="55">
        <v>1</v>
      </c>
      <c r="I995" s="55" t="s">
        <v>1967</v>
      </c>
      <c r="J995" s="55" t="s">
        <v>79</v>
      </c>
      <c r="K995" s="55">
        <v>16</v>
      </c>
      <c r="L995" s="55" t="s">
        <v>80</v>
      </c>
      <c r="M995" s="55" t="s">
        <v>380</v>
      </c>
      <c r="N995" s="55">
        <v>-6.54E-2</v>
      </c>
      <c r="O995" s="55">
        <v>8.0000000000000002E-3</v>
      </c>
      <c r="P995" s="88">
        <f t="shared" si="407"/>
        <v>-8.1749999999999989</v>
      </c>
      <c r="Q995" s="55" t="s">
        <v>312</v>
      </c>
      <c r="R995" s="88">
        <f t="shared" si="408"/>
        <v>-8.1079999999999999E-2</v>
      </c>
      <c r="S995" s="88">
        <f t="shared" si="409"/>
        <v>-4.972E-2</v>
      </c>
      <c r="T995" s="55">
        <v>1</v>
      </c>
      <c r="U995" s="55">
        <v>1485</v>
      </c>
      <c r="V995" s="55">
        <v>6</v>
      </c>
      <c r="W995" s="55">
        <v>1</v>
      </c>
      <c r="X995" s="55">
        <f>U995-V995</f>
        <v>1479</v>
      </c>
      <c r="Y995" s="88">
        <f t="shared" si="410"/>
        <v>-0.20792504676201784</v>
      </c>
      <c r="Z995" s="88">
        <f t="shared" si="411"/>
        <v>2.5434256484650503E-2</v>
      </c>
      <c r="AA995" s="88">
        <f t="shared" si="413"/>
        <v>-0.20792504676201784</v>
      </c>
      <c r="AB995" s="55" t="s">
        <v>81</v>
      </c>
      <c r="AC995" s="88">
        <f>N995</f>
        <v>-6.54E-2</v>
      </c>
      <c r="AD995" s="88" cm="1">
        <f t="array" ref="AD995">_xlfn.IFS(
AND(L995="marginal_effect",M995="level"),N995*AN995/BF995,
AND(L995="marginal_effect",M995="sd (Y)"),N995*BI995*AN995/BF995,
AND(L995="marginal_effect",M995="sd (X)"),N995/AQ995*AN995/BF995,
AND(L995="semi_elasticity",M995="level"),N995*AN995,
AND(L995="semi_elasticity",M995="sd (Y)"),N995*AN995*BI995,
AND(L995="semi_elasticity",M995="sd (X)"),N995*AN995/AQ995,
AND(L995="level-log",M995="level"),N995/BF995,
AND(L995="level-log",M995="sd (X)"),N995/BF995/AQ995,
AND(L995="level-log",M995="sd (Y)"),N995/BF995*BI995,
AND(L995="elasticity",M995="level"),N995,
AND(L995="elasticity",M995="sd (X)"),N995/AQ995,
AND(L995="elasticity",M995="sd (Y)"),N995*BI995,
AND(L995="marginal_effect",M995="percent_of_mean"),N995*AN995/BF995/10)</f>
        <v>-6.54E-2</v>
      </c>
      <c r="AE995" s="56">
        <f t="shared" si="414"/>
        <v>1</v>
      </c>
      <c r="AF995" s="88">
        <f>O995</f>
        <v>8.0000000000000002E-3</v>
      </c>
      <c r="AG995" s="88" cm="1">
        <f t="array" ref="AG995">_xlfn.IFS(
AND(L995="marginal_effect",M995="level"),O995*AN995/BF995,
AND(L995="marginal_effect",M995="sd (Y)"),O995*BI995*AN995/BF995,
AND(L995="marginal_effect",M995="sd (X)"),O995/AQ995*AN995/BF995,
AND(L995="semi_elasticity",M995="level"),O995*AN995,
AND(L995="semi_elasticity",M995="sd (Y)"),O995*AN995*BI995,
AND(L995="semi_elasticity",M995="sd (X)"),O995*AN995/AQ995,
AND(L995="level-log",M995="level"),O995/BF995,
AND(L995="level-log",M995="sd (X)"),O995/BF995/AQ995,
AND(L995="level-log",M995="sd (Y)"),O995/BF995*BI995,
AND(L995="elasticity",M995="level"),O995,
AND(L995="elasticity",M995="sd (X)"),O995/AQ995,
AND(L995="elasticity",M995="sd (Y)"),O995*BI995,
AND(L995="marginal_effect",M995="percent_of_mean"),O995*AN995/BF995/10)</f>
        <v>8.0000000000000002E-3</v>
      </c>
      <c r="AH995" s="56">
        <f t="shared" si="404"/>
        <v>1</v>
      </c>
      <c r="AI995" s="88">
        <f t="shared" si="415"/>
        <v>-6.54E-2</v>
      </c>
      <c r="AJ995" s="55">
        <v>0</v>
      </c>
      <c r="AK995" s="55">
        <f t="shared" si="412"/>
        <v>1</v>
      </c>
      <c r="AL995" s="55" t="s">
        <v>131</v>
      </c>
      <c r="AM995" s="55" t="s">
        <v>312</v>
      </c>
      <c r="AN995" s="55" t="s">
        <v>312</v>
      </c>
      <c r="AO995" s="55" t="s">
        <v>312</v>
      </c>
      <c r="AP995" s="55" t="s">
        <v>312</v>
      </c>
      <c r="AQ995" s="55" t="s">
        <v>312</v>
      </c>
      <c r="AR995" s="55" t="s">
        <v>312</v>
      </c>
      <c r="AS995" s="55" t="s">
        <v>312</v>
      </c>
      <c r="AT995" s="55" t="s">
        <v>83</v>
      </c>
      <c r="AU995" s="55" t="s">
        <v>109</v>
      </c>
      <c r="AV995" s="55" t="s">
        <v>133</v>
      </c>
      <c r="AW995" s="55" t="s">
        <v>134</v>
      </c>
      <c r="AX995" s="55" t="s">
        <v>86</v>
      </c>
      <c r="AY995" s="55">
        <v>0</v>
      </c>
      <c r="AZ995" s="55">
        <v>0</v>
      </c>
      <c r="BA995" s="55" t="s">
        <v>391</v>
      </c>
      <c r="BB995" s="55" t="s">
        <v>134</v>
      </c>
      <c r="BC995" s="55" t="s">
        <v>134</v>
      </c>
      <c r="BD995" s="55" t="s">
        <v>134</v>
      </c>
      <c r="BE995" s="55" t="s">
        <v>1968</v>
      </c>
      <c r="BF995" s="55">
        <v>24869.65</v>
      </c>
      <c r="BG995" s="55">
        <v>0</v>
      </c>
      <c r="BH995" s="55">
        <v>4454.3</v>
      </c>
      <c r="BI995" s="55">
        <v>11988.95</v>
      </c>
      <c r="BJ995" s="55">
        <v>49399.54</v>
      </c>
      <c r="BK995" s="55" t="s">
        <v>91</v>
      </c>
      <c r="BL995" s="55" t="s">
        <v>1969</v>
      </c>
      <c r="BM995" s="55">
        <v>1</v>
      </c>
      <c r="BN995" s="55" t="s">
        <v>312</v>
      </c>
      <c r="BO995" s="55" t="s">
        <v>312</v>
      </c>
      <c r="BP995" s="55" t="s">
        <v>312</v>
      </c>
      <c r="BQ995" s="55" t="s">
        <v>92</v>
      </c>
      <c r="BR995" s="55" t="s">
        <v>134</v>
      </c>
      <c r="BS995" s="55" t="s">
        <v>312</v>
      </c>
      <c r="BT995" s="55" t="s">
        <v>312</v>
      </c>
      <c r="BU995" s="55">
        <v>2009</v>
      </c>
      <c r="BV995" s="55">
        <v>2009</v>
      </c>
      <c r="BW995" s="55" t="s">
        <v>901</v>
      </c>
      <c r="BX995" s="55" t="s">
        <v>1970</v>
      </c>
      <c r="BY995" s="55" t="s">
        <v>748</v>
      </c>
      <c r="BZ995" s="55">
        <v>1</v>
      </c>
      <c r="CA995" s="55">
        <v>1</v>
      </c>
      <c r="CB995" s="55" t="s">
        <v>1976</v>
      </c>
      <c r="CC995" s="55" t="s">
        <v>1407</v>
      </c>
      <c r="CD995" s="55">
        <v>0</v>
      </c>
      <c r="CE995" s="55" t="s">
        <v>97</v>
      </c>
      <c r="CF995" s="55">
        <v>0</v>
      </c>
      <c r="CG995" s="55" t="s">
        <v>97</v>
      </c>
      <c r="CH995" s="55">
        <v>0</v>
      </c>
      <c r="CI995" s="55" t="s">
        <v>97</v>
      </c>
      <c r="CJ995" s="55" t="s">
        <v>98</v>
      </c>
      <c r="CK995" s="55">
        <v>5</v>
      </c>
      <c r="CL995" s="55">
        <v>0</v>
      </c>
      <c r="CM995" s="55">
        <v>0</v>
      </c>
      <c r="CN995" s="55" t="s">
        <v>99</v>
      </c>
      <c r="CO995" s="55" t="s">
        <v>97</v>
      </c>
      <c r="CP995" s="55" t="s">
        <v>100</v>
      </c>
      <c r="CQ995" s="55" t="s">
        <v>126</v>
      </c>
      <c r="CR995" s="57">
        <v>46252</v>
      </c>
      <c r="CT995" s="55" t="s">
        <v>671</v>
      </c>
    </row>
    <row r="996" spans="1:98" s="55" customFormat="1" x14ac:dyDescent="0.35">
      <c r="A996" s="54" t="s">
        <v>1963</v>
      </c>
      <c r="B996" s="54" t="s">
        <v>1975</v>
      </c>
      <c r="C996" s="55" t="s">
        <v>1964</v>
      </c>
      <c r="D996" s="55">
        <v>2015</v>
      </c>
      <c r="E996" s="60" t="s">
        <v>1965</v>
      </c>
      <c r="F996" s="54" t="s">
        <v>1966</v>
      </c>
      <c r="G996" s="55" t="s">
        <v>78</v>
      </c>
      <c r="H996" s="55">
        <v>1</v>
      </c>
      <c r="I996" s="55" t="s">
        <v>1967</v>
      </c>
      <c r="J996" s="55" t="s">
        <v>79</v>
      </c>
      <c r="K996" s="55">
        <v>16</v>
      </c>
      <c r="L996" s="55" t="s">
        <v>80</v>
      </c>
      <c r="M996" s="55" t="s">
        <v>380</v>
      </c>
      <c r="N996" s="55">
        <v>-0.1031</v>
      </c>
      <c r="O996" s="55">
        <v>2.1000000000000001E-2</v>
      </c>
      <c r="P996" s="88">
        <f t="shared" si="407"/>
        <v>-4.909523809523809</v>
      </c>
      <c r="Q996" s="55" t="s">
        <v>312</v>
      </c>
      <c r="R996" s="88">
        <f t="shared" si="408"/>
        <v>-0.14426</v>
      </c>
      <c r="S996" s="88">
        <f t="shared" si="409"/>
        <v>-6.1939999999999995E-2</v>
      </c>
      <c r="T996" s="55">
        <v>1</v>
      </c>
      <c r="U996" s="55">
        <v>1485</v>
      </c>
      <c r="V996" s="55">
        <v>6</v>
      </c>
      <c r="W996" s="55">
        <v>1</v>
      </c>
      <c r="X996" s="55">
        <f>U996-V996</f>
        <v>1479</v>
      </c>
      <c r="Y996" s="88">
        <f t="shared" si="410"/>
        <v>-0.12663242932605837</v>
      </c>
      <c r="Z996" s="88">
        <f t="shared" si="411"/>
        <v>2.5793220328295112E-2</v>
      </c>
      <c r="AA996" s="88">
        <f t="shared" si="413"/>
        <v>-0.12663242932605837</v>
      </c>
      <c r="AB996" s="55" t="s">
        <v>81</v>
      </c>
      <c r="AC996" s="88">
        <f>N996</f>
        <v>-0.1031</v>
      </c>
      <c r="AD996" s="88" cm="1">
        <f t="array" ref="AD996">_xlfn.IFS(
AND(L996="marginal_effect",M996="level"),N996*AN996/BF996,
AND(L996="marginal_effect",M996="sd (Y)"),N996*BI996*AN996/BF996,
AND(L996="marginal_effect",M996="sd (X)"),N996/AQ996*AN996/BF996,
AND(L996="semi_elasticity",M996="level"),N996*AN996,
AND(L996="semi_elasticity",M996="sd (Y)"),N996*AN996*BI996,
AND(L996="semi_elasticity",M996="sd (X)"),N996*AN996/AQ996,
AND(L996="level-log",M996="level"),N996/BF996,
AND(L996="level-log",M996="sd (X)"),N996/BF996/AQ996,
AND(L996="level-log",M996="sd (Y)"),N996/BF996*BI996,
AND(L996="elasticity",M996="level"),N996,
AND(L996="elasticity",M996="sd (X)"),N996/AQ996,
AND(L996="elasticity",M996="sd (Y)"),N996*BI996,
AND(L996="marginal_effect",M996="percent_of_mean"),N996*AN996/BF996/10)</f>
        <v>-0.1031</v>
      </c>
      <c r="AE996" s="56">
        <f t="shared" si="414"/>
        <v>1</v>
      </c>
      <c r="AF996" s="88">
        <f>O996</f>
        <v>2.1000000000000001E-2</v>
      </c>
      <c r="AG996" s="88" cm="1">
        <f t="array" ref="AG996">_xlfn.IFS(
AND(L996="marginal_effect",M996="level"),O996*AN996/BF996,
AND(L996="marginal_effect",M996="sd (Y)"),O996*BI996*AN996/BF996,
AND(L996="marginal_effect",M996="sd (X)"),O996/AQ996*AN996/BF996,
AND(L996="semi_elasticity",M996="level"),O996*AN996,
AND(L996="semi_elasticity",M996="sd (Y)"),O996*AN996*BI996,
AND(L996="semi_elasticity",M996="sd (X)"),O996*AN996/AQ996,
AND(L996="level-log",M996="level"),O996/BF996,
AND(L996="level-log",M996="sd (X)"),O996/BF996/AQ996,
AND(L996="level-log",M996="sd (Y)"),O996/BF996*BI996,
AND(L996="elasticity",M996="level"),O996,
AND(L996="elasticity",M996="sd (X)"),O996/AQ996,
AND(L996="elasticity",M996="sd (Y)"),O996*BI996,
AND(L996="marginal_effect",M996="percent_of_mean"),O996*AN996/BF996/10)</f>
        <v>2.1000000000000001E-2</v>
      </c>
      <c r="AH996" s="56">
        <f t="shared" si="404"/>
        <v>1</v>
      </c>
      <c r="AI996" s="88">
        <f t="shared" si="415"/>
        <v>-0.1031</v>
      </c>
      <c r="AJ996" s="55">
        <v>0</v>
      </c>
      <c r="AK996" s="55">
        <f t="shared" si="412"/>
        <v>1</v>
      </c>
      <c r="AL996" s="55" t="s">
        <v>131</v>
      </c>
      <c r="AM996" s="55" t="s">
        <v>312</v>
      </c>
      <c r="AN996" s="55" t="s">
        <v>312</v>
      </c>
      <c r="AO996" s="55" t="s">
        <v>312</v>
      </c>
      <c r="AP996" s="55" t="s">
        <v>312</v>
      </c>
      <c r="AQ996" s="55" t="s">
        <v>312</v>
      </c>
      <c r="AR996" s="55" t="s">
        <v>312</v>
      </c>
      <c r="AS996" s="55" t="s">
        <v>312</v>
      </c>
      <c r="AT996" s="55" t="s">
        <v>83</v>
      </c>
      <c r="AU996" s="55" t="s">
        <v>109</v>
      </c>
      <c r="AV996" s="55" t="s">
        <v>133</v>
      </c>
      <c r="AW996" s="55" t="s">
        <v>134</v>
      </c>
      <c r="AX996" s="55" t="s">
        <v>86</v>
      </c>
      <c r="AY996" s="55">
        <v>0</v>
      </c>
      <c r="AZ996" s="55">
        <v>0</v>
      </c>
      <c r="BA996" s="55" t="s">
        <v>391</v>
      </c>
      <c r="BB996" s="55" t="s">
        <v>134</v>
      </c>
      <c r="BC996" s="55" t="s">
        <v>134</v>
      </c>
      <c r="BD996" s="55" t="s">
        <v>134</v>
      </c>
      <c r="BE996" s="55" t="s">
        <v>1968</v>
      </c>
      <c r="BF996" s="55">
        <v>24869.65</v>
      </c>
      <c r="BG996" s="55">
        <v>0</v>
      </c>
      <c r="BH996" s="55">
        <v>4454.3</v>
      </c>
      <c r="BI996" s="55">
        <v>11988.95</v>
      </c>
      <c r="BJ996" s="55">
        <v>49399.54</v>
      </c>
      <c r="BK996" s="55" t="s">
        <v>91</v>
      </c>
      <c r="BL996" s="55" t="s">
        <v>1969</v>
      </c>
      <c r="BM996" s="55">
        <v>1</v>
      </c>
      <c r="BN996" s="55" t="s">
        <v>312</v>
      </c>
      <c r="BO996" s="55" t="s">
        <v>312</v>
      </c>
      <c r="BP996" s="55" t="s">
        <v>312</v>
      </c>
      <c r="BQ996" s="55" t="s">
        <v>92</v>
      </c>
      <c r="BR996" s="55" t="s">
        <v>134</v>
      </c>
      <c r="BS996" s="55" t="s">
        <v>312</v>
      </c>
      <c r="BT996" s="55" t="s">
        <v>312</v>
      </c>
      <c r="BU996" s="55">
        <v>2009</v>
      </c>
      <c r="BV996" s="55">
        <v>2009</v>
      </c>
      <c r="BW996" s="55" t="s">
        <v>901</v>
      </c>
      <c r="BX996" s="55" t="s">
        <v>1970</v>
      </c>
      <c r="BY996" s="55" t="s">
        <v>748</v>
      </c>
      <c r="BZ996" s="55">
        <v>1</v>
      </c>
      <c r="CA996" s="55">
        <v>1</v>
      </c>
      <c r="CB996" s="55" t="s">
        <v>1976</v>
      </c>
      <c r="CC996" s="55" t="s">
        <v>1407</v>
      </c>
      <c r="CD996" s="55">
        <v>0</v>
      </c>
      <c r="CE996" s="55" t="s">
        <v>97</v>
      </c>
      <c r="CF996" s="55">
        <v>0</v>
      </c>
      <c r="CG996" s="55" t="s">
        <v>97</v>
      </c>
      <c r="CH996" s="55">
        <v>0</v>
      </c>
      <c r="CI996" s="55" t="s">
        <v>97</v>
      </c>
      <c r="CJ996" s="55" t="s">
        <v>98</v>
      </c>
      <c r="CK996" s="55">
        <v>5</v>
      </c>
      <c r="CL996" s="55">
        <v>1</v>
      </c>
      <c r="CM996" s="55">
        <v>1</v>
      </c>
      <c r="CN996" s="55" t="s">
        <v>99</v>
      </c>
      <c r="CO996" s="55" t="s">
        <v>97</v>
      </c>
      <c r="CP996" s="55" t="s">
        <v>100</v>
      </c>
      <c r="CQ996" s="55" t="s">
        <v>126</v>
      </c>
      <c r="CR996" s="57">
        <v>46252</v>
      </c>
      <c r="CT996" s="55" t="s">
        <v>783</v>
      </c>
    </row>
    <row r="997" spans="1:98" s="35" customFormat="1" x14ac:dyDescent="0.35">
      <c r="A997" s="34" t="s">
        <v>1977</v>
      </c>
      <c r="B997" s="34" t="s">
        <v>1989</v>
      </c>
      <c r="C997" s="35" t="s">
        <v>1913</v>
      </c>
      <c r="D997" s="35">
        <v>2022</v>
      </c>
      <c r="E997" s="37" t="s">
        <v>1978</v>
      </c>
      <c r="F997" s="34" t="s">
        <v>1979</v>
      </c>
      <c r="G997" s="35" t="s">
        <v>78</v>
      </c>
      <c r="H997" s="35">
        <v>1</v>
      </c>
      <c r="I997" s="35" t="s">
        <v>290</v>
      </c>
      <c r="J997" s="35" t="s">
        <v>79</v>
      </c>
      <c r="K997" s="35">
        <v>62</v>
      </c>
      <c r="L997" s="35" t="s">
        <v>104</v>
      </c>
      <c r="M997" s="35" t="s">
        <v>380</v>
      </c>
      <c r="N997" s="35">
        <v>-1.9E-3</v>
      </c>
      <c r="O997" s="35">
        <v>1.5E-3</v>
      </c>
      <c r="P997" s="89">
        <f t="shared" si="407"/>
        <v>-1.2666666666666666</v>
      </c>
      <c r="Q997" s="35" t="s">
        <v>312</v>
      </c>
      <c r="R997" s="89">
        <f t="shared" si="408"/>
        <v>-4.8399999999999997E-3</v>
      </c>
      <c r="S997" s="89">
        <f t="shared" si="409"/>
        <v>1.0399999999999999E-3</v>
      </c>
      <c r="T997" s="35">
        <v>1</v>
      </c>
      <c r="U997" s="35">
        <v>243368</v>
      </c>
      <c r="V997" s="35" t="s">
        <v>312</v>
      </c>
      <c r="W997" s="35" t="s">
        <v>312</v>
      </c>
      <c r="X997" s="35">
        <f t="shared" ref="X997:X1015" si="416">U997</f>
        <v>243368</v>
      </c>
      <c r="Y997" s="89">
        <f t="shared" si="410"/>
        <v>-2.5676106818452137E-3</v>
      </c>
      <c r="Z997" s="89">
        <f t="shared" si="411"/>
        <v>2.0270610646146428E-3</v>
      </c>
      <c r="AA997" s="89">
        <f t="shared" si="413"/>
        <v>-2.5676106818452137E-3</v>
      </c>
      <c r="AB997" s="35" t="s">
        <v>81</v>
      </c>
      <c r="AC997" s="89">
        <f t="shared" ref="AC997:AC1017" si="417">N997*AN997</f>
        <v>-0.19778999999999999</v>
      </c>
      <c r="AD997" s="89" cm="1">
        <f t="array" ref="AD997">_xlfn.IFS(
AND(L997="marginal_effect",M997="level"),N997*AN997/BF997,
AND(L997="marginal_effect",M997="sd (Y)"),N997*BI997*AN997/BF997,
AND(L997="marginal_effect",M997="sd (X)"),N997/AQ997*AN997/BF997,
AND(L997="semi_elasticity",M997="level"),N997*AN997,
AND(L997="semi_elasticity",M997="sd (Y)"),N997*AN997*BI997,
AND(L997="semi_elasticity",M997="sd (X)"),N997*AN997/AQ997,
AND(L997="level-log",M997="level"),N997/BF997,
AND(L997="level-log",M997="sd (X)"),N997/BF997/AQ997,
AND(L997="level-log",M997="sd (Y)"),N997/BF997*BI997,
AND(L997="elasticity",M997="level"),N997,
AND(L997="elasticity",M997="sd (X)"),N997/AQ997,
AND(L997="elasticity",M997="sd (Y)"),N997*BI997,
AND(L997="marginal_effect",M997="percent_of_mean"),N997*AN997/BF997/10)</f>
        <v>-0.19778999999999999</v>
      </c>
      <c r="AE997" s="49">
        <f t="shared" si="414"/>
        <v>1</v>
      </c>
      <c r="AF997" s="89">
        <f t="shared" ref="AF997:AF1017" si="418">O997*AN997</f>
        <v>0.15614999999999998</v>
      </c>
      <c r="AG997" s="89" cm="1">
        <f t="array" ref="AG997">_xlfn.IFS(
AND(L997="marginal_effect",M997="level"),O997*AN997/BF997,
AND(L997="marginal_effect",M997="sd (Y)"),O997*BI997*AN997/BF997,
AND(L997="marginal_effect",M997="sd (X)"),O997/AQ997*AN997/BF997,
AND(L997="semi_elasticity",M997="level"),O997*AN997,
AND(L997="semi_elasticity",M997="sd (Y)"),O997*AN997*BI997,
AND(L997="semi_elasticity",M997="sd (X)"),O997*AN997/AQ997,
AND(L997="level-log",M997="level"),O997/BF997,
AND(L997="level-log",M997="sd (X)"),O997/BF997/AQ997,
AND(L997="level-log",M997="sd (Y)"),O997/BF997*BI997,
AND(L997="elasticity",M997="level"),O997,
AND(L997="elasticity",M997="sd (X)"),O997/AQ997,
AND(L997="elasticity",M997="sd (Y)"),O997*BI997,
AND(L997="marginal_effect",M997="percent_of_mean"),O997*AN997/BF997/10)</f>
        <v>0.15614999999999998</v>
      </c>
      <c r="AH997" s="49">
        <f t="shared" si="404"/>
        <v>1</v>
      </c>
      <c r="AI997" s="89">
        <f t="shared" si="415"/>
        <v>-0.19778999999999999</v>
      </c>
      <c r="AJ997" s="35">
        <v>0</v>
      </c>
      <c r="AK997" s="35">
        <f t="shared" si="412"/>
        <v>1</v>
      </c>
      <c r="AL997" s="35" t="s">
        <v>106</v>
      </c>
      <c r="AM997" s="35" t="s">
        <v>1333</v>
      </c>
      <c r="AN997" s="35">
        <v>104.1</v>
      </c>
      <c r="AO997" s="35">
        <v>0</v>
      </c>
      <c r="AP997" s="35">
        <v>104.1</v>
      </c>
      <c r="AQ997" s="35" t="s">
        <v>312</v>
      </c>
      <c r="AR997" s="35" t="s">
        <v>312</v>
      </c>
      <c r="AS997" s="35" t="s">
        <v>312</v>
      </c>
      <c r="AT997" s="35" t="s">
        <v>83</v>
      </c>
      <c r="AU997" s="35" t="s">
        <v>109</v>
      </c>
      <c r="AV997" s="35" t="s">
        <v>133</v>
      </c>
      <c r="AW997" s="35" t="s">
        <v>134</v>
      </c>
      <c r="AX997" s="35" t="s">
        <v>86</v>
      </c>
      <c r="AY997" s="35">
        <v>0</v>
      </c>
      <c r="AZ997" s="35">
        <v>0</v>
      </c>
      <c r="BA997" s="35" t="s">
        <v>391</v>
      </c>
      <c r="BB997" s="35" t="s">
        <v>134</v>
      </c>
      <c r="BC997" s="35" t="s">
        <v>134</v>
      </c>
      <c r="BD997" s="35" t="s">
        <v>134</v>
      </c>
      <c r="BE997" s="35" t="s">
        <v>1905</v>
      </c>
      <c r="BF997" s="35">
        <v>119.7</v>
      </c>
      <c r="BG997" s="35">
        <v>0</v>
      </c>
      <c r="BH997" s="35">
        <v>216.2</v>
      </c>
      <c r="BI997" s="35">
        <v>0.5</v>
      </c>
      <c r="BJ997" s="35">
        <v>16247.6</v>
      </c>
      <c r="BK997" s="35" t="s">
        <v>91</v>
      </c>
      <c r="BL997" s="35" t="s">
        <v>116</v>
      </c>
      <c r="BM997" s="35">
        <v>1</v>
      </c>
      <c r="BN997" s="35" t="s">
        <v>2177</v>
      </c>
      <c r="BO997" s="35" t="s">
        <v>312</v>
      </c>
      <c r="BP997" s="35" t="s">
        <v>312</v>
      </c>
      <c r="BQ997" s="35" t="s">
        <v>117</v>
      </c>
      <c r="BR997" s="35" t="s">
        <v>134</v>
      </c>
      <c r="BS997" s="35" t="s">
        <v>312</v>
      </c>
      <c r="BT997" s="35" t="s">
        <v>312</v>
      </c>
      <c r="BU997" s="35">
        <v>2001</v>
      </c>
      <c r="BV997" s="35">
        <v>2007</v>
      </c>
      <c r="BW997" s="35" t="s">
        <v>901</v>
      </c>
      <c r="BX997" s="35" t="s">
        <v>95</v>
      </c>
      <c r="BY997" s="35" t="s">
        <v>748</v>
      </c>
      <c r="BZ997" s="35">
        <v>1</v>
      </c>
      <c r="CA997" s="35">
        <v>1</v>
      </c>
      <c r="CB997" s="35" t="s">
        <v>2005</v>
      </c>
      <c r="CC997" s="35" t="s">
        <v>1933</v>
      </c>
      <c r="CD997" s="35">
        <v>1</v>
      </c>
      <c r="CE997" s="35" t="s">
        <v>435</v>
      </c>
      <c r="CF997" s="35">
        <v>0</v>
      </c>
      <c r="CG997" s="35" t="s">
        <v>97</v>
      </c>
      <c r="CH997" s="35">
        <v>0</v>
      </c>
      <c r="CI997" s="35" t="s">
        <v>1402</v>
      </c>
      <c r="CJ997" s="35" t="s">
        <v>98</v>
      </c>
      <c r="CK997" s="35">
        <v>16</v>
      </c>
      <c r="CL997" s="35">
        <v>0</v>
      </c>
      <c r="CM997" s="35">
        <v>0</v>
      </c>
      <c r="CN997" s="35" t="s">
        <v>99</v>
      </c>
      <c r="CO997" s="35" t="s">
        <v>97</v>
      </c>
      <c r="CP997" s="35" t="s">
        <v>100</v>
      </c>
      <c r="CQ997" s="35" t="s">
        <v>126</v>
      </c>
      <c r="CR997" s="36">
        <v>46252</v>
      </c>
      <c r="CT997" s="35" t="s">
        <v>437</v>
      </c>
    </row>
    <row r="998" spans="1:98" s="35" customFormat="1" x14ac:dyDescent="0.35">
      <c r="A998" s="34" t="s">
        <v>1977</v>
      </c>
      <c r="B998" s="34" t="s">
        <v>1990</v>
      </c>
      <c r="C998" s="35" t="s">
        <v>1913</v>
      </c>
      <c r="D998" s="35">
        <v>2022</v>
      </c>
      <c r="E998" s="37" t="s">
        <v>1978</v>
      </c>
      <c r="F998" s="34" t="s">
        <v>1979</v>
      </c>
      <c r="G998" s="35" t="s">
        <v>78</v>
      </c>
      <c r="H998" s="35">
        <v>1</v>
      </c>
      <c r="I998" s="35" t="s">
        <v>290</v>
      </c>
      <c r="J998" s="35" t="s">
        <v>79</v>
      </c>
      <c r="K998" s="35">
        <v>62</v>
      </c>
      <c r="L998" s="35" t="s">
        <v>104</v>
      </c>
      <c r="M998" s="35" t="s">
        <v>380</v>
      </c>
      <c r="N998" s="35">
        <v>-2.5999999999999999E-3</v>
      </c>
      <c r="O998" s="35">
        <v>1.4E-3</v>
      </c>
      <c r="P998" s="89">
        <f t="shared" si="407"/>
        <v>-1.857142857142857</v>
      </c>
      <c r="Q998" s="35" t="s">
        <v>312</v>
      </c>
      <c r="R998" s="89">
        <f t="shared" si="408"/>
        <v>-5.3439999999999998E-3</v>
      </c>
      <c r="S998" s="89">
        <f t="shared" si="409"/>
        <v>1.4400000000000003E-4</v>
      </c>
      <c r="T998" s="35">
        <v>1</v>
      </c>
      <c r="U998" s="35">
        <v>264746</v>
      </c>
      <c r="V998" s="35" t="s">
        <v>312</v>
      </c>
      <c r="W998" s="35" t="s">
        <v>312</v>
      </c>
      <c r="X998" s="35">
        <f t="shared" si="416"/>
        <v>264746</v>
      </c>
      <c r="Y998" s="89">
        <f t="shared" si="410"/>
        <v>-3.6093398778422299E-3</v>
      </c>
      <c r="Z998" s="89">
        <f t="shared" si="411"/>
        <v>1.9434907034535083E-3</v>
      </c>
      <c r="AA998" s="89">
        <f t="shared" si="413"/>
        <v>-3.6093398778422299E-3</v>
      </c>
      <c r="AB998" s="35" t="s">
        <v>81</v>
      </c>
      <c r="AC998" s="89">
        <f t="shared" si="417"/>
        <v>-0.28937999999999997</v>
      </c>
      <c r="AD998" s="89" cm="1">
        <f t="array" ref="AD998">_xlfn.IFS(
AND(L998="marginal_effect",M998="level"),N998*AN998/BF998,
AND(L998="marginal_effect",M998="sd (Y)"),N998*BI998*AN998/BF998,
AND(L998="marginal_effect",M998="sd (X)"),N998/AQ998*AN998/BF998,
AND(L998="semi_elasticity",M998="level"),N998*AN998,
AND(L998="semi_elasticity",M998="sd (Y)"),N998*AN998*BI998,
AND(L998="semi_elasticity",M998="sd (X)"),N998*AN998/AQ998,
AND(L998="level-log",M998="level"),N998/BF998,
AND(L998="level-log",M998="sd (X)"),N998/BF998/AQ998,
AND(L998="level-log",M998="sd (Y)"),N998/BF998*BI998,
AND(L998="elasticity",M998="level"),N998,
AND(L998="elasticity",M998="sd (X)"),N998/AQ998,
AND(L998="elasticity",M998="sd (Y)"),N998*BI998,
AND(L998="marginal_effect",M998="percent_of_mean"),N998*AN998/BF998/10)</f>
        <v>-0.28937999999999997</v>
      </c>
      <c r="AE998" s="49">
        <f t="shared" si="414"/>
        <v>1</v>
      </c>
      <c r="AF998" s="89">
        <f t="shared" si="418"/>
        <v>0.15581999999999999</v>
      </c>
      <c r="AG998" s="89" cm="1">
        <f t="array" ref="AG998">_xlfn.IFS(
AND(L998="marginal_effect",M998="level"),O998*AN998/BF998,
AND(L998="marginal_effect",M998="sd (Y)"),O998*BI998*AN998/BF998,
AND(L998="marginal_effect",M998="sd (X)"),O998/AQ998*AN998/BF998,
AND(L998="semi_elasticity",M998="level"),O998*AN998,
AND(L998="semi_elasticity",M998="sd (Y)"),O998*AN998*BI998,
AND(L998="semi_elasticity",M998="sd (X)"),O998*AN998/AQ998,
AND(L998="level-log",M998="level"),O998/BF998,
AND(L998="level-log",M998="sd (X)"),O998/BF998/AQ998,
AND(L998="level-log",M998="sd (Y)"),O998/BF998*BI998,
AND(L998="elasticity",M998="level"),O998,
AND(L998="elasticity",M998="sd (X)"),O998/AQ998,
AND(L998="elasticity",M998="sd (Y)"),O998*BI998,
AND(L998="marginal_effect",M998="percent_of_mean"),O998*AN998/BF998/10)</f>
        <v>0.15581999999999999</v>
      </c>
      <c r="AH998" s="49">
        <f t="shared" si="404"/>
        <v>1</v>
      </c>
      <c r="AI998" s="89">
        <f t="shared" si="415"/>
        <v>-0.28937999999999997</v>
      </c>
      <c r="AJ998" s="35">
        <v>0</v>
      </c>
      <c r="AK998" s="35">
        <f t="shared" si="412"/>
        <v>1</v>
      </c>
      <c r="AL998" s="35" t="s">
        <v>106</v>
      </c>
      <c r="AM998" s="35" t="s">
        <v>1333</v>
      </c>
      <c r="AN998" s="35">
        <v>111.3</v>
      </c>
      <c r="AO998" s="35">
        <v>0</v>
      </c>
      <c r="AP998" s="35">
        <v>111.3</v>
      </c>
      <c r="AQ998" s="35" t="s">
        <v>312</v>
      </c>
      <c r="AR998" s="35" t="s">
        <v>312</v>
      </c>
      <c r="AS998" s="35" t="s">
        <v>312</v>
      </c>
      <c r="AT998" s="35" t="s">
        <v>83</v>
      </c>
      <c r="AU998" s="35" t="s">
        <v>109</v>
      </c>
      <c r="AV998" s="35" t="s">
        <v>133</v>
      </c>
      <c r="AW998" s="35" t="s">
        <v>134</v>
      </c>
      <c r="AX998" s="35" t="s">
        <v>86</v>
      </c>
      <c r="AY998" s="35">
        <v>0</v>
      </c>
      <c r="AZ998" s="35">
        <v>0</v>
      </c>
      <c r="BA998" s="35" t="s">
        <v>391</v>
      </c>
      <c r="BB998" s="35" t="s">
        <v>134</v>
      </c>
      <c r="BC998" s="35" t="s">
        <v>134</v>
      </c>
      <c r="BD998" s="35" t="s">
        <v>134</v>
      </c>
      <c r="BE998" s="35" t="s">
        <v>1905</v>
      </c>
      <c r="BF998" s="35">
        <v>119.7</v>
      </c>
      <c r="BG998" s="35">
        <v>1</v>
      </c>
      <c r="BH998" s="35">
        <v>216.2</v>
      </c>
      <c r="BI998" s="35">
        <v>0.5</v>
      </c>
      <c r="BJ998" s="35">
        <v>16247.6</v>
      </c>
      <c r="BK998" s="35" t="s">
        <v>91</v>
      </c>
      <c r="BL998" s="35" t="s">
        <v>116</v>
      </c>
      <c r="BM998" s="35">
        <v>1</v>
      </c>
      <c r="BN998" s="35" t="s">
        <v>2177</v>
      </c>
      <c r="BO998" s="35" t="s">
        <v>312</v>
      </c>
      <c r="BP998" s="35" t="s">
        <v>312</v>
      </c>
      <c r="BQ998" s="35" t="s">
        <v>117</v>
      </c>
      <c r="BR998" s="35" t="s">
        <v>134</v>
      </c>
      <c r="BS998" s="35" t="s">
        <v>312</v>
      </c>
      <c r="BT998" s="35" t="s">
        <v>312</v>
      </c>
      <c r="BU998" s="35">
        <v>2001</v>
      </c>
      <c r="BV998" s="35">
        <v>2007</v>
      </c>
      <c r="BW998" s="35" t="s">
        <v>901</v>
      </c>
      <c r="BX998" s="35" t="s">
        <v>95</v>
      </c>
      <c r="BY998" s="35" t="s">
        <v>748</v>
      </c>
      <c r="BZ998" s="35">
        <v>1</v>
      </c>
      <c r="CA998" s="35">
        <v>1</v>
      </c>
      <c r="CB998" s="35" t="s">
        <v>2005</v>
      </c>
      <c r="CC998" s="35" t="s">
        <v>1933</v>
      </c>
      <c r="CD998" s="35">
        <v>1</v>
      </c>
      <c r="CE998" s="35" t="s">
        <v>435</v>
      </c>
      <c r="CF998" s="35">
        <v>0</v>
      </c>
      <c r="CG998" s="35" t="s">
        <v>97</v>
      </c>
      <c r="CH998" s="35">
        <v>0</v>
      </c>
      <c r="CI998" s="35" t="s">
        <v>1402</v>
      </c>
      <c r="CJ998" s="35" t="s">
        <v>98</v>
      </c>
      <c r="CK998" s="35">
        <v>16</v>
      </c>
      <c r="CL998" s="35">
        <v>0</v>
      </c>
      <c r="CM998" s="35">
        <v>0</v>
      </c>
      <c r="CN998" s="35" t="s">
        <v>99</v>
      </c>
      <c r="CO998" s="35" t="s">
        <v>97</v>
      </c>
      <c r="CP998" s="35" t="s">
        <v>100</v>
      </c>
      <c r="CQ998" s="35" t="s">
        <v>126</v>
      </c>
      <c r="CR998" s="36">
        <v>46252</v>
      </c>
      <c r="CT998" s="35" t="s">
        <v>438</v>
      </c>
    </row>
    <row r="999" spans="1:98" s="35" customFormat="1" x14ac:dyDescent="0.35">
      <c r="A999" s="34" t="s">
        <v>1977</v>
      </c>
      <c r="B999" s="34" t="s">
        <v>1991</v>
      </c>
      <c r="C999" s="35" t="s">
        <v>1913</v>
      </c>
      <c r="D999" s="35">
        <v>2022</v>
      </c>
      <c r="E999" s="37" t="s">
        <v>1978</v>
      </c>
      <c r="F999" s="34" t="s">
        <v>1979</v>
      </c>
      <c r="G999" s="35" t="s">
        <v>78</v>
      </c>
      <c r="H999" s="35">
        <v>1</v>
      </c>
      <c r="I999" s="35" t="s">
        <v>290</v>
      </c>
      <c r="J999" s="35" t="s">
        <v>79</v>
      </c>
      <c r="K999" s="35">
        <v>62</v>
      </c>
      <c r="L999" s="35" t="s">
        <v>104</v>
      </c>
      <c r="M999" s="35" t="s">
        <v>380</v>
      </c>
      <c r="N999" s="35">
        <v>-3.3999999999999998E-3</v>
      </c>
      <c r="O999" s="35">
        <v>1.5E-3</v>
      </c>
      <c r="P999" s="89">
        <f t="shared" si="407"/>
        <v>-2.2666666666666666</v>
      </c>
      <c r="Q999" s="35" t="s">
        <v>312</v>
      </c>
      <c r="R999" s="89">
        <f t="shared" si="408"/>
        <v>-6.3400000000000001E-3</v>
      </c>
      <c r="S999" s="89">
        <f t="shared" si="409"/>
        <v>-4.5999999999999991E-4</v>
      </c>
      <c r="T999" s="35">
        <v>1</v>
      </c>
      <c r="U999" s="35">
        <v>276528</v>
      </c>
      <c r="V999" s="35" t="s">
        <v>312</v>
      </c>
      <c r="W999" s="35" t="s">
        <v>312</v>
      </c>
      <c r="X999" s="35">
        <f t="shared" si="416"/>
        <v>276528</v>
      </c>
      <c r="Y999" s="89">
        <f t="shared" si="410"/>
        <v>-4.3103651946591976E-3</v>
      </c>
      <c r="Z999" s="89">
        <f t="shared" si="411"/>
        <v>1.9016317035261167E-3</v>
      </c>
      <c r="AA999" s="89">
        <f t="shared" si="413"/>
        <v>-4.3103651946591976E-3</v>
      </c>
      <c r="AB999" s="35" t="s">
        <v>81</v>
      </c>
      <c r="AC999" s="89">
        <f t="shared" si="417"/>
        <v>-0.35053999999999996</v>
      </c>
      <c r="AD999" s="89" cm="1">
        <f t="array" ref="AD999">_xlfn.IFS(
AND(L999="marginal_effect",M999="level"),N999*AN999/BF999,
AND(L999="marginal_effect",M999="sd (Y)"),N999*BI999*AN999/BF999,
AND(L999="marginal_effect",M999="sd (X)"),N999/AQ999*AN999/BF999,
AND(L999="semi_elasticity",M999="level"),N999*AN999,
AND(L999="semi_elasticity",M999="sd (Y)"),N999*AN999*BI999,
AND(L999="semi_elasticity",M999="sd (X)"),N999*AN999/AQ999,
AND(L999="level-log",M999="level"),N999/BF999,
AND(L999="level-log",M999="sd (X)"),N999/BF999/AQ999,
AND(L999="level-log",M999="sd (Y)"),N999/BF999*BI999,
AND(L999="elasticity",M999="level"),N999,
AND(L999="elasticity",M999="sd (X)"),N999/AQ999,
AND(L999="elasticity",M999="sd (Y)"),N999*BI999,
AND(L999="marginal_effect",M999="percent_of_mean"),N999*AN999/BF999/10)</f>
        <v>-0.35053999999999996</v>
      </c>
      <c r="AE999" s="49">
        <f t="shared" si="414"/>
        <v>1</v>
      </c>
      <c r="AF999" s="89">
        <f t="shared" si="418"/>
        <v>0.15464999999999998</v>
      </c>
      <c r="AG999" s="89" cm="1">
        <f t="array" ref="AG999">_xlfn.IFS(
AND(L999="marginal_effect",M999="level"),O999*AN999/BF999,
AND(L999="marginal_effect",M999="sd (Y)"),O999*BI999*AN999/BF999,
AND(L999="marginal_effect",M999="sd (X)"),O999/AQ999*AN999/BF999,
AND(L999="semi_elasticity",M999="level"),O999*AN999,
AND(L999="semi_elasticity",M999="sd (Y)"),O999*AN999*BI999,
AND(L999="semi_elasticity",M999="sd (X)"),O999*AN999/AQ999,
AND(L999="level-log",M999="level"),O999/BF999,
AND(L999="level-log",M999="sd (X)"),O999/BF999/AQ999,
AND(L999="level-log",M999="sd (Y)"),O999/BF999*BI999,
AND(L999="elasticity",M999="level"),O999,
AND(L999="elasticity",M999="sd (X)"),O999/AQ999,
AND(L999="elasticity",M999="sd (Y)"),O999*BI999,
AND(L999="marginal_effect",M999="percent_of_mean"),O999*AN999/BF999/10)</f>
        <v>0.15464999999999998</v>
      </c>
      <c r="AH999" s="49">
        <f t="shared" si="404"/>
        <v>1</v>
      </c>
      <c r="AI999" s="89">
        <f t="shared" si="415"/>
        <v>-0.35053999999999996</v>
      </c>
      <c r="AJ999" s="35">
        <v>0</v>
      </c>
      <c r="AK999" s="35">
        <f t="shared" si="412"/>
        <v>1</v>
      </c>
      <c r="AL999" s="35" t="s">
        <v>106</v>
      </c>
      <c r="AM999" s="35" t="s">
        <v>1333</v>
      </c>
      <c r="AN999" s="35">
        <v>103.1</v>
      </c>
      <c r="AO999" s="35">
        <v>0</v>
      </c>
      <c r="AP999" s="35">
        <v>103.1</v>
      </c>
      <c r="AQ999" s="35" t="s">
        <v>312</v>
      </c>
      <c r="AR999" s="35" t="s">
        <v>312</v>
      </c>
      <c r="AS999" s="35" t="s">
        <v>312</v>
      </c>
      <c r="AT999" s="35" t="s">
        <v>83</v>
      </c>
      <c r="AU999" s="35" t="s">
        <v>109</v>
      </c>
      <c r="AV999" s="35" t="s">
        <v>133</v>
      </c>
      <c r="AW999" s="35" t="s">
        <v>134</v>
      </c>
      <c r="AX999" s="35" t="s">
        <v>86</v>
      </c>
      <c r="AY999" s="35">
        <v>0</v>
      </c>
      <c r="AZ999" s="35">
        <v>0</v>
      </c>
      <c r="BA999" s="35" t="s">
        <v>391</v>
      </c>
      <c r="BB999" s="35" t="s">
        <v>134</v>
      </c>
      <c r="BC999" s="35" t="s">
        <v>134</v>
      </c>
      <c r="BD999" s="35" t="s">
        <v>134</v>
      </c>
      <c r="BE999" s="35" t="s">
        <v>1905</v>
      </c>
      <c r="BF999" s="35">
        <v>118.71599999999999</v>
      </c>
      <c r="BG999" s="35">
        <v>1</v>
      </c>
      <c r="BH999" s="35">
        <v>219.9</v>
      </c>
      <c r="BI999" s="35">
        <v>0.1</v>
      </c>
      <c r="BJ999" s="35">
        <v>16247.6</v>
      </c>
      <c r="BK999" s="35" t="s">
        <v>91</v>
      </c>
      <c r="BL999" s="35" t="s">
        <v>116</v>
      </c>
      <c r="BM999" s="35">
        <v>1</v>
      </c>
      <c r="BN999" s="35" t="s">
        <v>2177</v>
      </c>
      <c r="BO999" s="35" t="s">
        <v>312</v>
      </c>
      <c r="BP999" s="35" t="s">
        <v>312</v>
      </c>
      <c r="BQ999" s="35" t="s">
        <v>117</v>
      </c>
      <c r="BR999" s="35" t="s">
        <v>134</v>
      </c>
      <c r="BS999" s="35" t="s">
        <v>312</v>
      </c>
      <c r="BT999" s="35" t="s">
        <v>312</v>
      </c>
      <c r="BU999" s="35">
        <v>2001</v>
      </c>
      <c r="BV999" s="35">
        <v>2007</v>
      </c>
      <c r="BW999" s="35" t="s">
        <v>901</v>
      </c>
      <c r="BX999" s="35" t="s">
        <v>95</v>
      </c>
      <c r="BY999" s="35" t="s">
        <v>748</v>
      </c>
      <c r="BZ999" s="35">
        <v>1</v>
      </c>
      <c r="CA999" s="35">
        <v>1</v>
      </c>
      <c r="CB999" s="35" t="s">
        <v>2005</v>
      </c>
      <c r="CC999" s="35" t="s">
        <v>1933</v>
      </c>
      <c r="CD999" s="35">
        <v>1</v>
      </c>
      <c r="CE999" s="35" t="s">
        <v>435</v>
      </c>
      <c r="CF999" s="35">
        <v>0</v>
      </c>
      <c r="CG999" s="35" t="s">
        <v>97</v>
      </c>
      <c r="CH999" s="35">
        <v>0</v>
      </c>
      <c r="CI999" s="35" t="s">
        <v>1402</v>
      </c>
      <c r="CJ999" s="35" t="s">
        <v>98</v>
      </c>
      <c r="CK999" s="35">
        <v>16</v>
      </c>
      <c r="CL999" s="35">
        <v>0</v>
      </c>
      <c r="CM999" s="35">
        <v>0</v>
      </c>
      <c r="CN999" s="35" t="s">
        <v>99</v>
      </c>
      <c r="CO999" s="35" t="s">
        <v>97</v>
      </c>
      <c r="CP999" s="35" t="s">
        <v>100</v>
      </c>
      <c r="CQ999" s="35" t="s">
        <v>126</v>
      </c>
      <c r="CR999" s="36">
        <v>46252</v>
      </c>
      <c r="CT999" s="35" t="s">
        <v>439</v>
      </c>
    </row>
    <row r="1000" spans="1:98" s="35" customFormat="1" x14ac:dyDescent="0.35">
      <c r="A1000" s="34" t="s">
        <v>1977</v>
      </c>
      <c r="B1000" s="34" t="s">
        <v>1992</v>
      </c>
      <c r="C1000" s="35" t="s">
        <v>1913</v>
      </c>
      <c r="D1000" s="35">
        <v>2022</v>
      </c>
      <c r="E1000" s="37" t="s">
        <v>1978</v>
      </c>
      <c r="F1000" s="34" t="s">
        <v>1979</v>
      </c>
      <c r="G1000" s="35" t="s">
        <v>78</v>
      </c>
      <c r="H1000" s="35">
        <v>1</v>
      </c>
      <c r="I1000" s="35" t="s">
        <v>290</v>
      </c>
      <c r="J1000" s="35" t="s">
        <v>79</v>
      </c>
      <c r="K1000" s="35">
        <v>62</v>
      </c>
      <c r="L1000" s="35" t="s">
        <v>104</v>
      </c>
      <c r="M1000" s="35" t="s">
        <v>380</v>
      </c>
      <c r="N1000" s="35">
        <v>-3.0000000000000001E-3</v>
      </c>
      <c r="O1000" s="35">
        <v>1.4E-3</v>
      </c>
      <c r="P1000" s="89">
        <f t="shared" si="407"/>
        <v>-2.1428571428571428</v>
      </c>
      <c r="Q1000" s="35" t="s">
        <v>312</v>
      </c>
      <c r="R1000" s="89">
        <f t="shared" si="408"/>
        <v>-5.744E-3</v>
      </c>
      <c r="S1000" s="89">
        <f t="shared" si="409"/>
        <v>-2.5600000000000015E-4</v>
      </c>
      <c r="T1000" s="35">
        <v>1</v>
      </c>
      <c r="U1000" s="35">
        <v>291339</v>
      </c>
      <c r="V1000" s="35" t="s">
        <v>312</v>
      </c>
      <c r="W1000" s="35" t="s">
        <v>312</v>
      </c>
      <c r="X1000" s="35">
        <f t="shared" si="416"/>
        <v>291339</v>
      </c>
      <c r="Y1000" s="89">
        <f t="shared" si="410"/>
        <v>-3.9699997916861768E-3</v>
      </c>
      <c r="Z1000" s="89">
        <f t="shared" si="411"/>
        <v>1.852666569453549E-3</v>
      </c>
      <c r="AA1000" s="89">
        <f t="shared" si="413"/>
        <v>-3.9699997916861768E-3</v>
      </c>
      <c r="AB1000" s="35" t="s">
        <v>81</v>
      </c>
      <c r="AC1000" s="89">
        <f t="shared" si="417"/>
        <v>-0.31229999999999997</v>
      </c>
      <c r="AD1000" s="89" cm="1">
        <f t="array" ref="AD1000">_xlfn.IFS(
AND(L1000="marginal_effect",M1000="level"),N1000*AN1000/BF1000,
AND(L1000="marginal_effect",M1000="sd (Y)"),N1000*BI1000*AN1000/BF1000,
AND(L1000="marginal_effect",M1000="sd (X)"),N1000/AQ1000*AN1000/BF1000,
AND(L1000="semi_elasticity",M1000="level"),N1000*AN1000,
AND(L1000="semi_elasticity",M1000="sd (Y)"),N1000*AN1000*BI1000,
AND(L1000="semi_elasticity",M1000="sd (X)"),N1000*AN1000/AQ1000,
AND(L1000="level-log",M1000="level"),N1000/BF1000,
AND(L1000="level-log",M1000="sd (X)"),N1000/BF1000/AQ1000,
AND(L1000="level-log",M1000="sd (Y)"),N1000/BF1000*BI1000,
AND(L1000="elasticity",M1000="level"),N1000,
AND(L1000="elasticity",M1000="sd (X)"),N1000/AQ1000,
AND(L1000="elasticity",M1000="sd (Y)"),N1000*BI1000,
AND(L1000="marginal_effect",M1000="percent_of_mean"),N1000*AN1000/BF1000/10)</f>
        <v>-0.31229999999999997</v>
      </c>
      <c r="AE1000" s="49">
        <f t="shared" si="414"/>
        <v>1</v>
      </c>
      <c r="AF1000" s="89">
        <f t="shared" si="418"/>
        <v>0.14573999999999998</v>
      </c>
      <c r="AG1000" s="89" cm="1">
        <f t="array" ref="AG1000">_xlfn.IFS(
AND(L1000="marginal_effect",M1000="level"),O1000*AN1000/BF1000,
AND(L1000="marginal_effect",M1000="sd (Y)"),O1000*BI1000*AN1000/BF1000,
AND(L1000="marginal_effect",M1000="sd (X)"),O1000/AQ1000*AN1000/BF1000,
AND(L1000="semi_elasticity",M1000="level"),O1000*AN1000,
AND(L1000="semi_elasticity",M1000="sd (Y)"),O1000*AN1000*BI1000,
AND(L1000="semi_elasticity",M1000="sd (X)"),O1000*AN1000/AQ1000,
AND(L1000="level-log",M1000="level"),O1000/BF1000,
AND(L1000="level-log",M1000="sd (X)"),O1000/BF1000/AQ1000,
AND(L1000="level-log",M1000="sd (Y)"),O1000/BF1000*BI1000,
AND(L1000="elasticity",M1000="level"),O1000,
AND(L1000="elasticity",M1000="sd (X)"),O1000/AQ1000,
AND(L1000="elasticity",M1000="sd (Y)"),O1000*BI1000,
AND(L1000="marginal_effect",M1000="percent_of_mean"),O1000*AN1000/BF1000/10)</f>
        <v>0.14573999999999998</v>
      </c>
      <c r="AH1000" s="49">
        <f t="shared" si="404"/>
        <v>1</v>
      </c>
      <c r="AI1000" s="89">
        <f t="shared" si="415"/>
        <v>-0.31229999999999997</v>
      </c>
      <c r="AJ1000" s="35">
        <v>0</v>
      </c>
      <c r="AK1000" s="35">
        <f t="shared" si="412"/>
        <v>1</v>
      </c>
      <c r="AL1000" s="35" t="s">
        <v>106</v>
      </c>
      <c r="AM1000" s="35" t="s">
        <v>1333</v>
      </c>
      <c r="AN1000" s="35">
        <v>104.1</v>
      </c>
      <c r="AO1000" s="35">
        <v>0</v>
      </c>
      <c r="AP1000" s="35">
        <v>104.1</v>
      </c>
      <c r="AQ1000" s="35" t="s">
        <v>312</v>
      </c>
      <c r="AR1000" s="35" t="s">
        <v>312</v>
      </c>
      <c r="AS1000" s="35" t="s">
        <v>312</v>
      </c>
      <c r="AT1000" s="35" t="s">
        <v>83</v>
      </c>
      <c r="AU1000" s="35" t="s">
        <v>109</v>
      </c>
      <c r="AV1000" s="35" t="s">
        <v>133</v>
      </c>
      <c r="AW1000" s="35" t="s">
        <v>134</v>
      </c>
      <c r="AX1000" s="35" t="s">
        <v>86</v>
      </c>
      <c r="AY1000" s="35">
        <v>0</v>
      </c>
      <c r="AZ1000" s="35">
        <v>0</v>
      </c>
      <c r="BA1000" s="35" t="s">
        <v>391</v>
      </c>
      <c r="BB1000" s="35" t="s">
        <v>134</v>
      </c>
      <c r="BC1000" s="35" t="s">
        <v>134</v>
      </c>
      <c r="BD1000" s="35" t="s">
        <v>134</v>
      </c>
      <c r="BE1000" s="35" t="s">
        <v>1905</v>
      </c>
      <c r="BF1000" s="35">
        <v>118.71599999999999</v>
      </c>
      <c r="BG1000" s="35">
        <v>0</v>
      </c>
      <c r="BH1000" s="35">
        <v>219.9</v>
      </c>
      <c r="BI1000" s="35">
        <v>0.1</v>
      </c>
      <c r="BJ1000" s="35">
        <v>16247.6</v>
      </c>
      <c r="BK1000" s="35" t="s">
        <v>91</v>
      </c>
      <c r="BL1000" s="35" t="s">
        <v>116</v>
      </c>
      <c r="BM1000" s="35">
        <v>1</v>
      </c>
      <c r="BN1000" s="35" t="s">
        <v>2177</v>
      </c>
      <c r="BO1000" s="35" t="s">
        <v>312</v>
      </c>
      <c r="BP1000" s="35" t="s">
        <v>312</v>
      </c>
      <c r="BQ1000" s="35" t="s">
        <v>117</v>
      </c>
      <c r="BR1000" s="35" t="s">
        <v>134</v>
      </c>
      <c r="BS1000" s="35" t="s">
        <v>312</v>
      </c>
      <c r="BT1000" s="35" t="s">
        <v>312</v>
      </c>
      <c r="BU1000" s="35">
        <v>2001</v>
      </c>
      <c r="BV1000" s="35">
        <v>2007</v>
      </c>
      <c r="BW1000" s="35" t="s">
        <v>901</v>
      </c>
      <c r="BX1000" s="35" t="s">
        <v>95</v>
      </c>
      <c r="BY1000" s="35" t="s">
        <v>748</v>
      </c>
      <c r="BZ1000" s="35">
        <v>1</v>
      </c>
      <c r="CA1000" s="35">
        <v>1</v>
      </c>
      <c r="CB1000" s="35" t="s">
        <v>2005</v>
      </c>
      <c r="CC1000" s="35" t="s">
        <v>1933</v>
      </c>
      <c r="CD1000" s="35">
        <v>1</v>
      </c>
      <c r="CE1000" s="35" t="s">
        <v>435</v>
      </c>
      <c r="CF1000" s="35">
        <v>0</v>
      </c>
      <c r="CG1000" s="35" t="s">
        <v>97</v>
      </c>
      <c r="CH1000" s="35">
        <v>0</v>
      </c>
      <c r="CI1000" s="35" t="s">
        <v>1402</v>
      </c>
      <c r="CJ1000" s="35" t="s">
        <v>98</v>
      </c>
      <c r="CK1000" s="35">
        <v>16</v>
      </c>
      <c r="CL1000" s="35">
        <v>1</v>
      </c>
      <c r="CM1000" s="35">
        <v>1</v>
      </c>
      <c r="CN1000" s="35" t="s">
        <v>99</v>
      </c>
      <c r="CO1000" s="35" t="s">
        <v>97</v>
      </c>
      <c r="CP1000" s="35" t="s">
        <v>100</v>
      </c>
      <c r="CQ1000" s="35" t="s">
        <v>126</v>
      </c>
      <c r="CR1000" s="36">
        <v>46252</v>
      </c>
      <c r="CT1000" s="35" t="s">
        <v>440</v>
      </c>
    </row>
    <row r="1001" spans="1:98" s="35" customFormat="1" x14ac:dyDescent="0.35">
      <c r="A1001" s="34" t="s">
        <v>1977</v>
      </c>
      <c r="B1001" s="34" t="s">
        <v>1993</v>
      </c>
      <c r="C1001" s="35" t="s">
        <v>1913</v>
      </c>
      <c r="D1001" s="35">
        <v>2022</v>
      </c>
      <c r="E1001" s="37" t="s">
        <v>1978</v>
      </c>
      <c r="F1001" s="34" t="s">
        <v>1979</v>
      </c>
      <c r="G1001" s="35" t="s">
        <v>78</v>
      </c>
      <c r="H1001" s="35">
        <v>1</v>
      </c>
      <c r="I1001" s="35" t="s">
        <v>290</v>
      </c>
      <c r="J1001" s="35" t="s">
        <v>79</v>
      </c>
      <c r="K1001" s="35">
        <v>62</v>
      </c>
      <c r="L1001" s="35" t="s">
        <v>104</v>
      </c>
      <c r="M1001" s="35" t="s">
        <v>380</v>
      </c>
      <c r="N1001" s="35">
        <v>-3.2000000000000002E-3</v>
      </c>
      <c r="O1001" s="35">
        <v>1.6999999999999999E-3</v>
      </c>
      <c r="P1001" s="89">
        <f t="shared" si="407"/>
        <v>-1.8823529411764708</v>
      </c>
      <c r="Q1001" s="35" t="s">
        <v>312</v>
      </c>
      <c r="R1001" s="89">
        <f t="shared" si="408"/>
        <v>-6.5319999999999996E-3</v>
      </c>
      <c r="S1001" s="89">
        <f t="shared" si="409"/>
        <v>1.3199999999999974E-4</v>
      </c>
      <c r="T1001" s="35">
        <v>1</v>
      </c>
      <c r="U1001" s="35">
        <v>291339</v>
      </c>
      <c r="V1001" s="35" t="s">
        <v>312</v>
      </c>
      <c r="W1001" s="35" t="s">
        <v>312</v>
      </c>
      <c r="X1001" s="35">
        <f t="shared" si="416"/>
        <v>291339</v>
      </c>
      <c r="Y1001" s="89">
        <f t="shared" si="410"/>
        <v>-3.4873786418044596E-3</v>
      </c>
      <c r="Z1001" s="89">
        <f t="shared" si="411"/>
        <v>1.8526699034586188E-3</v>
      </c>
      <c r="AA1001" s="89">
        <f t="shared" si="413"/>
        <v>-3.4873786418044596E-3</v>
      </c>
      <c r="AB1001" s="35" t="s">
        <v>81</v>
      </c>
      <c r="AC1001" s="89">
        <f t="shared" si="417"/>
        <v>-0.33311999999999997</v>
      </c>
      <c r="AD1001" s="89" cm="1">
        <f t="array" ref="AD1001">_xlfn.IFS(
AND(L1001="marginal_effect",M1001="level"),N1001*AN1001/BF1001,
AND(L1001="marginal_effect",M1001="sd (Y)"),N1001*BI1001*AN1001/BF1001,
AND(L1001="marginal_effect",M1001="sd (X)"),N1001/AQ1001*AN1001/BF1001,
AND(L1001="semi_elasticity",M1001="level"),N1001*AN1001,
AND(L1001="semi_elasticity",M1001="sd (Y)"),N1001*AN1001*BI1001,
AND(L1001="semi_elasticity",M1001="sd (X)"),N1001*AN1001/AQ1001,
AND(L1001="level-log",M1001="level"),N1001/BF1001,
AND(L1001="level-log",M1001="sd (X)"),N1001/BF1001/AQ1001,
AND(L1001="level-log",M1001="sd (Y)"),N1001/BF1001*BI1001,
AND(L1001="elasticity",M1001="level"),N1001,
AND(L1001="elasticity",M1001="sd (X)"),N1001/AQ1001,
AND(L1001="elasticity",M1001="sd (Y)"),N1001*BI1001,
AND(L1001="marginal_effect",M1001="percent_of_mean"),N1001*AN1001/BF1001/10)</f>
        <v>-0.33311999999999997</v>
      </c>
      <c r="AE1001" s="49">
        <f t="shared" si="414"/>
        <v>1</v>
      </c>
      <c r="AF1001" s="89">
        <f t="shared" si="418"/>
        <v>0.17696999999999999</v>
      </c>
      <c r="AG1001" s="89" cm="1">
        <f t="array" ref="AG1001">_xlfn.IFS(
AND(L1001="marginal_effect",M1001="level"),O1001*AN1001/BF1001,
AND(L1001="marginal_effect",M1001="sd (Y)"),O1001*BI1001*AN1001/BF1001,
AND(L1001="marginal_effect",M1001="sd (X)"),O1001/AQ1001*AN1001/BF1001,
AND(L1001="semi_elasticity",M1001="level"),O1001*AN1001,
AND(L1001="semi_elasticity",M1001="sd (Y)"),O1001*AN1001*BI1001,
AND(L1001="semi_elasticity",M1001="sd (X)"),O1001*AN1001/AQ1001,
AND(L1001="level-log",M1001="level"),O1001/BF1001,
AND(L1001="level-log",M1001="sd (X)"),O1001/BF1001/AQ1001,
AND(L1001="level-log",M1001="sd (Y)"),O1001/BF1001*BI1001,
AND(L1001="elasticity",M1001="level"),O1001,
AND(L1001="elasticity",M1001="sd (X)"),O1001/AQ1001,
AND(L1001="elasticity",M1001="sd (Y)"),O1001*BI1001,
AND(L1001="marginal_effect",M1001="percent_of_mean"),O1001*AN1001/BF1001/10)</f>
        <v>0.17696999999999999</v>
      </c>
      <c r="AH1001" s="49">
        <f t="shared" si="404"/>
        <v>1</v>
      </c>
      <c r="AI1001" s="89">
        <f t="shared" si="415"/>
        <v>-0.33311999999999997</v>
      </c>
      <c r="AJ1001" s="35">
        <v>0</v>
      </c>
      <c r="AK1001" s="35">
        <f t="shared" si="412"/>
        <v>1</v>
      </c>
      <c r="AL1001" s="35" t="s">
        <v>106</v>
      </c>
      <c r="AM1001" s="35" t="s">
        <v>1333</v>
      </c>
      <c r="AN1001" s="35">
        <v>104.1</v>
      </c>
      <c r="AO1001" s="35">
        <v>0</v>
      </c>
      <c r="AP1001" s="35">
        <v>104.1</v>
      </c>
      <c r="AQ1001" s="35" t="s">
        <v>312</v>
      </c>
      <c r="AR1001" s="35" t="s">
        <v>312</v>
      </c>
      <c r="AS1001" s="35" t="s">
        <v>312</v>
      </c>
      <c r="AT1001" s="35" t="s">
        <v>83</v>
      </c>
      <c r="AU1001" s="35" t="s">
        <v>109</v>
      </c>
      <c r="AV1001" s="35" t="s">
        <v>133</v>
      </c>
      <c r="AW1001" s="35" t="s">
        <v>134</v>
      </c>
      <c r="AX1001" s="35" t="s">
        <v>86</v>
      </c>
      <c r="AY1001" s="35">
        <v>0</v>
      </c>
      <c r="AZ1001" s="35">
        <v>0</v>
      </c>
      <c r="BA1001" s="35" t="s">
        <v>391</v>
      </c>
      <c r="BB1001" s="35" t="s">
        <v>134</v>
      </c>
      <c r="BC1001" s="35" t="s">
        <v>134</v>
      </c>
      <c r="BD1001" s="35" t="s">
        <v>134</v>
      </c>
      <c r="BE1001" s="35" t="s">
        <v>1905</v>
      </c>
      <c r="BF1001" s="35">
        <v>118.71599999999999</v>
      </c>
      <c r="BG1001" s="35">
        <v>0</v>
      </c>
      <c r="BH1001" s="35">
        <v>219.9</v>
      </c>
      <c r="BI1001" s="35">
        <v>0.1</v>
      </c>
      <c r="BJ1001" s="35">
        <v>16247.6</v>
      </c>
      <c r="BK1001" s="35" t="s">
        <v>91</v>
      </c>
      <c r="BL1001" s="35" t="s">
        <v>116</v>
      </c>
      <c r="BM1001" s="35">
        <v>1</v>
      </c>
      <c r="BN1001" s="35" t="s">
        <v>2177</v>
      </c>
      <c r="BO1001" s="35" t="s">
        <v>312</v>
      </c>
      <c r="BP1001" s="35" t="s">
        <v>312</v>
      </c>
      <c r="BQ1001" s="35" t="s">
        <v>117</v>
      </c>
      <c r="BR1001" s="35" t="s">
        <v>134</v>
      </c>
      <c r="BS1001" s="35" t="s">
        <v>312</v>
      </c>
      <c r="BT1001" s="35" t="s">
        <v>312</v>
      </c>
      <c r="BU1001" s="35">
        <v>2001</v>
      </c>
      <c r="BV1001" s="35">
        <v>2007</v>
      </c>
      <c r="BW1001" s="35" t="s">
        <v>901</v>
      </c>
      <c r="BX1001" s="35" t="s">
        <v>95</v>
      </c>
      <c r="BY1001" s="35" t="s">
        <v>748</v>
      </c>
      <c r="BZ1001" s="35">
        <v>1</v>
      </c>
      <c r="CA1001" s="35">
        <v>1</v>
      </c>
      <c r="CB1001" s="35" t="s">
        <v>2005</v>
      </c>
      <c r="CC1001" s="35" t="s">
        <v>1933</v>
      </c>
      <c r="CD1001" s="35">
        <v>1</v>
      </c>
      <c r="CE1001" s="35" t="s">
        <v>435</v>
      </c>
      <c r="CF1001" s="35">
        <v>0</v>
      </c>
      <c r="CG1001" s="35" t="s">
        <v>97</v>
      </c>
      <c r="CH1001" s="35">
        <v>0</v>
      </c>
      <c r="CI1001" s="35" t="s">
        <v>1402</v>
      </c>
      <c r="CJ1001" s="35" t="s">
        <v>98</v>
      </c>
      <c r="CK1001" s="35">
        <v>16</v>
      </c>
      <c r="CL1001" s="35">
        <v>0</v>
      </c>
      <c r="CM1001" s="35">
        <v>0</v>
      </c>
      <c r="CN1001" s="35" t="s">
        <v>124</v>
      </c>
      <c r="CO1001" s="35" t="s">
        <v>97</v>
      </c>
      <c r="CP1001" s="35" t="s">
        <v>100</v>
      </c>
      <c r="CQ1001" s="35" t="s">
        <v>126</v>
      </c>
      <c r="CR1001" s="36">
        <v>46252</v>
      </c>
      <c r="CT1001" s="35" t="s">
        <v>450</v>
      </c>
    </row>
    <row r="1002" spans="1:98" s="35" customFormat="1" x14ac:dyDescent="0.35">
      <c r="A1002" s="34" t="s">
        <v>1977</v>
      </c>
      <c r="B1002" s="34" t="s">
        <v>1994</v>
      </c>
      <c r="C1002" s="35" t="s">
        <v>1913</v>
      </c>
      <c r="D1002" s="35">
        <v>2022</v>
      </c>
      <c r="E1002" s="37" t="s">
        <v>1978</v>
      </c>
      <c r="F1002" s="34" t="s">
        <v>1979</v>
      </c>
      <c r="G1002" s="35" t="s">
        <v>78</v>
      </c>
      <c r="H1002" s="35">
        <v>1</v>
      </c>
      <c r="I1002" s="35" t="s">
        <v>290</v>
      </c>
      <c r="J1002" s="35" t="s">
        <v>79</v>
      </c>
      <c r="K1002" s="35">
        <v>62</v>
      </c>
      <c r="L1002" s="35" t="s">
        <v>104</v>
      </c>
      <c r="M1002" s="35" t="s">
        <v>380</v>
      </c>
      <c r="N1002" s="35">
        <v>-3.3999999999999998E-3</v>
      </c>
      <c r="O1002" s="35">
        <v>1.2999999999999999E-3</v>
      </c>
      <c r="P1002" s="89">
        <f t="shared" si="407"/>
        <v>-2.6153846153846154</v>
      </c>
      <c r="Q1002" s="35" t="s">
        <v>312</v>
      </c>
      <c r="R1002" s="89">
        <f t="shared" si="408"/>
        <v>-5.9480000000000002E-3</v>
      </c>
      <c r="S1002" s="89">
        <f t="shared" si="409"/>
        <v>-8.5199999999999989E-4</v>
      </c>
      <c r="T1002" s="35">
        <v>1</v>
      </c>
      <c r="U1002" s="35">
        <v>291339</v>
      </c>
      <c r="V1002" s="35" t="s">
        <v>312</v>
      </c>
      <c r="W1002" s="35" t="s">
        <v>312</v>
      </c>
      <c r="X1002" s="35">
        <f t="shared" si="416"/>
        <v>291339</v>
      </c>
      <c r="Y1002" s="89">
        <f t="shared" si="410"/>
        <v>-4.8454169463373392E-3</v>
      </c>
      <c r="Z1002" s="89">
        <f t="shared" si="411"/>
        <v>1.8526594206583944E-3</v>
      </c>
      <c r="AA1002" s="89">
        <f t="shared" si="413"/>
        <v>-4.8454169463373392E-3</v>
      </c>
      <c r="AB1002" s="35" t="s">
        <v>81</v>
      </c>
      <c r="AC1002" s="89">
        <f t="shared" si="417"/>
        <v>-0.35393999999999998</v>
      </c>
      <c r="AD1002" s="89" cm="1">
        <f t="array" ref="AD1002">_xlfn.IFS(
AND(L1002="marginal_effect",M1002="level"),N1002*AN1002/BF1002,
AND(L1002="marginal_effect",M1002="sd (Y)"),N1002*BI1002*AN1002/BF1002,
AND(L1002="marginal_effect",M1002="sd (X)"),N1002/AQ1002*AN1002/BF1002,
AND(L1002="semi_elasticity",M1002="level"),N1002*AN1002,
AND(L1002="semi_elasticity",M1002="sd (Y)"),N1002*AN1002*BI1002,
AND(L1002="semi_elasticity",M1002="sd (X)"),N1002*AN1002/AQ1002,
AND(L1002="level-log",M1002="level"),N1002/BF1002,
AND(L1002="level-log",M1002="sd (X)"),N1002/BF1002/AQ1002,
AND(L1002="level-log",M1002="sd (Y)"),N1002/BF1002*BI1002,
AND(L1002="elasticity",M1002="level"),N1002,
AND(L1002="elasticity",M1002="sd (X)"),N1002/AQ1002,
AND(L1002="elasticity",M1002="sd (Y)"),N1002*BI1002,
AND(L1002="marginal_effect",M1002="percent_of_mean"),N1002*AN1002/BF1002/10)</f>
        <v>-0.35393999999999998</v>
      </c>
      <c r="AE1002" s="49">
        <f t="shared" si="414"/>
        <v>1</v>
      </c>
      <c r="AF1002" s="89">
        <f t="shared" si="418"/>
        <v>0.13532999999999998</v>
      </c>
      <c r="AG1002" s="89" cm="1">
        <f t="array" ref="AG1002">_xlfn.IFS(
AND(L1002="marginal_effect",M1002="level"),O1002*AN1002/BF1002,
AND(L1002="marginal_effect",M1002="sd (Y)"),O1002*BI1002*AN1002/BF1002,
AND(L1002="marginal_effect",M1002="sd (X)"),O1002/AQ1002*AN1002/BF1002,
AND(L1002="semi_elasticity",M1002="level"),O1002*AN1002,
AND(L1002="semi_elasticity",M1002="sd (Y)"),O1002*AN1002*BI1002,
AND(L1002="semi_elasticity",M1002="sd (X)"),O1002*AN1002/AQ1002,
AND(L1002="level-log",M1002="level"),O1002/BF1002,
AND(L1002="level-log",M1002="sd (X)"),O1002/BF1002/AQ1002,
AND(L1002="level-log",M1002="sd (Y)"),O1002/BF1002*BI1002,
AND(L1002="elasticity",M1002="level"),O1002,
AND(L1002="elasticity",M1002="sd (X)"),O1002/AQ1002,
AND(L1002="elasticity",M1002="sd (Y)"),O1002*BI1002,
AND(L1002="marginal_effect",M1002="percent_of_mean"),O1002*AN1002/BF1002/10)</f>
        <v>0.13532999999999998</v>
      </c>
      <c r="AH1002" s="49">
        <f t="shared" si="404"/>
        <v>1</v>
      </c>
      <c r="AI1002" s="89">
        <f t="shared" si="415"/>
        <v>-0.35393999999999998</v>
      </c>
      <c r="AJ1002" s="35">
        <v>0</v>
      </c>
      <c r="AK1002" s="35">
        <f t="shared" si="412"/>
        <v>1</v>
      </c>
      <c r="AL1002" s="35" t="s">
        <v>106</v>
      </c>
      <c r="AM1002" s="35" t="s">
        <v>1333</v>
      </c>
      <c r="AN1002" s="35">
        <v>104.1</v>
      </c>
      <c r="AO1002" s="35">
        <v>0</v>
      </c>
      <c r="AP1002" s="35">
        <v>104.1</v>
      </c>
      <c r="AQ1002" s="35" t="s">
        <v>312</v>
      </c>
      <c r="AR1002" s="35" t="s">
        <v>312</v>
      </c>
      <c r="AS1002" s="35" t="s">
        <v>312</v>
      </c>
      <c r="AT1002" s="35" t="s">
        <v>83</v>
      </c>
      <c r="AU1002" s="35" t="s">
        <v>109</v>
      </c>
      <c r="AV1002" s="35" t="s">
        <v>133</v>
      </c>
      <c r="AW1002" s="35" t="s">
        <v>134</v>
      </c>
      <c r="AX1002" s="35" t="s">
        <v>86</v>
      </c>
      <c r="AY1002" s="35">
        <v>0</v>
      </c>
      <c r="AZ1002" s="35">
        <v>0</v>
      </c>
      <c r="BA1002" s="35" t="s">
        <v>391</v>
      </c>
      <c r="BB1002" s="35" t="s">
        <v>134</v>
      </c>
      <c r="BC1002" s="35" t="s">
        <v>134</v>
      </c>
      <c r="BD1002" s="35" t="s">
        <v>134</v>
      </c>
      <c r="BE1002" s="35" t="s">
        <v>1905</v>
      </c>
      <c r="BF1002" s="35">
        <v>118.71599999999999</v>
      </c>
      <c r="BG1002" s="35">
        <v>0</v>
      </c>
      <c r="BH1002" s="35">
        <v>219.9</v>
      </c>
      <c r="BI1002" s="35">
        <v>0.1</v>
      </c>
      <c r="BJ1002" s="35">
        <v>16247.6</v>
      </c>
      <c r="BK1002" s="35" t="s">
        <v>91</v>
      </c>
      <c r="BL1002" s="35" t="s">
        <v>116</v>
      </c>
      <c r="BM1002" s="35">
        <v>1</v>
      </c>
      <c r="BN1002" s="35" t="s">
        <v>2177</v>
      </c>
      <c r="BO1002" s="35" t="s">
        <v>312</v>
      </c>
      <c r="BP1002" s="35" t="s">
        <v>312</v>
      </c>
      <c r="BQ1002" s="35" t="s">
        <v>117</v>
      </c>
      <c r="BR1002" s="35" t="s">
        <v>134</v>
      </c>
      <c r="BS1002" s="35" t="s">
        <v>312</v>
      </c>
      <c r="BT1002" s="35" t="s">
        <v>312</v>
      </c>
      <c r="BU1002" s="35">
        <v>2001</v>
      </c>
      <c r="BV1002" s="35">
        <v>2007</v>
      </c>
      <c r="BW1002" s="35" t="s">
        <v>901</v>
      </c>
      <c r="BX1002" s="35" t="s">
        <v>95</v>
      </c>
      <c r="BY1002" s="35" t="s">
        <v>748</v>
      </c>
      <c r="BZ1002" s="35">
        <v>1</v>
      </c>
      <c r="CA1002" s="35">
        <v>1</v>
      </c>
      <c r="CB1002" s="35" t="s">
        <v>2005</v>
      </c>
      <c r="CC1002" s="35" t="s">
        <v>1933</v>
      </c>
      <c r="CD1002" s="35">
        <v>1</v>
      </c>
      <c r="CE1002" s="35" t="s">
        <v>435</v>
      </c>
      <c r="CF1002" s="35">
        <v>0</v>
      </c>
      <c r="CG1002" s="35" t="s">
        <v>97</v>
      </c>
      <c r="CH1002" s="35">
        <v>0</v>
      </c>
      <c r="CI1002" s="35" t="s">
        <v>1402</v>
      </c>
      <c r="CJ1002" s="35" t="s">
        <v>98</v>
      </c>
      <c r="CK1002" s="35">
        <v>16</v>
      </c>
      <c r="CL1002" s="35">
        <v>0</v>
      </c>
      <c r="CM1002" s="35">
        <v>0</v>
      </c>
      <c r="CN1002" s="35" t="s">
        <v>124</v>
      </c>
      <c r="CO1002" s="35" t="s">
        <v>97</v>
      </c>
      <c r="CP1002" s="35" t="s">
        <v>100</v>
      </c>
      <c r="CQ1002" s="35" t="s">
        <v>126</v>
      </c>
      <c r="CR1002" s="36">
        <v>46252</v>
      </c>
      <c r="CT1002" s="35" t="s">
        <v>451</v>
      </c>
    </row>
    <row r="1003" spans="1:98" s="35" customFormat="1" x14ac:dyDescent="0.35">
      <c r="A1003" s="34" t="s">
        <v>1977</v>
      </c>
      <c r="B1003" s="34" t="s">
        <v>1995</v>
      </c>
      <c r="C1003" s="35" t="s">
        <v>1913</v>
      </c>
      <c r="D1003" s="35">
        <v>2022</v>
      </c>
      <c r="E1003" s="37" t="s">
        <v>1978</v>
      </c>
      <c r="F1003" s="34" t="s">
        <v>1979</v>
      </c>
      <c r="G1003" s="35" t="s">
        <v>78</v>
      </c>
      <c r="H1003" s="35">
        <v>1</v>
      </c>
      <c r="I1003" s="35" t="s">
        <v>290</v>
      </c>
      <c r="J1003" s="35" t="s">
        <v>79</v>
      </c>
      <c r="K1003" s="35">
        <v>62</v>
      </c>
      <c r="L1003" s="35" t="s">
        <v>104</v>
      </c>
      <c r="M1003" s="35" t="s">
        <v>380</v>
      </c>
      <c r="N1003" s="35">
        <v>2.5999999999999999E-3</v>
      </c>
      <c r="O1003" s="35">
        <v>3.8E-3</v>
      </c>
      <c r="P1003" s="89">
        <f t="shared" si="407"/>
        <v>0.68421052631578949</v>
      </c>
      <c r="Q1003" s="35" t="s">
        <v>312</v>
      </c>
      <c r="R1003" s="89">
        <f t="shared" si="408"/>
        <v>-4.8479999999999999E-3</v>
      </c>
      <c r="S1003" s="89">
        <f t="shared" si="409"/>
        <v>1.0048E-2</v>
      </c>
      <c r="T1003" s="35">
        <v>1</v>
      </c>
      <c r="U1003" s="35">
        <v>243368</v>
      </c>
      <c r="V1003" s="35" t="s">
        <v>312</v>
      </c>
      <c r="W1003" s="35" t="s">
        <v>312</v>
      </c>
      <c r="X1003" s="35">
        <f t="shared" si="416"/>
        <v>243368</v>
      </c>
      <c r="Y1003" s="89">
        <f t="shared" si="410"/>
        <v>1.3869397557308575E-3</v>
      </c>
      <c r="Z1003" s="89">
        <f t="shared" si="411"/>
        <v>2.027065796837407E-3</v>
      </c>
      <c r="AA1003" s="89">
        <f t="shared" si="413"/>
        <v>1.3869397557308575E-3</v>
      </c>
      <c r="AB1003" s="35" t="s">
        <v>81</v>
      </c>
      <c r="AC1003" s="89">
        <f t="shared" si="417"/>
        <v>0.27065999999999996</v>
      </c>
      <c r="AD1003" s="89" cm="1">
        <f t="array" ref="AD1003">_xlfn.IFS(
AND(L1003="marginal_effect",M1003="level"),N1003*AN1003/BF1003,
AND(L1003="marginal_effect",M1003="sd (Y)"),N1003*BI1003*AN1003/BF1003,
AND(L1003="marginal_effect",M1003="sd (X)"),N1003/AQ1003*AN1003/BF1003,
AND(L1003="semi_elasticity",M1003="level"),N1003*AN1003,
AND(L1003="semi_elasticity",M1003="sd (Y)"),N1003*AN1003*BI1003,
AND(L1003="semi_elasticity",M1003="sd (X)"),N1003*AN1003/AQ1003,
AND(L1003="level-log",M1003="level"),N1003/BF1003,
AND(L1003="level-log",M1003="sd (X)"),N1003/BF1003/AQ1003,
AND(L1003="level-log",M1003="sd (Y)"),N1003/BF1003*BI1003,
AND(L1003="elasticity",M1003="level"),N1003,
AND(L1003="elasticity",M1003="sd (X)"),N1003/AQ1003,
AND(L1003="elasticity",M1003="sd (Y)"),N1003*BI1003,
AND(L1003="marginal_effect",M1003="percent_of_mean"),N1003*AN1003/BF1003/10)</f>
        <v>0.27065999999999996</v>
      </c>
      <c r="AE1003" s="49">
        <f t="shared" si="414"/>
        <v>1</v>
      </c>
      <c r="AF1003" s="89">
        <f t="shared" si="418"/>
        <v>0.39557999999999999</v>
      </c>
      <c r="AG1003" s="89" cm="1">
        <f t="array" ref="AG1003">_xlfn.IFS(
AND(L1003="marginal_effect",M1003="level"),O1003*AN1003/BF1003,
AND(L1003="marginal_effect",M1003="sd (Y)"),O1003*BI1003*AN1003/BF1003,
AND(L1003="marginal_effect",M1003="sd (X)"),O1003/AQ1003*AN1003/BF1003,
AND(L1003="semi_elasticity",M1003="level"),O1003*AN1003,
AND(L1003="semi_elasticity",M1003="sd (Y)"),O1003*AN1003*BI1003,
AND(L1003="semi_elasticity",M1003="sd (X)"),O1003*AN1003/AQ1003,
AND(L1003="level-log",M1003="level"),O1003/BF1003,
AND(L1003="level-log",M1003="sd (X)"),O1003/BF1003/AQ1003,
AND(L1003="level-log",M1003="sd (Y)"),O1003/BF1003*BI1003,
AND(L1003="elasticity",M1003="level"),O1003,
AND(L1003="elasticity",M1003="sd (X)"),O1003/AQ1003,
AND(L1003="elasticity",M1003="sd (Y)"),O1003*BI1003,
AND(L1003="marginal_effect",M1003="percent_of_mean"),O1003*AN1003/BF1003/10)</f>
        <v>0.39557999999999999</v>
      </c>
      <c r="AH1003" s="49">
        <f t="shared" ref="AH1003:AH1034" si="419">IF(AF1003=AG1003,1,0)</f>
        <v>1</v>
      </c>
      <c r="AI1003" s="89">
        <f t="shared" si="415"/>
        <v>0.27065999999999996</v>
      </c>
      <c r="AJ1003" s="35">
        <v>0</v>
      </c>
      <c r="AK1003" s="35">
        <f t="shared" si="412"/>
        <v>1</v>
      </c>
      <c r="AL1003" s="35" t="s">
        <v>106</v>
      </c>
      <c r="AM1003" s="35" t="s">
        <v>1333</v>
      </c>
      <c r="AN1003" s="35">
        <v>104.1</v>
      </c>
      <c r="AO1003" s="35">
        <v>0</v>
      </c>
      <c r="AP1003" s="35">
        <v>104.1</v>
      </c>
      <c r="AQ1003" s="35" t="s">
        <v>312</v>
      </c>
      <c r="AR1003" s="35" t="s">
        <v>312</v>
      </c>
      <c r="AS1003" s="35" t="s">
        <v>312</v>
      </c>
      <c r="AT1003" s="35" t="s">
        <v>83</v>
      </c>
      <c r="AU1003" s="35" t="s">
        <v>109</v>
      </c>
      <c r="AV1003" s="35" t="s">
        <v>133</v>
      </c>
      <c r="AW1003" s="35" t="s">
        <v>134</v>
      </c>
      <c r="AX1003" s="35" t="s">
        <v>86</v>
      </c>
      <c r="AY1003" s="35">
        <v>0</v>
      </c>
      <c r="AZ1003" s="35">
        <v>0</v>
      </c>
      <c r="BA1003" s="35" t="s">
        <v>391</v>
      </c>
      <c r="BB1003" s="35" t="s">
        <v>134</v>
      </c>
      <c r="BC1003" s="35" t="s">
        <v>134</v>
      </c>
      <c r="BD1003" s="35" t="s">
        <v>134</v>
      </c>
      <c r="BE1003" s="35" t="s">
        <v>1905</v>
      </c>
      <c r="BF1003" s="35">
        <v>119.7</v>
      </c>
      <c r="BG1003" s="35">
        <v>0</v>
      </c>
      <c r="BH1003" s="35">
        <v>216.2</v>
      </c>
      <c r="BI1003" s="35">
        <v>0.5</v>
      </c>
      <c r="BJ1003" s="35">
        <v>16247.6</v>
      </c>
      <c r="BK1003" s="35" t="s">
        <v>91</v>
      </c>
      <c r="BL1003" s="35" t="s">
        <v>116</v>
      </c>
      <c r="BM1003" s="35">
        <v>1</v>
      </c>
      <c r="BN1003" s="35" t="s">
        <v>2177</v>
      </c>
      <c r="BO1003" s="35" t="s">
        <v>312</v>
      </c>
      <c r="BP1003" s="35" t="s">
        <v>312</v>
      </c>
      <c r="BQ1003" s="35" t="s">
        <v>117</v>
      </c>
      <c r="BR1003" s="35" t="s">
        <v>134</v>
      </c>
      <c r="BS1003" s="35" t="s">
        <v>312</v>
      </c>
      <c r="BT1003" s="35" t="s">
        <v>312</v>
      </c>
      <c r="BU1003" s="35">
        <v>2001</v>
      </c>
      <c r="BV1003" s="35">
        <v>2007</v>
      </c>
      <c r="BW1003" s="35" t="s">
        <v>901</v>
      </c>
      <c r="BX1003" s="35" t="s">
        <v>95</v>
      </c>
      <c r="BY1003" s="35" t="s">
        <v>748</v>
      </c>
      <c r="BZ1003" s="35">
        <v>1</v>
      </c>
      <c r="CA1003" s="35">
        <v>1</v>
      </c>
      <c r="CB1003" s="35" t="s">
        <v>2005</v>
      </c>
      <c r="CC1003" s="35" t="s">
        <v>1933</v>
      </c>
      <c r="CD1003" s="35">
        <v>1</v>
      </c>
      <c r="CE1003" s="35" t="s">
        <v>435</v>
      </c>
      <c r="CF1003" s="35">
        <v>0</v>
      </c>
      <c r="CG1003" s="35" t="s">
        <v>97</v>
      </c>
      <c r="CH1003" s="35">
        <v>0</v>
      </c>
      <c r="CI1003" s="35" t="s">
        <v>1402</v>
      </c>
      <c r="CJ1003" s="35" t="s">
        <v>98</v>
      </c>
      <c r="CK1003" s="35">
        <v>16</v>
      </c>
      <c r="CL1003" s="35">
        <v>0</v>
      </c>
      <c r="CM1003" s="35">
        <v>0</v>
      </c>
      <c r="CN1003" s="35" t="s">
        <v>124</v>
      </c>
      <c r="CO1003" s="35" t="s">
        <v>97</v>
      </c>
      <c r="CP1003" s="35" t="s">
        <v>100</v>
      </c>
      <c r="CQ1003" s="35" t="s">
        <v>126</v>
      </c>
      <c r="CR1003" s="36">
        <v>46253</v>
      </c>
      <c r="CT1003" s="35" t="s">
        <v>704</v>
      </c>
    </row>
    <row r="1004" spans="1:98" s="35" customFormat="1" x14ac:dyDescent="0.35">
      <c r="A1004" s="34" t="s">
        <v>1977</v>
      </c>
      <c r="B1004" s="34" t="s">
        <v>1996</v>
      </c>
      <c r="C1004" s="35" t="s">
        <v>1913</v>
      </c>
      <c r="D1004" s="35">
        <v>2022</v>
      </c>
      <c r="E1004" s="37" t="s">
        <v>1978</v>
      </c>
      <c r="F1004" s="34" t="s">
        <v>1979</v>
      </c>
      <c r="G1004" s="35" t="s">
        <v>78</v>
      </c>
      <c r="H1004" s="35">
        <v>1</v>
      </c>
      <c r="I1004" s="35" t="s">
        <v>290</v>
      </c>
      <c r="J1004" s="35" t="s">
        <v>79</v>
      </c>
      <c r="K1004" s="35">
        <v>62</v>
      </c>
      <c r="L1004" s="35" t="s">
        <v>104</v>
      </c>
      <c r="M1004" s="35" t="s">
        <v>380</v>
      </c>
      <c r="N1004" s="35">
        <v>5.1999999999999998E-3</v>
      </c>
      <c r="O1004" s="35">
        <v>3.2000000000000002E-3</v>
      </c>
      <c r="P1004" s="89">
        <f t="shared" si="407"/>
        <v>1.6249999999999998</v>
      </c>
      <c r="Q1004" s="35" t="s">
        <v>312</v>
      </c>
      <c r="R1004" s="89">
        <f t="shared" si="408"/>
        <v>-1.072E-3</v>
      </c>
      <c r="S1004" s="89">
        <f t="shared" si="409"/>
        <v>1.1472E-2</v>
      </c>
      <c r="T1004" s="35">
        <v>1</v>
      </c>
      <c r="U1004" s="35">
        <v>264746</v>
      </c>
      <c r="V1004" s="35" t="s">
        <v>312</v>
      </c>
      <c r="W1004" s="35" t="s">
        <v>312</v>
      </c>
      <c r="X1004" s="35">
        <f t="shared" si="416"/>
        <v>264746</v>
      </c>
      <c r="Y1004" s="89">
        <f t="shared" si="410"/>
        <v>3.1581772145176453E-3</v>
      </c>
      <c r="Z1004" s="89">
        <f t="shared" si="411"/>
        <v>1.9434936704723973E-3</v>
      </c>
      <c r="AA1004" s="89">
        <f t="shared" si="413"/>
        <v>3.1581772145176453E-3</v>
      </c>
      <c r="AB1004" s="35" t="s">
        <v>81</v>
      </c>
      <c r="AC1004" s="89">
        <f t="shared" si="417"/>
        <v>0.57875999999999994</v>
      </c>
      <c r="AD1004" s="89" cm="1">
        <f t="array" ref="AD1004">_xlfn.IFS(
AND(L1004="marginal_effect",M1004="level"),N1004*AN1004/BF1004,
AND(L1004="marginal_effect",M1004="sd (Y)"),N1004*BI1004*AN1004/BF1004,
AND(L1004="marginal_effect",M1004="sd (X)"),N1004/AQ1004*AN1004/BF1004,
AND(L1004="semi_elasticity",M1004="level"),N1004*AN1004,
AND(L1004="semi_elasticity",M1004="sd (Y)"),N1004*AN1004*BI1004,
AND(L1004="semi_elasticity",M1004="sd (X)"),N1004*AN1004/AQ1004,
AND(L1004="level-log",M1004="level"),N1004/BF1004,
AND(L1004="level-log",M1004="sd (X)"),N1004/BF1004/AQ1004,
AND(L1004="level-log",M1004="sd (Y)"),N1004/BF1004*BI1004,
AND(L1004="elasticity",M1004="level"),N1004,
AND(L1004="elasticity",M1004="sd (X)"),N1004/AQ1004,
AND(L1004="elasticity",M1004="sd (Y)"),N1004*BI1004,
AND(L1004="marginal_effect",M1004="percent_of_mean"),N1004*AN1004/BF1004/10)</f>
        <v>0.57875999999999994</v>
      </c>
      <c r="AE1004" s="49">
        <f t="shared" si="414"/>
        <v>1</v>
      </c>
      <c r="AF1004" s="89">
        <f t="shared" si="418"/>
        <v>0.35616000000000003</v>
      </c>
      <c r="AG1004" s="89" cm="1">
        <f t="array" ref="AG1004">_xlfn.IFS(
AND(L1004="marginal_effect",M1004="level"),O1004*AN1004/BF1004,
AND(L1004="marginal_effect",M1004="sd (Y)"),O1004*BI1004*AN1004/BF1004,
AND(L1004="marginal_effect",M1004="sd (X)"),O1004/AQ1004*AN1004/BF1004,
AND(L1004="semi_elasticity",M1004="level"),O1004*AN1004,
AND(L1004="semi_elasticity",M1004="sd (Y)"),O1004*AN1004*BI1004,
AND(L1004="semi_elasticity",M1004="sd (X)"),O1004*AN1004/AQ1004,
AND(L1004="level-log",M1004="level"),O1004/BF1004,
AND(L1004="level-log",M1004="sd (X)"),O1004/BF1004/AQ1004,
AND(L1004="level-log",M1004="sd (Y)"),O1004/BF1004*BI1004,
AND(L1004="elasticity",M1004="level"),O1004,
AND(L1004="elasticity",M1004="sd (X)"),O1004/AQ1004,
AND(L1004="elasticity",M1004="sd (Y)"),O1004*BI1004,
AND(L1004="marginal_effect",M1004="percent_of_mean"),O1004*AN1004/BF1004/10)</f>
        <v>0.35616000000000003</v>
      </c>
      <c r="AH1004" s="49">
        <f t="shared" si="419"/>
        <v>1</v>
      </c>
      <c r="AI1004" s="89">
        <f t="shared" si="415"/>
        <v>0.57875999999999994</v>
      </c>
      <c r="AJ1004" s="35">
        <v>0</v>
      </c>
      <c r="AK1004" s="35">
        <f t="shared" si="412"/>
        <v>1</v>
      </c>
      <c r="AL1004" s="35" t="s">
        <v>106</v>
      </c>
      <c r="AM1004" s="35" t="s">
        <v>1333</v>
      </c>
      <c r="AN1004" s="35">
        <v>111.3</v>
      </c>
      <c r="AO1004" s="35">
        <v>0</v>
      </c>
      <c r="AP1004" s="35">
        <v>111.3</v>
      </c>
      <c r="AQ1004" s="35" t="s">
        <v>312</v>
      </c>
      <c r="AR1004" s="35" t="s">
        <v>312</v>
      </c>
      <c r="AS1004" s="35" t="s">
        <v>312</v>
      </c>
      <c r="AT1004" s="35" t="s">
        <v>83</v>
      </c>
      <c r="AU1004" s="35" t="s">
        <v>109</v>
      </c>
      <c r="AV1004" s="35" t="s">
        <v>133</v>
      </c>
      <c r="AW1004" s="35" t="s">
        <v>134</v>
      </c>
      <c r="AX1004" s="35" t="s">
        <v>86</v>
      </c>
      <c r="AY1004" s="35">
        <v>0</v>
      </c>
      <c r="AZ1004" s="35">
        <v>0</v>
      </c>
      <c r="BA1004" s="35" t="s">
        <v>391</v>
      </c>
      <c r="BB1004" s="35" t="s">
        <v>134</v>
      </c>
      <c r="BC1004" s="35" t="s">
        <v>134</v>
      </c>
      <c r="BD1004" s="35" t="s">
        <v>134</v>
      </c>
      <c r="BE1004" s="35" t="s">
        <v>1905</v>
      </c>
      <c r="BF1004" s="35">
        <v>119.7</v>
      </c>
      <c r="BG1004" s="35">
        <v>1</v>
      </c>
      <c r="BH1004" s="35">
        <v>216.2</v>
      </c>
      <c r="BI1004" s="35">
        <v>0.5</v>
      </c>
      <c r="BJ1004" s="35">
        <v>16247.6</v>
      </c>
      <c r="BK1004" s="35" t="s">
        <v>91</v>
      </c>
      <c r="BL1004" s="35" t="s">
        <v>116</v>
      </c>
      <c r="BM1004" s="35">
        <v>1</v>
      </c>
      <c r="BN1004" s="35" t="s">
        <v>2177</v>
      </c>
      <c r="BO1004" s="35" t="s">
        <v>312</v>
      </c>
      <c r="BP1004" s="35" t="s">
        <v>312</v>
      </c>
      <c r="BQ1004" s="35" t="s">
        <v>117</v>
      </c>
      <c r="BR1004" s="35" t="s">
        <v>134</v>
      </c>
      <c r="BS1004" s="35" t="s">
        <v>312</v>
      </c>
      <c r="BT1004" s="35" t="s">
        <v>312</v>
      </c>
      <c r="BU1004" s="35">
        <v>2001</v>
      </c>
      <c r="BV1004" s="35">
        <v>2007</v>
      </c>
      <c r="BW1004" s="35" t="s">
        <v>901</v>
      </c>
      <c r="BX1004" s="35" t="s">
        <v>95</v>
      </c>
      <c r="BY1004" s="35" t="s">
        <v>748</v>
      </c>
      <c r="BZ1004" s="35">
        <v>1</v>
      </c>
      <c r="CA1004" s="35">
        <v>1</v>
      </c>
      <c r="CB1004" s="35" t="s">
        <v>2005</v>
      </c>
      <c r="CC1004" s="35" t="s">
        <v>1933</v>
      </c>
      <c r="CD1004" s="35">
        <v>1</v>
      </c>
      <c r="CE1004" s="35" t="s">
        <v>435</v>
      </c>
      <c r="CF1004" s="35">
        <v>0</v>
      </c>
      <c r="CG1004" s="35" t="s">
        <v>97</v>
      </c>
      <c r="CH1004" s="35">
        <v>0</v>
      </c>
      <c r="CI1004" s="35" t="s">
        <v>1402</v>
      </c>
      <c r="CJ1004" s="35" t="s">
        <v>98</v>
      </c>
      <c r="CK1004" s="35">
        <v>16</v>
      </c>
      <c r="CL1004" s="35">
        <v>0</v>
      </c>
      <c r="CM1004" s="35">
        <v>0</v>
      </c>
      <c r="CN1004" s="35" t="s">
        <v>124</v>
      </c>
      <c r="CO1004" s="35" t="s">
        <v>97</v>
      </c>
      <c r="CP1004" s="35" t="s">
        <v>100</v>
      </c>
      <c r="CQ1004" s="35" t="s">
        <v>126</v>
      </c>
      <c r="CR1004" s="36">
        <v>46253</v>
      </c>
      <c r="CT1004" s="35" t="s">
        <v>457</v>
      </c>
    </row>
    <row r="1005" spans="1:98" s="35" customFormat="1" x14ac:dyDescent="0.35">
      <c r="A1005" s="34" t="s">
        <v>1977</v>
      </c>
      <c r="B1005" s="34" t="s">
        <v>1997</v>
      </c>
      <c r="C1005" s="35" t="s">
        <v>1913</v>
      </c>
      <c r="D1005" s="35">
        <v>2022</v>
      </c>
      <c r="E1005" s="37" t="s">
        <v>1978</v>
      </c>
      <c r="F1005" s="34" t="s">
        <v>1979</v>
      </c>
      <c r="G1005" s="35" t="s">
        <v>78</v>
      </c>
      <c r="H1005" s="35">
        <v>1</v>
      </c>
      <c r="I1005" s="35" t="s">
        <v>290</v>
      </c>
      <c r="J1005" s="35" t="s">
        <v>79</v>
      </c>
      <c r="K1005" s="35">
        <v>62</v>
      </c>
      <c r="L1005" s="35" t="s">
        <v>104</v>
      </c>
      <c r="M1005" s="35" t="s">
        <v>380</v>
      </c>
      <c r="N1005" s="35">
        <v>8.0000000000000002E-3</v>
      </c>
      <c r="O1005" s="35">
        <v>5.4999999999999997E-3</v>
      </c>
      <c r="P1005" s="89">
        <f t="shared" si="407"/>
        <v>1.4545454545454546</v>
      </c>
      <c r="Q1005" s="35" t="s">
        <v>312</v>
      </c>
      <c r="R1005" s="89">
        <f t="shared" si="408"/>
        <v>-2.7799999999999995E-3</v>
      </c>
      <c r="S1005" s="89">
        <f t="shared" si="409"/>
        <v>1.8779999999999998E-2</v>
      </c>
      <c r="T1005" s="35">
        <v>1</v>
      </c>
      <c r="U1005" s="35">
        <v>276528</v>
      </c>
      <c r="V1005" s="35" t="s">
        <v>312</v>
      </c>
      <c r="W1005" s="35" t="s">
        <v>312</v>
      </c>
      <c r="X1005" s="35">
        <f t="shared" si="416"/>
        <v>276528</v>
      </c>
      <c r="Y1005" s="89">
        <f t="shared" si="410"/>
        <v>2.7660248647905935E-3</v>
      </c>
      <c r="Z1005" s="89">
        <f t="shared" si="411"/>
        <v>1.901642094543533E-3</v>
      </c>
      <c r="AA1005" s="89">
        <f t="shared" si="413"/>
        <v>2.7660248647905935E-3</v>
      </c>
      <c r="AB1005" s="35" t="s">
        <v>81</v>
      </c>
      <c r="AC1005" s="89">
        <f t="shared" si="417"/>
        <v>0.82479999999999998</v>
      </c>
      <c r="AD1005" s="89" cm="1">
        <f t="array" ref="AD1005">_xlfn.IFS(
AND(L1005="marginal_effect",M1005="level"),N1005*AN1005/BF1005,
AND(L1005="marginal_effect",M1005="sd (Y)"),N1005*BI1005*AN1005/BF1005,
AND(L1005="marginal_effect",M1005="sd (X)"),N1005/AQ1005*AN1005/BF1005,
AND(L1005="semi_elasticity",M1005="level"),N1005*AN1005,
AND(L1005="semi_elasticity",M1005="sd (Y)"),N1005*AN1005*BI1005,
AND(L1005="semi_elasticity",M1005="sd (X)"),N1005*AN1005/AQ1005,
AND(L1005="level-log",M1005="level"),N1005/BF1005,
AND(L1005="level-log",M1005="sd (X)"),N1005/BF1005/AQ1005,
AND(L1005="level-log",M1005="sd (Y)"),N1005/BF1005*BI1005,
AND(L1005="elasticity",M1005="level"),N1005,
AND(L1005="elasticity",M1005="sd (X)"),N1005/AQ1005,
AND(L1005="elasticity",M1005="sd (Y)"),N1005*BI1005,
AND(L1005="marginal_effect",M1005="percent_of_mean"),N1005*AN1005/BF1005/10)</f>
        <v>0.82479999999999998</v>
      </c>
      <c r="AE1005" s="49">
        <f t="shared" si="414"/>
        <v>1</v>
      </c>
      <c r="AF1005" s="89">
        <f t="shared" si="418"/>
        <v>0.56704999999999994</v>
      </c>
      <c r="AG1005" s="89" cm="1">
        <f t="array" ref="AG1005">_xlfn.IFS(
AND(L1005="marginal_effect",M1005="level"),O1005*AN1005/BF1005,
AND(L1005="marginal_effect",M1005="sd (Y)"),O1005*BI1005*AN1005/BF1005,
AND(L1005="marginal_effect",M1005="sd (X)"),O1005/AQ1005*AN1005/BF1005,
AND(L1005="semi_elasticity",M1005="level"),O1005*AN1005,
AND(L1005="semi_elasticity",M1005="sd (Y)"),O1005*AN1005*BI1005,
AND(L1005="semi_elasticity",M1005="sd (X)"),O1005*AN1005/AQ1005,
AND(L1005="level-log",M1005="level"),O1005/BF1005,
AND(L1005="level-log",M1005="sd (X)"),O1005/BF1005/AQ1005,
AND(L1005="level-log",M1005="sd (Y)"),O1005/BF1005*BI1005,
AND(L1005="elasticity",M1005="level"),O1005,
AND(L1005="elasticity",M1005="sd (X)"),O1005/AQ1005,
AND(L1005="elasticity",M1005="sd (Y)"),O1005*BI1005,
AND(L1005="marginal_effect",M1005="percent_of_mean"),O1005*AN1005/BF1005/10)</f>
        <v>0.56704999999999994</v>
      </c>
      <c r="AH1005" s="49">
        <f t="shared" si="419"/>
        <v>1</v>
      </c>
      <c r="AI1005" s="89">
        <f t="shared" si="415"/>
        <v>0.82479999999999998</v>
      </c>
      <c r="AJ1005" s="35">
        <v>0</v>
      </c>
      <c r="AK1005" s="35">
        <f t="shared" si="412"/>
        <v>1</v>
      </c>
      <c r="AL1005" s="35" t="s">
        <v>106</v>
      </c>
      <c r="AM1005" s="35" t="s">
        <v>1333</v>
      </c>
      <c r="AN1005" s="35">
        <v>103.1</v>
      </c>
      <c r="AO1005" s="35">
        <v>0</v>
      </c>
      <c r="AP1005" s="35">
        <v>103.1</v>
      </c>
      <c r="AQ1005" s="35" t="s">
        <v>312</v>
      </c>
      <c r="AR1005" s="35" t="s">
        <v>312</v>
      </c>
      <c r="AS1005" s="35" t="s">
        <v>312</v>
      </c>
      <c r="AT1005" s="35" t="s">
        <v>83</v>
      </c>
      <c r="AU1005" s="35" t="s">
        <v>109</v>
      </c>
      <c r="AV1005" s="35" t="s">
        <v>133</v>
      </c>
      <c r="AW1005" s="35" t="s">
        <v>134</v>
      </c>
      <c r="AX1005" s="35" t="s">
        <v>86</v>
      </c>
      <c r="AY1005" s="35">
        <v>0</v>
      </c>
      <c r="AZ1005" s="35">
        <v>0</v>
      </c>
      <c r="BA1005" s="35" t="s">
        <v>391</v>
      </c>
      <c r="BB1005" s="35" t="s">
        <v>134</v>
      </c>
      <c r="BC1005" s="35" t="s">
        <v>134</v>
      </c>
      <c r="BD1005" s="35" t="s">
        <v>134</v>
      </c>
      <c r="BE1005" s="35" t="s">
        <v>1905</v>
      </c>
      <c r="BF1005" s="35">
        <v>118.71599999999999</v>
      </c>
      <c r="BG1005" s="35">
        <v>1</v>
      </c>
      <c r="BH1005" s="35">
        <v>219.9</v>
      </c>
      <c r="BI1005" s="35">
        <v>0.1</v>
      </c>
      <c r="BJ1005" s="35">
        <v>16247.6</v>
      </c>
      <c r="BK1005" s="35" t="s">
        <v>91</v>
      </c>
      <c r="BL1005" s="35" t="s">
        <v>116</v>
      </c>
      <c r="BM1005" s="35">
        <v>1</v>
      </c>
      <c r="BN1005" s="35" t="s">
        <v>2177</v>
      </c>
      <c r="BO1005" s="35" t="s">
        <v>312</v>
      </c>
      <c r="BP1005" s="35" t="s">
        <v>312</v>
      </c>
      <c r="BQ1005" s="35" t="s">
        <v>117</v>
      </c>
      <c r="BR1005" s="35" t="s">
        <v>134</v>
      </c>
      <c r="BS1005" s="35" t="s">
        <v>312</v>
      </c>
      <c r="BT1005" s="35" t="s">
        <v>312</v>
      </c>
      <c r="BU1005" s="35">
        <v>2001</v>
      </c>
      <c r="BV1005" s="35">
        <v>2007</v>
      </c>
      <c r="BW1005" s="35" t="s">
        <v>901</v>
      </c>
      <c r="BX1005" s="35" t="s">
        <v>95</v>
      </c>
      <c r="BY1005" s="35" t="s">
        <v>748</v>
      </c>
      <c r="BZ1005" s="35">
        <v>1</v>
      </c>
      <c r="CA1005" s="35">
        <v>1</v>
      </c>
      <c r="CB1005" s="35" t="s">
        <v>2005</v>
      </c>
      <c r="CC1005" s="35" t="s">
        <v>1933</v>
      </c>
      <c r="CD1005" s="35">
        <v>1</v>
      </c>
      <c r="CE1005" s="35" t="s">
        <v>435</v>
      </c>
      <c r="CF1005" s="35">
        <v>0</v>
      </c>
      <c r="CG1005" s="35" t="s">
        <v>97</v>
      </c>
      <c r="CH1005" s="35">
        <v>0</v>
      </c>
      <c r="CI1005" s="35" t="s">
        <v>1402</v>
      </c>
      <c r="CJ1005" s="35" t="s">
        <v>98</v>
      </c>
      <c r="CK1005" s="35">
        <v>16</v>
      </c>
      <c r="CL1005" s="35">
        <v>0</v>
      </c>
      <c r="CM1005" s="35">
        <v>0</v>
      </c>
      <c r="CN1005" s="35" t="s">
        <v>124</v>
      </c>
      <c r="CO1005" s="35" t="s">
        <v>97</v>
      </c>
      <c r="CP1005" s="35" t="s">
        <v>100</v>
      </c>
      <c r="CQ1005" s="35" t="s">
        <v>126</v>
      </c>
      <c r="CR1005" s="36">
        <v>46253</v>
      </c>
      <c r="CT1005" s="35" t="s">
        <v>660</v>
      </c>
    </row>
    <row r="1006" spans="1:98" s="35" customFormat="1" x14ac:dyDescent="0.35">
      <c r="A1006" s="34" t="s">
        <v>1977</v>
      </c>
      <c r="B1006" s="34" t="s">
        <v>1998</v>
      </c>
      <c r="C1006" s="35" t="s">
        <v>1913</v>
      </c>
      <c r="D1006" s="35">
        <v>2022</v>
      </c>
      <c r="E1006" s="37" t="s">
        <v>1978</v>
      </c>
      <c r="F1006" s="34" t="s">
        <v>1979</v>
      </c>
      <c r="G1006" s="35" t="s">
        <v>78</v>
      </c>
      <c r="H1006" s="35">
        <v>1</v>
      </c>
      <c r="I1006" s="35" t="s">
        <v>290</v>
      </c>
      <c r="J1006" s="35" t="s">
        <v>79</v>
      </c>
      <c r="K1006" s="35">
        <v>62</v>
      </c>
      <c r="L1006" s="35" t="s">
        <v>104</v>
      </c>
      <c r="M1006" s="35" t="s">
        <v>380</v>
      </c>
      <c r="N1006" s="35">
        <v>6.4999999999999997E-3</v>
      </c>
      <c r="O1006" s="35">
        <v>4.0000000000000001E-3</v>
      </c>
      <c r="P1006" s="89">
        <f t="shared" si="407"/>
        <v>1.625</v>
      </c>
      <c r="Q1006" s="35" t="s">
        <v>312</v>
      </c>
      <c r="R1006" s="89">
        <f t="shared" si="408"/>
        <v>-1.34E-3</v>
      </c>
      <c r="S1006" s="89">
        <f t="shared" si="409"/>
        <v>1.4339999999999999E-2</v>
      </c>
      <c r="T1006" s="35">
        <v>1</v>
      </c>
      <c r="U1006" s="35">
        <v>291339</v>
      </c>
      <c r="V1006" s="35" t="s">
        <v>312</v>
      </c>
      <c r="W1006" s="35" t="s">
        <v>312</v>
      </c>
      <c r="X1006" s="35">
        <f t="shared" si="416"/>
        <v>291339</v>
      </c>
      <c r="Y1006" s="89">
        <f t="shared" si="410"/>
        <v>3.0105932567828738E-3</v>
      </c>
      <c r="Z1006" s="89">
        <f t="shared" si="411"/>
        <v>1.8526727734048457E-3</v>
      </c>
      <c r="AA1006" s="89">
        <f t="shared" si="413"/>
        <v>3.0105932567828738E-3</v>
      </c>
      <c r="AB1006" s="35" t="s">
        <v>81</v>
      </c>
      <c r="AC1006" s="89">
        <f t="shared" si="417"/>
        <v>0.67664999999999997</v>
      </c>
      <c r="AD1006" s="89" cm="1">
        <f t="array" ref="AD1006">_xlfn.IFS(
AND(L1006="marginal_effect",M1006="level"),N1006*AN1006/BF1006,
AND(L1006="marginal_effect",M1006="sd (Y)"),N1006*BI1006*AN1006/BF1006,
AND(L1006="marginal_effect",M1006="sd (X)"),N1006/AQ1006*AN1006/BF1006,
AND(L1006="semi_elasticity",M1006="level"),N1006*AN1006,
AND(L1006="semi_elasticity",M1006="sd (Y)"),N1006*AN1006*BI1006,
AND(L1006="semi_elasticity",M1006="sd (X)"),N1006*AN1006/AQ1006,
AND(L1006="level-log",M1006="level"),N1006/BF1006,
AND(L1006="level-log",M1006="sd (X)"),N1006/BF1006/AQ1006,
AND(L1006="level-log",M1006="sd (Y)"),N1006/BF1006*BI1006,
AND(L1006="elasticity",M1006="level"),N1006,
AND(L1006="elasticity",M1006="sd (X)"),N1006/AQ1006,
AND(L1006="elasticity",M1006="sd (Y)"),N1006*BI1006,
AND(L1006="marginal_effect",M1006="percent_of_mean"),N1006*AN1006/BF1006/10)</f>
        <v>0.67664999999999997</v>
      </c>
      <c r="AE1006" s="49">
        <f t="shared" si="414"/>
        <v>1</v>
      </c>
      <c r="AF1006" s="89">
        <f t="shared" si="418"/>
        <v>0.41639999999999999</v>
      </c>
      <c r="AG1006" s="89" cm="1">
        <f t="array" ref="AG1006">_xlfn.IFS(
AND(L1006="marginal_effect",M1006="level"),O1006*AN1006/BF1006,
AND(L1006="marginal_effect",M1006="sd (Y)"),O1006*BI1006*AN1006/BF1006,
AND(L1006="marginal_effect",M1006="sd (X)"),O1006/AQ1006*AN1006/BF1006,
AND(L1006="semi_elasticity",M1006="level"),O1006*AN1006,
AND(L1006="semi_elasticity",M1006="sd (Y)"),O1006*AN1006*BI1006,
AND(L1006="semi_elasticity",M1006="sd (X)"),O1006*AN1006/AQ1006,
AND(L1006="level-log",M1006="level"),O1006/BF1006,
AND(L1006="level-log",M1006="sd (X)"),O1006/BF1006/AQ1006,
AND(L1006="level-log",M1006="sd (Y)"),O1006/BF1006*BI1006,
AND(L1006="elasticity",M1006="level"),O1006,
AND(L1006="elasticity",M1006="sd (X)"),O1006/AQ1006,
AND(L1006="elasticity",M1006="sd (Y)"),O1006*BI1006,
AND(L1006="marginal_effect",M1006="percent_of_mean"),O1006*AN1006/BF1006/10)</f>
        <v>0.41639999999999999</v>
      </c>
      <c r="AH1006" s="49">
        <f t="shared" si="419"/>
        <v>1</v>
      </c>
      <c r="AI1006" s="89">
        <f t="shared" si="415"/>
        <v>0.67664999999999997</v>
      </c>
      <c r="AJ1006" s="35">
        <v>0</v>
      </c>
      <c r="AK1006" s="35">
        <f t="shared" si="412"/>
        <v>1</v>
      </c>
      <c r="AL1006" s="35" t="s">
        <v>106</v>
      </c>
      <c r="AM1006" s="35" t="s">
        <v>1333</v>
      </c>
      <c r="AN1006" s="35">
        <v>104.1</v>
      </c>
      <c r="AO1006" s="35">
        <v>0</v>
      </c>
      <c r="AP1006" s="35">
        <v>104.1</v>
      </c>
      <c r="AQ1006" s="35" t="s">
        <v>312</v>
      </c>
      <c r="AR1006" s="35" t="s">
        <v>312</v>
      </c>
      <c r="AS1006" s="35" t="s">
        <v>312</v>
      </c>
      <c r="AT1006" s="35" t="s">
        <v>83</v>
      </c>
      <c r="AU1006" s="35" t="s">
        <v>109</v>
      </c>
      <c r="AV1006" s="35" t="s">
        <v>133</v>
      </c>
      <c r="AW1006" s="35" t="s">
        <v>134</v>
      </c>
      <c r="AX1006" s="35" t="s">
        <v>86</v>
      </c>
      <c r="AY1006" s="35">
        <v>0</v>
      </c>
      <c r="AZ1006" s="35">
        <v>0</v>
      </c>
      <c r="BA1006" s="35" t="s">
        <v>391</v>
      </c>
      <c r="BB1006" s="35" t="s">
        <v>134</v>
      </c>
      <c r="BC1006" s="35" t="s">
        <v>134</v>
      </c>
      <c r="BD1006" s="35" t="s">
        <v>134</v>
      </c>
      <c r="BE1006" s="35" t="s">
        <v>1905</v>
      </c>
      <c r="BF1006" s="35">
        <v>118.71599999999999</v>
      </c>
      <c r="BG1006" s="35">
        <v>0</v>
      </c>
      <c r="BH1006" s="35">
        <v>219.9</v>
      </c>
      <c r="BI1006" s="35">
        <v>0.1</v>
      </c>
      <c r="BJ1006" s="35">
        <v>16247.6</v>
      </c>
      <c r="BK1006" s="35" t="s">
        <v>91</v>
      </c>
      <c r="BL1006" s="35" t="s">
        <v>116</v>
      </c>
      <c r="BM1006" s="35">
        <v>1</v>
      </c>
      <c r="BN1006" s="35" t="s">
        <v>2177</v>
      </c>
      <c r="BO1006" s="35" t="s">
        <v>312</v>
      </c>
      <c r="BP1006" s="35" t="s">
        <v>312</v>
      </c>
      <c r="BQ1006" s="35" t="s">
        <v>117</v>
      </c>
      <c r="BR1006" s="35" t="s">
        <v>134</v>
      </c>
      <c r="BS1006" s="35" t="s">
        <v>312</v>
      </c>
      <c r="BT1006" s="35" t="s">
        <v>312</v>
      </c>
      <c r="BU1006" s="35">
        <v>2001</v>
      </c>
      <c r="BV1006" s="35">
        <v>2007</v>
      </c>
      <c r="BW1006" s="35" t="s">
        <v>901</v>
      </c>
      <c r="BX1006" s="35" t="s">
        <v>95</v>
      </c>
      <c r="BY1006" s="35" t="s">
        <v>748</v>
      </c>
      <c r="BZ1006" s="35">
        <v>1</v>
      </c>
      <c r="CA1006" s="35">
        <v>1</v>
      </c>
      <c r="CB1006" s="35" t="s">
        <v>2005</v>
      </c>
      <c r="CC1006" s="35" t="s">
        <v>1933</v>
      </c>
      <c r="CD1006" s="35">
        <v>1</v>
      </c>
      <c r="CE1006" s="35" t="s">
        <v>435</v>
      </c>
      <c r="CF1006" s="35">
        <v>0</v>
      </c>
      <c r="CG1006" s="35" t="s">
        <v>97</v>
      </c>
      <c r="CH1006" s="35">
        <v>0</v>
      </c>
      <c r="CI1006" s="35" t="s">
        <v>1402</v>
      </c>
      <c r="CJ1006" s="35" t="s">
        <v>98</v>
      </c>
      <c r="CK1006" s="35">
        <v>16</v>
      </c>
      <c r="CL1006" s="35">
        <v>0</v>
      </c>
      <c r="CM1006" s="35">
        <v>0</v>
      </c>
      <c r="CN1006" s="35" t="s">
        <v>124</v>
      </c>
      <c r="CO1006" s="35" t="s">
        <v>97</v>
      </c>
      <c r="CP1006" s="35" t="s">
        <v>100</v>
      </c>
      <c r="CQ1006" s="35" t="s">
        <v>126</v>
      </c>
      <c r="CR1006" s="36">
        <v>46253</v>
      </c>
      <c r="CT1006" s="35" t="s">
        <v>661</v>
      </c>
    </row>
    <row r="1007" spans="1:98" s="35" customFormat="1" x14ac:dyDescent="0.35">
      <c r="A1007" s="34" t="s">
        <v>1977</v>
      </c>
      <c r="B1007" s="34" t="s">
        <v>1999</v>
      </c>
      <c r="C1007" s="35" t="s">
        <v>1913</v>
      </c>
      <c r="D1007" s="35">
        <v>2022</v>
      </c>
      <c r="E1007" s="37" t="s">
        <v>1978</v>
      </c>
      <c r="F1007" s="34" t="s">
        <v>1979</v>
      </c>
      <c r="G1007" s="35" t="s">
        <v>78</v>
      </c>
      <c r="H1007" s="35">
        <v>1</v>
      </c>
      <c r="I1007" s="35" t="s">
        <v>290</v>
      </c>
      <c r="J1007" s="35" t="s">
        <v>79</v>
      </c>
      <c r="K1007" s="35">
        <v>62</v>
      </c>
      <c r="L1007" s="35" t="s">
        <v>104</v>
      </c>
      <c r="M1007" s="35" t="s">
        <v>380</v>
      </c>
      <c r="N1007" s="35">
        <v>-2.0999999999999999E-3</v>
      </c>
      <c r="O1007" s="35">
        <v>1.1999999999999999E-3</v>
      </c>
      <c r="P1007" s="89">
        <f t="shared" si="407"/>
        <v>-1.75</v>
      </c>
      <c r="Q1007" s="35" t="s">
        <v>312</v>
      </c>
      <c r="R1007" s="89">
        <f t="shared" si="408"/>
        <v>-4.4519999999999994E-3</v>
      </c>
      <c r="S1007" s="89">
        <f t="shared" si="409"/>
        <v>2.5200000000000005E-4</v>
      </c>
      <c r="T1007" s="35">
        <v>1</v>
      </c>
      <c r="U1007" s="35">
        <v>291339</v>
      </c>
      <c r="V1007" s="35" t="s">
        <v>312</v>
      </c>
      <c r="W1007" s="35" t="s">
        <v>312</v>
      </c>
      <c r="X1007" s="35">
        <f t="shared" si="416"/>
        <v>291339</v>
      </c>
      <c r="Y1007" s="89">
        <f t="shared" si="410"/>
        <v>-3.2421750060561611E-3</v>
      </c>
      <c r="Z1007" s="89">
        <f t="shared" si="411"/>
        <v>1.8526714320320919E-3</v>
      </c>
      <c r="AA1007" s="89">
        <f t="shared" si="413"/>
        <v>-3.2421750060561611E-3</v>
      </c>
      <c r="AB1007" s="35" t="s">
        <v>81</v>
      </c>
      <c r="AC1007" s="89">
        <f t="shared" si="417"/>
        <v>-0.21860999999999997</v>
      </c>
      <c r="AD1007" s="89" cm="1">
        <f t="array" ref="AD1007">_xlfn.IFS(
AND(L1007="marginal_effect",M1007="level"),N1007*AN1007/BF1007,
AND(L1007="marginal_effect",M1007="sd (Y)"),N1007*BI1007*AN1007/BF1007,
AND(L1007="marginal_effect",M1007="sd (X)"),N1007/AQ1007*AN1007/BF1007,
AND(L1007="semi_elasticity",M1007="level"),N1007*AN1007,
AND(L1007="semi_elasticity",M1007="sd (Y)"),N1007*AN1007*BI1007,
AND(L1007="semi_elasticity",M1007="sd (X)"),N1007*AN1007/AQ1007,
AND(L1007="level-log",M1007="level"),N1007/BF1007,
AND(L1007="level-log",M1007="sd (X)"),N1007/BF1007/AQ1007,
AND(L1007="level-log",M1007="sd (Y)"),N1007/BF1007*BI1007,
AND(L1007="elasticity",M1007="level"),N1007,
AND(L1007="elasticity",M1007="sd (X)"),N1007/AQ1007,
AND(L1007="elasticity",M1007="sd (Y)"),N1007*BI1007,
AND(L1007="marginal_effect",M1007="percent_of_mean"),N1007*AN1007/BF1007/10)</f>
        <v>-0.21860999999999997</v>
      </c>
      <c r="AE1007" s="49">
        <f t="shared" si="414"/>
        <v>1</v>
      </c>
      <c r="AF1007" s="89">
        <f t="shared" si="418"/>
        <v>0.12491999999999998</v>
      </c>
      <c r="AG1007" s="89" cm="1">
        <f t="array" ref="AG1007">_xlfn.IFS(
AND(L1007="marginal_effect",M1007="level"),O1007*AN1007/BF1007,
AND(L1007="marginal_effect",M1007="sd (Y)"),O1007*BI1007*AN1007/BF1007,
AND(L1007="marginal_effect",M1007="sd (X)"),O1007/AQ1007*AN1007/BF1007,
AND(L1007="semi_elasticity",M1007="level"),O1007*AN1007,
AND(L1007="semi_elasticity",M1007="sd (Y)"),O1007*AN1007*BI1007,
AND(L1007="semi_elasticity",M1007="sd (X)"),O1007*AN1007/AQ1007,
AND(L1007="level-log",M1007="level"),O1007/BF1007,
AND(L1007="level-log",M1007="sd (X)"),O1007/BF1007/AQ1007,
AND(L1007="level-log",M1007="sd (Y)"),O1007/BF1007*BI1007,
AND(L1007="elasticity",M1007="level"),O1007,
AND(L1007="elasticity",M1007="sd (X)"),O1007/AQ1007,
AND(L1007="elasticity",M1007="sd (Y)"),O1007*BI1007,
AND(L1007="marginal_effect",M1007="percent_of_mean"),O1007*AN1007/BF1007/10)</f>
        <v>0.12491999999999998</v>
      </c>
      <c r="AH1007" s="49">
        <f t="shared" si="419"/>
        <v>1</v>
      </c>
      <c r="AI1007" s="89">
        <f t="shared" si="415"/>
        <v>-0.21860999999999997</v>
      </c>
      <c r="AJ1007" s="35">
        <v>0</v>
      </c>
      <c r="AK1007" s="35">
        <f t="shared" si="412"/>
        <v>1</v>
      </c>
      <c r="AL1007" s="35" t="s">
        <v>106</v>
      </c>
      <c r="AM1007" s="35" t="s">
        <v>1333</v>
      </c>
      <c r="AN1007" s="35">
        <v>104.1</v>
      </c>
      <c r="AO1007" s="35">
        <v>0</v>
      </c>
      <c r="AP1007" s="35">
        <v>104.1</v>
      </c>
      <c r="AQ1007" s="35" t="s">
        <v>312</v>
      </c>
      <c r="AR1007" s="35" t="s">
        <v>312</v>
      </c>
      <c r="AS1007" s="35" t="s">
        <v>312</v>
      </c>
      <c r="AT1007" s="35" t="s">
        <v>83</v>
      </c>
      <c r="AU1007" s="35" t="s">
        <v>109</v>
      </c>
      <c r="AV1007" s="35" t="s">
        <v>133</v>
      </c>
      <c r="AW1007" s="35" t="s">
        <v>134</v>
      </c>
      <c r="AX1007" s="35" t="s">
        <v>86</v>
      </c>
      <c r="AY1007" s="35">
        <v>0</v>
      </c>
      <c r="AZ1007" s="35">
        <v>0</v>
      </c>
      <c r="BA1007" s="35" t="s">
        <v>391</v>
      </c>
      <c r="BB1007" s="35" t="s">
        <v>134</v>
      </c>
      <c r="BC1007" s="35" t="s">
        <v>134</v>
      </c>
      <c r="BD1007" s="35" t="s">
        <v>134</v>
      </c>
      <c r="BE1007" s="35" t="s">
        <v>1905</v>
      </c>
      <c r="BF1007" s="35">
        <v>118.71599999999999</v>
      </c>
      <c r="BG1007" s="35">
        <v>0</v>
      </c>
      <c r="BH1007" s="35">
        <v>219.9</v>
      </c>
      <c r="BI1007" s="35">
        <v>0.1</v>
      </c>
      <c r="BJ1007" s="35">
        <v>16247.6</v>
      </c>
      <c r="BK1007" s="35" t="s">
        <v>91</v>
      </c>
      <c r="BL1007" s="35" t="s">
        <v>116</v>
      </c>
      <c r="BM1007" s="35">
        <v>1</v>
      </c>
      <c r="BN1007" s="35" t="s">
        <v>2177</v>
      </c>
      <c r="BO1007" s="35" t="s">
        <v>312</v>
      </c>
      <c r="BP1007" s="35" t="s">
        <v>312</v>
      </c>
      <c r="BQ1007" s="35" t="s">
        <v>117</v>
      </c>
      <c r="BR1007" s="35" t="s">
        <v>134</v>
      </c>
      <c r="BS1007" s="35" t="s">
        <v>312</v>
      </c>
      <c r="BT1007" s="35" t="s">
        <v>312</v>
      </c>
      <c r="BU1007" s="35">
        <v>2001</v>
      </c>
      <c r="BV1007" s="35">
        <v>2007</v>
      </c>
      <c r="BW1007" s="35" t="s">
        <v>901</v>
      </c>
      <c r="BX1007" s="35" t="s">
        <v>95</v>
      </c>
      <c r="BY1007" s="35" t="s">
        <v>748</v>
      </c>
      <c r="BZ1007" s="35">
        <v>1</v>
      </c>
      <c r="CA1007" s="35">
        <v>1</v>
      </c>
      <c r="CB1007" s="35" t="s">
        <v>2005</v>
      </c>
      <c r="CC1007" s="35" t="s">
        <v>1933</v>
      </c>
      <c r="CD1007" s="35">
        <v>1</v>
      </c>
      <c r="CE1007" s="35" t="s">
        <v>435</v>
      </c>
      <c r="CF1007" s="35">
        <v>0</v>
      </c>
      <c r="CG1007" s="35" t="s">
        <v>97</v>
      </c>
      <c r="CH1007" s="35">
        <v>0</v>
      </c>
      <c r="CI1007" s="35" t="s">
        <v>1402</v>
      </c>
      <c r="CJ1007" s="35" t="s">
        <v>98</v>
      </c>
      <c r="CK1007" s="35">
        <v>16</v>
      </c>
      <c r="CL1007" s="35">
        <v>0</v>
      </c>
      <c r="CM1007" s="35">
        <v>0</v>
      </c>
      <c r="CN1007" s="35" t="s">
        <v>124</v>
      </c>
      <c r="CO1007" s="35" t="s">
        <v>97</v>
      </c>
      <c r="CP1007" s="35" t="s">
        <v>100</v>
      </c>
      <c r="CQ1007" s="35" t="s">
        <v>126</v>
      </c>
      <c r="CR1007" s="36">
        <v>46253</v>
      </c>
      <c r="CT1007" s="35" t="s">
        <v>780</v>
      </c>
    </row>
    <row r="1008" spans="1:98" s="35" customFormat="1" x14ac:dyDescent="0.35">
      <c r="A1008" s="34" t="s">
        <v>1977</v>
      </c>
      <c r="B1008" s="34" t="s">
        <v>2000</v>
      </c>
      <c r="C1008" s="35" t="s">
        <v>1913</v>
      </c>
      <c r="D1008" s="35">
        <v>2022</v>
      </c>
      <c r="E1008" s="37" t="s">
        <v>1978</v>
      </c>
      <c r="F1008" s="34" t="s">
        <v>1979</v>
      </c>
      <c r="G1008" s="35" t="s">
        <v>78</v>
      </c>
      <c r="H1008" s="35">
        <v>1</v>
      </c>
      <c r="I1008" s="35" t="s">
        <v>290</v>
      </c>
      <c r="J1008" s="35" t="s">
        <v>79</v>
      </c>
      <c r="K1008" s="35">
        <v>62</v>
      </c>
      <c r="L1008" s="35" t="s">
        <v>104</v>
      </c>
      <c r="M1008" s="35" t="s">
        <v>380</v>
      </c>
      <c r="N1008" s="35">
        <v>-2.3999999999999998E-3</v>
      </c>
      <c r="O1008" s="35">
        <v>1.5E-3</v>
      </c>
      <c r="P1008" s="89">
        <f t="shared" si="407"/>
        <v>-1.5999999999999999</v>
      </c>
      <c r="Q1008" s="35" t="s">
        <v>312</v>
      </c>
      <c r="R1008" s="89">
        <f t="shared" si="408"/>
        <v>-5.3399999999999993E-3</v>
      </c>
      <c r="S1008" s="89">
        <f t="shared" si="409"/>
        <v>5.4000000000000012E-4</v>
      </c>
      <c r="T1008" s="35">
        <v>1</v>
      </c>
      <c r="U1008" s="35">
        <v>291339</v>
      </c>
      <c r="V1008" s="35" t="s">
        <v>312</v>
      </c>
      <c r="W1008" s="35" t="s">
        <v>312</v>
      </c>
      <c r="X1008" s="35">
        <f t="shared" si="416"/>
        <v>291339</v>
      </c>
      <c r="Y1008" s="89">
        <f t="shared" si="410"/>
        <v>-2.9642768476102629E-3</v>
      </c>
      <c r="Z1008" s="89">
        <f t="shared" si="411"/>
        <v>1.8526730297564146E-3</v>
      </c>
      <c r="AA1008" s="89">
        <f t="shared" si="413"/>
        <v>-2.9642768476102629E-3</v>
      </c>
      <c r="AB1008" s="35" t="s">
        <v>81</v>
      </c>
      <c r="AC1008" s="89">
        <f t="shared" si="417"/>
        <v>-0.24983999999999995</v>
      </c>
      <c r="AD1008" s="89" cm="1">
        <f t="array" ref="AD1008">_xlfn.IFS(
AND(L1008="marginal_effect",M1008="level"),N1008*AN1008/BF1008,
AND(L1008="marginal_effect",M1008="sd (Y)"),N1008*BI1008*AN1008/BF1008,
AND(L1008="marginal_effect",M1008="sd (X)"),N1008/AQ1008*AN1008/BF1008,
AND(L1008="semi_elasticity",M1008="level"),N1008*AN1008,
AND(L1008="semi_elasticity",M1008="sd (Y)"),N1008*AN1008*BI1008,
AND(L1008="semi_elasticity",M1008="sd (X)"),N1008*AN1008/AQ1008,
AND(L1008="level-log",M1008="level"),N1008/BF1008,
AND(L1008="level-log",M1008="sd (X)"),N1008/BF1008/AQ1008,
AND(L1008="level-log",M1008="sd (Y)"),N1008/BF1008*BI1008,
AND(L1008="elasticity",M1008="level"),N1008,
AND(L1008="elasticity",M1008="sd (X)"),N1008/AQ1008,
AND(L1008="elasticity",M1008="sd (Y)"),N1008*BI1008,
AND(L1008="marginal_effect",M1008="percent_of_mean"),N1008*AN1008/BF1008/10)</f>
        <v>-0.24983999999999995</v>
      </c>
      <c r="AE1008" s="49">
        <f t="shared" si="414"/>
        <v>1</v>
      </c>
      <c r="AF1008" s="89">
        <f t="shared" si="418"/>
        <v>0.15614999999999998</v>
      </c>
      <c r="AG1008" s="89" cm="1">
        <f t="array" ref="AG1008">_xlfn.IFS(
AND(L1008="marginal_effect",M1008="level"),O1008*AN1008/BF1008,
AND(L1008="marginal_effect",M1008="sd (Y)"),O1008*BI1008*AN1008/BF1008,
AND(L1008="marginal_effect",M1008="sd (X)"),O1008/AQ1008*AN1008/BF1008,
AND(L1008="semi_elasticity",M1008="level"),O1008*AN1008,
AND(L1008="semi_elasticity",M1008="sd (Y)"),O1008*AN1008*BI1008,
AND(L1008="semi_elasticity",M1008="sd (X)"),O1008*AN1008/AQ1008,
AND(L1008="level-log",M1008="level"),O1008/BF1008,
AND(L1008="level-log",M1008="sd (X)"),O1008/BF1008/AQ1008,
AND(L1008="level-log",M1008="sd (Y)"),O1008/BF1008*BI1008,
AND(L1008="elasticity",M1008="level"),O1008,
AND(L1008="elasticity",M1008="sd (X)"),O1008/AQ1008,
AND(L1008="elasticity",M1008="sd (Y)"),O1008*BI1008,
AND(L1008="marginal_effect",M1008="percent_of_mean"),O1008*AN1008/BF1008/10)</f>
        <v>0.15614999999999998</v>
      </c>
      <c r="AH1008" s="49">
        <f t="shared" si="419"/>
        <v>1</v>
      </c>
      <c r="AI1008" s="89">
        <f t="shared" si="415"/>
        <v>-0.24983999999999995</v>
      </c>
      <c r="AJ1008" s="35">
        <v>0</v>
      </c>
      <c r="AK1008" s="35">
        <f t="shared" si="412"/>
        <v>1</v>
      </c>
      <c r="AL1008" s="35" t="s">
        <v>106</v>
      </c>
      <c r="AM1008" s="35" t="s">
        <v>1333</v>
      </c>
      <c r="AN1008" s="35">
        <v>104.1</v>
      </c>
      <c r="AO1008" s="35">
        <v>0</v>
      </c>
      <c r="AP1008" s="35">
        <v>104.1</v>
      </c>
      <c r="AQ1008" s="35" t="s">
        <v>312</v>
      </c>
      <c r="AR1008" s="35" t="s">
        <v>312</v>
      </c>
      <c r="AS1008" s="35" t="s">
        <v>312</v>
      </c>
      <c r="AT1008" s="35" t="s">
        <v>83</v>
      </c>
      <c r="AU1008" s="35" t="s">
        <v>109</v>
      </c>
      <c r="AV1008" s="35" t="s">
        <v>133</v>
      </c>
      <c r="AW1008" s="35" t="s">
        <v>134</v>
      </c>
      <c r="AX1008" s="35" t="s">
        <v>86</v>
      </c>
      <c r="AY1008" s="35">
        <v>0</v>
      </c>
      <c r="AZ1008" s="35">
        <v>0</v>
      </c>
      <c r="BA1008" s="35" t="s">
        <v>391</v>
      </c>
      <c r="BB1008" s="35" t="s">
        <v>134</v>
      </c>
      <c r="BC1008" s="35" t="s">
        <v>134</v>
      </c>
      <c r="BD1008" s="35" t="s">
        <v>134</v>
      </c>
      <c r="BE1008" s="35" t="s">
        <v>1905</v>
      </c>
      <c r="BF1008" s="35">
        <v>118.71599999999999</v>
      </c>
      <c r="BG1008" s="35">
        <v>0</v>
      </c>
      <c r="BH1008" s="35">
        <v>219.9</v>
      </c>
      <c r="BI1008" s="35">
        <v>0.1</v>
      </c>
      <c r="BJ1008" s="35">
        <v>16247.6</v>
      </c>
      <c r="BK1008" s="35" t="s">
        <v>91</v>
      </c>
      <c r="BL1008" s="35" t="s">
        <v>116</v>
      </c>
      <c r="BM1008" s="35">
        <v>1</v>
      </c>
      <c r="BN1008" s="35" t="s">
        <v>2177</v>
      </c>
      <c r="BO1008" s="35" t="s">
        <v>312</v>
      </c>
      <c r="BP1008" s="35" t="s">
        <v>312</v>
      </c>
      <c r="BQ1008" s="35" t="s">
        <v>117</v>
      </c>
      <c r="BR1008" s="35" t="s">
        <v>134</v>
      </c>
      <c r="BS1008" s="35" t="s">
        <v>312</v>
      </c>
      <c r="BT1008" s="35" t="s">
        <v>312</v>
      </c>
      <c r="BU1008" s="35">
        <v>2001</v>
      </c>
      <c r="BV1008" s="35">
        <v>2007</v>
      </c>
      <c r="BW1008" s="35" t="s">
        <v>901</v>
      </c>
      <c r="BX1008" s="35" t="s">
        <v>95</v>
      </c>
      <c r="BY1008" s="35" t="s">
        <v>748</v>
      </c>
      <c r="BZ1008" s="35">
        <v>1</v>
      </c>
      <c r="CA1008" s="35">
        <v>1</v>
      </c>
      <c r="CB1008" s="35" t="s">
        <v>2005</v>
      </c>
      <c r="CC1008" s="35" t="s">
        <v>1933</v>
      </c>
      <c r="CD1008" s="35">
        <v>1</v>
      </c>
      <c r="CE1008" s="35" t="s">
        <v>435</v>
      </c>
      <c r="CF1008" s="35">
        <v>0</v>
      </c>
      <c r="CG1008" s="35" t="s">
        <v>97</v>
      </c>
      <c r="CH1008" s="35">
        <v>0</v>
      </c>
      <c r="CI1008" s="35" t="s">
        <v>1402</v>
      </c>
      <c r="CJ1008" s="35" t="s">
        <v>98</v>
      </c>
      <c r="CK1008" s="35">
        <v>16</v>
      </c>
      <c r="CL1008" s="35">
        <v>0</v>
      </c>
      <c r="CM1008" s="35">
        <v>0</v>
      </c>
      <c r="CN1008" s="35" t="s">
        <v>124</v>
      </c>
      <c r="CO1008" s="35" t="s">
        <v>97</v>
      </c>
      <c r="CP1008" s="35" t="s">
        <v>100</v>
      </c>
      <c r="CQ1008" s="35" t="s">
        <v>126</v>
      </c>
      <c r="CR1008" s="36">
        <v>46253</v>
      </c>
      <c r="CT1008" s="35" t="s">
        <v>673</v>
      </c>
    </row>
    <row r="1009" spans="1:98" s="35" customFormat="1" x14ac:dyDescent="0.35">
      <c r="A1009" s="34" t="s">
        <v>1977</v>
      </c>
      <c r="B1009" s="34" t="s">
        <v>2001</v>
      </c>
      <c r="C1009" s="35" t="s">
        <v>1913</v>
      </c>
      <c r="D1009" s="35">
        <v>2022</v>
      </c>
      <c r="E1009" s="37" t="s">
        <v>1978</v>
      </c>
      <c r="F1009" s="34" t="s">
        <v>1979</v>
      </c>
      <c r="G1009" s="35" t="s">
        <v>78</v>
      </c>
      <c r="H1009" s="35">
        <v>1</v>
      </c>
      <c r="I1009" s="35" t="s">
        <v>290</v>
      </c>
      <c r="J1009" s="35" t="s">
        <v>79</v>
      </c>
      <c r="K1009" s="35">
        <v>62</v>
      </c>
      <c r="L1009" s="35" t="s">
        <v>104</v>
      </c>
      <c r="M1009" s="35" t="s">
        <v>380</v>
      </c>
      <c r="N1009" s="35">
        <v>-1.6999999999999999E-3</v>
      </c>
      <c r="O1009" s="35">
        <v>1.5E-3</v>
      </c>
      <c r="P1009" s="89">
        <f t="shared" si="407"/>
        <v>-1.1333333333333333</v>
      </c>
      <c r="Q1009" s="35" t="s">
        <v>312</v>
      </c>
      <c r="R1009" s="89">
        <f t="shared" si="408"/>
        <v>-4.64E-3</v>
      </c>
      <c r="S1009" s="89">
        <f t="shared" si="409"/>
        <v>1.24E-3</v>
      </c>
      <c r="T1009" s="35">
        <v>1</v>
      </c>
      <c r="U1009" s="35">
        <v>291339</v>
      </c>
      <c r="V1009" s="35" t="s">
        <v>312</v>
      </c>
      <c r="W1009" s="35" t="s">
        <v>312</v>
      </c>
      <c r="X1009" s="35">
        <f t="shared" si="416"/>
        <v>291339</v>
      </c>
      <c r="Y1009" s="89">
        <f t="shared" si="410"/>
        <v>-2.0997006968646189E-3</v>
      </c>
      <c r="Z1009" s="89">
        <f t="shared" si="411"/>
        <v>1.8526770854687812E-3</v>
      </c>
      <c r="AA1009" s="89">
        <f t="shared" si="413"/>
        <v>-2.0997006968646189E-3</v>
      </c>
      <c r="AB1009" s="35" t="s">
        <v>81</v>
      </c>
      <c r="AC1009" s="89">
        <f t="shared" si="417"/>
        <v>-0.17696999999999999</v>
      </c>
      <c r="AD1009" s="89" cm="1">
        <f t="array" ref="AD1009">_xlfn.IFS(
AND(L1009="marginal_effect",M1009="level"),N1009*AN1009/BF1009,
AND(L1009="marginal_effect",M1009="sd (Y)"),N1009*BI1009*AN1009/BF1009,
AND(L1009="marginal_effect",M1009="sd (X)"),N1009/AQ1009*AN1009/BF1009,
AND(L1009="semi_elasticity",M1009="level"),N1009*AN1009,
AND(L1009="semi_elasticity",M1009="sd (Y)"),N1009*AN1009*BI1009,
AND(L1009="semi_elasticity",M1009="sd (X)"),N1009*AN1009/AQ1009,
AND(L1009="level-log",M1009="level"),N1009/BF1009,
AND(L1009="level-log",M1009="sd (X)"),N1009/BF1009/AQ1009,
AND(L1009="level-log",M1009="sd (Y)"),N1009/BF1009*BI1009,
AND(L1009="elasticity",M1009="level"),N1009,
AND(L1009="elasticity",M1009="sd (X)"),N1009/AQ1009,
AND(L1009="elasticity",M1009="sd (Y)"),N1009*BI1009,
AND(L1009="marginal_effect",M1009="percent_of_mean"),N1009*AN1009/BF1009/10)</f>
        <v>-0.17696999999999999</v>
      </c>
      <c r="AE1009" s="49">
        <f t="shared" si="414"/>
        <v>1</v>
      </c>
      <c r="AF1009" s="89">
        <f t="shared" si="418"/>
        <v>0.15614999999999998</v>
      </c>
      <c r="AG1009" s="89" cm="1">
        <f t="array" ref="AG1009">_xlfn.IFS(
AND(L1009="marginal_effect",M1009="level"),O1009*AN1009/BF1009,
AND(L1009="marginal_effect",M1009="sd (Y)"),O1009*BI1009*AN1009/BF1009,
AND(L1009="marginal_effect",M1009="sd (X)"),O1009/AQ1009*AN1009/BF1009,
AND(L1009="semi_elasticity",M1009="level"),O1009*AN1009,
AND(L1009="semi_elasticity",M1009="sd (Y)"),O1009*AN1009*BI1009,
AND(L1009="semi_elasticity",M1009="sd (X)"),O1009*AN1009/AQ1009,
AND(L1009="level-log",M1009="level"),O1009/BF1009,
AND(L1009="level-log",M1009="sd (X)"),O1009/BF1009/AQ1009,
AND(L1009="level-log",M1009="sd (Y)"),O1009/BF1009*BI1009,
AND(L1009="elasticity",M1009="level"),O1009,
AND(L1009="elasticity",M1009="sd (X)"),O1009/AQ1009,
AND(L1009="elasticity",M1009="sd (Y)"),O1009*BI1009,
AND(L1009="marginal_effect",M1009="percent_of_mean"),O1009*AN1009/BF1009/10)</f>
        <v>0.15614999999999998</v>
      </c>
      <c r="AH1009" s="49">
        <f t="shared" si="419"/>
        <v>1</v>
      </c>
      <c r="AI1009" s="89">
        <f t="shared" si="415"/>
        <v>-0.17696999999999999</v>
      </c>
      <c r="AJ1009" s="35">
        <v>0</v>
      </c>
      <c r="AK1009" s="35">
        <f t="shared" si="412"/>
        <v>1</v>
      </c>
      <c r="AL1009" s="35" t="s">
        <v>106</v>
      </c>
      <c r="AM1009" s="35" t="s">
        <v>1333</v>
      </c>
      <c r="AN1009" s="35">
        <v>104.1</v>
      </c>
      <c r="AO1009" s="35">
        <v>0</v>
      </c>
      <c r="AP1009" s="35">
        <v>104.1</v>
      </c>
      <c r="AQ1009" s="35" t="s">
        <v>312</v>
      </c>
      <c r="AR1009" s="35" t="s">
        <v>312</v>
      </c>
      <c r="AS1009" s="35" t="s">
        <v>312</v>
      </c>
      <c r="AT1009" s="35" t="s">
        <v>83</v>
      </c>
      <c r="AU1009" s="35" t="s">
        <v>109</v>
      </c>
      <c r="AV1009" s="35" t="s">
        <v>133</v>
      </c>
      <c r="AW1009" s="35" t="s">
        <v>134</v>
      </c>
      <c r="AX1009" s="35" t="s">
        <v>86</v>
      </c>
      <c r="AY1009" s="35">
        <v>0</v>
      </c>
      <c r="AZ1009" s="35">
        <v>0</v>
      </c>
      <c r="BA1009" s="35" t="s">
        <v>391</v>
      </c>
      <c r="BB1009" s="35" t="s">
        <v>134</v>
      </c>
      <c r="BC1009" s="35" t="s">
        <v>134</v>
      </c>
      <c r="BD1009" s="35" t="s">
        <v>134</v>
      </c>
      <c r="BE1009" s="35" t="s">
        <v>1905</v>
      </c>
      <c r="BF1009" s="35">
        <v>118.71599999999999</v>
      </c>
      <c r="BG1009" s="35">
        <v>0</v>
      </c>
      <c r="BH1009" s="35">
        <v>219.9</v>
      </c>
      <c r="BI1009" s="35">
        <v>0.1</v>
      </c>
      <c r="BJ1009" s="35">
        <v>16247.6</v>
      </c>
      <c r="BK1009" s="35" t="s">
        <v>91</v>
      </c>
      <c r="BL1009" s="35" t="s">
        <v>116</v>
      </c>
      <c r="BM1009" s="35">
        <v>1</v>
      </c>
      <c r="BN1009" s="35" t="s">
        <v>2177</v>
      </c>
      <c r="BO1009" s="35" t="s">
        <v>312</v>
      </c>
      <c r="BP1009" s="35" t="s">
        <v>312</v>
      </c>
      <c r="BQ1009" s="35" t="s">
        <v>117</v>
      </c>
      <c r="BR1009" s="35" t="s">
        <v>134</v>
      </c>
      <c r="BS1009" s="35" t="s">
        <v>312</v>
      </c>
      <c r="BT1009" s="35" t="s">
        <v>312</v>
      </c>
      <c r="BU1009" s="35">
        <v>2001</v>
      </c>
      <c r="BV1009" s="35">
        <v>2007</v>
      </c>
      <c r="BW1009" s="35" t="s">
        <v>901</v>
      </c>
      <c r="BX1009" s="35" t="s">
        <v>95</v>
      </c>
      <c r="BY1009" s="35" t="s">
        <v>748</v>
      </c>
      <c r="BZ1009" s="35">
        <v>1</v>
      </c>
      <c r="CA1009" s="35">
        <v>1</v>
      </c>
      <c r="CB1009" s="35" t="s">
        <v>2005</v>
      </c>
      <c r="CC1009" s="35" t="s">
        <v>1933</v>
      </c>
      <c r="CD1009" s="35">
        <v>1</v>
      </c>
      <c r="CE1009" s="35" t="s">
        <v>435</v>
      </c>
      <c r="CF1009" s="35">
        <v>0</v>
      </c>
      <c r="CG1009" s="35" t="s">
        <v>97</v>
      </c>
      <c r="CH1009" s="35">
        <v>0</v>
      </c>
      <c r="CI1009" s="35" t="s">
        <v>1402</v>
      </c>
      <c r="CJ1009" s="35" t="s">
        <v>98</v>
      </c>
      <c r="CK1009" s="35">
        <v>16</v>
      </c>
      <c r="CL1009" s="35">
        <v>0</v>
      </c>
      <c r="CM1009" s="35">
        <v>0</v>
      </c>
      <c r="CN1009" s="35" t="s">
        <v>124</v>
      </c>
      <c r="CO1009" s="35" t="s">
        <v>97</v>
      </c>
      <c r="CP1009" s="35" t="s">
        <v>100</v>
      </c>
      <c r="CQ1009" s="35" t="s">
        <v>126</v>
      </c>
      <c r="CR1009" s="36">
        <v>46253</v>
      </c>
      <c r="CT1009" s="35" t="s">
        <v>672</v>
      </c>
    </row>
    <row r="1010" spans="1:98" s="35" customFormat="1" x14ac:dyDescent="0.35">
      <c r="A1010" s="34" t="s">
        <v>1977</v>
      </c>
      <c r="B1010" s="34" t="s">
        <v>2002</v>
      </c>
      <c r="C1010" s="35" t="s">
        <v>1913</v>
      </c>
      <c r="D1010" s="35">
        <v>2022</v>
      </c>
      <c r="E1010" s="37" t="s">
        <v>1978</v>
      </c>
      <c r="F1010" s="34" t="s">
        <v>1979</v>
      </c>
      <c r="G1010" s="35" t="s">
        <v>78</v>
      </c>
      <c r="H1010" s="35">
        <v>1</v>
      </c>
      <c r="I1010" s="35" t="s">
        <v>290</v>
      </c>
      <c r="J1010" s="35" t="s">
        <v>79</v>
      </c>
      <c r="K1010" s="35">
        <v>62</v>
      </c>
      <c r="L1010" s="35" t="s">
        <v>104</v>
      </c>
      <c r="M1010" s="35" t="s">
        <v>380</v>
      </c>
      <c r="N1010" s="35">
        <v>-2E-3</v>
      </c>
      <c r="O1010" s="35">
        <v>1.6999999999999999E-3</v>
      </c>
      <c r="P1010" s="89">
        <f t="shared" si="407"/>
        <v>-1.1764705882352942</v>
      </c>
      <c r="Q1010" s="35" t="s">
        <v>312</v>
      </c>
      <c r="R1010" s="89">
        <f t="shared" si="408"/>
        <v>-5.3319999999999999E-3</v>
      </c>
      <c r="S1010" s="89">
        <f t="shared" si="409"/>
        <v>1.3319999999999999E-3</v>
      </c>
      <c r="T1010" s="35">
        <v>1</v>
      </c>
      <c r="U1010" s="35">
        <v>291339</v>
      </c>
      <c r="V1010" s="35" t="s">
        <v>312</v>
      </c>
      <c r="W1010" s="35" t="s">
        <v>312</v>
      </c>
      <c r="X1010" s="35">
        <f t="shared" si="416"/>
        <v>291339</v>
      </c>
      <c r="Y1010" s="89">
        <f t="shared" si="410"/>
        <v>-2.1796197278357307E-3</v>
      </c>
      <c r="Z1010" s="89">
        <f t="shared" si="411"/>
        <v>1.852676768660371E-3</v>
      </c>
      <c r="AA1010" s="89">
        <f t="shared" si="413"/>
        <v>-2.1796197278357307E-3</v>
      </c>
      <c r="AB1010" s="35" t="s">
        <v>81</v>
      </c>
      <c r="AC1010" s="89">
        <f t="shared" si="417"/>
        <v>-0.2082</v>
      </c>
      <c r="AD1010" s="89" cm="1">
        <f t="array" ref="AD1010">_xlfn.IFS(
AND(L1010="marginal_effect",M1010="level"),N1010*AN1010/BF1010,
AND(L1010="marginal_effect",M1010="sd (Y)"),N1010*BI1010*AN1010/BF1010,
AND(L1010="marginal_effect",M1010="sd (X)"),N1010/AQ1010*AN1010/BF1010,
AND(L1010="semi_elasticity",M1010="level"),N1010*AN1010,
AND(L1010="semi_elasticity",M1010="sd (Y)"),N1010*AN1010*BI1010,
AND(L1010="semi_elasticity",M1010="sd (X)"),N1010*AN1010/AQ1010,
AND(L1010="level-log",M1010="level"),N1010/BF1010,
AND(L1010="level-log",M1010="sd (X)"),N1010/BF1010/AQ1010,
AND(L1010="level-log",M1010="sd (Y)"),N1010/BF1010*BI1010,
AND(L1010="elasticity",M1010="level"),N1010,
AND(L1010="elasticity",M1010="sd (X)"),N1010/AQ1010,
AND(L1010="elasticity",M1010="sd (Y)"),N1010*BI1010,
AND(L1010="marginal_effect",M1010="percent_of_mean"),N1010*AN1010/BF1010/10)</f>
        <v>-0.2082</v>
      </c>
      <c r="AE1010" s="49">
        <f t="shared" si="414"/>
        <v>1</v>
      </c>
      <c r="AF1010" s="89">
        <f t="shared" si="418"/>
        <v>0.17696999999999999</v>
      </c>
      <c r="AG1010" s="89" cm="1">
        <f t="array" ref="AG1010">_xlfn.IFS(
AND(L1010="marginal_effect",M1010="level"),O1010*AN1010/BF1010,
AND(L1010="marginal_effect",M1010="sd (Y)"),O1010*BI1010*AN1010/BF1010,
AND(L1010="marginal_effect",M1010="sd (X)"),O1010/AQ1010*AN1010/BF1010,
AND(L1010="semi_elasticity",M1010="level"),O1010*AN1010,
AND(L1010="semi_elasticity",M1010="sd (Y)"),O1010*AN1010*BI1010,
AND(L1010="semi_elasticity",M1010="sd (X)"),O1010*AN1010/AQ1010,
AND(L1010="level-log",M1010="level"),O1010/BF1010,
AND(L1010="level-log",M1010="sd (X)"),O1010/BF1010/AQ1010,
AND(L1010="level-log",M1010="sd (Y)"),O1010/BF1010*BI1010,
AND(L1010="elasticity",M1010="level"),O1010,
AND(L1010="elasticity",M1010="sd (X)"),O1010/AQ1010,
AND(L1010="elasticity",M1010="sd (Y)"),O1010*BI1010,
AND(L1010="marginal_effect",M1010="percent_of_mean"),O1010*AN1010/BF1010/10)</f>
        <v>0.17696999999999999</v>
      </c>
      <c r="AH1010" s="49">
        <f t="shared" si="419"/>
        <v>1</v>
      </c>
      <c r="AI1010" s="89">
        <f t="shared" si="415"/>
        <v>-0.2082</v>
      </c>
      <c r="AJ1010" s="35">
        <v>0</v>
      </c>
      <c r="AK1010" s="35">
        <f t="shared" si="412"/>
        <v>1</v>
      </c>
      <c r="AL1010" s="35" t="s">
        <v>106</v>
      </c>
      <c r="AM1010" s="35" t="s">
        <v>1333</v>
      </c>
      <c r="AN1010" s="35">
        <v>104.1</v>
      </c>
      <c r="AO1010" s="35">
        <v>0</v>
      </c>
      <c r="AP1010" s="35">
        <v>104.1</v>
      </c>
      <c r="AQ1010" s="35" t="s">
        <v>312</v>
      </c>
      <c r="AR1010" s="35" t="s">
        <v>312</v>
      </c>
      <c r="AS1010" s="35" t="s">
        <v>312</v>
      </c>
      <c r="AT1010" s="35" t="s">
        <v>83</v>
      </c>
      <c r="AU1010" s="35" t="s">
        <v>109</v>
      </c>
      <c r="AV1010" s="35" t="s">
        <v>133</v>
      </c>
      <c r="AW1010" s="35" t="s">
        <v>134</v>
      </c>
      <c r="AX1010" s="35" t="s">
        <v>86</v>
      </c>
      <c r="AY1010" s="35">
        <v>0</v>
      </c>
      <c r="AZ1010" s="35">
        <v>0</v>
      </c>
      <c r="BA1010" s="35" t="s">
        <v>391</v>
      </c>
      <c r="BB1010" s="35" t="s">
        <v>134</v>
      </c>
      <c r="BC1010" s="35" t="s">
        <v>134</v>
      </c>
      <c r="BD1010" s="35" t="s">
        <v>134</v>
      </c>
      <c r="BE1010" s="35" t="s">
        <v>1905</v>
      </c>
      <c r="BF1010" s="35">
        <v>118.71599999999999</v>
      </c>
      <c r="BG1010" s="35">
        <v>0</v>
      </c>
      <c r="BH1010" s="35">
        <v>219.9</v>
      </c>
      <c r="BI1010" s="35">
        <v>0.1</v>
      </c>
      <c r="BJ1010" s="35">
        <v>16247.6</v>
      </c>
      <c r="BK1010" s="35" t="s">
        <v>91</v>
      </c>
      <c r="BL1010" s="35" t="s">
        <v>116</v>
      </c>
      <c r="BM1010" s="35">
        <v>1</v>
      </c>
      <c r="BN1010" s="35" t="s">
        <v>2177</v>
      </c>
      <c r="BO1010" s="35" t="s">
        <v>312</v>
      </c>
      <c r="BP1010" s="35" t="s">
        <v>312</v>
      </c>
      <c r="BQ1010" s="35" t="s">
        <v>117</v>
      </c>
      <c r="BR1010" s="35" t="s">
        <v>134</v>
      </c>
      <c r="BS1010" s="35" t="s">
        <v>312</v>
      </c>
      <c r="BT1010" s="35" t="s">
        <v>312</v>
      </c>
      <c r="BU1010" s="35">
        <v>2001</v>
      </c>
      <c r="BV1010" s="35">
        <v>2007</v>
      </c>
      <c r="BW1010" s="35" t="s">
        <v>901</v>
      </c>
      <c r="BX1010" s="35" t="s">
        <v>95</v>
      </c>
      <c r="BY1010" s="35" t="s">
        <v>748</v>
      </c>
      <c r="BZ1010" s="35">
        <v>1</v>
      </c>
      <c r="CA1010" s="35">
        <v>1</v>
      </c>
      <c r="CB1010" s="35" t="s">
        <v>2005</v>
      </c>
      <c r="CC1010" s="35" t="s">
        <v>1933</v>
      </c>
      <c r="CD1010" s="35">
        <v>1</v>
      </c>
      <c r="CE1010" s="35" t="s">
        <v>435</v>
      </c>
      <c r="CF1010" s="35">
        <v>0</v>
      </c>
      <c r="CG1010" s="35" t="s">
        <v>97</v>
      </c>
      <c r="CH1010" s="35">
        <v>0</v>
      </c>
      <c r="CI1010" s="35" t="s">
        <v>1402</v>
      </c>
      <c r="CJ1010" s="35" t="s">
        <v>98</v>
      </c>
      <c r="CK1010" s="35">
        <v>16</v>
      </c>
      <c r="CL1010" s="35">
        <v>0</v>
      </c>
      <c r="CM1010" s="35">
        <v>0</v>
      </c>
      <c r="CN1010" s="35" t="s">
        <v>124</v>
      </c>
      <c r="CO1010" s="35" t="s">
        <v>97</v>
      </c>
      <c r="CP1010" s="35" t="s">
        <v>100</v>
      </c>
      <c r="CQ1010" s="35" t="s">
        <v>126</v>
      </c>
      <c r="CR1010" s="36">
        <v>46253</v>
      </c>
      <c r="CT1010" s="35" t="s">
        <v>671</v>
      </c>
    </row>
    <row r="1011" spans="1:98" s="35" customFormat="1" x14ac:dyDescent="0.35">
      <c r="A1011" s="34" t="s">
        <v>1977</v>
      </c>
      <c r="B1011" s="34" t="s">
        <v>2003</v>
      </c>
      <c r="C1011" s="35" t="s">
        <v>1913</v>
      </c>
      <c r="D1011" s="35">
        <v>2022</v>
      </c>
      <c r="E1011" s="37" t="s">
        <v>1978</v>
      </c>
      <c r="F1011" s="34" t="s">
        <v>1979</v>
      </c>
      <c r="G1011" s="35" t="s">
        <v>78</v>
      </c>
      <c r="H1011" s="35">
        <v>1</v>
      </c>
      <c r="I1011" s="35" t="s">
        <v>290</v>
      </c>
      <c r="J1011" s="35" t="s">
        <v>79</v>
      </c>
      <c r="K1011" s="35">
        <v>62</v>
      </c>
      <c r="L1011" s="35" t="s">
        <v>104</v>
      </c>
      <c r="M1011" s="35" t="s">
        <v>380</v>
      </c>
      <c r="N1011" s="35">
        <v>-2.3999999999999998E-3</v>
      </c>
      <c r="O1011" s="35">
        <v>1.9E-3</v>
      </c>
      <c r="P1011" s="89">
        <f t="shared" si="407"/>
        <v>-1.263157894736842</v>
      </c>
      <c r="Q1011" s="35" t="s">
        <v>312</v>
      </c>
      <c r="R1011" s="89">
        <f t="shared" si="408"/>
        <v>-6.1239999999999992E-3</v>
      </c>
      <c r="S1011" s="89">
        <f t="shared" si="409"/>
        <v>1.3240000000000001E-3</v>
      </c>
      <c r="T1011" s="35">
        <v>1</v>
      </c>
      <c r="U1011" s="35">
        <v>291339</v>
      </c>
      <c r="V1011" s="35" t="s">
        <v>312</v>
      </c>
      <c r="W1011" s="35" t="s">
        <v>312</v>
      </c>
      <c r="X1011" s="35">
        <f t="shared" si="416"/>
        <v>291339</v>
      </c>
      <c r="Y1011" s="89">
        <f t="shared" si="410"/>
        <v>-2.3402224373419473E-3</v>
      </c>
      <c r="Z1011" s="89">
        <f t="shared" si="411"/>
        <v>1.8526760962290418E-3</v>
      </c>
      <c r="AA1011" s="89">
        <f t="shared" si="413"/>
        <v>-2.3402224373419473E-3</v>
      </c>
      <c r="AB1011" s="35" t="s">
        <v>81</v>
      </c>
      <c r="AC1011" s="89">
        <f t="shared" si="417"/>
        <v>-0.24983999999999995</v>
      </c>
      <c r="AD1011" s="89" cm="1">
        <f t="array" ref="AD1011">_xlfn.IFS(
AND(L1011="marginal_effect",M1011="level"),N1011*AN1011/BF1011,
AND(L1011="marginal_effect",M1011="sd (Y)"),N1011*BI1011*AN1011/BF1011,
AND(L1011="marginal_effect",M1011="sd (X)"),N1011/AQ1011*AN1011/BF1011,
AND(L1011="semi_elasticity",M1011="level"),N1011*AN1011,
AND(L1011="semi_elasticity",M1011="sd (Y)"),N1011*AN1011*BI1011,
AND(L1011="semi_elasticity",M1011="sd (X)"),N1011*AN1011/AQ1011,
AND(L1011="level-log",M1011="level"),N1011/BF1011,
AND(L1011="level-log",M1011="sd (X)"),N1011/BF1011/AQ1011,
AND(L1011="level-log",M1011="sd (Y)"),N1011/BF1011*BI1011,
AND(L1011="elasticity",M1011="level"),N1011,
AND(L1011="elasticity",M1011="sd (X)"),N1011/AQ1011,
AND(L1011="elasticity",M1011="sd (Y)"),N1011*BI1011,
AND(L1011="marginal_effect",M1011="percent_of_mean"),N1011*AN1011/BF1011/10)</f>
        <v>-0.24983999999999995</v>
      </c>
      <c r="AE1011" s="49">
        <f t="shared" si="414"/>
        <v>1</v>
      </c>
      <c r="AF1011" s="89">
        <f t="shared" si="418"/>
        <v>0.19778999999999999</v>
      </c>
      <c r="AG1011" s="89" cm="1">
        <f t="array" ref="AG1011">_xlfn.IFS(
AND(L1011="marginal_effect",M1011="level"),O1011*AN1011/BF1011,
AND(L1011="marginal_effect",M1011="sd (Y)"),O1011*BI1011*AN1011/BF1011,
AND(L1011="marginal_effect",M1011="sd (X)"),O1011/AQ1011*AN1011/BF1011,
AND(L1011="semi_elasticity",M1011="level"),O1011*AN1011,
AND(L1011="semi_elasticity",M1011="sd (Y)"),O1011*AN1011*BI1011,
AND(L1011="semi_elasticity",M1011="sd (X)"),O1011*AN1011/AQ1011,
AND(L1011="level-log",M1011="level"),O1011/BF1011,
AND(L1011="level-log",M1011="sd (X)"),O1011/BF1011/AQ1011,
AND(L1011="level-log",M1011="sd (Y)"),O1011/BF1011*BI1011,
AND(L1011="elasticity",M1011="level"),O1011,
AND(L1011="elasticity",M1011="sd (X)"),O1011/AQ1011,
AND(L1011="elasticity",M1011="sd (Y)"),O1011*BI1011,
AND(L1011="marginal_effect",M1011="percent_of_mean"),O1011*AN1011/BF1011/10)</f>
        <v>0.19778999999999999</v>
      </c>
      <c r="AH1011" s="49">
        <f t="shared" si="419"/>
        <v>1</v>
      </c>
      <c r="AI1011" s="89">
        <f t="shared" si="415"/>
        <v>-0.24983999999999995</v>
      </c>
      <c r="AJ1011" s="35">
        <v>0</v>
      </c>
      <c r="AK1011" s="35">
        <f t="shared" si="412"/>
        <v>1</v>
      </c>
      <c r="AL1011" s="35" t="s">
        <v>106</v>
      </c>
      <c r="AM1011" s="35" t="s">
        <v>1333</v>
      </c>
      <c r="AN1011" s="35">
        <v>104.1</v>
      </c>
      <c r="AO1011" s="35">
        <v>0</v>
      </c>
      <c r="AP1011" s="35">
        <v>104.1</v>
      </c>
      <c r="AQ1011" s="35" t="s">
        <v>312</v>
      </c>
      <c r="AR1011" s="35" t="s">
        <v>312</v>
      </c>
      <c r="AS1011" s="35" t="s">
        <v>312</v>
      </c>
      <c r="AT1011" s="35" t="s">
        <v>83</v>
      </c>
      <c r="AU1011" s="35" t="s">
        <v>109</v>
      </c>
      <c r="AV1011" s="35" t="s">
        <v>133</v>
      </c>
      <c r="AW1011" s="35" t="s">
        <v>134</v>
      </c>
      <c r="AX1011" s="35" t="s">
        <v>86</v>
      </c>
      <c r="AY1011" s="35">
        <v>0</v>
      </c>
      <c r="AZ1011" s="35">
        <v>0</v>
      </c>
      <c r="BA1011" s="35" t="s">
        <v>391</v>
      </c>
      <c r="BB1011" s="35" t="s">
        <v>134</v>
      </c>
      <c r="BC1011" s="35" t="s">
        <v>134</v>
      </c>
      <c r="BD1011" s="35" t="s">
        <v>134</v>
      </c>
      <c r="BE1011" s="35" t="s">
        <v>1905</v>
      </c>
      <c r="BF1011" s="35">
        <v>118.71599999999999</v>
      </c>
      <c r="BG1011" s="35">
        <v>0</v>
      </c>
      <c r="BH1011" s="35">
        <v>219.9</v>
      </c>
      <c r="BI1011" s="35">
        <v>0.1</v>
      </c>
      <c r="BJ1011" s="35">
        <v>16247.6</v>
      </c>
      <c r="BK1011" s="35" t="s">
        <v>91</v>
      </c>
      <c r="BL1011" s="35" t="s">
        <v>116</v>
      </c>
      <c r="BM1011" s="35">
        <v>1</v>
      </c>
      <c r="BN1011" s="35" t="s">
        <v>2177</v>
      </c>
      <c r="BO1011" s="35" t="s">
        <v>312</v>
      </c>
      <c r="BP1011" s="35" t="s">
        <v>312</v>
      </c>
      <c r="BQ1011" s="35" t="s">
        <v>117</v>
      </c>
      <c r="BR1011" s="35" t="s">
        <v>134</v>
      </c>
      <c r="BS1011" s="35" t="s">
        <v>312</v>
      </c>
      <c r="BT1011" s="35" t="s">
        <v>312</v>
      </c>
      <c r="BU1011" s="35">
        <v>2001</v>
      </c>
      <c r="BV1011" s="35">
        <v>2007</v>
      </c>
      <c r="BW1011" s="35" t="s">
        <v>901</v>
      </c>
      <c r="BX1011" s="35" t="s">
        <v>95</v>
      </c>
      <c r="BY1011" s="35" t="s">
        <v>748</v>
      </c>
      <c r="BZ1011" s="35">
        <v>1</v>
      </c>
      <c r="CA1011" s="35">
        <v>1</v>
      </c>
      <c r="CB1011" s="35" t="s">
        <v>2005</v>
      </c>
      <c r="CC1011" s="35" t="s">
        <v>1933</v>
      </c>
      <c r="CD1011" s="35">
        <v>1</v>
      </c>
      <c r="CE1011" s="35" t="s">
        <v>435</v>
      </c>
      <c r="CF1011" s="35">
        <v>0</v>
      </c>
      <c r="CG1011" s="35" t="s">
        <v>97</v>
      </c>
      <c r="CH1011" s="35">
        <v>0</v>
      </c>
      <c r="CI1011" s="35" t="s">
        <v>1402</v>
      </c>
      <c r="CJ1011" s="35" t="s">
        <v>98</v>
      </c>
      <c r="CK1011" s="35">
        <v>16</v>
      </c>
      <c r="CL1011" s="35">
        <v>0</v>
      </c>
      <c r="CM1011" s="35">
        <v>0</v>
      </c>
      <c r="CN1011" s="35" t="s">
        <v>124</v>
      </c>
      <c r="CO1011" s="35" t="s">
        <v>97</v>
      </c>
      <c r="CP1011" s="35" t="s">
        <v>100</v>
      </c>
      <c r="CQ1011" s="35" t="s">
        <v>126</v>
      </c>
      <c r="CR1011" s="36">
        <v>46253</v>
      </c>
      <c r="CT1011" s="35" t="s">
        <v>670</v>
      </c>
    </row>
    <row r="1012" spans="1:98" s="35" customFormat="1" x14ac:dyDescent="0.35">
      <c r="A1012" s="34" t="s">
        <v>1977</v>
      </c>
      <c r="B1012" s="34" t="s">
        <v>2004</v>
      </c>
      <c r="C1012" s="35" t="s">
        <v>1913</v>
      </c>
      <c r="D1012" s="35">
        <v>2022</v>
      </c>
      <c r="E1012" s="37" t="s">
        <v>1978</v>
      </c>
      <c r="F1012" s="34" t="s">
        <v>1979</v>
      </c>
      <c r="G1012" s="35" t="s">
        <v>78</v>
      </c>
      <c r="H1012" s="35">
        <v>1</v>
      </c>
      <c r="I1012" s="35" t="s">
        <v>290</v>
      </c>
      <c r="J1012" s="35" t="s">
        <v>79</v>
      </c>
      <c r="K1012" s="35">
        <v>62</v>
      </c>
      <c r="L1012" s="35" t="s">
        <v>104</v>
      </c>
      <c r="M1012" s="35" t="s">
        <v>380</v>
      </c>
      <c r="N1012" s="35">
        <v>6.4999999999999997E-3</v>
      </c>
      <c r="O1012" s="35">
        <v>4.0000000000000001E-3</v>
      </c>
      <c r="P1012" s="89">
        <f t="shared" si="407"/>
        <v>1.625</v>
      </c>
      <c r="Q1012" s="35" t="s">
        <v>312</v>
      </c>
      <c r="R1012" s="89">
        <f t="shared" si="408"/>
        <v>-1.34E-3</v>
      </c>
      <c r="S1012" s="89">
        <f t="shared" si="409"/>
        <v>1.4339999999999999E-2</v>
      </c>
      <c r="T1012" s="35">
        <v>1</v>
      </c>
      <c r="U1012" s="35">
        <v>291339</v>
      </c>
      <c r="V1012" s="35" t="s">
        <v>312</v>
      </c>
      <c r="W1012" s="35" t="s">
        <v>312</v>
      </c>
      <c r="X1012" s="35">
        <f t="shared" si="416"/>
        <v>291339</v>
      </c>
      <c r="Y1012" s="89">
        <f t="shared" si="410"/>
        <v>3.0105932567828738E-3</v>
      </c>
      <c r="Z1012" s="89">
        <f t="shared" si="411"/>
        <v>1.8526727734048457E-3</v>
      </c>
      <c r="AA1012" s="89">
        <f t="shared" si="413"/>
        <v>3.0105932567828738E-3</v>
      </c>
      <c r="AB1012" s="35" t="s">
        <v>81</v>
      </c>
      <c r="AC1012" s="89">
        <f t="shared" si="417"/>
        <v>0.67664999999999997</v>
      </c>
      <c r="AD1012" s="89" cm="1">
        <f t="array" ref="AD1012">_xlfn.IFS(
AND(L1012="marginal_effect",M1012="level"),N1012*AN1012/BF1012,
AND(L1012="marginal_effect",M1012="sd (Y)"),N1012*BI1012*AN1012/BF1012,
AND(L1012="marginal_effect",M1012="sd (X)"),N1012/AQ1012*AN1012/BF1012,
AND(L1012="semi_elasticity",M1012="level"),N1012*AN1012,
AND(L1012="semi_elasticity",M1012="sd (Y)"),N1012*AN1012*BI1012,
AND(L1012="semi_elasticity",M1012="sd (X)"),N1012*AN1012/AQ1012,
AND(L1012="level-log",M1012="level"),N1012/BF1012,
AND(L1012="level-log",M1012="sd (X)"),N1012/BF1012/AQ1012,
AND(L1012="level-log",M1012="sd (Y)"),N1012/BF1012*BI1012,
AND(L1012="elasticity",M1012="level"),N1012,
AND(L1012="elasticity",M1012="sd (X)"),N1012/AQ1012,
AND(L1012="elasticity",M1012="sd (Y)"),N1012*BI1012,
AND(L1012="marginal_effect",M1012="percent_of_mean"),N1012*AN1012/BF1012/10)</f>
        <v>0.67664999999999997</v>
      </c>
      <c r="AE1012" s="49">
        <f t="shared" si="414"/>
        <v>1</v>
      </c>
      <c r="AF1012" s="89">
        <f t="shared" si="418"/>
        <v>0.41639999999999999</v>
      </c>
      <c r="AG1012" s="89" cm="1">
        <f t="array" ref="AG1012">_xlfn.IFS(
AND(L1012="marginal_effect",M1012="level"),O1012*AN1012/BF1012,
AND(L1012="marginal_effect",M1012="sd (Y)"),O1012*BI1012*AN1012/BF1012,
AND(L1012="marginal_effect",M1012="sd (X)"),O1012/AQ1012*AN1012/BF1012,
AND(L1012="semi_elasticity",M1012="level"),O1012*AN1012,
AND(L1012="semi_elasticity",M1012="sd (Y)"),O1012*AN1012*BI1012,
AND(L1012="semi_elasticity",M1012="sd (X)"),O1012*AN1012/AQ1012,
AND(L1012="level-log",M1012="level"),O1012/BF1012,
AND(L1012="level-log",M1012="sd (X)"),O1012/BF1012/AQ1012,
AND(L1012="level-log",M1012="sd (Y)"),O1012/BF1012*BI1012,
AND(L1012="elasticity",M1012="level"),O1012,
AND(L1012="elasticity",M1012="sd (X)"),O1012/AQ1012,
AND(L1012="elasticity",M1012="sd (Y)"),O1012*BI1012,
AND(L1012="marginal_effect",M1012="percent_of_mean"),O1012*AN1012/BF1012/10)</f>
        <v>0.41639999999999999</v>
      </c>
      <c r="AH1012" s="49">
        <f t="shared" si="419"/>
        <v>1</v>
      </c>
      <c r="AI1012" s="89">
        <f t="shared" si="415"/>
        <v>0.67664999999999997</v>
      </c>
      <c r="AJ1012" s="35">
        <v>0</v>
      </c>
      <c r="AK1012" s="35">
        <f t="shared" si="412"/>
        <v>1</v>
      </c>
      <c r="AL1012" s="35" t="s">
        <v>106</v>
      </c>
      <c r="AM1012" s="35" t="s">
        <v>1333</v>
      </c>
      <c r="AN1012" s="35">
        <v>104.1</v>
      </c>
      <c r="AO1012" s="35">
        <v>0</v>
      </c>
      <c r="AP1012" s="35">
        <v>104.1</v>
      </c>
      <c r="AQ1012" s="35" t="s">
        <v>312</v>
      </c>
      <c r="AR1012" s="35" t="s">
        <v>312</v>
      </c>
      <c r="AS1012" s="35" t="s">
        <v>312</v>
      </c>
      <c r="AT1012" s="35" t="s">
        <v>83</v>
      </c>
      <c r="AU1012" s="35" t="s">
        <v>109</v>
      </c>
      <c r="AV1012" s="35" t="s">
        <v>133</v>
      </c>
      <c r="AW1012" s="35" t="s">
        <v>134</v>
      </c>
      <c r="AX1012" s="35" t="s">
        <v>86</v>
      </c>
      <c r="AY1012" s="35">
        <v>0</v>
      </c>
      <c r="AZ1012" s="35">
        <v>0</v>
      </c>
      <c r="BA1012" s="35" t="s">
        <v>391</v>
      </c>
      <c r="BB1012" s="35" t="s">
        <v>134</v>
      </c>
      <c r="BC1012" s="35" t="s">
        <v>134</v>
      </c>
      <c r="BD1012" s="35" t="s">
        <v>134</v>
      </c>
      <c r="BE1012" s="35" t="s">
        <v>1905</v>
      </c>
      <c r="BF1012" s="35">
        <v>118.71599999999999</v>
      </c>
      <c r="BG1012" s="35">
        <v>0</v>
      </c>
      <c r="BH1012" s="35">
        <v>219.9</v>
      </c>
      <c r="BI1012" s="35">
        <v>0.1</v>
      </c>
      <c r="BJ1012" s="35">
        <v>16247.6</v>
      </c>
      <c r="BK1012" s="35" t="s">
        <v>91</v>
      </c>
      <c r="BL1012" s="35" t="s">
        <v>116</v>
      </c>
      <c r="BM1012" s="35">
        <v>1</v>
      </c>
      <c r="BN1012" s="35" t="s">
        <v>2177</v>
      </c>
      <c r="BO1012" s="35" t="s">
        <v>312</v>
      </c>
      <c r="BP1012" s="35" t="s">
        <v>312</v>
      </c>
      <c r="BQ1012" s="35" t="s">
        <v>117</v>
      </c>
      <c r="BR1012" s="35" t="s">
        <v>134</v>
      </c>
      <c r="BS1012" s="35" t="s">
        <v>312</v>
      </c>
      <c r="BT1012" s="35" t="s">
        <v>312</v>
      </c>
      <c r="BU1012" s="35">
        <v>2001</v>
      </c>
      <c r="BV1012" s="35">
        <v>2007</v>
      </c>
      <c r="BW1012" s="35" t="s">
        <v>901</v>
      </c>
      <c r="BX1012" s="35" t="s">
        <v>95</v>
      </c>
      <c r="BY1012" s="35" t="s">
        <v>748</v>
      </c>
      <c r="BZ1012" s="35">
        <v>1</v>
      </c>
      <c r="CA1012" s="35">
        <v>1</v>
      </c>
      <c r="CB1012" s="35" t="s">
        <v>2005</v>
      </c>
      <c r="CC1012" s="35" t="s">
        <v>1933</v>
      </c>
      <c r="CD1012" s="35">
        <v>1</v>
      </c>
      <c r="CE1012" s="35" t="s">
        <v>435</v>
      </c>
      <c r="CF1012" s="35">
        <v>0</v>
      </c>
      <c r="CG1012" s="35" t="s">
        <v>97</v>
      </c>
      <c r="CH1012" s="35">
        <v>0</v>
      </c>
      <c r="CI1012" s="35" t="s">
        <v>1402</v>
      </c>
      <c r="CJ1012" s="35" t="s">
        <v>98</v>
      </c>
      <c r="CK1012" s="35">
        <v>16</v>
      </c>
      <c r="CL1012" s="35">
        <v>0</v>
      </c>
      <c r="CM1012" s="35">
        <v>0</v>
      </c>
      <c r="CN1012" s="35" t="s">
        <v>124</v>
      </c>
      <c r="CO1012" s="35" t="s">
        <v>97</v>
      </c>
      <c r="CP1012" s="35" t="s">
        <v>100</v>
      </c>
      <c r="CQ1012" s="35" t="s">
        <v>126</v>
      </c>
      <c r="CR1012" s="36">
        <v>46253</v>
      </c>
      <c r="CT1012" s="35" t="s">
        <v>781</v>
      </c>
    </row>
    <row r="1013" spans="1:98" s="78" customFormat="1" x14ac:dyDescent="0.35">
      <c r="A1013" s="77" t="s">
        <v>1981</v>
      </c>
      <c r="B1013" s="77" t="s">
        <v>1986</v>
      </c>
      <c r="C1013" s="78" t="s">
        <v>1985</v>
      </c>
      <c r="D1013" s="78">
        <v>2026</v>
      </c>
      <c r="E1013" s="79" t="s">
        <v>1982</v>
      </c>
      <c r="F1013" s="77" t="s">
        <v>1983</v>
      </c>
      <c r="G1013" s="78" t="s">
        <v>78</v>
      </c>
      <c r="H1013" s="78">
        <v>1</v>
      </c>
      <c r="I1013" s="78" t="s">
        <v>290</v>
      </c>
      <c r="J1013" s="78" t="s">
        <v>79</v>
      </c>
      <c r="K1013" s="78">
        <v>0</v>
      </c>
      <c r="L1013" s="78" t="s">
        <v>104</v>
      </c>
      <c r="M1013" s="78" t="s">
        <v>380</v>
      </c>
      <c r="N1013" s="78">
        <v>-2.7E-2</v>
      </c>
      <c r="O1013" s="78">
        <v>8.0000000000000002E-3</v>
      </c>
      <c r="P1013" s="95">
        <f t="shared" si="407"/>
        <v>-3.375</v>
      </c>
      <c r="Q1013" s="78" t="s">
        <v>312</v>
      </c>
      <c r="R1013" s="95">
        <f t="shared" si="408"/>
        <v>-4.2679999999999996E-2</v>
      </c>
      <c r="S1013" s="95">
        <f t="shared" si="409"/>
        <v>-1.132E-2</v>
      </c>
      <c r="T1013" s="78">
        <v>1</v>
      </c>
      <c r="U1013" s="78" t="s">
        <v>312</v>
      </c>
      <c r="V1013" s="78" t="s">
        <v>312</v>
      </c>
      <c r="W1013" s="78" t="s">
        <v>312</v>
      </c>
      <c r="X1013" s="78" t="str">
        <f t="shared" si="416"/>
        <v>NA</v>
      </c>
      <c r="Y1013" s="95" t="s">
        <v>312</v>
      </c>
      <c r="Z1013" s="95" t="s">
        <v>312</v>
      </c>
      <c r="AA1013" s="95" t="str">
        <f t="shared" si="413"/>
        <v>NA</v>
      </c>
      <c r="AB1013" s="78" t="s">
        <v>81</v>
      </c>
      <c r="AC1013" s="95">
        <f t="shared" si="417"/>
        <v>-1.2221550000000001</v>
      </c>
      <c r="AD1013" s="95" cm="1">
        <f t="array" ref="AD1013">_xlfn.IFS(
AND(L1013="marginal_effect",M1013="level"),N1013*AN1013/BF1013,
AND(L1013="marginal_effect",M1013="sd (Y)"),N1013*BI1013*AN1013/BF1013,
AND(L1013="marginal_effect",M1013="sd (X)"),N1013/AQ1013*AN1013/BF1013,
AND(L1013="semi_elasticity",M1013="level"),N1013*AN1013,
AND(L1013="semi_elasticity",M1013="sd (Y)"),N1013*AN1013*BI1013,
AND(L1013="semi_elasticity",M1013="sd (X)"),N1013*AN1013/AQ1013,
AND(L1013="level-log",M1013="level"),N1013/BF1013,
AND(L1013="level-log",M1013="sd (X)"),N1013/BF1013/AQ1013,
AND(L1013="level-log",M1013="sd (Y)"),N1013/BF1013*BI1013,
AND(L1013="elasticity",M1013="level"),N1013,
AND(L1013="elasticity",M1013="sd (X)"),N1013/AQ1013,
AND(L1013="elasticity",M1013="sd (Y)"),N1013*BI1013,
AND(L1013="marginal_effect",M1013="percent_of_mean"),N1013*AN1013/BF1013/10)</f>
        <v>-1.2221550000000001</v>
      </c>
      <c r="AE1013" s="105">
        <f t="shared" si="414"/>
        <v>1</v>
      </c>
      <c r="AF1013" s="95">
        <f t="shared" si="418"/>
        <v>0.36212</v>
      </c>
      <c r="AG1013" s="95" cm="1">
        <f t="array" ref="AG1013">_xlfn.IFS(
AND(L1013="marginal_effect",M1013="level"),O1013*AN1013/BF1013,
AND(L1013="marginal_effect",M1013="sd (Y)"),O1013*BI1013*AN1013/BF1013,
AND(L1013="marginal_effect",M1013="sd (X)"),O1013/AQ1013*AN1013/BF1013,
AND(L1013="semi_elasticity",M1013="level"),O1013*AN1013,
AND(L1013="semi_elasticity",M1013="sd (Y)"),O1013*AN1013*BI1013,
AND(L1013="semi_elasticity",M1013="sd (X)"),O1013*AN1013/AQ1013,
AND(L1013="level-log",M1013="level"),O1013/BF1013,
AND(L1013="level-log",M1013="sd (X)"),O1013/BF1013/AQ1013,
AND(L1013="level-log",M1013="sd (Y)"),O1013/BF1013*BI1013,
AND(L1013="elasticity",M1013="level"),O1013,
AND(L1013="elasticity",M1013="sd (X)"),O1013/AQ1013,
AND(L1013="elasticity",M1013="sd (Y)"),O1013*BI1013,
AND(L1013="marginal_effect",M1013="percent_of_mean"),O1013*AN1013/BF1013/10)</f>
        <v>0.36212</v>
      </c>
      <c r="AH1013" s="105">
        <f t="shared" si="419"/>
        <v>1</v>
      </c>
      <c r="AI1013" s="95">
        <f t="shared" si="415"/>
        <v>-1.2221550000000001</v>
      </c>
      <c r="AJ1013" s="78">
        <v>0</v>
      </c>
      <c r="AK1013" s="78">
        <f t="shared" si="412"/>
        <v>1</v>
      </c>
      <c r="AL1013" s="78" t="s">
        <v>82</v>
      </c>
      <c r="AM1013" s="78" t="s">
        <v>1333</v>
      </c>
      <c r="AN1013" s="78">
        <v>45.265000000000001</v>
      </c>
      <c r="AO1013" s="78">
        <v>0</v>
      </c>
      <c r="AP1013" s="78">
        <f t="shared" ref="AP1013:AP1052" si="420">AN1013</f>
        <v>45.265000000000001</v>
      </c>
      <c r="AQ1013" s="78">
        <v>16.449000000000002</v>
      </c>
      <c r="AR1013" s="78">
        <v>10.315</v>
      </c>
      <c r="AS1013" s="78">
        <v>105.699</v>
      </c>
      <c r="AT1013" s="78" t="s">
        <v>83</v>
      </c>
      <c r="AU1013" s="78" t="s">
        <v>109</v>
      </c>
      <c r="AV1013" s="78" t="s">
        <v>133</v>
      </c>
      <c r="AW1013" s="78" t="s">
        <v>85</v>
      </c>
      <c r="AX1013" s="78" t="s">
        <v>86</v>
      </c>
      <c r="AY1013" s="78">
        <v>0</v>
      </c>
      <c r="AZ1013" s="78">
        <v>0</v>
      </c>
      <c r="BA1013" s="78" t="s">
        <v>391</v>
      </c>
      <c r="BB1013" s="78" t="s">
        <v>134</v>
      </c>
      <c r="BC1013" s="78" t="s">
        <v>134</v>
      </c>
      <c r="BD1013" s="78" t="s">
        <v>134</v>
      </c>
      <c r="BE1013" s="78" t="s">
        <v>1905</v>
      </c>
      <c r="BF1013" s="78" t="s">
        <v>312</v>
      </c>
      <c r="BG1013" s="78" t="s">
        <v>312</v>
      </c>
      <c r="BH1013" s="78" t="s">
        <v>312</v>
      </c>
      <c r="BI1013" s="78" t="s">
        <v>312</v>
      </c>
      <c r="BJ1013" s="78" t="s">
        <v>312</v>
      </c>
      <c r="BK1013" s="78" t="s">
        <v>91</v>
      </c>
      <c r="BL1013" s="78" t="s">
        <v>1402</v>
      </c>
      <c r="BM1013" s="78">
        <v>1</v>
      </c>
      <c r="BN1013" s="78" t="s">
        <v>1984</v>
      </c>
      <c r="BO1013" s="78" t="s">
        <v>312</v>
      </c>
      <c r="BP1013" s="78" t="s">
        <v>312</v>
      </c>
      <c r="BQ1013" s="78" t="s">
        <v>117</v>
      </c>
      <c r="BR1013" s="78" t="s">
        <v>134</v>
      </c>
      <c r="BS1013" s="78" t="s">
        <v>312</v>
      </c>
      <c r="BT1013" s="78" t="s">
        <v>312</v>
      </c>
      <c r="BU1013" s="78">
        <v>2003</v>
      </c>
      <c r="BV1013" s="78">
        <v>2022</v>
      </c>
      <c r="BW1013" s="78" t="s">
        <v>901</v>
      </c>
      <c r="BX1013" s="78" t="s">
        <v>95</v>
      </c>
      <c r="BY1013" s="78" t="s">
        <v>153</v>
      </c>
      <c r="BZ1013" s="78">
        <v>1</v>
      </c>
      <c r="CA1013" s="78">
        <v>0</v>
      </c>
      <c r="CB1013" s="78" t="s">
        <v>97</v>
      </c>
      <c r="CC1013" s="78" t="s">
        <v>313</v>
      </c>
      <c r="CD1013" s="78">
        <v>0</v>
      </c>
      <c r="CE1013" s="78" t="s">
        <v>97</v>
      </c>
      <c r="CF1013" s="78">
        <v>0</v>
      </c>
      <c r="CG1013" s="78" t="s">
        <v>97</v>
      </c>
      <c r="CH1013" s="78">
        <v>0</v>
      </c>
      <c r="CI1013" s="78" t="s">
        <v>97</v>
      </c>
      <c r="CJ1013" s="78" t="s">
        <v>98</v>
      </c>
      <c r="CK1013" s="78">
        <v>3</v>
      </c>
      <c r="CL1013" s="78">
        <v>1</v>
      </c>
      <c r="CM1013" s="78">
        <v>0</v>
      </c>
      <c r="CN1013" s="78" t="s">
        <v>99</v>
      </c>
      <c r="CO1013" s="78" t="s">
        <v>97</v>
      </c>
      <c r="CP1013" s="78" t="s">
        <v>100</v>
      </c>
      <c r="CQ1013" s="78" t="s">
        <v>126</v>
      </c>
      <c r="CR1013" s="80">
        <v>46253</v>
      </c>
      <c r="CT1013" s="78" t="s">
        <v>782</v>
      </c>
    </row>
    <row r="1014" spans="1:98" s="78" customFormat="1" x14ac:dyDescent="0.35">
      <c r="A1014" s="77" t="s">
        <v>1981</v>
      </c>
      <c r="B1014" s="77" t="s">
        <v>1987</v>
      </c>
      <c r="C1014" s="78" t="s">
        <v>1985</v>
      </c>
      <c r="D1014" s="78">
        <v>2026</v>
      </c>
      <c r="E1014" s="79" t="s">
        <v>1982</v>
      </c>
      <c r="F1014" s="77" t="s">
        <v>1983</v>
      </c>
      <c r="G1014" s="78" t="s">
        <v>78</v>
      </c>
      <c r="H1014" s="78">
        <v>1</v>
      </c>
      <c r="I1014" s="78" t="s">
        <v>290</v>
      </c>
      <c r="J1014" s="78" t="s">
        <v>79</v>
      </c>
      <c r="K1014" s="78">
        <v>0</v>
      </c>
      <c r="L1014" s="78" t="s">
        <v>104</v>
      </c>
      <c r="M1014" s="78" t="s">
        <v>380</v>
      </c>
      <c r="N1014" s="78">
        <v>-3.5000000000000003E-2</v>
      </c>
      <c r="O1014" s="78">
        <v>1.2999999999999999E-2</v>
      </c>
      <c r="P1014" s="95">
        <f t="shared" si="407"/>
        <v>-2.6923076923076925</v>
      </c>
      <c r="Q1014" s="78" t="s">
        <v>312</v>
      </c>
      <c r="R1014" s="95">
        <f t="shared" si="408"/>
        <v>-6.0480000000000006E-2</v>
      </c>
      <c r="S1014" s="95">
        <f t="shared" si="409"/>
        <v>-9.5200000000000042E-3</v>
      </c>
      <c r="T1014" s="78">
        <v>1</v>
      </c>
      <c r="U1014" s="78" t="s">
        <v>312</v>
      </c>
      <c r="V1014" s="78" t="s">
        <v>312</v>
      </c>
      <c r="W1014" s="78" t="s">
        <v>312</v>
      </c>
      <c r="X1014" s="78" t="str">
        <f t="shared" si="416"/>
        <v>NA</v>
      </c>
      <c r="Y1014" s="95" t="s">
        <v>312</v>
      </c>
      <c r="Z1014" s="95" t="s">
        <v>312</v>
      </c>
      <c r="AA1014" s="95" t="str">
        <f t="shared" si="413"/>
        <v>NA</v>
      </c>
      <c r="AB1014" s="78" t="s">
        <v>81</v>
      </c>
      <c r="AC1014" s="95">
        <f t="shared" si="417"/>
        <v>-1.5842750000000001</v>
      </c>
      <c r="AD1014" s="95" cm="1">
        <f t="array" ref="AD1014">_xlfn.IFS(
AND(L1014="marginal_effect",M1014="level"),N1014*AN1014/BF1014,
AND(L1014="marginal_effect",M1014="sd (Y)"),N1014*BI1014*AN1014/BF1014,
AND(L1014="marginal_effect",M1014="sd (X)"),N1014/AQ1014*AN1014/BF1014,
AND(L1014="semi_elasticity",M1014="level"),N1014*AN1014,
AND(L1014="semi_elasticity",M1014="sd (Y)"),N1014*AN1014*BI1014,
AND(L1014="semi_elasticity",M1014="sd (X)"),N1014*AN1014/AQ1014,
AND(L1014="level-log",M1014="level"),N1014/BF1014,
AND(L1014="level-log",M1014="sd (X)"),N1014/BF1014/AQ1014,
AND(L1014="level-log",M1014="sd (Y)"),N1014/BF1014*BI1014,
AND(L1014="elasticity",M1014="level"),N1014,
AND(L1014="elasticity",M1014="sd (X)"),N1014/AQ1014,
AND(L1014="elasticity",M1014="sd (Y)"),N1014*BI1014,
AND(L1014="marginal_effect",M1014="percent_of_mean"),N1014*AN1014/BF1014/10)</f>
        <v>-1.5842750000000001</v>
      </c>
      <c r="AE1014" s="105">
        <f t="shared" si="414"/>
        <v>1</v>
      </c>
      <c r="AF1014" s="95">
        <f t="shared" si="418"/>
        <v>0.588445</v>
      </c>
      <c r="AG1014" s="95" cm="1">
        <f t="array" ref="AG1014">_xlfn.IFS(
AND(L1014="marginal_effect",M1014="level"),O1014*AN1014/BF1014,
AND(L1014="marginal_effect",M1014="sd (Y)"),O1014*BI1014*AN1014/BF1014,
AND(L1014="marginal_effect",M1014="sd (X)"),O1014/AQ1014*AN1014/BF1014,
AND(L1014="semi_elasticity",M1014="level"),O1014*AN1014,
AND(L1014="semi_elasticity",M1014="sd (Y)"),O1014*AN1014*BI1014,
AND(L1014="semi_elasticity",M1014="sd (X)"),O1014*AN1014/AQ1014,
AND(L1014="level-log",M1014="level"),O1014/BF1014,
AND(L1014="level-log",M1014="sd (X)"),O1014/BF1014/AQ1014,
AND(L1014="level-log",M1014="sd (Y)"),O1014/BF1014*BI1014,
AND(L1014="elasticity",M1014="level"),O1014,
AND(L1014="elasticity",M1014="sd (X)"),O1014/AQ1014,
AND(L1014="elasticity",M1014="sd (Y)"),O1014*BI1014,
AND(L1014="marginal_effect",M1014="percent_of_mean"),O1014*AN1014/BF1014/10)</f>
        <v>0.588445</v>
      </c>
      <c r="AH1014" s="105">
        <f t="shared" si="419"/>
        <v>1</v>
      </c>
      <c r="AI1014" s="95">
        <f t="shared" si="415"/>
        <v>-1.5842750000000001</v>
      </c>
      <c r="AJ1014" s="78">
        <v>0</v>
      </c>
      <c r="AK1014" s="78">
        <f t="shared" si="412"/>
        <v>1</v>
      </c>
      <c r="AL1014" s="78" t="s">
        <v>82</v>
      </c>
      <c r="AM1014" s="78" t="s">
        <v>1333</v>
      </c>
      <c r="AN1014" s="78">
        <v>45.265000000000001</v>
      </c>
      <c r="AO1014" s="78">
        <v>0</v>
      </c>
      <c r="AP1014" s="78">
        <f t="shared" si="420"/>
        <v>45.265000000000001</v>
      </c>
      <c r="AQ1014" s="78">
        <v>16.449000000000002</v>
      </c>
      <c r="AR1014" s="78">
        <v>10.315</v>
      </c>
      <c r="AS1014" s="78">
        <v>105.699</v>
      </c>
      <c r="AT1014" s="78" t="s">
        <v>83</v>
      </c>
      <c r="AU1014" s="78" t="s">
        <v>109</v>
      </c>
      <c r="AV1014" s="78" t="s">
        <v>133</v>
      </c>
      <c r="AW1014" s="78" t="s">
        <v>85</v>
      </c>
      <c r="AX1014" s="78" t="s">
        <v>86</v>
      </c>
      <c r="AY1014" s="78">
        <v>0</v>
      </c>
      <c r="AZ1014" s="78">
        <v>0</v>
      </c>
      <c r="BA1014" s="78" t="s">
        <v>391</v>
      </c>
      <c r="BB1014" s="78" t="s">
        <v>134</v>
      </c>
      <c r="BC1014" s="78" t="s">
        <v>134</v>
      </c>
      <c r="BD1014" s="78" t="s">
        <v>134</v>
      </c>
      <c r="BE1014" s="78" t="s">
        <v>1905</v>
      </c>
      <c r="BF1014" s="78" t="s">
        <v>312</v>
      </c>
      <c r="BG1014" s="78" t="s">
        <v>312</v>
      </c>
      <c r="BH1014" s="78" t="s">
        <v>312</v>
      </c>
      <c r="BI1014" s="78" t="s">
        <v>312</v>
      </c>
      <c r="BJ1014" s="78" t="s">
        <v>312</v>
      </c>
      <c r="BK1014" s="78" t="s">
        <v>91</v>
      </c>
      <c r="BL1014" s="78" t="s">
        <v>1402</v>
      </c>
      <c r="BM1014" s="78">
        <v>1</v>
      </c>
      <c r="BN1014" s="78" t="s">
        <v>1984</v>
      </c>
      <c r="BO1014" s="78" t="s">
        <v>312</v>
      </c>
      <c r="BP1014" s="78" t="s">
        <v>312</v>
      </c>
      <c r="BQ1014" s="78" t="s">
        <v>117</v>
      </c>
      <c r="BR1014" s="78" t="s">
        <v>134</v>
      </c>
      <c r="BS1014" s="78" t="s">
        <v>312</v>
      </c>
      <c r="BT1014" s="78" t="s">
        <v>312</v>
      </c>
      <c r="BU1014" s="78">
        <v>2003</v>
      </c>
      <c r="BV1014" s="78">
        <v>2022</v>
      </c>
      <c r="BW1014" s="78" t="s">
        <v>901</v>
      </c>
      <c r="BX1014" s="78" t="s">
        <v>95</v>
      </c>
      <c r="BY1014" s="78" t="s">
        <v>153</v>
      </c>
      <c r="BZ1014" s="78">
        <v>1</v>
      </c>
      <c r="CA1014" s="78">
        <v>0</v>
      </c>
      <c r="CB1014" s="78" t="s">
        <v>97</v>
      </c>
      <c r="CC1014" s="78" t="s">
        <v>313</v>
      </c>
      <c r="CD1014" s="78">
        <v>0</v>
      </c>
      <c r="CE1014" s="78" t="s">
        <v>97</v>
      </c>
      <c r="CF1014" s="78">
        <v>0</v>
      </c>
      <c r="CG1014" s="78" t="s">
        <v>97</v>
      </c>
      <c r="CH1014" s="78">
        <v>0</v>
      </c>
      <c r="CI1014" s="78" t="s">
        <v>97</v>
      </c>
      <c r="CJ1014" s="78" t="s">
        <v>98</v>
      </c>
      <c r="CK1014" s="78">
        <v>3</v>
      </c>
      <c r="CL1014" s="78">
        <v>0</v>
      </c>
      <c r="CM1014" s="78">
        <v>0</v>
      </c>
      <c r="CN1014" s="78" t="s">
        <v>99</v>
      </c>
      <c r="CO1014" s="78" t="s">
        <v>97</v>
      </c>
      <c r="CP1014" s="78" t="s">
        <v>100</v>
      </c>
      <c r="CQ1014" s="78" t="s">
        <v>126</v>
      </c>
      <c r="CR1014" s="80">
        <v>46253</v>
      </c>
      <c r="CT1014" s="78" t="s">
        <v>783</v>
      </c>
    </row>
    <row r="1015" spans="1:98" s="78" customFormat="1" x14ac:dyDescent="0.35">
      <c r="A1015" s="77" t="s">
        <v>1981</v>
      </c>
      <c r="B1015" s="77" t="s">
        <v>1988</v>
      </c>
      <c r="C1015" s="78" t="s">
        <v>1985</v>
      </c>
      <c r="D1015" s="78">
        <v>2026</v>
      </c>
      <c r="E1015" s="79" t="s">
        <v>1982</v>
      </c>
      <c r="F1015" s="77" t="s">
        <v>1983</v>
      </c>
      <c r="G1015" s="78" t="s">
        <v>78</v>
      </c>
      <c r="H1015" s="78">
        <v>1</v>
      </c>
      <c r="I1015" s="78" t="s">
        <v>290</v>
      </c>
      <c r="J1015" s="78" t="s">
        <v>79</v>
      </c>
      <c r="K1015" s="78">
        <v>0</v>
      </c>
      <c r="L1015" s="78" t="s">
        <v>104</v>
      </c>
      <c r="M1015" s="78" t="s">
        <v>380</v>
      </c>
      <c r="N1015" s="78">
        <v>-3.9E-2</v>
      </c>
      <c r="O1015" s="78">
        <v>1.4E-2</v>
      </c>
      <c r="P1015" s="95">
        <f t="shared" si="407"/>
        <v>-2.7857142857142856</v>
      </c>
      <c r="Q1015" s="78" t="s">
        <v>312</v>
      </c>
      <c r="R1015" s="95">
        <f t="shared" si="408"/>
        <v>-6.6439999999999999E-2</v>
      </c>
      <c r="S1015" s="95">
        <f t="shared" si="409"/>
        <v>-1.1560000000000001E-2</v>
      </c>
      <c r="T1015" s="78">
        <v>1</v>
      </c>
      <c r="U1015" s="78" t="s">
        <v>312</v>
      </c>
      <c r="V1015" s="78" t="s">
        <v>312</v>
      </c>
      <c r="W1015" s="78" t="s">
        <v>312</v>
      </c>
      <c r="X1015" s="78" t="str">
        <f t="shared" si="416"/>
        <v>NA</v>
      </c>
      <c r="Y1015" s="95" t="s">
        <v>312</v>
      </c>
      <c r="Z1015" s="95" t="s">
        <v>312</v>
      </c>
      <c r="AA1015" s="95" t="str">
        <f t="shared" si="413"/>
        <v>NA</v>
      </c>
      <c r="AB1015" s="78" t="s">
        <v>81</v>
      </c>
      <c r="AC1015" s="95">
        <f t="shared" si="417"/>
        <v>-1.7653350000000001</v>
      </c>
      <c r="AD1015" s="95" cm="1">
        <f t="array" ref="AD1015">_xlfn.IFS(
AND(L1015="marginal_effect",M1015="level"),N1015*AN1015/BF1015,
AND(L1015="marginal_effect",M1015="sd (Y)"),N1015*BI1015*AN1015/BF1015,
AND(L1015="marginal_effect",M1015="sd (X)"),N1015/AQ1015*AN1015/BF1015,
AND(L1015="semi_elasticity",M1015="level"),N1015*AN1015,
AND(L1015="semi_elasticity",M1015="sd (Y)"),N1015*AN1015*BI1015,
AND(L1015="semi_elasticity",M1015="sd (X)"),N1015*AN1015/AQ1015,
AND(L1015="level-log",M1015="level"),N1015/BF1015,
AND(L1015="level-log",M1015="sd (X)"),N1015/BF1015/AQ1015,
AND(L1015="level-log",M1015="sd (Y)"),N1015/BF1015*BI1015,
AND(L1015="elasticity",M1015="level"),N1015,
AND(L1015="elasticity",M1015="sd (X)"),N1015/AQ1015,
AND(L1015="elasticity",M1015="sd (Y)"),N1015*BI1015,
AND(L1015="marginal_effect",M1015="percent_of_mean"),N1015*AN1015/BF1015/10)</f>
        <v>-1.7653350000000001</v>
      </c>
      <c r="AE1015" s="105">
        <f t="shared" si="414"/>
        <v>1</v>
      </c>
      <c r="AF1015" s="95">
        <f t="shared" si="418"/>
        <v>0.63371</v>
      </c>
      <c r="AG1015" s="95" cm="1">
        <f t="array" ref="AG1015">_xlfn.IFS(
AND(L1015="marginal_effect",M1015="level"),O1015*AN1015/BF1015,
AND(L1015="marginal_effect",M1015="sd (Y)"),O1015*BI1015*AN1015/BF1015,
AND(L1015="marginal_effect",M1015="sd (X)"),O1015/AQ1015*AN1015/BF1015,
AND(L1015="semi_elasticity",M1015="level"),O1015*AN1015,
AND(L1015="semi_elasticity",M1015="sd (Y)"),O1015*AN1015*BI1015,
AND(L1015="semi_elasticity",M1015="sd (X)"),O1015*AN1015/AQ1015,
AND(L1015="level-log",M1015="level"),O1015/BF1015,
AND(L1015="level-log",M1015="sd (X)"),O1015/BF1015/AQ1015,
AND(L1015="level-log",M1015="sd (Y)"),O1015/BF1015*BI1015,
AND(L1015="elasticity",M1015="level"),O1015,
AND(L1015="elasticity",M1015="sd (X)"),O1015/AQ1015,
AND(L1015="elasticity",M1015="sd (Y)"),O1015*BI1015,
AND(L1015="marginal_effect",M1015="percent_of_mean"),O1015*AN1015/BF1015/10)</f>
        <v>0.63371</v>
      </c>
      <c r="AH1015" s="105">
        <f t="shared" si="419"/>
        <v>1</v>
      </c>
      <c r="AI1015" s="95">
        <f t="shared" si="415"/>
        <v>-1.7653350000000001</v>
      </c>
      <c r="AJ1015" s="78">
        <v>0</v>
      </c>
      <c r="AK1015" s="78">
        <f t="shared" si="412"/>
        <v>1</v>
      </c>
      <c r="AL1015" s="78" t="s">
        <v>82</v>
      </c>
      <c r="AM1015" s="78" t="s">
        <v>1333</v>
      </c>
      <c r="AN1015" s="78">
        <v>45.265000000000001</v>
      </c>
      <c r="AO1015" s="78">
        <v>0</v>
      </c>
      <c r="AP1015" s="78">
        <f t="shared" si="420"/>
        <v>45.265000000000001</v>
      </c>
      <c r="AQ1015" s="78">
        <v>16.449000000000002</v>
      </c>
      <c r="AR1015" s="78">
        <v>10.315</v>
      </c>
      <c r="AS1015" s="78">
        <v>105.699</v>
      </c>
      <c r="AT1015" s="78" t="s">
        <v>83</v>
      </c>
      <c r="AU1015" s="78" t="s">
        <v>109</v>
      </c>
      <c r="AV1015" s="78" t="s">
        <v>133</v>
      </c>
      <c r="AW1015" s="78" t="s">
        <v>85</v>
      </c>
      <c r="AX1015" s="78" t="s">
        <v>86</v>
      </c>
      <c r="AY1015" s="78">
        <v>0</v>
      </c>
      <c r="AZ1015" s="78">
        <v>0</v>
      </c>
      <c r="BA1015" s="78" t="s">
        <v>391</v>
      </c>
      <c r="BB1015" s="78" t="s">
        <v>134</v>
      </c>
      <c r="BC1015" s="78" t="s">
        <v>134</v>
      </c>
      <c r="BD1015" s="78" t="s">
        <v>134</v>
      </c>
      <c r="BE1015" s="78" t="s">
        <v>1905</v>
      </c>
      <c r="BF1015" s="78" t="s">
        <v>312</v>
      </c>
      <c r="BG1015" s="78" t="s">
        <v>312</v>
      </c>
      <c r="BH1015" s="78" t="s">
        <v>312</v>
      </c>
      <c r="BI1015" s="78" t="s">
        <v>312</v>
      </c>
      <c r="BJ1015" s="78" t="s">
        <v>312</v>
      </c>
      <c r="BK1015" s="78" t="s">
        <v>91</v>
      </c>
      <c r="BL1015" s="78" t="s">
        <v>1402</v>
      </c>
      <c r="BM1015" s="78">
        <v>1</v>
      </c>
      <c r="BN1015" s="78" t="s">
        <v>1984</v>
      </c>
      <c r="BO1015" s="78" t="s">
        <v>312</v>
      </c>
      <c r="BP1015" s="78" t="s">
        <v>312</v>
      </c>
      <c r="BQ1015" s="78" t="s">
        <v>117</v>
      </c>
      <c r="BR1015" s="78" t="s">
        <v>134</v>
      </c>
      <c r="BS1015" s="78" t="s">
        <v>312</v>
      </c>
      <c r="BT1015" s="78" t="s">
        <v>312</v>
      </c>
      <c r="BU1015" s="78">
        <v>2003</v>
      </c>
      <c r="BV1015" s="78">
        <v>2022</v>
      </c>
      <c r="BW1015" s="78" t="s">
        <v>901</v>
      </c>
      <c r="BX1015" s="78" t="s">
        <v>95</v>
      </c>
      <c r="BY1015" s="78" t="s">
        <v>153</v>
      </c>
      <c r="BZ1015" s="78">
        <v>1</v>
      </c>
      <c r="CA1015" s="78">
        <v>0</v>
      </c>
      <c r="CB1015" s="78" t="s">
        <v>97</v>
      </c>
      <c r="CC1015" s="78" t="s">
        <v>313</v>
      </c>
      <c r="CD1015" s="78">
        <v>0</v>
      </c>
      <c r="CE1015" s="78" t="s">
        <v>97</v>
      </c>
      <c r="CF1015" s="78">
        <v>0</v>
      </c>
      <c r="CG1015" s="78" t="s">
        <v>97</v>
      </c>
      <c r="CH1015" s="78">
        <v>0</v>
      </c>
      <c r="CI1015" s="78" t="s">
        <v>97</v>
      </c>
      <c r="CJ1015" s="78" t="s">
        <v>98</v>
      </c>
      <c r="CK1015" s="78">
        <v>3</v>
      </c>
      <c r="CL1015" s="78">
        <v>0</v>
      </c>
      <c r="CM1015" s="78">
        <v>0</v>
      </c>
      <c r="CN1015" s="78" t="s">
        <v>99</v>
      </c>
      <c r="CO1015" s="78" t="s">
        <v>97</v>
      </c>
      <c r="CP1015" s="78" t="s">
        <v>100</v>
      </c>
      <c r="CQ1015" s="78" t="s">
        <v>126</v>
      </c>
      <c r="CR1015" s="80">
        <v>46253</v>
      </c>
      <c r="CT1015" s="78" t="s">
        <v>784</v>
      </c>
    </row>
    <row r="1016" spans="1:98" s="44" customFormat="1" x14ac:dyDescent="0.35">
      <c r="A1016" s="43" t="s">
        <v>2006</v>
      </c>
      <c r="B1016" s="43" t="s">
        <v>2007</v>
      </c>
      <c r="C1016" s="44" t="s">
        <v>2008</v>
      </c>
      <c r="D1016" s="44">
        <v>2024</v>
      </c>
      <c r="E1016" s="43" t="s">
        <v>2009</v>
      </c>
      <c r="F1016" s="43" t="s">
        <v>2010</v>
      </c>
      <c r="G1016" s="44" t="s">
        <v>78</v>
      </c>
      <c r="H1016" s="44">
        <v>1</v>
      </c>
      <c r="I1016" s="44" t="s">
        <v>290</v>
      </c>
      <c r="J1016" s="44" t="s">
        <v>79</v>
      </c>
      <c r="K1016" s="44">
        <v>13</v>
      </c>
      <c r="L1016" s="44" t="s">
        <v>104</v>
      </c>
      <c r="M1016" s="44" t="s">
        <v>380</v>
      </c>
      <c r="N1016" s="44">
        <v>-0.04</v>
      </c>
      <c r="O1016" s="44">
        <v>1.7000000000000001E-2</v>
      </c>
      <c r="P1016" s="91">
        <f t="shared" si="407"/>
        <v>-2.3529411764705883</v>
      </c>
      <c r="Q1016" s="44" t="s">
        <v>312</v>
      </c>
      <c r="R1016" s="91">
        <f t="shared" si="408"/>
        <v>-7.3319999999999996E-2</v>
      </c>
      <c r="S1016" s="91">
        <f t="shared" si="409"/>
        <v>-6.6799999999999984E-3</v>
      </c>
      <c r="T1016" s="44">
        <v>1</v>
      </c>
      <c r="U1016" s="44">
        <v>61644</v>
      </c>
      <c r="V1016" s="44">
        <v>1</v>
      </c>
      <c r="W1016" s="44">
        <v>1</v>
      </c>
      <c r="X1016" s="44">
        <f>U1016-V1016</f>
        <v>61643</v>
      </c>
      <c r="Y1016" s="91">
        <f t="shared" ref="Y1016:Y1037" si="421">P1016/(P1016^2 + X1016)^(1/2)</f>
        <v>-9.4765374880235818E-3</v>
      </c>
      <c r="Z1016" s="91">
        <f t="shared" ref="Z1016:Z1037" si="422">((1-Y1016^2)/X1016)^(1/2)</f>
        <v>4.0275284324100226E-3</v>
      </c>
      <c r="AA1016" s="91">
        <f t="shared" si="413"/>
        <v>-9.4765374880235818E-3</v>
      </c>
      <c r="AB1016" s="44" t="s">
        <v>81</v>
      </c>
      <c r="AC1016" s="91">
        <f t="shared" si="417"/>
        <v>-1.8091999999999999</v>
      </c>
      <c r="AD1016" s="91" cm="1">
        <f t="array" ref="AD1016">_xlfn.IFS(
AND(L1016="marginal_effect",M1016="level"),N1016*AN1016/BF1016,
AND(L1016="marginal_effect",M1016="sd (Y)"),N1016*BI1016*AN1016/BF1016,
AND(L1016="marginal_effect",M1016="sd (X)"),N1016/AQ1016*AN1016/BF1016,
AND(L1016="semi_elasticity",M1016="level"),N1016*AN1016,
AND(L1016="semi_elasticity",M1016="sd (Y)"),N1016*AN1016*BI1016,
AND(L1016="semi_elasticity",M1016="sd (X)"),N1016*AN1016/AQ1016,
AND(L1016="level-log",M1016="level"),N1016/BF1016,
AND(L1016="level-log",M1016="sd (X)"),N1016/BF1016/AQ1016,
AND(L1016="level-log",M1016="sd (Y)"),N1016/BF1016*BI1016,
AND(L1016="elasticity",M1016="level"),N1016,
AND(L1016="elasticity",M1016="sd (X)"),N1016/AQ1016,
AND(L1016="elasticity",M1016="sd (Y)"),N1016*BI1016,
AND(L1016="marginal_effect",M1016="percent_of_mean"),N1016*AN1016/BF1016/10)</f>
        <v>-1.8091999999999999</v>
      </c>
      <c r="AE1016" s="50">
        <f t="shared" si="414"/>
        <v>1</v>
      </c>
      <c r="AF1016" s="91">
        <f t="shared" si="418"/>
        <v>0.76890999999999998</v>
      </c>
      <c r="AG1016" s="91" cm="1">
        <f t="array" ref="AG1016">_xlfn.IFS(
AND(L1016="marginal_effect",M1016="level"),O1016*AN1016/BF1016,
AND(L1016="marginal_effect",M1016="sd (Y)"),O1016*BI1016*AN1016/BF1016,
AND(L1016="marginal_effect",M1016="sd (X)"),O1016/AQ1016*AN1016/BF1016,
AND(L1016="semi_elasticity",M1016="level"),O1016*AN1016,
AND(L1016="semi_elasticity",M1016="sd (Y)"),O1016*AN1016*BI1016,
AND(L1016="semi_elasticity",M1016="sd (X)"),O1016*AN1016/AQ1016,
AND(L1016="level-log",M1016="level"),O1016/BF1016,
AND(L1016="level-log",M1016="sd (X)"),O1016/BF1016/AQ1016,
AND(L1016="level-log",M1016="sd (Y)"),O1016/BF1016*BI1016,
AND(L1016="elasticity",M1016="level"),O1016,
AND(L1016="elasticity",M1016="sd (X)"),O1016/AQ1016,
AND(L1016="elasticity",M1016="sd (Y)"),O1016*BI1016,
AND(L1016="marginal_effect",M1016="percent_of_mean"),O1016*AN1016/BF1016/10)</f>
        <v>0.76890999999999998</v>
      </c>
      <c r="AH1016" s="50">
        <f t="shared" si="419"/>
        <v>1</v>
      </c>
      <c r="AI1016" s="91">
        <f t="shared" si="415"/>
        <v>-1.8091999999999999</v>
      </c>
      <c r="AJ1016" s="44">
        <v>0</v>
      </c>
      <c r="AK1016" s="44">
        <f t="shared" si="412"/>
        <v>1</v>
      </c>
      <c r="AL1016" s="44" t="s">
        <v>82</v>
      </c>
      <c r="AM1016" s="44" t="s">
        <v>1333</v>
      </c>
      <c r="AN1016" s="44">
        <v>45.23</v>
      </c>
      <c r="AO1016" s="44">
        <v>0</v>
      </c>
      <c r="AP1016" s="44">
        <f t="shared" si="420"/>
        <v>45.23</v>
      </c>
      <c r="AQ1016" s="44">
        <v>15.53</v>
      </c>
      <c r="AR1016" s="44">
        <v>14.13</v>
      </c>
      <c r="AS1016" s="44">
        <v>91.47</v>
      </c>
      <c r="AT1016" s="44" t="s">
        <v>107</v>
      </c>
      <c r="AU1016" s="44" t="s">
        <v>109</v>
      </c>
      <c r="AV1016" s="44" t="s">
        <v>133</v>
      </c>
      <c r="AW1016" s="44" t="s">
        <v>134</v>
      </c>
      <c r="AX1016" s="44" t="s">
        <v>86</v>
      </c>
      <c r="AY1016" s="44">
        <v>0</v>
      </c>
      <c r="AZ1016" s="44">
        <v>0</v>
      </c>
      <c r="BA1016" s="44" t="s">
        <v>391</v>
      </c>
      <c r="BB1016" s="44" t="s">
        <v>134</v>
      </c>
      <c r="BC1016" s="44" t="s">
        <v>134</v>
      </c>
      <c r="BD1016" s="44" t="s">
        <v>134</v>
      </c>
      <c r="BE1016" s="44" t="s">
        <v>2012</v>
      </c>
      <c r="BF1016" s="44" t="s">
        <v>312</v>
      </c>
      <c r="BG1016" s="44" t="s">
        <v>312</v>
      </c>
      <c r="BH1016" s="44" t="s">
        <v>312</v>
      </c>
      <c r="BI1016" s="44" t="s">
        <v>312</v>
      </c>
      <c r="BJ1016" s="44" t="s">
        <v>312</v>
      </c>
      <c r="BK1016" s="44" t="s">
        <v>91</v>
      </c>
      <c r="BL1016" s="44" t="s">
        <v>84</v>
      </c>
      <c r="BM1016" s="44">
        <v>1</v>
      </c>
      <c r="BN1016" s="44" t="s">
        <v>312</v>
      </c>
      <c r="BO1016" s="44" t="s">
        <v>312</v>
      </c>
      <c r="BP1016" s="44" t="s">
        <v>312</v>
      </c>
      <c r="BQ1016" s="44" t="s">
        <v>117</v>
      </c>
      <c r="BR1016" s="44" t="s">
        <v>134</v>
      </c>
      <c r="BS1016" s="44">
        <v>40.42</v>
      </c>
      <c r="BT1016" s="44">
        <v>0.47</v>
      </c>
      <c r="BU1016" s="44">
        <v>2013</v>
      </c>
      <c r="BV1016" s="44">
        <v>2018</v>
      </c>
      <c r="BW1016" s="44" t="s">
        <v>901</v>
      </c>
      <c r="BX1016" s="44" t="s">
        <v>95</v>
      </c>
      <c r="BY1016" s="44" t="s">
        <v>748</v>
      </c>
      <c r="BZ1016" s="44">
        <v>1</v>
      </c>
      <c r="CA1016" s="44">
        <v>1</v>
      </c>
      <c r="CB1016" s="44" t="s">
        <v>303</v>
      </c>
      <c r="CC1016" s="44" t="s">
        <v>2013</v>
      </c>
      <c r="CD1016" s="44">
        <v>0</v>
      </c>
      <c r="CE1016" s="44" t="s">
        <v>97</v>
      </c>
      <c r="CF1016" s="44">
        <v>0</v>
      </c>
      <c r="CG1016" s="44" t="s">
        <v>97</v>
      </c>
      <c r="CH1016" s="44">
        <v>0</v>
      </c>
      <c r="CI1016" s="44" t="s">
        <v>1402</v>
      </c>
      <c r="CJ1016" s="44" t="s">
        <v>98</v>
      </c>
      <c r="CK1016" s="44">
        <v>2</v>
      </c>
      <c r="CL1016" s="44">
        <v>0</v>
      </c>
      <c r="CM1016" s="44">
        <v>0</v>
      </c>
      <c r="CN1016" s="44" t="s">
        <v>99</v>
      </c>
      <c r="CO1016" s="44" t="s">
        <v>97</v>
      </c>
      <c r="CP1016" s="44" t="s">
        <v>100</v>
      </c>
      <c r="CQ1016" s="44" t="s">
        <v>126</v>
      </c>
      <c r="CR1016" s="45">
        <v>46254</v>
      </c>
      <c r="CT1016" s="44" t="s">
        <v>2014</v>
      </c>
    </row>
    <row r="1017" spans="1:98" s="44" customFormat="1" x14ac:dyDescent="0.35">
      <c r="A1017" s="43" t="s">
        <v>2006</v>
      </c>
      <c r="B1017" s="43" t="s">
        <v>2011</v>
      </c>
      <c r="C1017" s="44" t="s">
        <v>2008</v>
      </c>
      <c r="D1017" s="44">
        <v>2024</v>
      </c>
      <c r="E1017" s="43" t="s">
        <v>2009</v>
      </c>
      <c r="F1017" s="43" t="s">
        <v>2010</v>
      </c>
      <c r="G1017" s="44" t="s">
        <v>78</v>
      </c>
      <c r="H1017" s="44">
        <v>1</v>
      </c>
      <c r="I1017" s="44" t="s">
        <v>290</v>
      </c>
      <c r="J1017" s="44" t="s">
        <v>79</v>
      </c>
      <c r="K1017" s="44">
        <v>13</v>
      </c>
      <c r="L1017" s="44" t="s">
        <v>104</v>
      </c>
      <c r="M1017" s="44" t="s">
        <v>380</v>
      </c>
      <c r="N1017" s="44">
        <v>-1.7999999999999999E-2</v>
      </c>
      <c r="O1017" s="44">
        <v>7.0000000000000001E-3</v>
      </c>
      <c r="P1017" s="91">
        <f t="shared" si="407"/>
        <v>-2.5714285714285712</v>
      </c>
      <c r="Q1017" s="44" t="s">
        <v>312</v>
      </c>
      <c r="R1017" s="91">
        <f t="shared" si="408"/>
        <v>-3.1719999999999998E-2</v>
      </c>
      <c r="S1017" s="91">
        <f t="shared" si="409"/>
        <v>-4.2799999999999991E-3</v>
      </c>
      <c r="T1017" s="44">
        <v>1</v>
      </c>
      <c r="U1017" s="44">
        <v>61644</v>
      </c>
      <c r="V1017" s="44">
        <v>21</v>
      </c>
      <c r="W1017" s="44">
        <v>1</v>
      </c>
      <c r="X1017" s="44">
        <f>U1017-V1017</f>
        <v>61623</v>
      </c>
      <c r="Y1017" s="91">
        <f t="shared" si="421"/>
        <v>-1.0358091603282075E-2</v>
      </c>
      <c r="Z1017" s="91">
        <f t="shared" si="422"/>
        <v>4.0281467346096967E-3</v>
      </c>
      <c r="AA1017" s="91">
        <f t="shared" si="413"/>
        <v>-1.0358091603282075E-2</v>
      </c>
      <c r="AB1017" s="44" t="s">
        <v>81</v>
      </c>
      <c r="AC1017" s="91">
        <f t="shared" si="417"/>
        <v>-0.81413999999999986</v>
      </c>
      <c r="AD1017" s="91" cm="1">
        <f t="array" ref="AD1017">_xlfn.IFS(
AND(L1017="marginal_effect",M1017="level"),N1017*AN1017/BF1017,
AND(L1017="marginal_effect",M1017="sd (Y)"),N1017*BI1017*AN1017/BF1017,
AND(L1017="marginal_effect",M1017="sd (X)"),N1017/AQ1017*AN1017/BF1017,
AND(L1017="semi_elasticity",M1017="level"),N1017*AN1017,
AND(L1017="semi_elasticity",M1017="sd (Y)"),N1017*AN1017*BI1017,
AND(L1017="semi_elasticity",M1017="sd (X)"),N1017*AN1017/AQ1017,
AND(L1017="level-log",M1017="level"),N1017/BF1017,
AND(L1017="level-log",M1017="sd (X)"),N1017/BF1017/AQ1017,
AND(L1017="level-log",M1017="sd (Y)"),N1017/BF1017*BI1017,
AND(L1017="elasticity",M1017="level"),N1017,
AND(L1017="elasticity",M1017="sd (X)"),N1017/AQ1017,
AND(L1017="elasticity",M1017="sd (Y)"),N1017*BI1017,
AND(L1017="marginal_effect",M1017="percent_of_mean"),N1017*AN1017/BF1017/10)</f>
        <v>-0.81413999999999986</v>
      </c>
      <c r="AE1017" s="50">
        <f t="shared" si="414"/>
        <v>1</v>
      </c>
      <c r="AF1017" s="91">
        <f t="shared" si="418"/>
        <v>0.31661</v>
      </c>
      <c r="AG1017" s="91" cm="1">
        <f t="array" ref="AG1017">_xlfn.IFS(
AND(L1017="marginal_effect",M1017="level"),O1017*AN1017/BF1017,
AND(L1017="marginal_effect",M1017="sd (Y)"),O1017*BI1017*AN1017/BF1017,
AND(L1017="marginal_effect",M1017="sd (X)"),O1017/AQ1017*AN1017/BF1017,
AND(L1017="semi_elasticity",M1017="level"),O1017*AN1017,
AND(L1017="semi_elasticity",M1017="sd (Y)"),O1017*AN1017*BI1017,
AND(L1017="semi_elasticity",M1017="sd (X)"),O1017*AN1017/AQ1017,
AND(L1017="level-log",M1017="level"),O1017/BF1017,
AND(L1017="level-log",M1017="sd (X)"),O1017/BF1017/AQ1017,
AND(L1017="level-log",M1017="sd (Y)"),O1017/BF1017*BI1017,
AND(L1017="elasticity",M1017="level"),O1017,
AND(L1017="elasticity",M1017="sd (X)"),O1017/AQ1017,
AND(L1017="elasticity",M1017="sd (Y)"),O1017*BI1017,
AND(L1017="marginal_effect",M1017="percent_of_mean"),O1017*AN1017/BF1017/10)</f>
        <v>0.31661</v>
      </c>
      <c r="AH1017" s="50">
        <f t="shared" si="419"/>
        <v>1</v>
      </c>
      <c r="AI1017" s="91">
        <f t="shared" si="415"/>
        <v>-0.81413999999999986</v>
      </c>
      <c r="AJ1017" s="44">
        <v>0</v>
      </c>
      <c r="AK1017" s="44">
        <f t="shared" si="412"/>
        <v>1</v>
      </c>
      <c r="AL1017" s="44" t="s">
        <v>82</v>
      </c>
      <c r="AM1017" s="44" t="s">
        <v>1333</v>
      </c>
      <c r="AN1017" s="44">
        <v>45.23</v>
      </c>
      <c r="AO1017" s="44">
        <v>0</v>
      </c>
      <c r="AP1017" s="44">
        <f t="shared" si="420"/>
        <v>45.23</v>
      </c>
      <c r="AQ1017" s="44">
        <v>15.53</v>
      </c>
      <c r="AR1017" s="44">
        <v>14.13</v>
      </c>
      <c r="AS1017" s="44">
        <v>91.47</v>
      </c>
      <c r="AT1017" s="44" t="s">
        <v>107</v>
      </c>
      <c r="AU1017" s="44" t="s">
        <v>109</v>
      </c>
      <c r="AV1017" s="44" t="s">
        <v>133</v>
      </c>
      <c r="AW1017" s="44" t="s">
        <v>134</v>
      </c>
      <c r="AX1017" s="44" t="s">
        <v>86</v>
      </c>
      <c r="AY1017" s="44">
        <v>0</v>
      </c>
      <c r="AZ1017" s="44">
        <v>0</v>
      </c>
      <c r="BA1017" s="44" t="s">
        <v>391</v>
      </c>
      <c r="BB1017" s="44" t="s">
        <v>134</v>
      </c>
      <c r="BC1017" s="44" t="s">
        <v>134</v>
      </c>
      <c r="BD1017" s="44" t="s">
        <v>134</v>
      </c>
      <c r="BE1017" s="44" t="s">
        <v>2012</v>
      </c>
      <c r="BF1017" s="44" t="s">
        <v>312</v>
      </c>
      <c r="BG1017" s="44" t="s">
        <v>312</v>
      </c>
      <c r="BH1017" s="44" t="s">
        <v>312</v>
      </c>
      <c r="BI1017" s="44" t="s">
        <v>312</v>
      </c>
      <c r="BJ1017" s="44" t="s">
        <v>312</v>
      </c>
      <c r="BK1017" s="44" t="s">
        <v>91</v>
      </c>
      <c r="BL1017" s="44" t="s">
        <v>84</v>
      </c>
      <c r="BM1017" s="44">
        <v>1</v>
      </c>
      <c r="BN1017" s="44" t="s">
        <v>312</v>
      </c>
      <c r="BO1017" s="44" t="s">
        <v>312</v>
      </c>
      <c r="BP1017" s="44" t="s">
        <v>312</v>
      </c>
      <c r="BQ1017" s="44" t="s">
        <v>117</v>
      </c>
      <c r="BR1017" s="44" t="s">
        <v>134</v>
      </c>
      <c r="BS1017" s="44">
        <v>40.42</v>
      </c>
      <c r="BT1017" s="44">
        <v>0.47</v>
      </c>
      <c r="BU1017" s="44">
        <v>2013</v>
      </c>
      <c r="BV1017" s="44">
        <v>2018</v>
      </c>
      <c r="BW1017" s="44" t="s">
        <v>901</v>
      </c>
      <c r="BX1017" s="44" t="s">
        <v>95</v>
      </c>
      <c r="BY1017" s="44" t="s">
        <v>748</v>
      </c>
      <c r="BZ1017" s="44">
        <v>1</v>
      </c>
      <c r="CA1017" s="44">
        <v>1</v>
      </c>
      <c r="CB1017" s="44" t="s">
        <v>303</v>
      </c>
      <c r="CC1017" s="44" t="s">
        <v>2013</v>
      </c>
      <c r="CD1017" s="44">
        <v>1</v>
      </c>
      <c r="CE1017" s="44" t="s">
        <v>2016</v>
      </c>
      <c r="CF1017" s="44">
        <v>0</v>
      </c>
      <c r="CG1017" s="44" t="s">
        <v>97</v>
      </c>
      <c r="CH1017" s="44">
        <v>0</v>
      </c>
      <c r="CI1017" s="44" t="s">
        <v>1402</v>
      </c>
      <c r="CJ1017" s="44" t="s">
        <v>98</v>
      </c>
      <c r="CK1017" s="44">
        <v>2</v>
      </c>
      <c r="CL1017" s="44">
        <v>1</v>
      </c>
      <c r="CM1017" s="44">
        <v>1</v>
      </c>
      <c r="CN1017" s="44" t="s">
        <v>99</v>
      </c>
      <c r="CO1017" s="44" t="s">
        <v>97</v>
      </c>
      <c r="CP1017" s="44" t="s">
        <v>100</v>
      </c>
      <c r="CQ1017" s="44" t="s">
        <v>126</v>
      </c>
      <c r="CR1017" s="45">
        <v>46254</v>
      </c>
      <c r="CT1017" s="44" t="s">
        <v>2015</v>
      </c>
    </row>
    <row r="1018" spans="1:98" s="47" customFormat="1" x14ac:dyDescent="0.35">
      <c r="A1018" s="46" t="s">
        <v>2017</v>
      </c>
      <c r="B1018" s="46" t="s">
        <v>2030</v>
      </c>
      <c r="C1018" s="47" t="s">
        <v>2018</v>
      </c>
      <c r="D1018" s="47">
        <v>2024</v>
      </c>
      <c r="E1018" s="66" t="s">
        <v>2019</v>
      </c>
      <c r="F1018" s="46" t="s">
        <v>899</v>
      </c>
      <c r="G1018" s="47" t="s">
        <v>78</v>
      </c>
      <c r="H1018" s="47">
        <v>1</v>
      </c>
      <c r="I1018" s="47" t="s">
        <v>390</v>
      </c>
      <c r="J1018" s="47" t="s">
        <v>79</v>
      </c>
      <c r="K1018" s="47">
        <v>1</v>
      </c>
      <c r="L1018" s="47" t="s">
        <v>104</v>
      </c>
      <c r="M1018" s="47" t="s">
        <v>557</v>
      </c>
      <c r="N1018" s="47">
        <v>-7.6999999999999999E-2</v>
      </c>
      <c r="O1018" s="47">
        <v>1.4E-3</v>
      </c>
      <c r="P1018" s="92">
        <f t="shared" si="407"/>
        <v>-55</v>
      </c>
      <c r="Q1018" s="47" t="s">
        <v>312</v>
      </c>
      <c r="R1018" s="92">
        <f t="shared" si="408"/>
        <v>-7.9743999999999995E-2</v>
      </c>
      <c r="S1018" s="92">
        <f t="shared" si="409"/>
        <v>-7.4256000000000003E-2</v>
      </c>
      <c r="T1018" s="47">
        <v>1</v>
      </c>
      <c r="U1018" s="47">
        <v>26142</v>
      </c>
      <c r="V1018" s="47" t="s">
        <v>312</v>
      </c>
      <c r="W1018" s="47" t="s">
        <v>312</v>
      </c>
      <c r="X1018" s="47">
        <f t="shared" ref="X1018:X1052" si="423">U1018</f>
        <v>26142</v>
      </c>
      <c r="Y1018" s="92">
        <f t="shared" si="421"/>
        <v>-0.32204518382008057</v>
      </c>
      <c r="Z1018" s="92">
        <f t="shared" si="422"/>
        <v>5.8553669785469187E-3</v>
      </c>
      <c r="AA1018" s="92">
        <f t="shared" si="413"/>
        <v>-0.32204518382008057</v>
      </c>
      <c r="AB1018" s="47" t="s">
        <v>81</v>
      </c>
      <c r="AC1018" s="92">
        <f t="shared" ref="AC1018:AC1052" si="424">N1018*AN1018/AQ1018</f>
        <v>-7.7785046728971977E-2</v>
      </c>
      <c r="AD1018" s="92" cm="1">
        <f t="array" ref="AD1018">_xlfn.IFS(
AND(L1018="marginal_effect",M1018="level"),N1018*AN1018/BF1018,
AND(L1018="marginal_effect",M1018="sd (Y)"),N1018*BI1018*AN1018/BF1018,
AND(L1018="marginal_effect",M1018="sd (X)"),N1018/AQ1018*AN1018/BF1018,
AND(L1018="semi_elasticity",M1018="level"),N1018*AN1018,
AND(L1018="semi_elasticity",M1018="sd (Y)"),N1018*AN1018*BI1018,
AND(L1018="semi_elasticity",M1018="sd (X)"),N1018*AN1018/AQ1018,
AND(L1018="level-log",M1018="level"),N1018/BF1018,
AND(L1018="level-log",M1018="sd (X)"),N1018/BF1018/AQ1018,
AND(L1018="level-log",M1018="sd (Y)"),N1018/BF1018*BI1018,
AND(L1018="elasticity",M1018="level"),N1018,
AND(L1018="elasticity",M1018="sd (X)"),N1018/AQ1018,
AND(L1018="elasticity",M1018="sd (Y)"),N1018*BI1018,
AND(L1018="marginal_effect",M1018="percent_of_mean"),N1018*AN1018/BF1018/10)</f>
        <v>-7.7785046728971977E-2</v>
      </c>
      <c r="AE1018" s="51">
        <f t="shared" si="414"/>
        <v>1</v>
      </c>
      <c r="AF1018" s="92">
        <f t="shared" ref="AF1018:AF1037" si="425">O1018*AN1018/AQ1018</f>
        <v>1.4142735768903996E-3</v>
      </c>
      <c r="AG1018" s="92" cm="1">
        <f t="array" ref="AG1018">_xlfn.IFS(
AND(L1018="marginal_effect",M1018="level"),O1018*AN1018/BF1018,
AND(L1018="marginal_effect",M1018="sd (Y)"),O1018*BI1018*AN1018/BF1018,
AND(L1018="marginal_effect",M1018="sd (X)"),O1018/AQ1018*AN1018/BF1018,
AND(L1018="semi_elasticity",M1018="level"),O1018*AN1018,
AND(L1018="semi_elasticity",M1018="sd (Y)"),O1018*AN1018*BI1018,
AND(L1018="semi_elasticity",M1018="sd (X)"),O1018*AN1018/AQ1018,
AND(L1018="level-log",M1018="level"),O1018/BF1018,
AND(L1018="level-log",M1018="sd (X)"),O1018/BF1018/AQ1018,
AND(L1018="level-log",M1018="sd (Y)"),O1018/BF1018*BI1018,
AND(L1018="elasticity",M1018="level"),O1018,
AND(L1018="elasticity",M1018="sd (X)"),O1018/AQ1018,
AND(L1018="elasticity",M1018="sd (Y)"),O1018*BI1018,
AND(L1018="marginal_effect",M1018="percent_of_mean"),O1018*AN1018/BF1018/10)</f>
        <v>1.4142735768903996E-3</v>
      </c>
      <c r="AH1018" s="51">
        <f t="shared" si="419"/>
        <v>1</v>
      </c>
      <c r="AI1018" s="92">
        <f t="shared" si="415"/>
        <v>-7.7785046728971977E-2</v>
      </c>
      <c r="AJ1018" s="47">
        <v>0</v>
      </c>
      <c r="AK1018" s="47">
        <f t="shared" si="412"/>
        <v>1</v>
      </c>
      <c r="AL1018" s="47" t="s">
        <v>159</v>
      </c>
      <c r="AM1018" s="47" t="s">
        <v>410</v>
      </c>
      <c r="AN1018" s="47">
        <v>11.89</v>
      </c>
      <c r="AO1018" s="47">
        <v>0</v>
      </c>
      <c r="AP1018" s="47">
        <f t="shared" si="420"/>
        <v>11.89</v>
      </c>
      <c r="AQ1018" s="47">
        <v>11.77</v>
      </c>
      <c r="AR1018" s="47">
        <v>0</v>
      </c>
      <c r="AS1018" s="47">
        <v>198</v>
      </c>
      <c r="AT1018" s="47" t="s">
        <v>83</v>
      </c>
      <c r="AU1018" s="47" t="s">
        <v>109</v>
      </c>
      <c r="AV1018" s="47" t="s">
        <v>133</v>
      </c>
      <c r="AW1018" s="47" t="s">
        <v>85</v>
      </c>
      <c r="AX1018" s="47" t="s">
        <v>86</v>
      </c>
      <c r="AY1018" s="47">
        <v>0</v>
      </c>
      <c r="AZ1018" s="47">
        <v>0</v>
      </c>
      <c r="BA1018" s="47" t="s">
        <v>87</v>
      </c>
      <c r="BB1018" s="47" t="s">
        <v>134</v>
      </c>
      <c r="BC1018" s="47" t="s">
        <v>89</v>
      </c>
      <c r="BD1018" s="47" t="s">
        <v>433</v>
      </c>
      <c r="BE1018" s="47" t="s">
        <v>2021</v>
      </c>
      <c r="BF1018" s="47">
        <v>81.48</v>
      </c>
      <c r="BG1018" s="47">
        <v>0</v>
      </c>
      <c r="BH1018" s="47">
        <v>30.84</v>
      </c>
      <c r="BI1018" s="47">
        <v>30.05</v>
      </c>
      <c r="BJ1018" s="47">
        <v>200</v>
      </c>
      <c r="BK1018" s="47" t="s">
        <v>91</v>
      </c>
      <c r="BL1018" s="47" t="s">
        <v>2020</v>
      </c>
      <c r="BM1018" s="47">
        <v>1</v>
      </c>
      <c r="BN1018" s="47" t="s">
        <v>2177</v>
      </c>
      <c r="BO1018" s="47" t="s">
        <v>2022</v>
      </c>
      <c r="BP1018" s="47" t="s">
        <v>2023</v>
      </c>
      <c r="BQ1018" s="47" t="s">
        <v>92</v>
      </c>
      <c r="BR1018" s="47" t="s">
        <v>312</v>
      </c>
      <c r="BS1018" s="47" t="s">
        <v>312</v>
      </c>
      <c r="BT1018" s="47" t="s">
        <v>312</v>
      </c>
      <c r="BU1018" s="47">
        <v>1987</v>
      </c>
      <c r="BV1018" s="47">
        <v>1989</v>
      </c>
      <c r="BW1018" s="47" t="s">
        <v>94</v>
      </c>
      <c r="BX1018" s="47" t="s">
        <v>95</v>
      </c>
      <c r="BY1018" s="47" t="s">
        <v>96</v>
      </c>
      <c r="BZ1018" s="47">
        <v>0</v>
      </c>
      <c r="CA1018" s="47">
        <v>0</v>
      </c>
      <c r="CB1018" s="47" t="s">
        <v>97</v>
      </c>
      <c r="CC1018" s="47" t="s">
        <v>2024</v>
      </c>
      <c r="CD1018" s="47">
        <v>1</v>
      </c>
      <c r="CE1018" s="47" t="s">
        <v>2076</v>
      </c>
      <c r="CF1018" s="47">
        <v>1</v>
      </c>
      <c r="CG1018" s="47" t="s">
        <v>2025</v>
      </c>
      <c r="CH1018" s="47">
        <v>0</v>
      </c>
      <c r="CI1018" s="47" t="s">
        <v>97</v>
      </c>
      <c r="CJ1018" s="47" t="s">
        <v>98</v>
      </c>
      <c r="CK1018" s="47">
        <v>35</v>
      </c>
      <c r="CL1018" s="47">
        <v>0</v>
      </c>
      <c r="CM1018" s="47">
        <v>0</v>
      </c>
      <c r="CN1018" s="47" t="s">
        <v>99</v>
      </c>
      <c r="CO1018" s="47" t="s">
        <v>97</v>
      </c>
      <c r="CP1018" s="47" t="s">
        <v>100</v>
      </c>
      <c r="CQ1018" s="47" t="s">
        <v>126</v>
      </c>
      <c r="CR1018" s="48">
        <v>46254</v>
      </c>
      <c r="CT1018" s="47" t="s">
        <v>543</v>
      </c>
    </row>
    <row r="1019" spans="1:98" s="47" customFormat="1" x14ac:dyDescent="0.35">
      <c r="A1019" s="46" t="s">
        <v>2017</v>
      </c>
      <c r="B1019" s="46" t="s">
        <v>2031</v>
      </c>
      <c r="C1019" s="47" t="s">
        <v>2018</v>
      </c>
      <c r="D1019" s="47">
        <v>2024</v>
      </c>
      <c r="E1019" s="66" t="s">
        <v>2019</v>
      </c>
      <c r="F1019" s="46" t="s">
        <v>899</v>
      </c>
      <c r="G1019" s="47" t="s">
        <v>78</v>
      </c>
      <c r="H1019" s="47">
        <v>1</v>
      </c>
      <c r="I1019" s="47" t="s">
        <v>390</v>
      </c>
      <c r="J1019" s="47" t="s">
        <v>79</v>
      </c>
      <c r="K1019" s="47">
        <v>1</v>
      </c>
      <c r="L1019" s="47" t="s">
        <v>104</v>
      </c>
      <c r="M1019" s="47" t="s">
        <v>557</v>
      </c>
      <c r="N1019" s="47">
        <v>-2.75E-2</v>
      </c>
      <c r="O1019" s="47">
        <v>2E-3</v>
      </c>
      <c r="P1019" s="92">
        <f t="shared" si="407"/>
        <v>-13.75</v>
      </c>
      <c r="Q1019" s="47" t="s">
        <v>312</v>
      </c>
      <c r="R1019" s="92">
        <f t="shared" si="408"/>
        <v>-3.1420000000000003E-2</v>
      </c>
      <c r="S1019" s="92">
        <f t="shared" si="409"/>
        <v>-2.358E-2</v>
      </c>
      <c r="T1019" s="47">
        <v>1</v>
      </c>
      <c r="U1019" s="47">
        <v>26142</v>
      </c>
      <c r="V1019" s="47" t="s">
        <v>312</v>
      </c>
      <c r="W1019" s="47" t="s">
        <v>312</v>
      </c>
      <c r="X1019" s="47">
        <f t="shared" si="423"/>
        <v>26142</v>
      </c>
      <c r="Y1019" s="92">
        <f t="shared" si="421"/>
        <v>-8.4736106748573681E-2</v>
      </c>
      <c r="Z1019" s="92">
        <f t="shared" si="422"/>
        <v>6.1626259453508138E-3</v>
      </c>
      <c r="AA1019" s="92">
        <f t="shared" si="413"/>
        <v>-8.4736106748573681E-2</v>
      </c>
      <c r="AB1019" s="47" t="s">
        <v>81</v>
      </c>
      <c r="AC1019" s="92">
        <f t="shared" si="424"/>
        <v>-4.3424187725631766E-2</v>
      </c>
      <c r="AD1019" s="92" cm="1">
        <f t="array" ref="AD1019">_xlfn.IFS(
AND(L1019="marginal_effect",M1019="level"),N1019*AN1019/BF1019,
AND(L1019="marginal_effect",M1019="sd (Y)"),N1019*BI1019*AN1019/BF1019,
AND(L1019="marginal_effect",M1019="sd (X)"),N1019/AQ1019*AN1019/BF1019,
AND(L1019="semi_elasticity",M1019="level"),N1019*AN1019,
AND(L1019="semi_elasticity",M1019="sd (Y)"),N1019*AN1019*BI1019,
AND(L1019="semi_elasticity",M1019="sd (X)"),N1019*AN1019/AQ1019,
AND(L1019="level-log",M1019="level"),N1019/BF1019,
AND(L1019="level-log",M1019="sd (X)"),N1019/BF1019/AQ1019,
AND(L1019="level-log",M1019="sd (Y)"),N1019/BF1019*BI1019,
AND(L1019="elasticity",M1019="level"),N1019,
AND(L1019="elasticity",M1019="sd (X)"),N1019/AQ1019,
AND(L1019="elasticity",M1019="sd (Y)"),N1019*BI1019,
AND(L1019="marginal_effect",M1019="percent_of_mean"),N1019*AN1019/BF1019/10)</f>
        <v>-4.3424187725631766E-2</v>
      </c>
      <c r="AE1019" s="51">
        <f t="shared" si="414"/>
        <v>1</v>
      </c>
      <c r="AF1019" s="92">
        <f t="shared" si="425"/>
        <v>3.1581227436823108E-3</v>
      </c>
      <c r="AG1019" s="92" cm="1">
        <f t="array" ref="AG1019">_xlfn.IFS(
AND(L1019="marginal_effect",M1019="level"),O1019*AN1019/BF1019,
AND(L1019="marginal_effect",M1019="sd (Y)"),O1019*BI1019*AN1019/BF1019,
AND(L1019="marginal_effect",M1019="sd (X)"),O1019/AQ1019*AN1019/BF1019,
AND(L1019="semi_elasticity",M1019="level"),O1019*AN1019,
AND(L1019="semi_elasticity",M1019="sd (Y)"),O1019*AN1019*BI1019,
AND(L1019="semi_elasticity",M1019="sd (X)"),O1019*AN1019/AQ1019,
AND(L1019="level-log",M1019="level"),O1019/BF1019,
AND(L1019="level-log",M1019="sd (X)"),O1019/BF1019/AQ1019,
AND(L1019="level-log",M1019="sd (Y)"),O1019/BF1019*BI1019,
AND(L1019="elasticity",M1019="level"),O1019,
AND(L1019="elasticity",M1019="sd (X)"),O1019/AQ1019,
AND(L1019="elasticity",M1019="sd (Y)"),O1019*BI1019,
AND(L1019="marginal_effect",M1019="percent_of_mean"),O1019*AN1019/BF1019/10)</f>
        <v>3.1581227436823108E-3</v>
      </c>
      <c r="AH1019" s="51">
        <f t="shared" si="419"/>
        <v>1</v>
      </c>
      <c r="AI1019" s="92">
        <f t="shared" si="415"/>
        <v>-4.3424187725631766E-2</v>
      </c>
      <c r="AJ1019" s="47">
        <v>0</v>
      </c>
      <c r="AK1019" s="47">
        <f t="shared" si="412"/>
        <v>1</v>
      </c>
      <c r="AL1019" s="47" t="s">
        <v>131</v>
      </c>
      <c r="AM1019" s="47" t="s">
        <v>410</v>
      </c>
      <c r="AN1019" s="47">
        <v>21.87</v>
      </c>
      <c r="AO1019" s="47">
        <v>0</v>
      </c>
      <c r="AP1019" s="47">
        <f t="shared" si="420"/>
        <v>21.87</v>
      </c>
      <c r="AQ1019" s="47">
        <v>13.85</v>
      </c>
      <c r="AR1019" s="47">
        <v>0</v>
      </c>
      <c r="AS1019" s="47">
        <v>95</v>
      </c>
      <c r="AT1019" s="47" t="s">
        <v>83</v>
      </c>
      <c r="AU1019" s="47" t="s">
        <v>109</v>
      </c>
      <c r="AV1019" s="47" t="s">
        <v>133</v>
      </c>
      <c r="AW1019" s="47" t="s">
        <v>85</v>
      </c>
      <c r="AX1019" s="47" t="s">
        <v>86</v>
      </c>
      <c r="AY1019" s="47">
        <v>0</v>
      </c>
      <c r="AZ1019" s="47">
        <v>0</v>
      </c>
      <c r="BA1019" s="47" t="s">
        <v>87</v>
      </c>
      <c r="BB1019" s="47" t="s">
        <v>134</v>
      </c>
      <c r="BC1019" s="47" t="s">
        <v>89</v>
      </c>
      <c r="BD1019" s="47" t="s">
        <v>433</v>
      </c>
      <c r="BE1019" s="47" t="s">
        <v>2021</v>
      </c>
      <c r="BF1019" s="47">
        <v>81.48</v>
      </c>
      <c r="BG1019" s="47">
        <v>0</v>
      </c>
      <c r="BH1019" s="47">
        <v>30.84</v>
      </c>
      <c r="BI1019" s="47">
        <v>30.05</v>
      </c>
      <c r="BJ1019" s="47">
        <v>200</v>
      </c>
      <c r="BK1019" s="47" t="s">
        <v>91</v>
      </c>
      <c r="BL1019" s="47" t="s">
        <v>2020</v>
      </c>
      <c r="BM1019" s="47">
        <v>1</v>
      </c>
      <c r="BN1019" s="47" t="s">
        <v>2177</v>
      </c>
      <c r="BO1019" s="47" t="s">
        <v>2022</v>
      </c>
      <c r="BP1019" s="47" t="s">
        <v>2023</v>
      </c>
      <c r="BQ1019" s="47" t="s">
        <v>92</v>
      </c>
      <c r="BR1019" s="47" t="s">
        <v>312</v>
      </c>
      <c r="BS1019" s="47" t="s">
        <v>312</v>
      </c>
      <c r="BT1019" s="47" t="s">
        <v>312</v>
      </c>
      <c r="BU1019" s="47">
        <v>1987</v>
      </c>
      <c r="BV1019" s="47">
        <v>1989</v>
      </c>
      <c r="BW1019" s="47" t="s">
        <v>94</v>
      </c>
      <c r="BX1019" s="47" t="s">
        <v>95</v>
      </c>
      <c r="BY1019" s="47" t="s">
        <v>96</v>
      </c>
      <c r="BZ1019" s="47">
        <v>0</v>
      </c>
      <c r="CA1019" s="47">
        <v>0</v>
      </c>
      <c r="CB1019" s="47" t="s">
        <v>97</v>
      </c>
      <c r="CC1019" s="47" t="s">
        <v>2024</v>
      </c>
      <c r="CD1019" s="47">
        <v>1</v>
      </c>
      <c r="CE1019" s="47" t="s">
        <v>2076</v>
      </c>
      <c r="CF1019" s="47">
        <v>1</v>
      </c>
      <c r="CG1019" s="47" t="s">
        <v>2026</v>
      </c>
      <c r="CH1019" s="47">
        <v>0</v>
      </c>
      <c r="CI1019" s="47" t="s">
        <v>97</v>
      </c>
      <c r="CJ1019" s="47" t="s">
        <v>98</v>
      </c>
      <c r="CK1019" s="47">
        <v>35</v>
      </c>
      <c r="CL1019" s="47">
        <v>0</v>
      </c>
      <c r="CM1019" s="47">
        <v>0</v>
      </c>
      <c r="CN1019" s="47" t="s">
        <v>99</v>
      </c>
      <c r="CO1019" s="47" t="s">
        <v>97</v>
      </c>
      <c r="CP1019" s="47" t="s">
        <v>100</v>
      </c>
      <c r="CQ1019" s="47" t="s">
        <v>126</v>
      </c>
      <c r="CR1019" s="48">
        <v>46254</v>
      </c>
      <c r="CT1019" s="47" t="s">
        <v>543</v>
      </c>
    </row>
    <row r="1020" spans="1:98" s="47" customFormat="1" x14ac:dyDescent="0.35">
      <c r="A1020" s="46" t="s">
        <v>2017</v>
      </c>
      <c r="B1020" s="46" t="s">
        <v>2032</v>
      </c>
      <c r="C1020" s="47" t="s">
        <v>2018</v>
      </c>
      <c r="D1020" s="47">
        <v>2024</v>
      </c>
      <c r="E1020" s="66" t="s">
        <v>2019</v>
      </c>
      <c r="F1020" s="46" t="s">
        <v>899</v>
      </c>
      <c r="G1020" s="47" t="s">
        <v>78</v>
      </c>
      <c r="H1020" s="47">
        <v>1</v>
      </c>
      <c r="I1020" s="47" t="s">
        <v>390</v>
      </c>
      <c r="J1020" s="47" t="s">
        <v>79</v>
      </c>
      <c r="K1020" s="47">
        <v>1</v>
      </c>
      <c r="L1020" s="47" t="s">
        <v>104</v>
      </c>
      <c r="M1020" s="47" t="s">
        <v>557</v>
      </c>
      <c r="N1020" s="47">
        <v>-5.3900000000000003E-2</v>
      </c>
      <c r="O1020" s="47">
        <v>2.3999999999999998E-3</v>
      </c>
      <c r="P1020" s="92">
        <f t="shared" si="407"/>
        <v>-22.458333333333336</v>
      </c>
      <c r="Q1020" s="47" t="s">
        <v>312</v>
      </c>
      <c r="R1020" s="92">
        <f t="shared" si="408"/>
        <v>-5.8604000000000003E-2</v>
      </c>
      <c r="S1020" s="92">
        <f t="shared" si="409"/>
        <v>-4.9196000000000004E-2</v>
      </c>
      <c r="T1020" s="47">
        <v>1</v>
      </c>
      <c r="U1020" s="47">
        <v>26142</v>
      </c>
      <c r="V1020" s="47" t="s">
        <v>312</v>
      </c>
      <c r="W1020" s="47" t="s">
        <v>312</v>
      </c>
      <c r="X1020" s="47">
        <f t="shared" si="423"/>
        <v>26142</v>
      </c>
      <c r="Y1020" s="92">
        <f t="shared" si="421"/>
        <v>-0.13758099360007978</v>
      </c>
      <c r="Z1020" s="92">
        <f t="shared" si="422"/>
        <v>6.1260553736584671E-3</v>
      </c>
      <c r="AA1020" s="92">
        <f t="shared" si="413"/>
        <v>-0.13758099360007978</v>
      </c>
      <c r="AB1020" s="47" t="s">
        <v>81</v>
      </c>
      <c r="AC1020" s="92">
        <f t="shared" si="424"/>
        <v>-4.6293673965936734E-2</v>
      </c>
      <c r="AD1020" s="92" cm="1">
        <f t="array" ref="AD1020">_xlfn.IFS(
AND(L1020="marginal_effect",M1020="level"),N1020*AN1020/BF1020,
AND(L1020="marginal_effect",M1020="sd (Y)"),N1020*BI1020*AN1020/BF1020,
AND(L1020="marginal_effect",M1020="sd (X)"),N1020/AQ1020*AN1020/BF1020,
AND(L1020="semi_elasticity",M1020="level"),N1020*AN1020,
AND(L1020="semi_elasticity",M1020="sd (Y)"),N1020*AN1020*BI1020,
AND(L1020="semi_elasticity",M1020="sd (X)"),N1020*AN1020/AQ1020,
AND(L1020="level-log",M1020="level"),N1020/BF1020,
AND(L1020="level-log",M1020="sd (X)"),N1020/BF1020/AQ1020,
AND(L1020="level-log",M1020="sd (Y)"),N1020/BF1020*BI1020,
AND(L1020="elasticity",M1020="level"),N1020,
AND(L1020="elasticity",M1020="sd (X)"),N1020/AQ1020,
AND(L1020="elasticity",M1020="sd (Y)"),N1020*BI1020,
AND(L1020="marginal_effect",M1020="percent_of_mean"),N1020*AN1020/BF1020/10)</f>
        <v>-4.6293673965936734E-2</v>
      </c>
      <c r="AE1020" s="51">
        <f t="shared" si="414"/>
        <v>1</v>
      </c>
      <c r="AF1020" s="92">
        <f t="shared" si="425"/>
        <v>2.0613138686131384E-3</v>
      </c>
      <c r="AG1020" s="92" cm="1">
        <f t="array" ref="AG1020">_xlfn.IFS(
AND(L1020="marginal_effect",M1020="level"),O1020*AN1020/BF1020,
AND(L1020="marginal_effect",M1020="sd (Y)"),O1020*BI1020*AN1020/BF1020,
AND(L1020="marginal_effect",M1020="sd (X)"),O1020/AQ1020*AN1020/BF1020,
AND(L1020="semi_elasticity",M1020="level"),O1020*AN1020,
AND(L1020="semi_elasticity",M1020="sd (Y)"),O1020*AN1020*BI1020,
AND(L1020="semi_elasticity",M1020="sd (X)"),O1020*AN1020/AQ1020,
AND(L1020="level-log",M1020="level"),O1020/BF1020,
AND(L1020="level-log",M1020="sd (X)"),O1020/BF1020/AQ1020,
AND(L1020="level-log",M1020="sd (Y)"),O1020/BF1020*BI1020,
AND(L1020="elasticity",M1020="level"),O1020,
AND(L1020="elasticity",M1020="sd (X)"),O1020/AQ1020,
AND(L1020="elasticity",M1020="sd (Y)"),O1020*BI1020,
AND(L1020="marginal_effect",M1020="percent_of_mean"),O1020*AN1020/BF1020/10)</f>
        <v>2.0613138686131384E-3</v>
      </c>
      <c r="AH1020" s="51">
        <f t="shared" si="419"/>
        <v>1</v>
      </c>
      <c r="AI1020" s="92">
        <f t="shared" si="415"/>
        <v>-4.6293673965936734E-2</v>
      </c>
      <c r="AJ1020" s="47">
        <v>0</v>
      </c>
      <c r="AK1020" s="47">
        <f t="shared" si="412"/>
        <v>1</v>
      </c>
      <c r="AL1020" s="47" t="s">
        <v>148</v>
      </c>
      <c r="AM1020" s="47" t="s">
        <v>590</v>
      </c>
      <c r="AN1020" s="47">
        <v>14.12</v>
      </c>
      <c r="AO1020" s="47">
        <v>0</v>
      </c>
      <c r="AP1020" s="47">
        <f t="shared" si="420"/>
        <v>14.12</v>
      </c>
      <c r="AQ1020" s="47">
        <v>16.440000000000001</v>
      </c>
      <c r="AR1020" s="47">
        <v>0</v>
      </c>
      <c r="AS1020" s="47">
        <v>166</v>
      </c>
      <c r="AT1020" s="47" t="s">
        <v>83</v>
      </c>
      <c r="AU1020" s="47" t="s">
        <v>109</v>
      </c>
      <c r="AV1020" s="47" t="s">
        <v>133</v>
      </c>
      <c r="AW1020" s="47" t="s">
        <v>85</v>
      </c>
      <c r="AX1020" s="47" t="s">
        <v>86</v>
      </c>
      <c r="AY1020" s="47">
        <v>0</v>
      </c>
      <c r="AZ1020" s="47">
        <v>0</v>
      </c>
      <c r="BA1020" s="47" t="s">
        <v>87</v>
      </c>
      <c r="BB1020" s="47" t="s">
        <v>134</v>
      </c>
      <c r="BC1020" s="47" t="s">
        <v>89</v>
      </c>
      <c r="BD1020" s="47" t="s">
        <v>433</v>
      </c>
      <c r="BE1020" s="47" t="s">
        <v>2021</v>
      </c>
      <c r="BF1020" s="47">
        <v>81.48</v>
      </c>
      <c r="BG1020" s="47">
        <v>0</v>
      </c>
      <c r="BH1020" s="47">
        <v>30.84</v>
      </c>
      <c r="BI1020" s="47">
        <v>30.05</v>
      </c>
      <c r="BJ1020" s="47">
        <v>200</v>
      </c>
      <c r="BK1020" s="47" t="s">
        <v>91</v>
      </c>
      <c r="BL1020" s="47" t="s">
        <v>2020</v>
      </c>
      <c r="BM1020" s="47">
        <v>1</v>
      </c>
      <c r="BN1020" s="47" t="s">
        <v>2177</v>
      </c>
      <c r="BO1020" s="47" t="s">
        <v>2022</v>
      </c>
      <c r="BP1020" s="47" t="s">
        <v>2023</v>
      </c>
      <c r="BQ1020" s="47" t="s">
        <v>92</v>
      </c>
      <c r="BR1020" s="47" t="s">
        <v>312</v>
      </c>
      <c r="BS1020" s="47" t="s">
        <v>312</v>
      </c>
      <c r="BT1020" s="47" t="s">
        <v>312</v>
      </c>
      <c r="BU1020" s="47">
        <v>1987</v>
      </c>
      <c r="BV1020" s="47">
        <v>1989</v>
      </c>
      <c r="BW1020" s="47" t="s">
        <v>94</v>
      </c>
      <c r="BX1020" s="47" t="s">
        <v>95</v>
      </c>
      <c r="BY1020" s="47" t="s">
        <v>96</v>
      </c>
      <c r="BZ1020" s="47">
        <v>0</v>
      </c>
      <c r="CA1020" s="47">
        <v>0</v>
      </c>
      <c r="CB1020" s="47" t="s">
        <v>97</v>
      </c>
      <c r="CC1020" s="47" t="s">
        <v>2024</v>
      </c>
      <c r="CD1020" s="47">
        <v>1</v>
      </c>
      <c r="CE1020" s="47" t="s">
        <v>2076</v>
      </c>
      <c r="CF1020" s="47">
        <v>1</v>
      </c>
      <c r="CG1020" s="47" t="s">
        <v>2027</v>
      </c>
      <c r="CH1020" s="47">
        <v>0</v>
      </c>
      <c r="CI1020" s="47" t="s">
        <v>97</v>
      </c>
      <c r="CJ1020" s="47" t="s">
        <v>98</v>
      </c>
      <c r="CK1020" s="47">
        <v>35</v>
      </c>
      <c r="CL1020" s="47">
        <v>0</v>
      </c>
      <c r="CM1020" s="47">
        <v>0</v>
      </c>
      <c r="CN1020" s="47" t="s">
        <v>99</v>
      </c>
      <c r="CO1020" s="47" t="s">
        <v>97</v>
      </c>
      <c r="CP1020" s="47" t="s">
        <v>100</v>
      </c>
      <c r="CQ1020" s="47" t="s">
        <v>126</v>
      </c>
      <c r="CR1020" s="48">
        <v>46254</v>
      </c>
      <c r="CT1020" s="47" t="s">
        <v>543</v>
      </c>
    </row>
    <row r="1021" spans="1:98" s="47" customFormat="1" x14ac:dyDescent="0.35">
      <c r="A1021" s="46" t="s">
        <v>2017</v>
      </c>
      <c r="B1021" s="46" t="s">
        <v>2033</v>
      </c>
      <c r="C1021" s="47" t="s">
        <v>2018</v>
      </c>
      <c r="D1021" s="47">
        <v>2024</v>
      </c>
      <c r="E1021" s="66" t="s">
        <v>2019</v>
      </c>
      <c r="F1021" s="46" t="s">
        <v>899</v>
      </c>
      <c r="G1021" s="47" t="s">
        <v>78</v>
      </c>
      <c r="H1021" s="47">
        <v>1</v>
      </c>
      <c r="I1021" s="47" t="s">
        <v>390</v>
      </c>
      <c r="J1021" s="47" t="s">
        <v>79</v>
      </c>
      <c r="K1021" s="47">
        <v>1</v>
      </c>
      <c r="L1021" s="47" t="s">
        <v>104</v>
      </c>
      <c r="M1021" s="47" t="s">
        <v>557</v>
      </c>
      <c r="N1021" s="47">
        <v>-7.9799999999999996E-2</v>
      </c>
      <c r="O1021" s="47">
        <v>2.7000000000000001E-3</v>
      </c>
      <c r="P1021" s="92">
        <f t="shared" si="407"/>
        <v>-29.555555555555554</v>
      </c>
      <c r="Q1021" s="47" t="s">
        <v>312</v>
      </c>
      <c r="R1021" s="92">
        <f t="shared" si="408"/>
        <v>-8.5092000000000001E-2</v>
      </c>
      <c r="S1021" s="92">
        <f t="shared" si="409"/>
        <v>-7.4507999999999991E-2</v>
      </c>
      <c r="T1021" s="47">
        <v>1</v>
      </c>
      <c r="U1021" s="47">
        <v>26142</v>
      </c>
      <c r="V1021" s="47" t="s">
        <v>312</v>
      </c>
      <c r="W1021" s="47" t="s">
        <v>312</v>
      </c>
      <c r="X1021" s="47">
        <f t="shared" si="423"/>
        <v>26142</v>
      </c>
      <c r="Y1021" s="92">
        <f t="shared" si="421"/>
        <v>-0.1798176734083177</v>
      </c>
      <c r="Z1021" s="92">
        <f t="shared" si="422"/>
        <v>6.0840566190784187E-3</v>
      </c>
      <c r="AA1021" s="92">
        <f t="shared" si="413"/>
        <v>-0.1798176734083177</v>
      </c>
      <c r="AB1021" s="47" t="s">
        <v>81</v>
      </c>
      <c r="AC1021" s="92">
        <f t="shared" si="424"/>
        <v>-0.10512574850299401</v>
      </c>
      <c r="AD1021" s="92" cm="1">
        <f t="array" ref="AD1021">_xlfn.IFS(
AND(L1021="marginal_effect",M1021="level"),N1021*AN1021/BF1021,
AND(L1021="marginal_effect",M1021="sd (Y)"),N1021*BI1021*AN1021/BF1021,
AND(L1021="marginal_effect",M1021="sd (X)"),N1021/AQ1021*AN1021/BF1021,
AND(L1021="semi_elasticity",M1021="level"),N1021*AN1021,
AND(L1021="semi_elasticity",M1021="sd (Y)"),N1021*AN1021*BI1021,
AND(L1021="semi_elasticity",M1021="sd (X)"),N1021*AN1021/AQ1021,
AND(L1021="level-log",M1021="level"),N1021/BF1021,
AND(L1021="level-log",M1021="sd (X)"),N1021/BF1021/AQ1021,
AND(L1021="level-log",M1021="sd (Y)"),N1021/BF1021*BI1021,
AND(L1021="elasticity",M1021="level"),N1021,
AND(L1021="elasticity",M1021="sd (X)"),N1021/AQ1021,
AND(L1021="elasticity",M1021="sd (Y)"),N1021*BI1021,
AND(L1021="marginal_effect",M1021="percent_of_mean"),N1021*AN1021/BF1021/10)</f>
        <v>-0.10512574850299401</v>
      </c>
      <c r="AE1021" s="51">
        <f t="shared" si="414"/>
        <v>1</v>
      </c>
      <c r="AF1021" s="92">
        <f t="shared" si="425"/>
        <v>3.5568862275449109E-3</v>
      </c>
      <c r="AG1021" s="92" cm="1">
        <f t="array" ref="AG1021">_xlfn.IFS(
AND(L1021="marginal_effect",M1021="level"),O1021*AN1021/BF1021,
AND(L1021="marginal_effect",M1021="sd (Y)"),O1021*BI1021*AN1021/BF1021,
AND(L1021="marginal_effect",M1021="sd (X)"),O1021/AQ1021*AN1021/BF1021,
AND(L1021="semi_elasticity",M1021="level"),O1021*AN1021,
AND(L1021="semi_elasticity",M1021="sd (Y)"),O1021*AN1021*BI1021,
AND(L1021="semi_elasticity",M1021="sd (X)"),O1021*AN1021/AQ1021,
AND(L1021="level-log",M1021="level"),O1021/BF1021,
AND(L1021="level-log",M1021="sd (X)"),O1021/BF1021/AQ1021,
AND(L1021="level-log",M1021="sd (Y)"),O1021/BF1021*BI1021,
AND(L1021="elasticity",M1021="level"),O1021,
AND(L1021="elasticity",M1021="sd (X)"),O1021/AQ1021,
AND(L1021="elasticity",M1021="sd (Y)"),O1021*BI1021,
AND(L1021="marginal_effect",M1021="percent_of_mean"),O1021*AN1021/BF1021/10)</f>
        <v>3.5568862275449109E-3</v>
      </c>
      <c r="AH1021" s="51">
        <f t="shared" si="419"/>
        <v>1</v>
      </c>
      <c r="AI1021" s="92">
        <f t="shared" si="415"/>
        <v>-0.10512574850299401</v>
      </c>
      <c r="AJ1021" s="47">
        <v>0</v>
      </c>
      <c r="AK1021" s="47">
        <f t="shared" si="412"/>
        <v>1</v>
      </c>
      <c r="AL1021" s="47" t="s">
        <v>162</v>
      </c>
      <c r="AM1021" s="47" t="s">
        <v>590</v>
      </c>
      <c r="AN1021" s="47">
        <v>2.2000000000000002</v>
      </c>
      <c r="AO1021" s="47">
        <v>0</v>
      </c>
      <c r="AP1021" s="47">
        <f t="shared" si="420"/>
        <v>2.2000000000000002</v>
      </c>
      <c r="AQ1021" s="47">
        <v>1.67</v>
      </c>
      <c r="AR1021" s="47">
        <v>0</v>
      </c>
      <c r="AS1021" s="47">
        <v>16</v>
      </c>
      <c r="AT1021" s="47" t="s">
        <v>83</v>
      </c>
      <c r="AU1021" s="47" t="s">
        <v>109</v>
      </c>
      <c r="AV1021" s="47" t="s">
        <v>133</v>
      </c>
      <c r="AW1021" s="47" t="s">
        <v>85</v>
      </c>
      <c r="AX1021" s="47" t="s">
        <v>86</v>
      </c>
      <c r="AY1021" s="47">
        <v>0</v>
      </c>
      <c r="AZ1021" s="47">
        <v>0</v>
      </c>
      <c r="BA1021" s="47" t="s">
        <v>87</v>
      </c>
      <c r="BB1021" s="47" t="s">
        <v>134</v>
      </c>
      <c r="BC1021" s="47" t="s">
        <v>89</v>
      </c>
      <c r="BD1021" s="47" t="s">
        <v>433</v>
      </c>
      <c r="BE1021" s="47" t="s">
        <v>2021</v>
      </c>
      <c r="BF1021" s="47">
        <v>81.48</v>
      </c>
      <c r="BG1021" s="47">
        <v>0</v>
      </c>
      <c r="BH1021" s="47">
        <v>30.84</v>
      </c>
      <c r="BI1021" s="47">
        <v>30.05</v>
      </c>
      <c r="BJ1021" s="47">
        <v>200</v>
      </c>
      <c r="BK1021" s="47" t="s">
        <v>91</v>
      </c>
      <c r="BL1021" s="47" t="s">
        <v>2020</v>
      </c>
      <c r="BM1021" s="47">
        <v>1</v>
      </c>
      <c r="BN1021" s="47" t="s">
        <v>2177</v>
      </c>
      <c r="BO1021" s="47" t="s">
        <v>2022</v>
      </c>
      <c r="BP1021" s="47" t="s">
        <v>2023</v>
      </c>
      <c r="BQ1021" s="47" t="s">
        <v>92</v>
      </c>
      <c r="BR1021" s="47" t="s">
        <v>312</v>
      </c>
      <c r="BS1021" s="47" t="s">
        <v>312</v>
      </c>
      <c r="BT1021" s="47" t="s">
        <v>312</v>
      </c>
      <c r="BU1021" s="47">
        <v>1987</v>
      </c>
      <c r="BV1021" s="47">
        <v>1989</v>
      </c>
      <c r="BW1021" s="47" t="s">
        <v>94</v>
      </c>
      <c r="BX1021" s="47" t="s">
        <v>95</v>
      </c>
      <c r="BY1021" s="47" t="s">
        <v>96</v>
      </c>
      <c r="BZ1021" s="47">
        <v>0</v>
      </c>
      <c r="CA1021" s="47">
        <v>0</v>
      </c>
      <c r="CB1021" s="47" t="s">
        <v>97</v>
      </c>
      <c r="CC1021" s="47" t="s">
        <v>2024</v>
      </c>
      <c r="CD1021" s="47">
        <v>1</v>
      </c>
      <c r="CE1021" s="47" t="s">
        <v>2076</v>
      </c>
      <c r="CF1021" s="47">
        <v>1</v>
      </c>
      <c r="CG1021" s="47" t="s">
        <v>2028</v>
      </c>
      <c r="CH1021" s="47">
        <v>0</v>
      </c>
      <c r="CI1021" s="47" t="s">
        <v>97</v>
      </c>
      <c r="CJ1021" s="47" t="s">
        <v>98</v>
      </c>
      <c r="CK1021" s="47">
        <v>35</v>
      </c>
      <c r="CL1021" s="47">
        <v>0</v>
      </c>
      <c r="CM1021" s="47">
        <v>0</v>
      </c>
      <c r="CN1021" s="47" t="s">
        <v>99</v>
      </c>
      <c r="CO1021" s="47" t="s">
        <v>97</v>
      </c>
      <c r="CP1021" s="47" t="s">
        <v>100</v>
      </c>
      <c r="CQ1021" s="47" t="s">
        <v>126</v>
      </c>
      <c r="CR1021" s="48">
        <v>46254</v>
      </c>
      <c r="CT1021" s="47" t="s">
        <v>543</v>
      </c>
    </row>
    <row r="1022" spans="1:98" s="47" customFormat="1" x14ac:dyDescent="0.35">
      <c r="A1022" s="46" t="s">
        <v>2017</v>
      </c>
      <c r="B1022" s="46" t="s">
        <v>2034</v>
      </c>
      <c r="C1022" s="47" t="s">
        <v>2018</v>
      </c>
      <c r="D1022" s="47">
        <v>2024</v>
      </c>
      <c r="E1022" s="66" t="s">
        <v>2019</v>
      </c>
      <c r="F1022" s="46" t="s">
        <v>899</v>
      </c>
      <c r="G1022" s="47" t="s">
        <v>78</v>
      </c>
      <c r="H1022" s="47">
        <v>1</v>
      </c>
      <c r="I1022" s="47" t="s">
        <v>390</v>
      </c>
      <c r="J1022" s="47" t="s">
        <v>79</v>
      </c>
      <c r="K1022" s="47">
        <v>1</v>
      </c>
      <c r="L1022" s="47" t="s">
        <v>104</v>
      </c>
      <c r="M1022" s="47" t="s">
        <v>557</v>
      </c>
      <c r="N1022" s="47">
        <v>-3.0499999999999999E-2</v>
      </c>
      <c r="O1022" s="47">
        <v>1.2999999999999999E-3</v>
      </c>
      <c r="P1022" s="92">
        <f t="shared" ref="P1022:P1037" si="426">N1022/O1022</f>
        <v>-23.461538461538463</v>
      </c>
      <c r="Q1022" s="47" t="s">
        <v>312</v>
      </c>
      <c r="R1022" s="92">
        <f t="shared" ref="R1022:R1037" si="427">N1022-1.96*O1022</f>
        <v>-3.3048000000000001E-2</v>
      </c>
      <c r="S1022" s="92">
        <f t="shared" ref="S1022:S1037" si="428">N1022+1.96*O1022</f>
        <v>-2.7951999999999998E-2</v>
      </c>
      <c r="T1022" s="47">
        <v>1</v>
      </c>
      <c r="U1022" s="47">
        <v>26142</v>
      </c>
      <c r="V1022" s="47" t="s">
        <v>312</v>
      </c>
      <c r="W1022" s="47" t="s">
        <v>312</v>
      </c>
      <c r="X1022" s="47">
        <f t="shared" si="423"/>
        <v>26142</v>
      </c>
      <c r="Y1022" s="92">
        <f t="shared" si="421"/>
        <v>-0.143602605137686</v>
      </c>
      <c r="Z1022" s="92">
        <f t="shared" si="422"/>
        <v>6.1207667763603863E-3</v>
      </c>
      <c r="AA1022" s="92">
        <f t="shared" si="413"/>
        <v>-0.143602605137686</v>
      </c>
      <c r="AB1022" s="47" t="s">
        <v>81</v>
      </c>
      <c r="AC1022" s="92">
        <f t="shared" si="424"/>
        <v>-3.1341255868544603E-2</v>
      </c>
      <c r="AD1022" s="92" cm="1">
        <f t="array" ref="AD1022">_xlfn.IFS(
AND(L1022="marginal_effect",M1022="level"),N1022*AN1022/BF1022,
AND(L1022="marginal_effect",M1022="sd (Y)"),N1022*BI1022*AN1022/BF1022,
AND(L1022="marginal_effect",M1022="sd (X)"),N1022/AQ1022*AN1022/BF1022,
AND(L1022="semi_elasticity",M1022="level"),N1022*AN1022,
AND(L1022="semi_elasticity",M1022="sd (Y)"),N1022*AN1022*BI1022,
AND(L1022="semi_elasticity",M1022="sd (X)"),N1022*AN1022/AQ1022,
AND(L1022="level-log",M1022="level"),N1022/BF1022,
AND(L1022="level-log",M1022="sd (X)"),N1022/BF1022/AQ1022,
AND(L1022="level-log",M1022="sd (Y)"),N1022/BF1022*BI1022,
AND(L1022="elasticity",M1022="level"),N1022,
AND(L1022="elasticity",M1022="sd (X)"),N1022/AQ1022,
AND(L1022="elasticity",M1022="sd (Y)"),N1022*BI1022,
AND(L1022="marginal_effect",M1022="percent_of_mean"),N1022*AN1022/BF1022/10)</f>
        <v>-3.1341255868544603E-2</v>
      </c>
      <c r="AE1022" s="51">
        <f t="shared" si="414"/>
        <v>1</v>
      </c>
      <c r="AF1022" s="92">
        <f t="shared" si="425"/>
        <v>1.3358568075117372E-3</v>
      </c>
      <c r="AG1022" s="92" cm="1">
        <f t="array" ref="AG1022">_xlfn.IFS(
AND(L1022="marginal_effect",M1022="level"),O1022*AN1022/BF1022,
AND(L1022="marginal_effect",M1022="sd (Y)"),O1022*BI1022*AN1022/BF1022,
AND(L1022="marginal_effect",M1022="sd (X)"),O1022/AQ1022*AN1022/BF1022,
AND(L1022="semi_elasticity",M1022="level"),O1022*AN1022,
AND(L1022="semi_elasticity",M1022="sd (Y)"),O1022*AN1022*BI1022,
AND(L1022="semi_elasticity",M1022="sd (X)"),O1022*AN1022/AQ1022,
AND(L1022="level-log",M1022="level"),O1022/BF1022,
AND(L1022="level-log",M1022="sd (X)"),O1022/BF1022/AQ1022,
AND(L1022="level-log",M1022="sd (Y)"),O1022/BF1022*BI1022,
AND(L1022="elasticity",M1022="level"),O1022,
AND(L1022="elasticity",M1022="sd (X)"),O1022/AQ1022,
AND(L1022="elasticity",M1022="sd (Y)"),O1022*BI1022,
AND(L1022="marginal_effect",M1022="percent_of_mean"),O1022*AN1022/BF1022/10)</f>
        <v>1.3358568075117372E-3</v>
      </c>
      <c r="AH1022" s="51">
        <f t="shared" si="419"/>
        <v>1</v>
      </c>
      <c r="AI1022" s="92">
        <f t="shared" si="415"/>
        <v>-3.1341255868544603E-2</v>
      </c>
      <c r="AJ1022" s="47">
        <v>0</v>
      </c>
      <c r="AK1022" s="47">
        <f t="shared" ref="AK1022:AK1037" si="429">IF(P1022=(AC1022/AF1022),1,0)</f>
        <v>1</v>
      </c>
      <c r="AL1022" s="47" t="s">
        <v>106</v>
      </c>
      <c r="AM1022" s="47" t="s">
        <v>1333</v>
      </c>
      <c r="AN1022" s="47">
        <v>17.510000000000002</v>
      </c>
      <c r="AO1022" s="47">
        <v>0</v>
      </c>
      <c r="AP1022" s="47">
        <f t="shared" si="420"/>
        <v>17.510000000000002</v>
      </c>
      <c r="AQ1022" s="47">
        <v>17.04</v>
      </c>
      <c r="AR1022" s="47">
        <v>0</v>
      </c>
      <c r="AS1022" s="47">
        <v>79</v>
      </c>
      <c r="AT1022" s="47" t="s">
        <v>83</v>
      </c>
      <c r="AU1022" s="47" t="s">
        <v>109</v>
      </c>
      <c r="AV1022" s="47" t="s">
        <v>133</v>
      </c>
      <c r="AW1022" s="47" t="s">
        <v>85</v>
      </c>
      <c r="AX1022" s="47" t="s">
        <v>86</v>
      </c>
      <c r="AY1022" s="47">
        <v>0</v>
      </c>
      <c r="AZ1022" s="47">
        <v>0</v>
      </c>
      <c r="BA1022" s="47" t="s">
        <v>87</v>
      </c>
      <c r="BB1022" s="47" t="s">
        <v>134</v>
      </c>
      <c r="BC1022" s="47" t="s">
        <v>89</v>
      </c>
      <c r="BD1022" s="47" t="s">
        <v>433</v>
      </c>
      <c r="BE1022" s="47" t="s">
        <v>2021</v>
      </c>
      <c r="BF1022" s="47">
        <v>81.48</v>
      </c>
      <c r="BG1022" s="47">
        <v>0</v>
      </c>
      <c r="BH1022" s="47">
        <v>30.84</v>
      </c>
      <c r="BI1022" s="47">
        <v>30.05</v>
      </c>
      <c r="BJ1022" s="47">
        <v>200</v>
      </c>
      <c r="BK1022" s="47" t="s">
        <v>91</v>
      </c>
      <c r="BL1022" s="47" t="s">
        <v>2020</v>
      </c>
      <c r="BM1022" s="47">
        <v>1</v>
      </c>
      <c r="BN1022" s="47" t="s">
        <v>2177</v>
      </c>
      <c r="BO1022" s="47" t="s">
        <v>2022</v>
      </c>
      <c r="BP1022" s="47" t="s">
        <v>2023</v>
      </c>
      <c r="BQ1022" s="47" t="s">
        <v>92</v>
      </c>
      <c r="BR1022" s="47" t="s">
        <v>312</v>
      </c>
      <c r="BS1022" s="47" t="s">
        <v>312</v>
      </c>
      <c r="BT1022" s="47" t="s">
        <v>312</v>
      </c>
      <c r="BU1022" s="47">
        <v>1987</v>
      </c>
      <c r="BV1022" s="47">
        <v>1989</v>
      </c>
      <c r="BW1022" s="47" t="s">
        <v>94</v>
      </c>
      <c r="BX1022" s="47" t="s">
        <v>95</v>
      </c>
      <c r="BY1022" s="47" t="s">
        <v>96</v>
      </c>
      <c r="BZ1022" s="47">
        <v>0</v>
      </c>
      <c r="CA1022" s="47">
        <v>0</v>
      </c>
      <c r="CB1022" s="47" t="s">
        <v>97</v>
      </c>
      <c r="CC1022" s="47" t="s">
        <v>2024</v>
      </c>
      <c r="CD1022" s="47">
        <v>1</v>
      </c>
      <c r="CE1022" s="47" t="s">
        <v>2076</v>
      </c>
      <c r="CF1022" s="47">
        <v>1</v>
      </c>
      <c r="CG1022" s="47" t="s">
        <v>2029</v>
      </c>
      <c r="CH1022" s="47">
        <v>0</v>
      </c>
      <c r="CI1022" s="47" t="s">
        <v>97</v>
      </c>
      <c r="CJ1022" s="47" t="s">
        <v>98</v>
      </c>
      <c r="CK1022" s="47">
        <v>35</v>
      </c>
      <c r="CL1022" s="47">
        <v>0</v>
      </c>
      <c r="CM1022" s="47">
        <v>0</v>
      </c>
      <c r="CN1022" s="47" t="s">
        <v>99</v>
      </c>
      <c r="CO1022" s="47" t="s">
        <v>97</v>
      </c>
      <c r="CP1022" s="47" t="s">
        <v>100</v>
      </c>
      <c r="CQ1022" s="47" t="s">
        <v>126</v>
      </c>
      <c r="CR1022" s="48">
        <v>46254</v>
      </c>
      <c r="CT1022" s="47" t="s">
        <v>543</v>
      </c>
    </row>
    <row r="1023" spans="1:98" s="47" customFormat="1" x14ac:dyDescent="0.35">
      <c r="A1023" s="46" t="s">
        <v>2017</v>
      </c>
      <c r="B1023" s="46" t="s">
        <v>2050</v>
      </c>
      <c r="C1023" s="47" t="s">
        <v>2018</v>
      </c>
      <c r="D1023" s="47">
        <v>2024</v>
      </c>
      <c r="E1023" s="66" t="s">
        <v>2019</v>
      </c>
      <c r="F1023" s="46" t="s">
        <v>899</v>
      </c>
      <c r="G1023" s="47" t="s">
        <v>78</v>
      </c>
      <c r="H1023" s="47">
        <v>1</v>
      </c>
      <c r="I1023" s="47" t="s">
        <v>390</v>
      </c>
      <c r="J1023" s="47" t="s">
        <v>79</v>
      </c>
      <c r="K1023" s="47">
        <v>1</v>
      </c>
      <c r="L1023" s="47" t="s">
        <v>104</v>
      </c>
      <c r="M1023" s="47" t="s">
        <v>557</v>
      </c>
      <c r="N1023" s="47">
        <f>-0.08</f>
        <v>-0.08</v>
      </c>
      <c r="O1023" s="47">
        <v>1.4E-3</v>
      </c>
      <c r="P1023" s="92">
        <f t="shared" si="426"/>
        <v>-57.142857142857146</v>
      </c>
      <c r="Q1023" s="47" t="s">
        <v>312</v>
      </c>
      <c r="R1023" s="92">
        <f t="shared" si="427"/>
        <v>-8.2743999999999998E-2</v>
      </c>
      <c r="S1023" s="92">
        <f t="shared" si="428"/>
        <v>-7.7256000000000005E-2</v>
      </c>
      <c r="T1023" s="47">
        <v>1</v>
      </c>
      <c r="U1023" s="47">
        <v>26142</v>
      </c>
      <c r="V1023" s="47" t="s">
        <v>312</v>
      </c>
      <c r="W1023" s="47" t="s">
        <v>312</v>
      </c>
      <c r="X1023" s="47">
        <f t="shared" si="423"/>
        <v>26142</v>
      </c>
      <c r="Y1023" s="92">
        <f t="shared" si="421"/>
        <v>-0.33322250899736511</v>
      </c>
      <c r="Z1023" s="92">
        <f t="shared" si="422"/>
        <v>5.8313939074538879E-3</v>
      </c>
      <c r="AA1023" s="92">
        <f t="shared" si="413"/>
        <v>-0.33322250899736511</v>
      </c>
      <c r="AB1023" s="47" t="s">
        <v>81</v>
      </c>
      <c r="AC1023" s="92">
        <f t="shared" si="424"/>
        <v>-8.0815632965165682E-2</v>
      </c>
      <c r="AD1023" s="92" cm="1">
        <f t="array" ref="AD1023">_xlfn.IFS(
AND(L1023="marginal_effect",M1023="level"),N1023*AN1023/BF1023,
AND(L1023="marginal_effect",M1023="sd (Y)"),N1023*BI1023*AN1023/BF1023,
AND(L1023="marginal_effect",M1023="sd (X)"),N1023/AQ1023*AN1023/BF1023,
AND(L1023="semi_elasticity",M1023="level"),N1023*AN1023,
AND(L1023="semi_elasticity",M1023="sd (Y)"),N1023*AN1023*BI1023,
AND(L1023="semi_elasticity",M1023="sd (X)"),N1023*AN1023/AQ1023,
AND(L1023="level-log",M1023="level"),N1023/BF1023,
AND(L1023="level-log",M1023="sd (X)"),N1023/BF1023/AQ1023,
AND(L1023="level-log",M1023="sd (Y)"),N1023/BF1023*BI1023,
AND(L1023="elasticity",M1023="level"),N1023,
AND(L1023="elasticity",M1023="sd (X)"),N1023/AQ1023,
AND(L1023="elasticity",M1023="sd (Y)"),N1023*BI1023,
AND(L1023="marginal_effect",M1023="percent_of_mean"),N1023*AN1023/BF1023/10)</f>
        <v>-8.0815632965165682E-2</v>
      </c>
      <c r="AE1023" s="51">
        <f t="shared" si="414"/>
        <v>1</v>
      </c>
      <c r="AF1023" s="92">
        <f t="shared" si="425"/>
        <v>1.4142735768903996E-3</v>
      </c>
      <c r="AG1023" s="92" cm="1">
        <f t="array" ref="AG1023">_xlfn.IFS(
AND(L1023="marginal_effect",M1023="level"),O1023*AN1023/BF1023,
AND(L1023="marginal_effect",M1023="sd (Y)"),O1023*BI1023*AN1023/BF1023,
AND(L1023="marginal_effect",M1023="sd (X)"),O1023/AQ1023*AN1023/BF1023,
AND(L1023="semi_elasticity",M1023="level"),O1023*AN1023,
AND(L1023="semi_elasticity",M1023="sd (Y)"),O1023*AN1023*BI1023,
AND(L1023="semi_elasticity",M1023="sd (X)"),O1023*AN1023/AQ1023,
AND(L1023="level-log",M1023="level"),O1023/BF1023,
AND(L1023="level-log",M1023="sd (X)"),O1023/BF1023/AQ1023,
AND(L1023="level-log",M1023="sd (Y)"),O1023/BF1023*BI1023,
AND(L1023="elasticity",M1023="level"),O1023,
AND(L1023="elasticity",M1023="sd (X)"),O1023/AQ1023,
AND(L1023="elasticity",M1023="sd (Y)"),O1023*BI1023,
AND(L1023="marginal_effect",M1023="percent_of_mean"),O1023*AN1023/BF1023/10)</f>
        <v>1.4142735768903996E-3</v>
      </c>
      <c r="AH1023" s="51">
        <f t="shared" si="419"/>
        <v>1</v>
      </c>
      <c r="AI1023" s="92">
        <f t="shared" si="415"/>
        <v>-8.0815632965165682E-2</v>
      </c>
      <c r="AJ1023" s="47">
        <v>0</v>
      </c>
      <c r="AK1023" s="47">
        <f t="shared" si="429"/>
        <v>1</v>
      </c>
      <c r="AL1023" s="47" t="s">
        <v>159</v>
      </c>
      <c r="AM1023" s="47" t="s">
        <v>410</v>
      </c>
      <c r="AN1023" s="47">
        <v>11.89</v>
      </c>
      <c r="AO1023" s="47">
        <v>0</v>
      </c>
      <c r="AP1023" s="47">
        <f t="shared" si="420"/>
        <v>11.89</v>
      </c>
      <c r="AQ1023" s="47">
        <v>11.77</v>
      </c>
      <c r="AR1023" s="47">
        <v>0</v>
      </c>
      <c r="AS1023" s="47">
        <v>198</v>
      </c>
      <c r="AT1023" s="47" t="s">
        <v>83</v>
      </c>
      <c r="AU1023" s="47" t="s">
        <v>109</v>
      </c>
      <c r="AV1023" s="47" t="s">
        <v>133</v>
      </c>
      <c r="AW1023" s="47" t="s">
        <v>85</v>
      </c>
      <c r="AX1023" s="47" t="s">
        <v>86</v>
      </c>
      <c r="AY1023" s="47">
        <v>0</v>
      </c>
      <c r="AZ1023" s="47">
        <v>0</v>
      </c>
      <c r="BA1023" s="47" t="s">
        <v>87</v>
      </c>
      <c r="BB1023" s="47" t="s">
        <v>134</v>
      </c>
      <c r="BC1023" s="47" t="s">
        <v>89</v>
      </c>
      <c r="BD1023" s="47" t="s">
        <v>433</v>
      </c>
      <c r="BE1023" s="47" t="s">
        <v>2021</v>
      </c>
      <c r="BF1023" s="47">
        <v>81.48</v>
      </c>
      <c r="BG1023" s="47">
        <v>0</v>
      </c>
      <c r="BH1023" s="47">
        <v>30.84</v>
      </c>
      <c r="BI1023" s="47">
        <v>30.05</v>
      </c>
      <c r="BJ1023" s="47">
        <v>200</v>
      </c>
      <c r="BK1023" s="47" t="s">
        <v>91</v>
      </c>
      <c r="BL1023" s="47" t="s">
        <v>2020</v>
      </c>
      <c r="BM1023" s="47">
        <v>1</v>
      </c>
      <c r="BN1023" s="47" t="s">
        <v>2177</v>
      </c>
      <c r="BO1023" s="47" t="s">
        <v>2022</v>
      </c>
      <c r="BP1023" s="47" t="s">
        <v>2023</v>
      </c>
      <c r="BQ1023" s="47" t="s">
        <v>92</v>
      </c>
      <c r="BR1023" s="47" t="s">
        <v>312</v>
      </c>
      <c r="BS1023" s="47" t="s">
        <v>312</v>
      </c>
      <c r="BT1023" s="47" t="s">
        <v>312</v>
      </c>
      <c r="BU1023" s="47">
        <v>1987</v>
      </c>
      <c r="BV1023" s="47">
        <v>1989</v>
      </c>
      <c r="BW1023" s="47" t="s">
        <v>94</v>
      </c>
      <c r="BX1023" s="47" t="s">
        <v>95</v>
      </c>
      <c r="BY1023" s="47" t="s">
        <v>96</v>
      </c>
      <c r="BZ1023" s="47">
        <v>0</v>
      </c>
      <c r="CA1023" s="47">
        <v>0</v>
      </c>
      <c r="CB1023" s="47" t="s">
        <v>97</v>
      </c>
      <c r="CC1023" s="47" t="s">
        <v>2024</v>
      </c>
      <c r="CD1023" s="47">
        <v>1</v>
      </c>
      <c r="CE1023" s="47" t="s">
        <v>2076</v>
      </c>
      <c r="CF1023" s="47">
        <v>1</v>
      </c>
      <c r="CG1023" s="47" t="s">
        <v>2025</v>
      </c>
      <c r="CH1023" s="47">
        <v>0</v>
      </c>
      <c r="CI1023" s="47" t="s">
        <v>97</v>
      </c>
      <c r="CJ1023" s="47" t="s">
        <v>377</v>
      </c>
      <c r="CK1023" s="47">
        <v>35</v>
      </c>
      <c r="CL1023" s="47">
        <v>1</v>
      </c>
      <c r="CM1023" s="47">
        <v>0</v>
      </c>
      <c r="CN1023" s="47" t="s">
        <v>99</v>
      </c>
      <c r="CO1023" s="47" t="s">
        <v>97</v>
      </c>
      <c r="CP1023" s="47" t="s">
        <v>100</v>
      </c>
      <c r="CQ1023" s="47" t="s">
        <v>126</v>
      </c>
      <c r="CR1023" s="48">
        <v>46254</v>
      </c>
      <c r="CT1023" s="47" t="s">
        <v>549</v>
      </c>
    </row>
    <row r="1024" spans="1:98" s="47" customFormat="1" x14ac:dyDescent="0.35">
      <c r="A1024" s="46" t="s">
        <v>2017</v>
      </c>
      <c r="B1024" s="46" t="s">
        <v>2051</v>
      </c>
      <c r="C1024" s="47" t="s">
        <v>2018</v>
      </c>
      <c r="D1024" s="47">
        <v>2024</v>
      </c>
      <c r="E1024" s="66" t="s">
        <v>2019</v>
      </c>
      <c r="F1024" s="46" t="s">
        <v>899</v>
      </c>
      <c r="G1024" s="47" t="s">
        <v>78</v>
      </c>
      <c r="H1024" s="47">
        <v>1</v>
      </c>
      <c r="I1024" s="47" t="s">
        <v>390</v>
      </c>
      <c r="J1024" s="47" t="s">
        <v>79</v>
      </c>
      <c r="K1024" s="47">
        <v>1</v>
      </c>
      <c r="L1024" s="47" t="s">
        <v>104</v>
      </c>
      <c r="M1024" s="47" t="s">
        <v>557</v>
      </c>
      <c r="N1024" s="47">
        <v>-2.9600000000000001E-2</v>
      </c>
      <c r="O1024" s="47">
        <v>2E-3</v>
      </c>
      <c r="P1024" s="92">
        <f t="shared" si="426"/>
        <v>-14.8</v>
      </c>
      <c r="Q1024" s="47" t="s">
        <v>312</v>
      </c>
      <c r="R1024" s="92">
        <f t="shared" si="427"/>
        <v>-3.3520000000000001E-2</v>
      </c>
      <c r="S1024" s="92">
        <f t="shared" si="428"/>
        <v>-2.5680000000000001E-2</v>
      </c>
      <c r="T1024" s="47">
        <v>1</v>
      </c>
      <c r="U1024" s="47">
        <v>26142</v>
      </c>
      <c r="V1024" s="47" t="s">
        <v>312</v>
      </c>
      <c r="W1024" s="47" t="s">
        <v>312</v>
      </c>
      <c r="X1024" s="47">
        <f t="shared" si="423"/>
        <v>26142</v>
      </c>
      <c r="Y1024" s="92">
        <f t="shared" si="421"/>
        <v>-9.1154989491544464E-2</v>
      </c>
      <c r="Z1024" s="92">
        <f t="shared" si="422"/>
        <v>6.1591209115908424E-3</v>
      </c>
      <c r="AA1024" s="92">
        <f t="shared" si="413"/>
        <v>-9.1154989491544464E-2</v>
      </c>
      <c r="AB1024" s="47" t="s">
        <v>81</v>
      </c>
      <c r="AC1024" s="92">
        <f t="shared" si="424"/>
        <v>-4.67402166064982E-2</v>
      </c>
      <c r="AD1024" s="92" cm="1">
        <f t="array" ref="AD1024">_xlfn.IFS(
AND(L1024="marginal_effect",M1024="level"),N1024*AN1024/BF1024,
AND(L1024="marginal_effect",M1024="sd (Y)"),N1024*BI1024*AN1024/BF1024,
AND(L1024="marginal_effect",M1024="sd (X)"),N1024/AQ1024*AN1024/BF1024,
AND(L1024="semi_elasticity",M1024="level"),N1024*AN1024,
AND(L1024="semi_elasticity",M1024="sd (Y)"),N1024*AN1024*BI1024,
AND(L1024="semi_elasticity",M1024="sd (X)"),N1024*AN1024/AQ1024,
AND(L1024="level-log",M1024="level"),N1024/BF1024,
AND(L1024="level-log",M1024="sd (X)"),N1024/BF1024/AQ1024,
AND(L1024="level-log",M1024="sd (Y)"),N1024/BF1024*BI1024,
AND(L1024="elasticity",M1024="level"),N1024,
AND(L1024="elasticity",M1024="sd (X)"),N1024/AQ1024,
AND(L1024="elasticity",M1024="sd (Y)"),N1024*BI1024,
AND(L1024="marginal_effect",M1024="percent_of_mean"),N1024*AN1024/BF1024/10)</f>
        <v>-4.67402166064982E-2</v>
      </c>
      <c r="AE1024" s="51">
        <f t="shared" si="414"/>
        <v>1</v>
      </c>
      <c r="AF1024" s="92">
        <f t="shared" si="425"/>
        <v>3.1581227436823108E-3</v>
      </c>
      <c r="AG1024" s="92" cm="1">
        <f t="array" ref="AG1024">_xlfn.IFS(
AND(L1024="marginal_effect",M1024="level"),O1024*AN1024/BF1024,
AND(L1024="marginal_effect",M1024="sd (Y)"),O1024*BI1024*AN1024/BF1024,
AND(L1024="marginal_effect",M1024="sd (X)"),O1024/AQ1024*AN1024/BF1024,
AND(L1024="semi_elasticity",M1024="level"),O1024*AN1024,
AND(L1024="semi_elasticity",M1024="sd (Y)"),O1024*AN1024*BI1024,
AND(L1024="semi_elasticity",M1024="sd (X)"),O1024*AN1024/AQ1024,
AND(L1024="level-log",M1024="level"),O1024/BF1024,
AND(L1024="level-log",M1024="sd (X)"),O1024/BF1024/AQ1024,
AND(L1024="level-log",M1024="sd (Y)"),O1024/BF1024*BI1024,
AND(L1024="elasticity",M1024="level"),O1024,
AND(L1024="elasticity",M1024="sd (X)"),O1024/AQ1024,
AND(L1024="elasticity",M1024="sd (Y)"),O1024*BI1024,
AND(L1024="marginal_effect",M1024="percent_of_mean"),O1024*AN1024/BF1024/10)</f>
        <v>3.1581227436823108E-3</v>
      </c>
      <c r="AH1024" s="51">
        <f t="shared" si="419"/>
        <v>1</v>
      </c>
      <c r="AI1024" s="92">
        <f t="shared" si="415"/>
        <v>-4.67402166064982E-2</v>
      </c>
      <c r="AJ1024" s="47">
        <v>0</v>
      </c>
      <c r="AK1024" s="47">
        <f t="shared" si="429"/>
        <v>1</v>
      </c>
      <c r="AL1024" s="47" t="s">
        <v>131</v>
      </c>
      <c r="AM1024" s="47" t="s">
        <v>410</v>
      </c>
      <c r="AN1024" s="47">
        <v>21.87</v>
      </c>
      <c r="AO1024" s="47">
        <v>0</v>
      </c>
      <c r="AP1024" s="47">
        <f t="shared" si="420"/>
        <v>21.87</v>
      </c>
      <c r="AQ1024" s="47">
        <v>13.85</v>
      </c>
      <c r="AR1024" s="47">
        <v>0</v>
      </c>
      <c r="AS1024" s="47">
        <v>95</v>
      </c>
      <c r="AT1024" s="47" t="s">
        <v>83</v>
      </c>
      <c r="AU1024" s="47" t="s">
        <v>109</v>
      </c>
      <c r="AV1024" s="47" t="s">
        <v>133</v>
      </c>
      <c r="AW1024" s="47" t="s">
        <v>85</v>
      </c>
      <c r="AX1024" s="47" t="s">
        <v>86</v>
      </c>
      <c r="AY1024" s="47">
        <v>0</v>
      </c>
      <c r="AZ1024" s="47">
        <v>0</v>
      </c>
      <c r="BA1024" s="47" t="s">
        <v>87</v>
      </c>
      <c r="BB1024" s="47" t="s">
        <v>134</v>
      </c>
      <c r="BC1024" s="47" t="s">
        <v>89</v>
      </c>
      <c r="BD1024" s="47" t="s">
        <v>433</v>
      </c>
      <c r="BE1024" s="47" t="s">
        <v>2021</v>
      </c>
      <c r="BF1024" s="47">
        <v>81.48</v>
      </c>
      <c r="BG1024" s="47">
        <v>0</v>
      </c>
      <c r="BH1024" s="47">
        <v>30.84</v>
      </c>
      <c r="BI1024" s="47">
        <v>30.05</v>
      </c>
      <c r="BJ1024" s="47">
        <v>200</v>
      </c>
      <c r="BK1024" s="47" t="s">
        <v>91</v>
      </c>
      <c r="BL1024" s="47" t="s">
        <v>2020</v>
      </c>
      <c r="BM1024" s="47">
        <v>1</v>
      </c>
      <c r="BN1024" s="47" t="s">
        <v>2177</v>
      </c>
      <c r="BO1024" s="47" t="s">
        <v>2022</v>
      </c>
      <c r="BP1024" s="47" t="s">
        <v>2023</v>
      </c>
      <c r="BQ1024" s="47" t="s">
        <v>92</v>
      </c>
      <c r="BR1024" s="47" t="s">
        <v>312</v>
      </c>
      <c r="BS1024" s="47" t="s">
        <v>312</v>
      </c>
      <c r="BT1024" s="47" t="s">
        <v>312</v>
      </c>
      <c r="BU1024" s="47">
        <v>1987</v>
      </c>
      <c r="BV1024" s="47">
        <v>1989</v>
      </c>
      <c r="BW1024" s="47" t="s">
        <v>94</v>
      </c>
      <c r="BX1024" s="47" t="s">
        <v>95</v>
      </c>
      <c r="BY1024" s="47" t="s">
        <v>96</v>
      </c>
      <c r="BZ1024" s="47">
        <v>0</v>
      </c>
      <c r="CA1024" s="47">
        <v>0</v>
      </c>
      <c r="CB1024" s="47" t="s">
        <v>97</v>
      </c>
      <c r="CC1024" s="47" t="s">
        <v>2024</v>
      </c>
      <c r="CD1024" s="47">
        <v>1</v>
      </c>
      <c r="CE1024" s="47" t="s">
        <v>2076</v>
      </c>
      <c r="CF1024" s="47">
        <v>1</v>
      </c>
      <c r="CG1024" s="47" t="s">
        <v>2026</v>
      </c>
      <c r="CH1024" s="47">
        <v>0</v>
      </c>
      <c r="CI1024" s="47" t="s">
        <v>97</v>
      </c>
      <c r="CJ1024" s="47" t="s">
        <v>377</v>
      </c>
      <c r="CK1024" s="47">
        <v>35</v>
      </c>
      <c r="CL1024" s="47">
        <v>1</v>
      </c>
      <c r="CM1024" s="47">
        <v>0</v>
      </c>
      <c r="CN1024" s="47" t="s">
        <v>99</v>
      </c>
      <c r="CO1024" s="47" t="s">
        <v>97</v>
      </c>
      <c r="CP1024" s="47" t="s">
        <v>100</v>
      </c>
      <c r="CQ1024" s="47" t="s">
        <v>126</v>
      </c>
      <c r="CR1024" s="48">
        <v>46254</v>
      </c>
      <c r="CT1024" s="47" t="s">
        <v>549</v>
      </c>
    </row>
    <row r="1025" spans="1:98" s="47" customFormat="1" x14ac:dyDescent="0.35">
      <c r="A1025" s="46" t="s">
        <v>2017</v>
      </c>
      <c r="B1025" s="46" t="s">
        <v>2052</v>
      </c>
      <c r="C1025" s="47" t="s">
        <v>2018</v>
      </c>
      <c r="D1025" s="47">
        <v>2024</v>
      </c>
      <c r="E1025" s="66" t="s">
        <v>2019</v>
      </c>
      <c r="F1025" s="46" t="s">
        <v>899</v>
      </c>
      <c r="G1025" s="47" t="s">
        <v>78</v>
      </c>
      <c r="H1025" s="47">
        <v>1</v>
      </c>
      <c r="I1025" s="47" t="s">
        <v>390</v>
      </c>
      <c r="J1025" s="47" t="s">
        <v>79</v>
      </c>
      <c r="K1025" s="47">
        <v>1</v>
      </c>
      <c r="L1025" s="47" t="s">
        <v>104</v>
      </c>
      <c r="M1025" s="47" t="s">
        <v>557</v>
      </c>
      <c r="N1025" s="47">
        <f>-0.0753</f>
        <v>-7.5300000000000006E-2</v>
      </c>
      <c r="O1025" s="47">
        <v>2.3999999999999998E-3</v>
      </c>
      <c r="P1025" s="92">
        <f t="shared" si="426"/>
        <v>-31.375000000000004</v>
      </c>
      <c r="Q1025" s="47" t="s">
        <v>312</v>
      </c>
      <c r="R1025" s="92">
        <f t="shared" si="427"/>
        <v>-8.0004000000000006E-2</v>
      </c>
      <c r="S1025" s="92">
        <f t="shared" si="428"/>
        <v>-7.0596000000000006E-2</v>
      </c>
      <c r="T1025" s="47">
        <v>1</v>
      </c>
      <c r="U1025" s="47">
        <v>26142</v>
      </c>
      <c r="V1025" s="47" t="s">
        <v>312</v>
      </c>
      <c r="W1025" s="47" t="s">
        <v>312</v>
      </c>
      <c r="X1025" s="47">
        <f t="shared" si="423"/>
        <v>26142</v>
      </c>
      <c r="Y1025" s="92">
        <f t="shared" si="421"/>
        <v>-0.1904968193361512</v>
      </c>
      <c r="Z1025" s="92">
        <f t="shared" si="422"/>
        <v>6.0716117716701577E-3</v>
      </c>
      <c r="AA1025" s="92">
        <f t="shared" si="413"/>
        <v>-0.1904968193361512</v>
      </c>
      <c r="AB1025" s="47" t="s">
        <v>81</v>
      </c>
      <c r="AC1025" s="92">
        <f t="shared" si="424"/>
        <v>-6.4673722627737226E-2</v>
      </c>
      <c r="AD1025" s="92" cm="1">
        <f t="array" ref="AD1025">_xlfn.IFS(
AND(L1025="marginal_effect",M1025="level"),N1025*AN1025/BF1025,
AND(L1025="marginal_effect",M1025="sd (Y)"),N1025*BI1025*AN1025/BF1025,
AND(L1025="marginal_effect",M1025="sd (X)"),N1025/AQ1025*AN1025/BF1025,
AND(L1025="semi_elasticity",M1025="level"),N1025*AN1025,
AND(L1025="semi_elasticity",M1025="sd (Y)"),N1025*AN1025*BI1025,
AND(L1025="semi_elasticity",M1025="sd (X)"),N1025*AN1025/AQ1025,
AND(L1025="level-log",M1025="level"),N1025/BF1025,
AND(L1025="level-log",M1025="sd (X)"),N1025/BF1025/AQ1025,
AND(L1025="level-log",M1025="sd (Y)"),N1025/BF1025*BI1025,
AND(L1025="elasticity",M1025="level"),N1025,
AND(L1025="elasticity",M1025="sd (X)"),N1025/AQ1025,
AND(L1025="elasticity",M1025="sd (Y)"),N1025*BI1025,
AND(L1025="marginal_effect",M1025="percent_of_mean"),N1025*AN1025/BF1025/10)</f>
        <v>-6.4673722627737226E-2</v>
      </c>
      <c r="AE1025" s="51">
        <f t="shared" si="414"/>
        <v>1</v>
      </c>
      <c r="AF1025" s="92">
        <f t="shared" si="425"/>
        <v>2.0613138686131384E-3</v>
      </c>
      <c r="AG1025" s="92" cm="1">
        <f t="array" ref="AG1025">_xlfn.IFS(
AND(L1025="marginal_effect",M1025="level"),O1025*AN1025/BF1025,
AND(L1025="marginal_effect",M1025="sd (Y)"),O1025*BI1025*AN1025/BF1025,
AND(L1025="marginal_effect",M1025="sd (X)"),O1025/AQ1025*AN1025/BF1025,
AND(L1025="semi_elasticity",M1025="level"),O1025*AN1025,
AND(L1025="semi_elasticity",M1025="sd (Y)"),O1025*AN1025*BI1025,
AND(L1025="semi_elasticity",M1025="sd (X)"),O1025*AN1025/AQ1025,
AND(L1025="level-log",M1025="level"),O1025/BF1025,
AND(L1025="level-log",M1025="sd (X)"),O1025/BF1025/AQ1025,
AND(L1025="level-log",M1025="sd (Y)"),O1025/BF1025*BI1025,
AND(L1025="elasticity",M1025="level"),O1025,
AND(L1025="elasticity",M1025="sd (X)"),O1025/AQ1025,
AND(L1025="elasticity",M1025="sd (Y)"),O1025*BI1025,
AND(L1025="marginal_effect",M1025="percent_of_mean"),O1025*AN1025/BF1025/10)</f>
        <v>2.0613138686131384E-3</v>
      </c>
      <c r="AH1025" s="51">
        <f t="shared" si="419"/>
        <v>1</v>
      </c>
      <c r="AI1025" s="92">
        <f t="shared" si="415"/>
        <v>-6.4673722627737226E-2</v>
      </c>
      <c r="AJ1025" s="47">
        <v>0</v>
      </c>
      <c r="AK1025" s="47">
        <f t="shared" si="429"/>
        <v>1</v>
      </c>
      <c r="AL1025" s="47" t="s">
        <v>148</v>
      </c>
      <c r="AM1025" s="47" t="s">
        <v>590</v>
      </c>
      <c r="AN1025" s="47">
        <v>14.12</v>
      </c>
      <c r="AO1025" s="47">
        <v>0</v>
      </c>
      <c r="AP1025" s="47">
        <f t="shared" si="420"/>
        <v>14.12</v>
      </c>
      <c r="AQ1025" s="47">
        <v>16.440000000000001</v>
      </c>
      <c r="AR1025" s="47">
        <v>0</v>
      </c>
      <c r="AS1025" s="47">
        <v>166</v>
      </c>
      <c r="AT1025" s="47" t="s">
        <v>83</v>
      </c>
      <c r="AU1025" s="47" t="s">
        <v>109</v>
      </c>
      <c r="AV1025" s="47" t="s">
        <v>133</v>
      </c>
      <c r="AW1025" s="47" t="s">
        <v>85</v>
      </c>
      <c r="AX1025" s="47" t="s">
        <v>86</v>
      </c>
      <c r="AY1025" s="47">
        <v>0</v>
      </c>
      <c r="AZ1025" s="47">
        <v>0</v>
      </c>
      <c r="BA1025" s="47" t="s">
        <v>87</v>
      </c>
      <c r="BB1025" s="47" t="s">
        <v>134</v>
      </c>
      <c r="BC1025" s="47" t="s">
        <v>89</v>
      </c>
      <c r="BD1025" s="47" t="s">
        <v>433</v>
      </c>
      <c r="BE1025" s="47" t="s">
        <v>2021</v>
      </c>
      <c r="BF1025" s="47">
        <v>81.48</v>
      </c>
      <c r="BG1025" s="47">
        <v>0</v>
      </c>
      <c r="BH1025" s="47">
        <v>30.84</v>
      </c>
      <c r="BI1025" s="47">
        <v>30.05</v>
      </c>
      <c r="BJ1025" s="47">
        <v>200</v>
      </c>
      <c r="BK1025" s="47" t="s">
        <v>91</v>
      </c>
      <c r="BL1025" s="47" t="s">
        <v>2020</v>
      </c>
      <c r="BM1025" s="47">
        <v>1</v>
      </c>
      <c r="BN1025" s="47" t="s">
        <v>2177</v>
      </c>
      <c r="BO1025" s="47" t="s">
        <v>2022</v>
      </c>
      <c r="BP1025" s="47" t="s">
        <v>2023</v>
      </c>
      <c r="BQ1025" s="47" t="s">
        <v>92</v>
      </c>
      <c r="BR1025" s="47" t="s">
        <v>312</v>
      </c>
      <c r="BS1025" s="47" t="s">
        <v>312</v>
      </c>
      <c r="BT1025" s="47" t="s">
        <v>312</v>
      </c>
      <c r="BU1025" s="47">
        <v>1987</v>
      </c>
      <c r="BV1025" s="47">
        <v>1989</v>
      </c>
      <c r="BW1025" s="47" t="s">
        <v>94</v>
      </c>
      <c r="BX1025" s="47" t="s">
        <v>95</v>
      </c>
      <c r="BY1025" s="47" t="s">
        <v>96</v>
      </c>
      <c r="BZ1025" s="47">
        <v>0</v>
      </c>
      <c r="CA1025" s="47">
        <v>0</v>
      </c>
      <c r="CB1025" s="47" t="s">
        <v>97</v>
      </c>
      <c r="CC1025" s="47" t="s">
        <v>2024</v>
      </c>
      <c r="CD1025" s="47">
        <v>1</v>
      </c>
      <c r="CE1025" s="47" t="s">
        <v>2076</v>
      </c>
      <c r="CF1025" s="47">
        <v>1</v>
      </c>
      <c r="CG1025" s="47" t="s">
        <v>2027</v>
      </c>
      <c r="CH1025" s="47">
        <v>0</v>
      </c>
      <c r="CI1025" s="47" t="s">
        <v>97</v>
      </c>
      <c r="CJ1025" s="47" t="s">
        <v>377</v>
      </c>
      <c r="CK1025" s="47">
        <v>35</v>
      </c>
      <c r="CL1025" s="47">
        <v>1</v>
      </c>
      <c r="CM1025" s="47">
        <v>0</v>
      </c>
      <c r="CN1025" s="47" t="s">
        <v>99</v>
      </c>
      <c r="CO1025" s="47" t="s">
        <v>97</v>
      </c>
      <c r="CP1025" s="47" t="s">
        <v>100</v>
      </c>
      <c r="CQ1025" s="47" t="s">
        <v>126</v>
      </c>
      <c r="CR1025" s="48">
        <v>46254</v>
      </c>
      <c r="CT1025" s="47" t="s">
        <v>549</v>
      </c>
    </row>
    <row r="1026" spans="1:98" s="47" customFormat="1" x14ac:dyDescent="0.35">
      <c r="A1026" s="46" t="s">
        <v>2017</v>
      </c>
      <c r="B1026" s="46" t="s">
        <v>2053</v>
      </c>
      <c r="C1026" s="47" t="s">
        <v>2018</v>
      </c>
      <c r="D1026" s="47">
        <v>2024</v>
      </c>
      <c r="E1026" s="66" t="s">
        <v>2019</v>
      </c>
      <c r="F1026" s="46" t="s">
        <v>899</v>
      </c>
      <c r="G1026" s="47" t="s">
        <v>78</v>
      </c>
      <c r="H1026" s="47">
        <v>1</v>
      </c>
      <c r="I1026" s="47" t="s">
        <v>390</v>
      </c>
      <c r="J1026" s="47" t="s">
        <v>79</v>
      </c>
      <c r="K1026" s="47">
        <v>1</v>
      </c>
      <c r="L1026" s="47" t="s">
        <v>104</v>
      </c>
      <c r="M1026" s="47" t="s">
        <v>557</v>
      </c>
      <c r="N1026" s="47">
        <v>-7.6300000000000007E-2</v>
      </c>
      <c r="O1026" s="47">
        <v>2.7000000000000001E-3</v>
      </c>
      <c r="P1026" s="92">
        <f t="shared" si="426"/>
        <v>-28.25925925925926</v>
      </c>
      <c r="Q1026" s="47" t="s">
        <v>312</v>
      </c>
      <c r="R1026" s="92">
        <f t="shared" si="427"/>
        <v>-8.1592000000000012E-2</v>
      </c>
      <c r="S1026" s="92">
        <f t="shared" si="428"/>
        <v>-7.1008000000000002E-2</v>
      </c>
      <c r="T1026" s="47">
        <v>1</v>
      </c>
      <c r="U1026" s="47">
        <v>26142</v>
      </c>
      <c r="V1026" s="47" t="s">
        <v>312</v>
      </c>
      <c r="W1026" s="47" t="s">
        <v>312</v>
      </c>
      <c r="X1026" s="47">
        <f t="shared" si="423"/>
        <v>26142</v>
      </c>
      <c r="Y1026" s="92">
        <f t="shared" si="421"/>
        <v>-0.17216991176775015</v>
      </c>
      <c r="Z1026" s="92">
        <f t="shared" si="422"/>
        <v>6.0925132604577386E-3</v>
      </c>
      <c r="AA1026" s="92">
        <f t="shared" ref="AA1026:AA1057" si="430">Y1026</f>
        <v>-0.17216991176775015</v>
      </c>
      <c r="AB1026" s="47" t="s">
        <v>81</v>
      </c>
      <c r="AC1026" s="92">
        <f t="shared" si="424"/>
        <v>-0.10051497005988026</v>
      </c>
      <c r="AD1026" s="92" cm="1">
        <f t="array" ref="AD1026">_xlfn.IFS(
AND(L1026="marginal_effect",M1026="level"),N1026*AN1026/BF1026,
AND(L1026="marginal_effect",M1026="sd (Y)"),N1026*BI1026*AN1026/BF1026,
AND(L1026="marginal_effect",M1026="sd (X)"),N1026/AQ1026*AN1026/BF1026,
AND(L1026="semi_elasticity",M1026="level"),N1026*AN1026,
AND(L1026="semi_elasticity",M1026="sd (Y)"),N1026*AN1026*BI1026,
AND(L1026="semi_elasticity",M1026="sd (X)"),N1026*AN1026/AQ1026,
AND(L1026="level-log",M1026="level"),N1026/BF1026,
AND(L1026="level-log",M1026="sd (X)"),N1026/BF1026/AQ1026,
AND(L1026="level-log",M1026="sd (Y)"),N1026/BF1026*BI1026,
AND(L1026="elasticity",M1026="level"),N1026,
AND(L1026="elasticity",M1026="sd (X)"),N1026/AQ1026,
AND(L1026="elasticity",M1026="sd (Y)"),N1026*BI1026,
AND(L1026="marginal_effect",M1026="percent_of_mean"),N1026*AN1026/BF1026/10)</f>
        <v>-0.10051497005988026</v>
      </c>
      <c r="AE1026" s="51">
        <f t="shared" ref="AE1026:AE1057" si="431">IF(AC1026=AD1026,1,0)</f>
        <v>1</v>
      </c>
      <c r="AF1026" s="92">
        <f t="shared" si="425"/>
        <v>3.5568862275449109E-3</v>
      </c>
      <c r="AG1026" s="92" cm="1">
        <f t="array" ref="AG1026">_xlfn.IFS(
AND(L1026="marginal_effect",M1026="level"),O1026*AN1026/BF1026,
AND(L1026="marginal_effect",M1026="sd (Y)"),O1026*BI1026*AN1026/BF1026,
AND(L1026="marginal_effect",M1026="sd (X)"),O1026/AQ1026*AN1026/BF1026,
AND(L1026="semi_elasticity",M1026="level"),O1026*AN1026,
AND(L1026="semi_elasticity",M1026="sd (Y)"),O1026*AN1026*BI1026,
AND(L1026="semi_elasticity",M1026="sd (X)"),O1026*AN1026/AQ1026,
AND(L1026="level-log",M1026="level"),O1026/BF1026,
AND(L1026="level-log",M1026="sd (X)"),O1026/BF1026/AQ1026,
AND(L1026="level-log",M1026="sd (Y)"),O1026/BF1026*BI1026,
AND(L1026="elasticity",M1026="level"),O1026,
AND(L1026="elasticity",M1026="sd (X)"),O1026/AQ1026,
AND(L1026="elasticity",M1026="sd (Y)"),O1026*BI1026,
AND(L1026="marginal_effect",M1026="percent_of_mean"),O1026*AN1026/BF1026/10)</f>
        <v>3.5568862275449109E-3</v>
      </c>
      <c r="AH1026" s="51">
        <f t="shared" si="419"/>
        <v>1</v>
      </c>
      <c r="AI1026" s="92">
        <f t="shared" ref="AI1026:AI1057" si="432">AC1026</f>
        <v>-0.10051497005988026</v>
      </c>
      <c r="AJ1026" s="47">
        <v>0</v>
      </c>
      <c r="AK1026" s="47">
        <f t="shared" si="429"/>
        <v>1</v>
      </c>
      <c r="AL1026" s="47" t="s">
        <v>162</v>
      </c>
      <c r="AM1026" s="47" t="s">
        <v>590</v>
      </c>
      <c r="AN1026" s="47">
        <v>2.2000000000000002</v>
      </c>
      <c r="AO1026" s="47">
        <v>0</v>
      </c>
      <c r="AP1026" s="47">
        <f t="shared" si="420"/>
        <v>2.2000000000000002</v>
      </c>
      <c r="AQ1026" s="47">
        <v>1.67</v>
      </c>
      <c r="AR1026" s="47">
        <v>0</v>
      </c>
      <c r="AS1026" s="47">
        <v>16</v>
      </c>
      <c r="AT1026" s="47" t="s">
        <v>83</v>
      </c>
      <c r="AU1026" s="47" t="s">
        <v>109</v>
      </c>
      <c r="AV1026" s="47" t="s">
        <v>133</v>
      </c>
      <c r="AW1026" s="47" t="s">
        <v>85</v>
      </c>
      <c r="AX1026" s="47" t="s">
        <v>86</v>
      </c>
      <c r="AY1026" s="47">
        <v>0</v>
      </c>
      <c r="AZ1026" s="47">
        <v>0</v>
      </c>
      <c r="BA1026" s="47" t="s">
        <v>87</v>
      </c>
      <c r="BB1026" s="47" t="s">
        <v>134</v>
      </c>
      <c r="BC1026" s="47" t="s">
        <v>89</v>
      </c>
      <c r="BD1026" s="47" t="s">
        <v>433</v>
      </c>
      <c r="BE1026" s="47" t="s">
        <v>2021</v>
      </c>
      <c r="BF1026" s="47">
        <v>81.48</v>
      </c>
      <c r="BG1026" s="47">
        <v>0</v>
      </c>
      <c r="BH1026" s="47">
        <v>30.84</v>
      </c>
      <c r="BI1026" s="47">
        <v>30.05</v>
      </c>
      <c r="BJ1026" s="47">
        <v>200</v>
      </c>
      <c r="BK1026" s="47" t="s">
        <v>91</v>
      </c>
      <c r="BL1026" s="47" t="s">
        <v>2020</v>
      </c>
      <c r="BM1026" s="47">
        <v>1</v>
      </c>
      <c r="BN1026" s="47" t="s">
        <v>2177</v>
      </c>
      <c r="BO1026" s="47" t="s">
        <v>2022</v>
      </c>
      <c r="BP1026" s="47" t="s">
        <v>2023</v>
      </c>
      <c r="BQ1026" s="47" t="s">
        <v>92</v>
      </c>
      <c r="BR1026" s="47" t="s">
        <v>312</v>
      </c>
      <c r="BS1026" s="47" t="s">
        <v>312</v>
      </c>
      <c r="BT1026" s="47" t="s">
        <v>312</v>
      </c>
      <c r="BU1026" s="47">
        <v>1987</v>
      </c>
      <c r="BV1026" s="47">
        <v>1989</v>
      </c>
      <c r="BW1026" s="47" t="s">
        <v>94</v>
      </c>
      <c r="BX1026" s="47" t="s">
        <v>95</v>
      </c>
      <c r="BY1026" s="47" t="s">
        <v>96</v>
      </c>
      <c r="BZ1026" s="47">
        <v>0</v>
      </c>
      <c r="CA1026" s="47">
        <v>0</v>
      </c>
      <c r="CB1026" s="47" t="s">
        <v>97</v>
      </c>
      <c r="CC1026" s="47" t="s">
        <v>2024</v>
      </c>
      <c r="CD1026" s="47">
        <v>1</v>
      </c>
      <c r="CE1026" s="47" t="s">
        <v>2076</v>
      </c>
      <c r="CF1026" s="47">
        <v>1</v>
      </c>
      <c r="CG1026" s="47" t="s">
        <v>2028</v>
      </c>
      <c r="CH1026" s="47">
        <v>0</v>
      </c>
      <c r="CI1026" s="47" t="s">
        <v>97</v>
      </c>
      <c r="CJ1026" s="47" t="s">
        <v>377</v>
      </c>
      <c r="CK1026" s="47">
        <v>35</v>
      </c>
      <c r="CL1026" s="47">
        <v>1</v>
      </c>
      <c r="CM1026" s="47">
        <v>0</v>
      </c>
      <c r="CN1026" s="47" t="s">
        <v>99</v>
      </c>
      <c r="CO1026" s="47" t="s">
        <v>97</v>
      </c>
      <c r="CP1026" s="47" t="s">
        <v>100</v>
      </c>
      <c r="CQ1026" s="47" t="s">
        <v>126</v>
      </c>
      <c r="CR1026" s="48">
        <v>46254</v>
      </c>
      <c r="CT1026" s="47" t="s">
        <v>549</v>
      </c>
    </row>
    <row r="1027" spans="1:98" s="47" customFormat="1" x14ac:dyDescent="0.35">
      <c r="A1027" s="46" t="s">
        <v>2017</v>
      </c>
      <c r="B1027" s="46" t="s">
        <v>2054</v>
      </c>
      <c r="C1027" s="47" t="s">
        <v>2018</v>
      </c>
      <c r="D1027" s="47">
        <v>2024</v>
      </c>
      <c r="E1027" s="66" t="s">
        <v>2019</v>
      </c>
      <c r="F1027" s="46" t="s">
        <v>899</v>
      </c>
      <c r="G1027" s="47" t="s">
        <v>78</v>
      </c>
      <c r="H1027" s="47">
        <v>1</v>
      </c>
      <c r="I1027" s="47" t="s">
        <v>390</v>
      </c>
      <c r="J1027" s="47" t="s">
        <v>79</v>
      </c>
      <c r="K1027" s="47">
        <v>1</v>
      </c>
      <c r="L1027" s="47" t="s">
        <v>104</v>
      </c>
      <c r="M1027" s="47" t="s">
        <v>557</v>
      </c>
      <c r="N1027" s="47">
        <v>-3.6900000000000002E-2</v>
      </c>
      <c r="O1027" s="47">
        <v>1.2999999999999999E-3</v>
      </c>
      <c r="P1027" s="92">
        <f t="shared" si="426"/>
        <v>-28.384615384615387</v>
      </c>
      <c r="Q1027" s="47" t="s">
        <v>312</v>
      </c>
      <c r="R1027" s="92">
        <f t="shared" si="427"/>
        <v>-3.9448000000000004E-2</v>
      </c>
      <c r="S1027" s="92">
        <f t="shared" si="428"/>
        <v>-3.4352000000000001E-2</v>
      </c>
      <c r="T1027" s="47">
        <v>1</v>
      </c>
      <c r="U1027" s="47">
        <v>26142</v>
      </c>
      <c r="V1027" s="47" t="s">
        <v>312</v>
      </c>
      <c r="W1027" s="47" t="s">
        <v>312</v>
      </c>
      <c r="X1027" s="47">
        <f t="shared" si="423"/>
        <v>26142</v>
      </c>
      <c r="Y1027" s="92">
        <f t="shared" si="421"/>
        <v>-0.17291086030327474</v>
      </c>
      <c r="Z1027" s="92">
        <f t="shared" si="422"/>
        <v>6.091710525589625E-3</v>
      </c>
      <c r="AA1027" s="92">
        <f t="shared" si="430"/>
        <v>-0.17291086030327474</v>
      </c>
      <c r="AB1027" s="47" t="s">
        <v>81</v>
      </c>
      <c r="AC1027" s="92">
        <f t="shared" si="424"/>
        <v>-3.7917781690140852E-2</v>
      </c>
      <c r="AD1027" s="92" cm="1">
        <f t="array" ref="AD1027">_xlfn.IFS(
AND(L1027="marginal_effect",M1027="level"),N1027*AN1027/BF1027,
AND(L1027="marginal_effect",M1027="sd (Y)"),N1027*BI1027*AN1027/BF1027,
AND(L1027="marginal_effect",M1027="sd (X)"),N1027/AQ1027*AN1027/BF1027,
AND(L1027="semi_elasticity",M1027="level"),N1027*AN1027,
AND(L1027="semi_elasticity",M1027="sd (Y)"),N1027*AN1027*BI1027,
AND(L1027="semi_elasticity",M1027="sd (X)"),N1027*AN1027/AQ1027,
AND(L1027="level-log",M1027="level"),N1027/BF1027,
AND(L1027="level-log",M1027="sd (X)"),N1027/BF1027/AQ1027,
AND(L1027="level-log",M1027="sd (Y)"),N1027/BF1027*BI1027,
AND(L1027="elasticity",M1027="level"),N1027,
AND(L1027="elasticity",M1027="sd (X)"),N1027/AQ1027,
AND(L1027="elasticity",M1027="sd (Y)"),N1027*BI1027,
AND(L1027="marginal_effect",M1027="percent_of_mean"),N1027*AN1027/BF1027/10)</f>
        <v>-3.7917781690140852E-2</v>
      </c>
      <c r="AE1027" s="51">
        <f t="shared" si="431"/>
        <v>1</v>
      </c>
      <c r="AF1027" s="92">
        <f t="shared" si="425"/>
        <v>1.3358568075117372E-3</v>
      </c>
      <c r="AG1027" s="92" cm="1">
        <f t="array" ref="AG1027">_xlfn.IFS(
AND(L1027="marginal_effect",M1027="level"),O1027*AN1027/BF1027,
AND(L1027="marginal_effect",M1027="sd (Y)"),O1027*BI1027*AN1027/BF1027,
AND(L1027="marginal_effect",M1027="sd (X)"),O1027/AQ1027*AN1027/BF1027,
AND(L1027="semi_elasticity",M1027="level"),O1027*AN1027,
AND(L1027="semi_elasticity",M1027="sd (Y)"),O1027*AN1027*BI1027,
AND(L1027="semi_elasticity",M1027="sd (X)"),O1027*AN1027/AQ1027,
AND(L1027="level-log",M1027="level"),O1027/BF1027,
AND(L1027="level-log",M1027="sd (X)"),O1027/BF1027/AQ1027,
AND(L1027="level-log",M1027="sd (Y)"),O1027/BF1027*BI1027,
AND(L1027="elasticity",M1027="level"),O1027,
AND(L1027="elasticity",M1027="sd (X)"),O1027/AQ1027,
AND(L1027="elasticity",M1027="sd (Y)"),O1027*BI1027,
AND(L1027="marginal_effect",M1027="percent_of_mean"),O1027*AN1027/BF1027/10)</f>
        <v>1.3358568075117372E-3</v>
      </c>
      <c r="AH1027" s="51">
        <f t="shared" si="419"/>
        <v>1</v>
      </c>
      <c r="AI1027" s="92">
        <f t="shared" si="432"/>
        <v>-3.7917781690140852E-2</v>
      </c>
      <c r="AJ1027" s="47">
        <v>0</v>
      </c>
      <c r="AK1027" s="47">
        <f t="shared" si="429"/>
        <v>1</v>
      </c>
      <c r="AL1027" s="47" t="s">
        <v>106</v>
      </c>
      <c r="AM1027" s="47" t="s">
        <v>1333</v>
      </c>
      <c r="AN1027" s="47">
        <v>17.510000000000002</v>
      </c>
      <c r="AO1027" s="47">
        <v>0</v>
      </c>
      <c r="AP1027" s="47">
        <f t="shared" si="420"/>
        <v>17.510000000000002</v>
      </c>
      <c r="AQ1027" s="47">
        <v>17.04</v>
      </c>
      <c r="AR1027" s="47">
        <v>0</v>
      </c>
      <c r="AS1027" s="47">
        <v>79</v>
      </c>
      <c r="AT1027" s="47" t="s">
        <v>83</v>
      </c>
      <c r="AU1027" s="47" t="s">
        <v>109</v>
      </c>
      <c r="AV1027" s="47" t="s">
        <v>133</v>
      </c>
      <c r="AW1027" s="47" t="s">
        <v>85</v>
      </c>
      <c r="AX1027" s="47" t="s">
        <v>86</v>
      </c>
      <c r="AY1027" s="47">
        <v>0</v>
      </c>
      <c r="AZ1027" s="47">
        <v>0</v>
      </c>
      <c r="BA1027" s="47" t="s">
        <v>87</v>
      </c>
      <c r="BB1027" s="47" t="s">
        <v>134</v>
      </c>
      <c r="BC1027" s="47" t="s">
        <v>89</v>
      </c>
      <c r="BD1027" s="47" t="s">
        <v>433</v>
      </c>
      <c r="BE1027" s="47" t="s">
        <v>2021</v>
      </c>
      <c r="BF1027" s="47">
        <v>81.48</v>
      </c>
      <c r="BG1027" s="47">
        <v>0</v>
      </c>
      <c r="BH1027" s="47">
        <v>30.84</v>
      </c>
      <c r="BI1027" s="47">
        <v>30.05</v>
      </c>
      <c r="BJ1027" s="47">
        <v>200</v>
      </c>
      <c r="BK1027" s="47" t="s">
        <v>91</v>
      </c>
      <c r="BL1027" s="47" t="s">
        <v>2020</v>
      </c>
      <c r="BM1027" s="47">
        <v>1</v>
      </c>
      <c r="BN1027" s="47" t="s">
        <v>2177</v>
      </c>
      <c r="BO1027" s="47" t="s">
        <v>2022</v>
      </c>
      <c r="BP1027" s="47" t="s">
        <v>2023</v>
      </c>
      <c r="BQ1027" s="47" t="s">
        <v>92</v>
      </c>
      <c r="BR1027" s="47" t="s">
        <v>312</v>
      </c>
      <c r="BS1027" s="47" t="s">
        <v>312</v>
      </c>
      <c r="BT1027" s="47" t="s">
        <v>312</v>
      </c>
      <c r="BU1027" s="47">
        <v>1987</v>
      </c>
      <c r="BV1027" s="47">
        <v>1989</v>
      </c>
      <c r="BW1027" s="47" t="s">
        <v>94</v>
      </c>
      <c r="BX1027" s="47" t="s">
        <v>95</v>
      </c>
      <c r="BY1027" s="47" t="s">
        <v>96</v>
      </c>
      <c r="BZ1027" s="47">
        <v>0</v>
      </c>
      <c r="CA1027" s="47">
        <v>0</v>
      </c>
      <c r="CB1027" s="47" t="s">
        <v>97</v>
      </c>
      <c r="CC1027" s="47" t="s">
        <v>2024</v>
      </c>
      <c r="CD1027" s="47">
        <v>1</v>
      </c>
      <c r="CE1027" s="47" t="s">
        <v>2076</v>
      </c>
      <c r="CF1027" s="47">
        <v>1</v>
      </c>
      <c r="CG1027" s="47" t="s">
        <v>2029</v>
      </c>
      <c r="CH1027" s="47">
        <v>0</v>
      </c>
      <c r="CI1027" s="47" t="s">
        <v>97</v>
      </c>
      <c r="CJ1027" s="47" t="s">
        <v>377</v>
      </c>
      <c r="CK1027" s="47">
        <v>35</v>
      </c>
      <c r="CL1027" s="47">
        <v>1</v>
      </c>
      <c r="CM1027" s="47">
        <v>0</v>
      </c>
      <c r="CN1027" s="47" t="s">
        <v>99</v>
      </c>
      <c r="CO1027" s="47" t="s">
        <v>97</v>
      </c>
      <c r="CP1027" s="47" t="s">
        <v>100</v>
      </c>
      <c r="CQ1027" s="47" t="s">
        <v>126</v>
      </c>
      <c r="CR1027" s="48">
        <v>46254</v>
      </c>
      <c r="CT1027" s="47" t="s">
        <v>549</v>
      </c>
    </row>
    <row r="1028" spans="1:98" s="47" customFormat="1" x14ac:dyDescent="0.35">
      <c r="A1028" s="46" t="s">
        <v>2017</v>
      </c>
      <c r="B1028" s="46" t="s">
        <v>2035</v>
      </c>
      <c r="C1028" s="47" t="s">
        <v>2018</v>
      </c>
      <c r="D1028" s="47">
        <v>2024</v>
      </c>
      <c r="E1028" s="66" t="s">
        <v>2019</v>
      </c>
      <c r="F1028" s="46" t="s">
        <v>899</v>
      </c>
      <c r="G1028" s="47" t="s">
        <v>78</v>
      </c>
      <c r="H1028" s="47">
        <v>1</v>
      </c>
      <c r="I1028" s="47" t="s">
        <v>390</v>
      </c>
      <c r="J1028" s="47" t="s">
        <v>79</v>
      </c>
      <c r="K1028" s="47">
        <v>1</v>
      </c>
      <c r="L1028" s="47" t="s">
        <v>104</v>
      </c>
      <c r="M1028" s="47" t="s">
        <v>557</v>
      </c>
      <c r="N1028" s="47">
        <v>-1.2500000000000001E-2</v>
      </c>
      <c r="O1028" s="47">
        <v>1.6000000000000001E-3</v>
      </c>
      <c r="P1028" s="92">
        <f t="shared" si="426"/>
        <v>-7.8125</v>
      </c>
      <c r="Q1028" s="47" t="s">
        <v>312</v>
      </c>
      <c r="R1028" s="92">
        <f t="shared" si="427"/>
        <v>-1.5636000000000001E-2</v>
      </c>
      <c r="S1028" s="92">
        <f t="shared" si="428"/>
        <v>-9.3640000000000008E-3</v>
      </c>
      <c r="T1028" s="47">
        <v>1</v>
      </c>
      <c r="U1028" s="47">
        <v>26142</v>
      </c>
      <c r="V1028" s="47" t="s">
        <v>312</v>
      </c>
      <c r="W1028" s="47" t="s">
        <v>312</v>
      </c>
      <c r="X1028" s="47">
        <f t="shared" si="423"/>
        <v>26142</v>
      </c>
      <c r="Y1028" s="92">
        <f t="shared" si="421"/>
        <v>-4.826299074067722E-2</v>
      </c>
      <c r="Z1028" s="92">
        <f t="shared" si="422"/>
        <v>6.1776628148066835E-3</v>
      </c>
      <c r="AA1028" s="92">
        <f t="shared" si="430"/>
        <v>-4.826299074067722E-2</v>
      </c>
      <c r="AB1028" s="47" t="s">
        <v>81</v>
      </c>
      <c r="AC1028" s="92">
        <f t="shared" si="424"/>
        <v>-1.2627442650807138E-2</v>
      </c>
      <c r="AD1028" s="92" cm="1">
        <f t="array" ref="AD1028">_xlfn.IFS(
AND(L1028="marginal_effect",M1028="level"),N1028*AN1028/BF1028,
AND(L1028="marginal_effect",M1028="sd (Y)"),N1028*BI1028*AN1028/BF1028,
AND(L1028="marginal_effect",M1028="sd (X)"),N1028/AQ1028*AN1028/BF1028,
AND(L1028="semi_elasticity",M1028="level"),N1028*AN1028,
AND(L1028="semi_elasticity",M1028="sd (Y)"),N1028*AN1028*BI1028,
AND(L1028="semi_elasticity",M1028="sd (X)"),N1028*AN1028/AQ1028,
AND(L1028="level-log",M1028="level"),N1028/BF1028,
AND(L1028="level-log",M1028="sd (X)"),N1028/BF1028/AQ1028,
AND(L1028="level-log",M1028="sd (Y)"),N1028/BF1028*BI1028,
AND(L1028="elasticity",M1028="level"),N1028,
AND(L1028="elasticity",M1028="sd (X)"),N1028/AQ1028,
AND(L1028="elasticity",M1028="sd (Y)"),N1028*BI1028,
AND(L1028="marginal_effect",M1028="percent_of_mean"),N1028*AN1028/BF1028/10)</f>
        <v>-1.2627442650807138E-2</v>
      </c>
      <c r="AE1028" s="51">
        <f t="shared" si="431"/>
        <v>1</v>
      </c>
      <c r="AF1028" s="92">
        <f t="shared" si="425"/>
        <v>1.6163126593033137E-3</v>
      </c>
      <c r="AG1028" s="92" cm="1">
        <f t="array" ref="AG1028">_xlfn.IFS(
AND(L1028="marginal_effect",M1028="level"),O1028*AN1028/BF1028,
AND(L1028="marginal_effect",M1028="sd (Y)"),O1028*BI1028*AN1028/BF1028,
AND(L1028="marginal_effect",M1028="sd (X)"),O1028/AQ1028*AN1028/BF1028,
AND(L1028="semi_elasticity",M1028="level"),O1028*AN1028,
AND(L1028="semi_elasticity",M1028="sd (Y)"),O1028*AN1028*BI1028,
AND(L1028="semi_elasticity",M1028="sd (X)"),O1028*AN1028/AQ1028,
AND(L1028="level-log",M1028="level"),O1028/BF1028,
AND(L1028="level-log",M1028="sd (X)"),O1028/BF1028/AQ1028,
AND(L1028="level-log",M1028="sd (Y)"),O1028/BF1028*BI1028,
AND(L1028="elasticity",M1028="level"),O1028,
AND(L1028="elasticity",M1028="sd (X)"),O1028/AQ1028,
AND(L1028="elasticity",M1028="sd (Y)"),O1028*BI1028,
AND(L1028="marginal_effect",M1028="percent_of_mean"),O1028*AN1028/BF1028/10)</f>
        <v>1.6163126593033137E-3</v>
      </c>
      <c r="AH1028" s="51">
        <f t="shared" si="419"/>
        <v>1</v>
      </c>
      <c r="AI1028" s="92">
        <f t="shared" si="432"/>
        <v>-1.2627442650807138E-2</v>
      </c>
      <c r="AJ1028" s="47">
        <v>0</v>
      </c>
      <c r="AK1028" s="47">
        <f t="shared" si="429"/>
        <v>1</v>
      </c>
      <c r="AL1028" s="47" t="s">
        <v>159</v>
      </c>
      <c r="AM1028" s="47" t="s">
        <v>410</v>
      </c>
      <c r="AN1028" s="47">
        <v>11.89</v>
      </c>
      <c r="AO1028" s="47">
        <v>0</v>
      </c>
      <c r="AP1028" s="47">
        <f t="shared" si="420"/>
        <v>11.89</v>
      </c>
      <c r="AQ1028" s="47">
        <v>11.77</v>
      </c>
      <c r="AR1028" s="47">
        <v>0</v>
      </c>
      <c r="AS1028" s="47">
        <v>198</v>
      </c>
      <c r="AT1028" s="47" t="s">
        <v>83</v>
      </c>
      <c r="AU1028" s="47" t="s">
        <v>109</v>
      </c>
      <c r="AV1028" s="47" t="s">
        <v>133</v>
      </c>
      <c r="AW1028" s="47" t="s">
        <v>85</v>
      </c>
      <c r="AX1028" s="47" t="s">
        <v>86</v>
      </c>
      <c r="AY1028" s="47">
        <v>0</v>
      </c>
      <c r="AZ1028" s="47">
        <v>0</v>
      </c>
      <c r="BA1028" s="47" t="s">
        <v>87</v>
      </c>
      <c r="BB1028" s="47" t="s">
        <v>134</v>
      </c>
      <c r="BC1028" s="47" t="s">
        <v>89</v>
      </c>
      <c r="BD1028" s="47" t="s">
        <v>433</v>
      </c>
      <c r="BE1028" s="47" t="s">
        <v>2021</v>
      </c>
      <c r="BF1028" s="47">
        <v>81.48</v>
      </c>
      <c r="BG1028" s="47">
        <v>0</v>
      </c>
      <c r="BH1028" s="47">
        <v>30.84</v>
      </c>
      <c r="BI1028" s="47">
        <v>30.05</v>
      </c>
      <c r="BJ1028" s="47">
        <v>200</v>
      </c>
      <c r="BK1028" s="47" t="s">
        <v>91</v>
      </c>
      <c r="BL1028" s="47" t="s">
        <v>2020</v>
      </c>
      <c r="BM1028" s="47">
        <v>1</v>
      </c>
      <c r="BN1028" s="47" t="s">
        <v>2177</v>
      </c>
      <c r="BO1028" s="47" t="s">
        <v>2022</v>
      </c>
      <c r="BP1028" s="47" t="s">
        <v>2023</v>
      </c>
      <c r="BQ1028" s="47" t="s">
        <v>92</v>
      </c>
      <c r="BR1028" s="47" t="s">
        <v>312</v>
      </c>
      <c r="BS1028" s="47" t="s">
        <v>312</v>
      </c>
      <c r="BT1028" s="47" t="s">
        <v>312</v>
      </c>
      <c r="BU1028" s="47">
        <v>1987</v>
      </c>
      <c r="BV1028" s="47">
        <v>1989</v>
      </c>
      <c r="BW1028" s="47" t="s">
        <v>94</v>
      </c>
      <c r="BX1028" s="47" t="s">
        <v>95</v>
      </c>
      <c r="BY1028" s="47" t="s">
        <v>96</v>
      </c>
      <c r="BZ1028" s="47">
        <v>0</v>
      </c>
      <c r="CA1028" s="47">
        <v>0</v>
      </c>
      <c r="CB1028" s="47" t="s">
        <v>97</v>
      </c>
      <c r="CC1028" s="47" t="s">
        <v>2024</v>
      </c>
      <c r="CD1028" s="47">
        <v>1</v>
      </c>
      <c r="CE1028" s="47" t="s">
        <v>2076</v>
      </c>
      <c r="CF1028" s="47">
        <v>0</v>
      </c>
      <c r="CG1028" s="47" t="s">
        <v>97</v>
      </c>
      <c r="CH1028" s="47">
        <v>0</v>
      </c>
      <c r="CI1028" s="47" t="s">
        <v>97</v>
      </c>
      <c r="CJ1028" s="47" t="s">
        <v>98</v>
      </c>
      <c r="CK1028" s="47">
        <v>35</v>
      </c>
      <c r="CL1028" s="47">
        <v>0</v>
      </c>
      <c r="CM1028" s="47">
        <v>0</v>
      </c>
      <c r="CN1028" s="47" t="s">
        <v>99</v>
      </c>
      <c r="CO1028" s="47" t="s">
        <v>97</v>
      </c>
      <c r="CP1028" s="47" t="s">
        <v>100</v>
      </c>
      <c r="CQ1028" s="47" t="s">
        <v>126</v>
      </c>
      <c r="CR1028" s="48">
        <v>46254</v>
      </c>
      <c r="CT1028" s="47" t="s">
        <v>450</v>
      </c>
    </row>
    <row r="1029" spans="1:98" s="47" customFormat="1" x14ac:dyDescent="0.35">
      <c r="A1029" s="46" t="s">
        <v>2017</v>
      </c>
      <c r="B1029" s="46" t="s">
        <v>2036</v>
      </c>
      <c r="C1029" s="47" t="s">
        <v>2018</v>
      </c>
      <c r="D1029" s="47">
        <v>2024</v>
      </c>
      <c r="E1029" s="66" t="s">
        <v>2019</v>
      </c>
      <c r="F1029" s="46" t="s">
        <v>899</v>
      </c>
      <c r="G1029" s="47" t="s">
        <v>78</v>
      </c>
      <c r="H1029" s="47">
        <v>1</v>
      </c>
      <c r="I1029" s="47" t="s">
        <v>390</v>
      </c>
      <c r="J1029" s="47" t="s">
        <v>79</v>
      </c>
      <c r="K1029" s="47">
        <v>1</v>
      </c>
      <c r="L1029" s="47" t="s">
        <v>104</v>
      </c>
      <c r="M1029" s="47" t="s">
        <v>557</v>
      </c>
      <c r="N1029" s="47">
        <v>-3.3700000000000001E-2</v>
      </c>
      <c r="O1029" s="47">
        <v>2.2000000000000001E-3</v>
      </c>
      <c r="P1029" s="92">
        <f t="shared" si="426"/>
        <v>-15.318181818181818</v>
      </c>
      <c r="Q1029" s="47" t="s">
        <v>312</v>
      </c>
      <c r="R1029" s="92">
        <f t="shared" si="427"/>
        <v>-3.8012000000000004E-2</v>
      </c>
      <c r="S1029" s="92">
        <f t="shared" si="428"/>
        <v>-2.9388000000000001E-2</v>
      </c>
      <c r="T1029" s="47">
        <v>1</v>
      </c>
      <c r="U1029" s="47">
        <v>26142</v>
      </c>
      <c r="V1029" s="47" t="s">
        <v>312</v>
      </c>
      <c r="W1029" s="47" t="s">
        <v>312</v>
      </c>
      <c r="X1029" s="47">
        <f t="shared" si="423"/>
        <v>26142</v>
      </c>
      <c r="Y1029" s="92">
        <f t="shared" si="421"/>
        <v>-9.4318618069363147E-2</v>
      </c>
      <c r="Z1029" s="92">
        <f t="shared" si="422"/>
        <v>6.1572985089791967E-3</v>
      </c>
      <c r="AA1029" s="92">
        <f t="shared" si="430"/>
        <v>-9.4318618069363147E-2</v>
      </c>
      <c r="AB1029" s="47" t="s">
        <v>81</v>
      </c>
      <c r="AC1029" s="92">
        <f t="shared" si="424"/>
        <v>-5.3214368231046937E-2</v>
      </c>
      <c r="AD1029" s="92" cm="1">
        <f t="array" ref="AD1029">_xlfn.IFS(
AND(L1029="marginal_effect",M1029="level"),N1029*AN1029/BF1029,
AND(L1029="marginal_effect",M1029="sd (Y)"),N1029*BI1029*AN1029/BF1029,
AND(L1029="marginal_effect",M1029="sd (X)"),N1029/AQ1029*AN1029/BF1029,
AND(L1029="semi_elasticity",M1029="level"),N1029*AN1029,
AND(L1029="semi_elasticity",M1029="sd (Y)"),N1029*AN1029*BI1029,
AND(L1029="semi_elasticity",M1029="sd (X)"),N1029*AN1029/AQ1029,
AND(L1029="level-log",M1029="level"),N1029/BF1029,
AND(L1029="level-log",M1029="sd (X)"),N1029/BF1029/AQ1029,
AND(L1029="level-log",M1029="sd (Y)"),N1029/BF1029*BI1029,
AND(L1029="elasticity",M1029="level"),N1029,
AND(L1029="elasticity",M1029="sd (X)"),N1029/AQ1029,
AND(L1029="elasticity",M1029="sd (Y)"),N1029*BI1029,
AND(L1029="marginal_effect",M1029="percent_of_mean"),N1029*AN1029/BF1029/10)</f>
        <v>-5.3214368231046937E-2</v>
      </c>
      <c r="AE1029" s="51">
        <f t="shared" si="431"/>
        <v>1</v>
      </c>
      <c r="AF1029" s="92">
        <f t="shared" si="425"/>
        <v>3.473935018050542E-3</v>
      </c>
      <c r="AG1029" s="92" cm="1">
        <f t="array" ref="AG1029">_xlfn.IFS(
AND(L1029="marginal_effect",M1029="level"),O1029*AN1029/BF1029,
AND(L1029="marginal_effect",M1029="sd (Y)"),O1029*BI1029*AN1029/BF1029,
AND(L1029="marginal_effect",M1029="sd (X)"),O1029/AQ1029*AN1029/BF1029,
AND(L1029="semi_elasticity",M1029="level"),O1029*AN1029,
AND(L1029="semi_elasticity",M1029="sd (Y)"),O1029*AN1029*BI1029,
AND(L1029="semi_elasticity",M1029="sd (X)"),O1029*AN1029/AQ1029,
AND(L1029="level-log",M1029="level"),O1029/BF1029,
AND(L1029="level-log",M1029="sd (X)"),O1029/BF1029/AQ1029,
AND(L1029="level-log",M1029="sd (Y)"),O1029/BF1029*BI1029,
AND(L1029="elasticity",M1029="level"),O1029,
AND(L1029="elasticity",M1029="sd (X)"),O1029/AQ1029,
AND(L1029="elasticity",M1029="sd (Y)"),O1029*BI1029,
AND(L1029="marginal_effect",M1029="percent_of_mean"),O1029*AN1029/BF1029/10)</f>
        <v>3.473935018050542E-3</v>
      </c>
      <c r="AH1029" s="51">
        <f t="shared" si="419"/>
        <v>1</v>
      </c>
      <c r="AI1029" s="92">
        <f t="shared" si="432"/>
        <v>-5.3214368231046937E-2</v>
      </c>
      <c r="AJ1029" s="47">
        <v>0</v>
      </c>
      <c r="AK1029" s="47">
        <f t="shared" si="429"/>
        <v>1</v>
      </c>
      <c r="AL1029" s="47" t="s">
        <v>131</v>
      </c>
      <c r="AM1029" s="47" t="s">
        <v>410</v>
      </c>
      <c r="AN1029" s="47">
        <v>21.87</v>
      </c>
      <c r="AO1029" s="47">
        <v>0</v>
      </c>
      <c r="AP1029" s="47">
        <f t="shared" si="420"/>
        <v>21.87</v>
      </c>
      <c r="AQ1029" s="47">
        <v>13.85</v>
      </c>
      <c r="AR1029" s="47">
        <v>0</v>
      </c>
      <c r="AS1029" s="47">
        <v>95</v>
      </c>
      <c r="AT1029" s="47" t="s">
        <v>83</v>
      </c>
      <c r="AU1029" s="47" t="s">
        <v>109</v>
      </c>
      <c r="AV1029" s="47" t="s">
        <v>133</v>
      </c>
      <c r="AW1029" s="47" t="s">
        <v>85</v>
      </c>
      <c r="AX1029" s="47" t="s">
        <v>86</v>
      </c>
      <c r="AY1029" s="47">
        <v>0</v>
      </c>
      <c r="AZ1029" s="47">
        <v>0</v>
      </c>
      <c r="BA1029" s="47" t="s">
        <v>87</v>
      </c>
      <c r="BB1029" s="47" t="s">
        <v>134</v>
      </c>
      <c r="BC1029" s="47" t="s">
        <v>89</v>
      </c>
      <c r="BD1029" s="47" t="s">
        <v>433</v>
      </c>
      <c r="BE1029" s="47" t="s">
        <v>2021</v>
      </c>
      <c r="BF1029" s="47">
        <v>81.48</v>
      </c>
      <c r="BG1029" s="47">
        <v>0</v>
      </c>
      <c r="BH1029" s="47">
        <v>30.84</v>
      </c>
      <c r="BI1029" s="47">
        <v>30.05</v>
      </c>
      <c r="BJ1029" s="47">
        <v>200</v>
      </c>
      <c r="BK1029" s="47" t="s">
        <v>91</v>
      </c>
      <c r="BL1029" s="47" t="s">
        <v>2020</v>
      </c>
      <c r="BM1029" s="47">
        <v>1</v>
      </c>
      <c r="BN1029" s="47" t="s">
        <v>2177</v>
      </c>
      <c r="BO1029" s="47" t="s">
        <v>2022</v>
      </c>
      <c r="BP1029" s="47" t="s">
        <v>2023</v>
      </c>
      <c r="BQ1029" s="47" t="s">
        <v>92</v>
      </c>
      <c r="BR1029" s="47" t="s">
        <v>312</v>
      </c>
      <c r="BS1029" s="47" t="s">
        <v>312</v>
      </c>
      <c r="BT1029" s="47" t="s">
        <v>312</v>
      </c>
      <c r="BU1029" s="47">
        <v>1987</v>
      </c>
      <c r="BV1029" s="47">
        <v>1989</v>
      </c>
      <c r="BW1029" s="47" t="s">
        <v>94</v>
      </c>
      <c r="BX1029" s="47" t="s">
        <v>95</v>
      </c>
      <c r="BY1029" s="47" t="s">
        <v>96</v>
      </c>
      <c r="BZ1029" s="47">
        <v>0</v>
      </c>
      <c r="CA1029" s="47">
        <v>0</v>
      </c>
      <c r="CB1029" s="47" t="s">
        <v>97</v>
      </c>
      <c r="CC1029" s="47" t="s">
        <v>2024</v>
      </c>
      <c r="CD1029" s="47">
        <v>1</v>
      </c>
      <c r="CE1029" s="47" t="s">
        <v>2076</v>
      </c>
      <c r="CF1029" s="47">
        <v>0</v>
      </c>
      <c r="CG1029" s="47" t="s">
        <v>97</v>
      </c>
      <c r="CH1029" s="47">
        <v>0</v>
      </c>
      <c r="CI1029" s="47" t="s">
        <v>97</v>
      </c>
      <c r="CJ1029" s="47" t="s">
        <v>98</v>
      </c>
      <c r="CK1029" s="47">
        <v>35</v>
      </c>
      <c r="CL1029" s="47">
        <v>0</v>
      </c>
      <c r="CM1029" s="47">
        <v>0</v>
      </c>
      <c r="CN1029" s="47" t="s">
        <v>99</v>
      </c>
      <c r="CO1029" s="47" t="s">
        <v>97</v>
      </c>
      <c r="CP1029" s="47" t="s">
        <v>100</v>
      </c>
      <c r="CQ1029" s="47" t="s">
        <v>126</v>
      </c>
      <c r="CR1029" s="48">
        <v>46254</v>
      </c>
      <c r="CT1029" s="47" t="s">
        <v>451</v>
      </c>
    </row>
    <row r="1030" spans="1:98" s="47" customFormat="1" x14ac:dyDescent="0.35">
      <c r="A1030" s="46" t="s">
        <v>2017</v>
      </c>
      <c r="B1030" s="46" t="s">
        <v>2037</v>
      </c>
      <c r="C1030" s="47" t="s">
        <v>2018</v>
      </c>
      <c r="D1030" s="47">
        <v>2024</v>
      </c>
      <c r="E1030" s="66" t="s">
        <v>2019</v>
      </c>
      <c r="F1030" s="46" t="s">
        <v>899</v>
      </c>
      <c r="G1030" s="47" t="s">
        <v>78</v>
      </c>
      <c r="H1030" s="47">
        <v>1</v>
      </c>
      <c r="I1030" s="47" t="s">
        <v>390</v>
      </c>
      <c r="J1030" s="47" t="s">
        <v>79</v>
      </c>
      <c r="K1030" s="47">
        <v>1</v>
      </c>
      <c r="L1030" s="47" t="s">
        <v>104</v>
      </c>
      <c r="M1030" s="47" t="s">
        <v>557</v>
      </c>
      <c r="N1030" s="47">
        <v>-5.0299999999999997E-2</v>
      </c>
      <c r="O1030" s="47">
        <v>2.7000000000000001E-3</v>
      </c>
      <c r="P1030" s="92">
        <f t="shared" si="426"/>
        <v>-18.629629629629626</v>
      </c>
      <c r="Q1030" s="47" t="s">
        <v>312</v>
      </c>
      <c r="R1030" s="92">
        <f t="shared" si="427"/>
        <v>-5.5591999999999996E-2</v>
      </c>
      <c r="S1030" s="92">
        <f t="shared" si="428"/>
        <v>-4.5007999999999999E-2</v>
      </c>
      <c r="T1030" s="47">
        <v>1</v>
      </c>
      <c r="U1030" s="47">
        <v>26142</v>
      </c>
      <c r="V1030" s="47" t="s">
        <v>312</v>
      </c>
      <c r="W1030" s="47" t="s">
        <v>312</v>
      </c>
      <c r="X1030" s="47">
        <f t="shared" si="423"/>
        <v>26142</v>
      </c>
      <c r="Y1030" s="92">
        <f t="shared" si="421"/>
        <v>-0.11446452804765714</v>
      </c>
      <c r="Z1030" s="92">
        <f t="shared" si="422"/>
        <v>6.1442191993772233E-3</v>
      </c>
      <c r="AA1030" s="92">
        <f t="shared" si="430"/>
        <v>-0.11446452804765714</v>
      </c>
      <c r="AB1030" s="47" t="s">
        <v>81</v>
      </c>
      <c r="AC1030" s="92">
        <f t="shared" si="424"/>
        <v>-4.3201703163017025E-2</v>
      </c>
      <c r="AD1030" s="92" cm="1">
        <f t="array" ref="AD1030">_xlfn.IFS(
AND(L1030="marginal_effect",M1030="level"),N1030*AN1030/BF1030,
AND(L1030="marginal_effect",M1030="sd (Y)"),N1030*BI1030*AN1030/BF1030,
AND(L1030="marginal_effect",M1030="sd (X)"),N1030/AQ1030*AN1030/BF1030,
AND(L1030="semi_elasticity",M1030="level"),N1030*AN1030,
AND(L1030="semi_elasticity",M1030="sd (Y)"),N1030*AN1030*BI1030,
AND(L1030="semi_elasticity",M1030="sd (X)"),N1030*AN1030/AQ1030,
AND(L1030="level-log",M1030="level"),N1030/BF1030,
AND(L1030="level-log",M1030="sd (X)"),N1030/BF1030/AQ1030,
AND(L1030="level-log",M1030="sd (Y)"),N1030/BF1030*BI1030,
AND(L1030="elasticity",M1030="level"),N1030,
AND(L1030="elasticity",M1030="sd (X)"),N1030/AQ1030,
AND(L1030="elasticity",M1030="sd (Y)"),N1030*BI1030,
AND(L1030="marginal_effect",M1030="percent_of_mean"),N1030*AN1030/BF1030/10)</f>
        <v>-4.3201703163017025E-2</v>
      </c>
      <c r="AE1030" s="51">
        <f t="shared" si="431"/>
        <v>1</v>
      </c>
      <c r="AF1030" s="92">
        <f t="shared" si="425"/>
        <v>2.3189781021897807E-3</v>
      </c>
      <c r="AG1030" s="92" cm="1">
        <f t="array" ref="AG1030">_xlfn.IFS(
AND(L1030="marginal_effect",M1030="level"),O1030*AN1030/BF1030,
AND(L1030="marginal_effect",M1030="sd (Y)"),O1030*BI1030*AN1030/BF1030,
AND(L1030="marginal_effect",M1030="sd (X)"),O1030/AQ1030*AN1030/BF1030,
AND(L1030="semi_elasticity",M1030="level"),O1030*AN1030,
AND(L1030="semi_elasticity",M1030="sd (Y)"),O1030*AN1030*BI1030,
AND(L1030="semi_elasticity",M1030="sd (X)"),O1030*AN1030/AQ1030,
AND(L1030="level-log",M1030="level"),O1030/BF1030,
AND(L1030="level-log",M1030="sd (X)"),O1030/BF1030/AQ1030,
AND(L1030="level-log",M1030="sd (Y)"),O1030/BF1030*BI1030,
AND(L1030="elasticity",M1030="level"),O1030,
AND(L1030="elasticity",M1030="sd (X)"),O1030/AQ1030,
AND(L1030="elasticity",M1030="sd (Y)"),O1030*BI1030,
AND(L1030="marginal_effect",M1030="percent_of_mean"),O1030*AN1030/BF1030/10)</f>
        <v>2.3189781021897807E-3</v>
      </c>
      <c r="AH1030" s="51">
        <f t="shared" si="419"/>
        <v>1</v>
      </c>
      <c r="AI1030" s="92">
        <f t="shared" si="432"/>
        <v>-4.3201703163017025E-2</v>
      </c>
      <c r="AJ1030" s="47">
        <v>0</v>
      </c>
      <c r="AK1030" s="47">
        <f t="shared" si="429"/>
        <v>1</v>
      </c>
      <c r="AL1030" s="47" t="s">
        <v>148</v>
      </c>
      <c r="AM1030" s="47" t="s">
        <v>590</v>
      </c>
      <c r="AN1030" s="47">
        <v>14.12</v>
      </c>
      <c r="AO1030" s="47">
        <v>0</v>
      </c>
      <c r="AP1030" s="47">
        <f t="shared" si="420"/>
        <v>14.12</v>
      </c>
      <c r="AQ1030" s="47">
        <v>16.440000000000001</v>
      </c>
      <c r="AR1030" s="47">
        <v>0</v>
      </c>
      <c r="AS1030" s="47">
        <v>166</v>
      </c>
      <c r="AT1030" s="47" t="s">
        <v>83</v>
      </c>
      <c r="AU1030" s="47" t="s">
        <v>109</v>
      </c>
      <c r="AV1030" s="47" t="s">
        <v>133</v>
      </c>
      <c r="AW1030" s="47" t="s">
        <v>85</v>
      </c>
      <c r="AX1030" s="47" t="s">
        <v>86</v>
      </c>
      <c r="AY1030" s="47">
        <v>0</v>
      </c>
      <c r="AZ1030" s="47">
        <v>0</v>
      </c>
      <c r="BA1030" s="47" t="s">
        <v>87</v>
      </c>
      <c r="BB1030" s="47" t="s">
        <v>134</v>
      </c>
      <c r="BC1030" s="47" t="s">
        <v>89</v>
      </c>
      <c r="BD1030" s="47" t="s">
        <v>433</v>
      </c>
      <c r="BE1030" s="47" t="s">
        <v>2021</v>
      </c>
      <c r="BF1030" s="47">
        <v>81.48</v>
      </c>
      <c r="BG1030" s="47">
        <v>0</v>
      </c>
      <c r="BH1030" s="47">
        <v>30.84</v>
      </c>
      <c r="BI1030" s="47">
        <v>30.05</v>
      </c>
      <c r="BJ1030" s="47">
        <v>200</v>
      </c>
      <c r="BK1030" s="47" t="s">
        <v>91</v>
      </c>
      <c r="BL1030" s="47" t="s">
        <v>2020</v>
      </c>
      <c r="BM1030" s="47">
        <v>1</v>
      </c>
      <c r="BN1030" s="47" t="s">
        <v>2177</v>
      </c>
      <c r="BO1030" s="47" t="s">
        <v>2022</v>
      </c>
      <c r="BP1030" s="47" t="s">
        <v>2023</v>
      </c>
      <c r="BQ1030" s="47" t="s">
        <v>92</v>
      </c>
      <c r="BR1030" s="47" t="s">
        <v>312</v>
      </c>
      <c r="BS1030" s="47" t="s">
        <v>312</v>
      </c>
      <c r="BT1030" s="47" t="s">
        <v>312</v>
      </c>
      <c r="BU1030" s="47">
        <v>1987</v>
      </c>
      <c r="BV1030" s="47">
        <v>1989</v>
      </c>
      <c r="BW1030" s="47" t="s">
        <v>94</v>
      </c>
      <c r="BX1030" s="47" t="s">
        <v>95</v>
      </c>
      <c r="BY1030" s="47" t="s">
        <v>96</v>
      </c>
      <c r="BZ1030" s="47">
        <v>0</v>
      </c>
      <c r="CA1030" s="47">
        <v>0</v>
      </c>
      <c r="CB1030" s="47" t="s">
        <v>97</v>
      </c>
      <c r="CC1030" s="47" t="s">
        <v>2024</v>
      </c>
      <c r="CD1030" s="47">
        <v>1</v>
      </c>
      <c r="CE1030" s="47" t="s">
        <v>2076</v>
      </c>
      <c r="CF1030" s="47">
        <v>0</v>
      </c>
      <c r="CG1030" s="47" t="s">
        <v>97</v>
      </c>
      <c r="CH1030" s="47">
        <v>0</v>
      </c>
      <c r="CI1030" s="47" t="s">
        <v>97</v>
      </c>
      <c r="CJ1030" s="47" t="s">
        <v>98</v>
      </c>
      <c r="CK1030" s="47">
        <v>35</v>
      </c>
      <c r="CL1030" s="47">
        <v>0</v>
      </c>
      <c r="CM1030" s="47">
        <v>0</v>
      </c>
      <c r="CN1030" s="47" t="s">
        <v>99</v>
      </c>
      <c r="CO1030" s="47" t="s">
        <v>97</v>
      </c>
      <c r="CP1030" s="47" t="s">
        <v>100</v>
      </c>
      <c r="CQ1030" s="47" t="s">
        <v>126</v>
      </c>
      <c r="CR1030" s="48">
        <v>46254</v>
      </c>
      <c r="CT1030" s="47" t="s">
        <v>452</v>
      </c>
    </row>
    <row r="1031" spans="1:98" s="47" customFormat="1" x14ac:dyDescent="0.35">
      <c r="A1031" s="46" t="s">
        <v>2017</v>
      </c>
      <c r="B1031" s="46" t="s">
        <v>2038</v>
      </c>
      <c r="C1031" s="47" t="s">
        <v>2018</v>
      </c>
      <c r="D1031" s="47">
        <v>2024</v>
      </c>
      <c r="E1031" s="66" t="s">
        <v>2019</v>
      </c>
      <c r="F1031" s="46" t="s">
        <v>899</v>
      </c>
      <c r="G1031" s="47" t="s">
        <v>78</v>
      </c>
      <c r="H1031" s="47">
        <v>1</v>
      </c>
      <c r="I1031" s="47" t="s">
        <v>390</v>
      </c>
      <c r="J1031" s="47" t="s">
        <v>79</v>
      </c>
      <c r="K1031" s="47">
        <v>1</v>
      </c>
      <c r="L1031" s="47" t="s">
        <v>104</v>
      </c>
      <c r="M1031" s="47" t="s">
        <v>557</v>
      </c>
      <c r="N1031" s="47">
        <v>-8.3799999999999999E-2</v>
      </c>
      <c r="O1031" s="47">
        <v>2.7000000000000001E-3</v>
      </c>
      <c r="P1031" s="92">
        <f t="shared" si="426"/>
        <v>-31.037037037037035</v>
      </c>
      <c r="Q1031" s="47" t="s">
        <v>312</v>
      </c>
      <c r="R1031" s="92">
        <f t="shared" si="427"/>
        <v>-8.9092000000000005E-2</v>
      </c>
      <c r="S1031" s="92">
        <f t="shared" si="428"/>
        <v>-7.8507999999999994E-2</v>
      </c>
      <c r="T1031" s="47">
        <v>1</v>
      </c>
      <c r="U1031" s="47">
        <v>26142</v>
      </c>
      <c r="V1031" s="47" t="s">
        <v>312</v>
      </c>
      <c r="W1031" s="47" t="s">
        <v>312</v>
      </c>
      <c r="X1031" s="47">
        <f t="shared" si="423"/>
        <v>26142</v>
      </c>
      <c r="Y1031" s="92">
        <f t="shared" si="421"/>
        <v>-0.18851814771906752</v>
      </c>
      <c r="Z1031" s="92">
        <f t="shared" si="422"/>
        <v>6.0739737331919133E-3</v>
      </c>
      <c r="AA1031" s="92">
        <f t="shared" si="430"/>
        <v>-0.18851814771906752</v>
      </c>
      <c r="AB1031" s="47" t="s">
        <v>81</v>
      </c>
      <c r="AC1031" s="92">
        <f t="shared" si="424"/>
        <v>-0.11039520958083834</v>
      </c>
      <c r="AD1031" s="92" cm="1">
        <f t="array" ref="AD1031">_xlfn.IFS(
AND(L1031="marginal_effect",M1031="level"),N1031*AN1031/BF1031,
AND(L1031="marginal_effect",M1031="sd (Y)"),N1031*BI1031*AN1031/BF1031,
AND(L1031="marginal_effect",M1031="sd (X)"),N1031/AQ1031*AN1031/BF1031,
AND(L1031="semi_elasticity",M1031="level"),N1031*AN1031,
AND(L1031="semi_elasticity",M1031="sd (Y)"),N1031*AN1031*BI1031,
AND(L1031="semi_elasticity",M1031="sd (X)"),N1031*AN1031/AQ1031,
AND(L1031="level-log",M1031="level"),N1031/BF1031,
AND(L1031="level-log",M1031="sd (X)"),N1031/BF1031/AQ1031,
AND(L1031="level-log",M1031="sd (Y)"),N1031/BF1031*BI1031,
AND(L1031="elasticity",M1031="level"),N1031,
AND(L1031="elasticity",M1031="sd (X)"),N1031/AQ1031,
AND(L1031="elasticity",M1031="sd (Y)"),N1031*BI1031,
AND(L1031="marginal_effect",M1031="percent_of_mean"),N1031*AN1031/BF1031/10)</f>
        <v>-0.11039520958083834</v>
      </c>
      <c r="AE1031" s="51">
        <f t="shared" si="431"/>
        <v>1</v>
      </c>
      <c r="AF1031" s="92">
        <f t="shared" si="425"/>
        <v>3.5568862275449109E-3</v>
      </c>
      <c r="AG1031" s="92" cm="1">
        <f t="array" ref="AG1031">_xlfn.IFS(
AND(L1031="marginal_effect",M1031="level"),O1031*AN1031/BF1031,
AND(L1031="marginal_effect",M1031="sd (Y)"),O1031*BI1031*AN1031/BF1031,
AND(L1031="marginal_effect",M1031="sd (X)"),O1031/AQ1031*AN1031/BF1031,
AND(L1031="semi_elasticity",M1031="level"),O1031*AN1031,
AND(L1031="semi_elasticity",M1031="sd (Y)"),O1031*AN1031*BI1031,
AND(L1031="semi_elasticity",M1031="sd (X)"),O1031*AN1031/AQ1031,
AND(L1031="level-log",M1031="level"),O1031/BF1031,
AND(L1031="level-log",M1031="sd (X)"),O1031/BF1031/AQ1031,
AND(L1031="level-log",M1031="sd (Y)"),O1031/BF1031*BI1031,
AND(L1031="elasticity",M1031="level"),O1031,
AND(L1031="elasticity",M1031="sd (X)"),O1031/AQ1031,
AND(L1031="elasticity",M1031="sd (Y)"),O1031*BI1031,
AND(L1031="marginal_effect",M1031="percent_of_mean"),O1031*AN1031/BF1031/10)</f>
        <v>3.5568862275449109E-3</v>
      </c>
      <c r="AH1031" s="51">
        <f t="shared" si="419"/>
        <v>1</v>
      </c>
      <c r="AI1031" s="92">
        <f t="shared" si="432"/>
        <v>-0.11039520958083834</v>
      </c>
      <c r="AJ1031" s="47">
        <v>0</v>
      </c>
      <c r="AK1031" s="47">
        <f t="shared" si="429"/>
        <v>1</v>
      </c>
      <c r="AL1031" s="47" t="s">
        <v>162</v>
      </c>
      <c r="AM1031" s="47" t="s">
        <v>590</v>
      </c>
      <c r="AN1031" s="47">
        <v>2.2000000000000002</v>
      </c>
      <c r="AO1031" s="47">
        <v>0</v>
      </c>
      <c r="AP1031" s="47">
        <f t="shared" si="420"/>
        <v>2.2000000000000002</v>
      </c>
      <c r="AQ1031" s="47">
        <v>1.67</v>
      </c>
      <c r="AR1031" s="47">
        <v>0</v>
      </c>
      <c r="AS1031" s="47">
        <v>16</v>
      </c>
      <c r="AT1031" s="47" t="s">
        <v>83</v>
      </c>
      <c r="AU1031" s="47" t="s">
        <v>109</v>
      </c>
      <c r="AV1031" s="47" t="s">
        <v>133</v>
      </c>
      <c r="AW1031" s="47" t="s">
        <v>85</v>
      </c>
      <c r="AX1031" s="47" t="s">
        <v>86</v>
      </c>
      <c r="AY1031" s="47">
        <v>0</v>
      </c>
      <c r="AZ1031" s="47">
        <v>0</v>
      </c>
      <c r="BA1031" s="47" t="s">
        <v>87</v>
      </c>
      <c r="BB1031" s="47" t="s">
        <v>134</v>
      </c>
      <c r="BC1031" s="47" t="s">
        <v>89</v>
      </c>
      <c r="BD1031" s="47" t="s">
        <v>433</v>
      </c>
      <c r="BE1031" s="47" t="s">
        <v>2021</v>
      </c>
      <c r="BF1031" s="47">
        <v>81.48</v>
      </c>
      <c r="BG1031" s="47">
        <v>0</v>
      </c>
      <c r="BH1031" s="47">
        <v>30.84</v>
      </c>
      <c r="BI1031" s="47">
        <v>30.05</v>
      </c>
      <c r="BJ1031" s="47">
        <v>200</v>
      </c>
      <c r="BK1031" s="47" t="s">
        <v>91</v>
      </c>
      <c r="BL1031" s="47" t="s">
        <v>2020</v>
      </c>
      <c r="BM1031" s="47">
        <v>1</v>
      </c>
      <c r="BN1031" s="47" t="s">
        <v>2177</v>
      </c>
      <c r="BO1031" s="47" t="s">
        <v>2022</v>
      </c>
      <c r="BP1031" s="47" t="s">
        <v>2023</v>
      </c>
      <c r="BQ1031" s="47" t="s">
        <v>92</v>
      </c>
      <c r="BR1031" s="47" t="s">
        <v>312</v>
      </c>
      <c r="BS1031" s="47" t="s">
        <v>312</v>
      </c>
      <c r="BT1031" s="47" t="s">
        <v>312</v>
      </c>
      <c r="BU1031" s="47">
        <v>1987</v>
      </c>
      <c r="BV1031" s="47">
        <v>1989</v>
      </c>
      <c r="BW1031" s="47" t="s">
        <v>94</v>
      </c>
      <c r="BX1031" s="47" t="s">
        <v>95</v>
      </c>
      <c r="BY1031" s="47" t="s">
        <v>96</v>
      </c>
      <c r="BZ1031" s="47">
        <v>0</v>
      </c>
      <c r="CA1031" s="47">
        <v>0</v>
      </c>
      <c r="CB1031" s="47" t="s">
        <v>97</v>
      </c>
      <c r="CC1031" s="47" t="s">
        <v>2024</v>
      </c>
      <c r="CD1031" s="47">
        <v>1</v>
      </c>
      <c r="CE1031" s="47" t="s">
        <v>2076</v>
      </c>
      <c r="CF1031" s="47">
        <v>0</v>
      </c>
      <c r="CG1031" s="47" t="s">
        <v>97</v>
      </c>
      <c r="CH1031" s="47">
        <v>0</v>
      </c>
      <c r="CI1031" s="47" t="s">
        <v>97</v>
      </c>
      <c r="CJ1031" s="47" t="s">
        <v>98</v>
      </c>
      <c r="CK1031" s="47">
        <v>35</v>
      </c>
      <c r="CL1031" s="47">
        <v>0</v>
      </c>
      <c r="CM1031" s="47">
        <v>0</v>
      </c>
      <c r="CN1031" s="47" t="s">
        <v>99</v>
      </c>
      <c r="CO1031" s="47" t="s">
        <v>97</v>
      </c>
      <c r="CP1031" s="47" t="s">
        <v>100</v>
      </c>
      <c r="CQ1031" s="47" t="s">
        <v>126</v>
      </c>
      <c r="CR1031" s="48">
        <v>46254</v>
      </c>
      <c r="CT1031" s="47" t="s">
        <v>521</v>
      </c>
    </row>
    <row r="1032" spans="1:98" s="47" customFormat="1" x14ac:dyDescent="0.35">
      <c r="A1032" s="46" t="s">
        <v>2017</v>
      </c>
      <c r="B1032" s="46" t="s">
        <v>2039</v>
      </c>
      <c r="C1032" s="47" t="s">
        <v>2018</v>
      </c>
      <c r="D1032" s="47">
        <v>2024</v>
      </c>
      <c r="E1032" s="66" t="s">
        <v>2019</v>
      </c>
      <c r="F1032" s="46" t="s">
        <v>899</v>
      </c>
      <c r="G1032" s="47" t="s">
        <v>78</v>
      </c>
      <c r="H1032" s="47">
        <v>1</v>
      </c>
      <c r="I1032" s="47" t="s">
        <v>390</v>
      </c>
      <c r="J1032" s="47" t="s">
        <v>79</v>
      </c>
      <c r="K1032" s="47">
        <v>1</v>
      </c>
      <c r="L1032" s="47" t="s">
        <v>104</v>
      </c>
      <c r="M1032" s="47" t="s">
        <v>557</v>
      </c>
      <c r="N1032" s="47">
        <v>-0.03</v>
      </c>
      <c r="O1032" s="47">
        <v>1.6000000000000001E-3</v>
      </c>
      <c r="P1032" s="92">
        <f t="shared" si="426"/>
        <v>-18.75</v>
      </c>
      <c r="Q1032" s="47" t="s">
        <v>312</v>
      </c>
      <c r="R1032" s="92">
        <f t="shared" si="427"/>
        <v>-3.3135999999999999E-2</v>
      </c>
      <c r="S1032" s="92">
        <f t="shared" si="428"/>
        <v>-2.6863999999999999E-2</v>
      </c>
      <c r="T1032" s="47">
        <v>1</v>
      </c>
      <c r="U1032" s="47">
        <v>26142</v>
      </c>
      <c r="V1032" s="47" t="s">
        <v>312</v>
      </c>
      <c r="W1032" s="47" t="s">
        <v>312</v>
      </c>
      <c r="X1032" s="47">
        <f t="shared" si="423"/>
        <v>26142</v>
      </c>
      <c r="Y1032" s="92">
        <f t="shared" si="421"/>
        <v>-0.11519432701998192</v>
      </c>
      <c r="Z1032" s="92">
        <f t="shared" si="422"/>
        <v>6.1436974410657022E-3</v>
      </c>
      <c r="AA1032" s="92">
        <f t="shared" si="430"/>
        <v>-0.11519432701998192</v>
      </c>
      <c r="AB1032" s="47" t="s">
        <v>81</v>
      </c>
      <c r="AC1032" s="92">
        <f t="shared" si="424"/>
        <v>-3.0827464788732394E-2</v>
      </c>
      <c r="AD1032" s="92" cm="1">
        <f t="array" ref="AD1032">_xlfn.IFS(
AND(L1032="marginal_effect",M1032="level"),N1032*AN1032/BF1032,
AND(L1032="marginal_effect",M1032="sd (Y)"),N1032*BI1032*AN1032/BF1032,
AND(L1032="marginal_effect",M1032="sd (X)"),N1032/AQ1032*AN1032/BF1032,
AND(L1032="semi_elasticity",M1032="level"),N1032*AN1032,
AND(L1032="semi_elasticity",M1032="sd (Y)"),N1032*AN1032*BI1032,
AND(L1032="semi_elasticity",M1032="sd (X)"),N1032*AN1032/AQ1032,
AND(L1032="level-log",M1032="level"),N1032/BF1032,
AND(L1032="level-log",M1032="sd (X)"),N1032/BF1032/AQ1032,
AND(L1032="level-log",M1032="sd (Y)"),N1032/BF1032*BI1032,
AND(L1032="elasticity",M1032="level"),N1032,
AND(L1032="elasticity",M1032="sd (X)"),N1032/AQ1032,
AND(L1032="elasticity",M1032="sd (Y)"),N1032*BI1032,
AND(L1032="marginal_effect",M1032="percent_of_mean"),N1032*AN1032/BF1032/10)</f>
        <v>-3.0827464788732394E-2</v>
      </c>
      <c r="AE1032" s="51">
        <f t="shared" si="431"/>
        <v>1</v>
      </c>
      <c r="AF1032" s="92">
        <f t="shared" si="425"/>
        <v>1.6441314553990612E-3</v>
      </c>
      <c r="AG1032" s="92" cm="1">
        <f t="array" ref="AG1032">_xlfn.IFS(
AND(L1032="marginal_effect",M1032="level"),O1032*AN1032/BF1032,
AND(L1032="marginal_effect",M1032="sd (Y)"),O1032*BI1032*AN1032/BF1032,
AND(L1032="marginal_effect",M1032="sd (X)"),O1032/AQ1032*AN1032/BF1032,
AND(L1032="semi_elasticity",M1032="level"),O1032*AN1032,
AND(L1032="semi_elasticity",M1032="sd (Y)"),O1032*AN1032*BI1032,
AND(L1032="semi_elasticity",M1032="sd (X)"),O1032*AN1032/AQ1032,
AND(L1032="level-log",M1032="level"),O1032/BF1032,
AND(L1032="level-log",M1032="sd (X)"),O1032/BF1032/AQ1032,
AND(L1032="level-log",M1032="sd (Y)"),O1032/BF1032*BI1032,
AND(L1032="elasticity",M1032="level"),O1032,
AND(L1032="elasticity",M1032="sd (X)"),O1032/AQ1032,
AND(L1032="elasticity",M1032="sd (Y)"),O1032*BI1032,
AND(L1032="marginal_effect",M1032="percent_of_mean"),O1032*AN1032/BF1032/10)</f>
        <v>1.6441314553990612E-3</v>
      </c>
      <c r="AH1032" s="51">
        <f t="shared" si="419"/>
        <v>1</v>
      </c>
      <c r="AI1032" s="92">
        <f t="shared" si="432"/>
        <v>-3.0827464788732394E-2</v>
      </c>
      <c r="AJ1032" s="47">
        <v>0</v>
      </c>
      <c r="AK1032" s="47">
        <f t="shared" si="429"/>
        <v>1</v>
      </c>
      <c r="AL1032" s="47" t="s">
        <v>106</v>
      </c>
      <c r="AM1032" s="47" t="s">
        <v>1333</v>
      </c>
      <c r="AN1032" s="47">
        <v>17.510000000000002</v>
      </c>
      <c r="AO1032" s="47">
        <v>0</v>
      </c>
      <c r="AP1032" s="47">
        <f t="shared" si="420"/>
        <v>17.510000000000002</v>
      </c>
      <c r="AQ1032" s="47">
        <v>17.04</v>
      </c>
      <c r="AR1032" s="47">
        <v>0</v>
      </c>
      <c r="AS1032" s="47">
        <v>79</v>
      </c>
      <c r="AT1032" s="47" t="s">
        <v>83</v>
      </c>
      <c r="AU1032" s="47" t="s">
        <v>109</v>
      </c>
      <c r="AV1032" s="47" t="s">
        <v>133</v>
      </c>
      <c r="AW1032" s="47" t="s">
        <v>85</v>
      </c>
      <c r="AX1032" s="47" t="s">
        <v>86</v>
      </c>
      <c r="AY1032" s="47">
        <v>0</v>
      </c>
      <c r="AZ1032" s="47">
        <v>0</v>
      </c>
      <c r="BA1032" s="47" t="s">
        <v>87</v>
      </c>
      <c r="BB1032" s="47" t="s">
        <v>134</v>
      </c>
      <c r="BC1032" s="47" t="s">
        <v>89</v>
      </c>
      <c r="BD1032" s="47" t="s">
        <v>433</v>
      </c>
      <c r="BE1032" s="47" t="s">
        <v>2021</v>
      </c>
      <c r="BF1032" s="47">
        <v>81.48</v>
      </c>
      <c r="BG1032" s="47">
        <v>0</v>
      </c>
      <c r="BH1032" s="47">
        <v>30.84</v>
      </c>
      <c r="BI1032" s="47">
        <v>30.05</v>
      </c>
      <c r="BJ1032" s="47">
        <v>200</v>
      </c>
      <c r="BK1032" s="47" t="s">
        <v>91</v>
      </c>
      <c r="BL1032" s="47" t="s">
        <v>2020</v>
      </c>
      <c r="BM1032" s="47">
        <v>1</v>
      </c>
      <c r="BN1032" s="47" t="s">
        <v>2177</v>
      </c>
      <c r="BO1032" s="47" t="s">
        <v>2022</v>
      </c>
      <c r="BP1032" s="47" t="s">
        <v>2023</v>
      </c>
      <c r="BQ1032" s="47" t="s">
        <v>92</v>
      </c>
      <c r="BR1032" s="47" t="s">
        <v>312</v>
      </c>
      <c r="BS1032" s="47" t="s">
        <v>312</v>
      </c>
      <c r="BT1032" s="47" t="s">
        <v>312</v>
      </c>
      <c r="BU1032" s="47">
        <v>1987</v>
      </c>
      <c r="BV1032" s="47">
        <v>1989</v>
      </c>
      <c r="BW1032" s="47" t="s">
        <v>94</v>
      </c>
      <c r="BX1032" s="47" t="s">
        <v>95</v>
      </c>
      <c r="BY1032" s="47" t="s">
        <v>96</v>
      </c>
      <c r="BZ1032" s="47">
        <v>0</v>
      </c>
      <c r="CA1032" s="47">
        <v>0</v>
      </c>
      <c r="CB1032" s="47" t="s">
        <v>97</v>
      </c>
      <c r="CC1032" s="47" t="s">
        <v>2024</v>
      </c>
      <c r="CD1032" s="47">
        <v>1</v>
      </c>
      <c r="CE1032" s="47" t="s">
        <v>2076</v>
      </c>
      <c r="CF1032" s="47">
        <v>0</v>
      </c>
      <c r="CG1032" s="47" t="s">
        <v>97</v>
      </c>
      <c r="CH1032" s="47">
        <v>0</v>
      </c>
      <c r="CI1032" s="47" t="s">
        <v>97</v>
      </c>
      <c r="CJ1032" s="47" t="s">
        <v>98</v>
      </c>
      <c r="CK1032" s="47">
        <v>35</v>
      </c>
      <c r="CL1032" s="47">
        <v>0</v>
      </c>
      <c r="CM1032" s="47">
        <v>0</v>
      </c>
      <c r="CN1032" s="47" t="s">
        <v>99</v>
      </c>
      <c r="CO1032" s="47" t="s">
        <v>97</v>
      </c>
      <c r="CP1032" s="47" t="s">
        <v>100</v>
      </c>
      <c r="CQ1032" s="47" t="s">
        <v>126</v>
      </c>
      <c r="CR1032" s="48">
        <v>46254</v>
      </c>
      <c r="CT1032" s="47" t="s">
        <v>510</v>
      </c>
    </row>
    <row r="1033" spans="1:98" s="47" customFormat="1" x14ac:dyDescent="0.35">
      <c r="A1033" s="46" t="s">
        <v>2017</v>
      </c>
      <c r="B1033" s="46" t="s">
        <v>2040</v>
      </c>
      <c r="C1033" s="47" t="s">
        <v>2018</v>
      </c>
      <c r="D1033" s="47">
        <v>2024</v>
      </c>
      <c r="E1033" s="66" t="s">
        <v>2019</v>
      </c>
      <c r="F1033" s="46" t="s">
        <v>899</v>
      </c>
      <c r="G1033" s="47" t="s">
        <v>78</v>
      </c>
      <c r="H1033" s="47">
        <v>1</v>
      </c>
      <c r="I1033" s="47" t="s">
        <v>390</v>
      </c>
      <c r="J1033" s="47" t="s">
        <v>79</v>
      </c>
      <c r="K1033" s="47">
        <v>1</v>
      </c>
      <c r="L1033" s="47" t="s">
        <v>104</v>
      </c>
      <c r="M1033" s="47" t="s">
        <v>557</v>
      </c>
      <c r="N1033" s="47">
        <v>-8.3000000000000001E-3</v>
      </c>
      <c r="O1033" s="47">
        <v>1.2999999999999999E-3</v>
      </c>
      <c r="P1033" s="92">
        <f t="shared" si="426"/>
        <v>-6.384615384615385</v>
      </c>
      <c r="Q1033" s="47" t="s">
        <v>312</v>
      </c>
      <c r="R1033" s="92">
        <f t="shared" si="427"/>
        <v>-1.0848E-2</v>
      </c>
      <c r="S1033" s="92">
        <f t="shared" si="428"/>
        <v>-5.7520000000000002E-3</v>
      </c>
      <c r="T1033" s="47">
        <v>1</v>
      </c>
      <c r="U1033" s="47">
        <v>26142</v>
      </c>
      <c r="V1033" s="47" t="s">
        <v>312</v>
      </c>
      <c r="W1033" s="47" t="s">
        <v>312</v>
      </c>
      <c r="X1033" s="47">
        <f t="shared" si="423"/>
        <v>26142</v>
      </c>
      <c r="Y1033" s="92">
        <f t="shared" si="421"/>
        <v>-3.945726695681482E-2</v>
      </c>
      <c r="Z1033" s="92">
        <f t="shared" si="422"/>
        <v>6.1800538607059349E-3</v>
      </c>
      <c r="AA1033" s="92">
        <f t="shared" si="430"/>
        <v>-3.945726695681482E-2</v>
      </c>
      <c r="AB1033" s="47" t="s">
        <v>81</v>
      </c>
      <c r="AC1033" s="92">
        <f t="shared" si="424"/>
        <v>-8.3846219201359398E-3</v>
      </c>
      <c r="AD1033" s="92" cm="1">
        <f t="array" ref="AD1033">_xlfn.IFS(
AND(L1033="marginal_effect",M1033="level"),N1033*AN1033/BF1033,
AND(L1033="marginal_effect",M1033="sd (Y)"),N1033*BI1033*AN1033/BF1033,
AND(L1033="marginal_effect",M1033="sd (X)"),N1033/AQ1033*AN1033/BF1033,
AND(L1033="semi_elasticity",M1033="level"),N1033*AN1033,
AND(L1033="semi_elasticity",M1033="sd (Y)"),N1033*AN1033*BI1033,
AND(L1033="semi_elasticity",M1033="sd (X)"),N1033*AN1033/AQ1033,
AND(L1033="level-log",M1033="level"),N1033/BF1033,
AND(L1033="level-log",M1033="sd (X)"),N1033/BF1033/AQ1033,
AND(L1033="level-log",M1033="sd (Y)"),N1033/BF1033*BI1033,
AND(L1033="elasticity",M1033="level"),N1033,
AND(L1033="elasticity",M1033="sd (X)"),N1033/AQ1033,
AND(L1033="elasticity",M1033="sd (Y)"),N1033*BI1033,
AND(L1033="marginal_effect",M1033="percent_of_mean"),N1033*AN1033/BF1033/10)</f>
        <v>-8.3846219201359398E-3</v>
      </c>
      <c r="AE1033" s="51">
        <f t="shared" si="431"/>
        <v>1</v>
      </c>
      <c r="AF1033" s="92">
        <f t="shared" si="425"/>
        <v>1.3132540356839424E-3</v>
      </c>
      <c r="AG1033" s="92" cm="1">
        <f t="array" ref="AG1033">_xlfn.IFS(
AND(L1033="marginal_effect",M1033="level"),O1033*AN1033/BF1033,
AND(L1033="marginal_effect",M1033="sd (Y)"),O1033*BI1033*AN1033/BF1033,
AND(L1033="marginal_effect",M1033="sd (X)"),O1033/AQ1033*AN1033/BF1033,
AND(L1033="semi_elasticity",M1033="level"),O1033*AN1033,
AND(L1033="semi_elasticity",M1033="sd (Y)"),O1033*AN1033*BI1033,
AND(L1033="semi_elasticity",M1033="sd (X)"),O1033*AN1033/AQ1033,
AND(L1033="level-log",M1033="level"),O1033/BF1033,
AND(L1033="level-log",M1033="sd (X)"),O1033/BF1033/AQ1033,
AND(L1033="level-log",M1033="sd (Y)"),O1033/BF1033*BI1033,
AND(L1033="elasticity",M1033="level"),O1033,
AND(L1033="elasticity",M1033="sd (X)"),O1033/AQ1033,
AND(L1033="elasticity",M1033="sd (Y)"),O1033*BI1033,
AND(L1033="marginal_effect",M1033="percent_of_mean"),O1033*AN1033/BF1033/10)</f>
        <v>1.3132540356839424E-3</v>
      </c>
      <c r="AH1033" s="51">
        <f t="shared" si="419"/>
        <v>1</v>
      </c>
      <c r="AI1033" s="92">
        <f t="shared" si="432"/>
        <v>-8.3846219201359398E-3</v>
      </c>
      <c r="AJ1033" s="47">
        <v>0</v>
      </c>
      <c r="AK1033" s="47">
        <f t="shared" si="429"/>
        <v>1</v>
      </c>
      <c r="AL1033" s="47" t="s">
        <v>159</v>
      </c>
      <c r="AM1033" s="47" t="s">
        <v>410</v>
      </c>
      <c r="AN1033" s="47">
        <v>11.89</v>
      </c>
      <c r="AO1033" s="47">
        <v>0</v>
      </c>
      <c r="AP1033" s="47">
        <f t="shared" si="420"/>
        <v>11.89</v>
      </c>
      <c r="AQ1033" s="47">
        <v>11.77</v>
      </c>
      <c r="AR1033" s="47">
        <v>0</v>
      </c>
      <c r="AS1033" s="47">
        <v>198</v>
      </c>
      <c r="AT1033" s="47" t="s">
        <v>83</v>
      </c>
      <c r="AU1033" s="47" t="s">
        <v>109</v>
      </c>
      <c r="AV1033" s="47" t="s">
        <v>133</v>
      </c>
      <c r="AW1033" s="47" t="s">
        <v>85</v>
      </c>
      <c r="AX1033" s="47" t="s">
        <v>86</v>
      </c>
      <c r="AY1033" s="47">
        <v>0</v>
      </c>
      <c r="AZ1033" s="47">
        <v>0</v>
      </c>
      <c r="BA1033" s="47" t="s">
        <v>87</v>
      </c>
      <c r="BB1033" s="47" t="s">
        <v>134</v>
      </c>
      <c r="BC1033" s="47" t="s">
        <v>89</v>
      </c>
      <c r="BD1033" s="47" t="s">
        <v>433</v>
      </c>
      <c r="BE1033" s="47" t="s">
        <v>2021</v>
      </c>
      <c r="BF1033" s="47">
        <v>81.48</v>
      </c>
      <c r="BG1033" s="47">
        <v>0</v>
      </c>
      <c r="BH1033" s="47">
        <v>30.84</v>
      </c>
      <c r="BI1033" s="47">
        <v>30.05</v>
      </c>
      <c r="BJ1033" s="47">
        <v>200</v>
      </c>
      <c r="BK1033" s="47" t="s">
        <v>91</v>
      </c>
      <c r="BL1033" s="47" t="s">
        <v>2020</v>
      </c>
      <c r="BM1033" s="47">
        <v>1</v>
      </c>
      <c r="BN1033" s="47" t="s">
        <v>2177</v>
      </c>
      <c r="BO1033" s="47" t="s">
        <v>2022</v>
      </c>
      <c r="BP1033" s="47" t="s">
        <v>2023</v>
      </c>
      <c r="BQ1033" s="47" t="s">
        <v>92</v>
      </c>
      <c r="BR1033" s="47" t="s">
        <v>312</v>
      </c>
      <c r="BS1033" s="47" t="s">
        <v>312</v>
      </c>
      <c r="BT1033" s="47" t="s">
        <v>312</v>
      </c>
      <c r="BU1033" s="47">
        <v>1987</v>
      </c>
      <c r="BV1033" s="47">
        <v>1989</v>
      </c>
      <c r="BW1033" s="47" t="s">
        <v>94</v>
      </c>
      <c r="BX1033" s="47" t="s">
        <v>95</v>
      </c>
      <c r="BY1033" s="47" t="s">
        <v>96</v>
      </c>
      <c r="BZ1033" s="47">
        <v>0</v>
      </c>
      <c r="CA1033" s="47">
        <v>0</v>
      </c>
      <c r="CB1033" s="47" t="s">
        <v>97</v>
      </c>
      <c r="CC1033" s="47" t="s">
        <v>2024</v>
      </c>
      <c r="CD1033" s="47">
        <v>1</v>
      </c>
      <c r="CE1033" s="47" t="s">
        <v>2076</v>
      </c>
      <c r="CF1033" s="47">
        <v>1</v>
      </c>
      <c r="CG1033" s="47" t="s">
        <v>2025</v>
      </c>
      <c r="CH1033" s="47">
        <v>0</v>
      </c>
      <c r="CI1033" s="47" t="s">
        <v>97</v>
      </c>
      <c r="CJ1033" s="47" t="s">
        <v>98</v>
      </c>
      <c r="CK1033" s="47">
        <v>35</v>
      </c>
      <c r="CL1033" s="47">
        <v>0</v>
      </c>
      <c r="CM1033" s="47">
        <v>0</v>
      </c>
      <c r="CN1033" s="47" t="s">
        <v>99</v>
      </c>
      <c r="CO1033" s="47" t="s">
        <v>1318</v>
      </c>
      <c r="CP1033" s="47" t="s">
        <v>100</v>
      </c>
      <c r="CQ1033" s="47" t="s">
        <v>126</v>
      </c>
      <c r="CR1033" s="48">
        <v>46254</v>
      </c>
      <c r="CT1033" s="47" t="s">
        <v>457</v>
      </c>
    </row>
    <row r="1034" spans="1:98" s="47" customFormat="1" x14ac:dyDescent="0.35">
      <c r="A1034" s="46" t="s">
        <v>2017</v>
      </c>
      <c r="B1034" s="46" t="s">
        <v>2041</v>
      </c>
      <c r="C1034" s="47" t="s">
        <v>2018</v>
      </c>
      <c r="D1034" s="47">
        <v>2024</v>
      </c>
      <c r="E1034" s="66" t="s">
        <v>2019</v>
      </c>
      <c r="F1034" s="46" t="s">
        <v>899</v>
      </c>
      <c r="G1034" s="47" t="s">
        <v>78</v>
      </c>
      <c r="H1034" s="47">
        <v>1</v>
      </c>
      <c r="I1034" s="47" t="s">
        <v>390</v>
      </c>
      <c r="J1034" s="47" t="s">
        <v>79</v>
      </c>
      <c r="K1034" s="47">
        <v>1</v>
      </c>
      <c r="L1034" s="47" t="s">
        <v>104</v>
      </c>
      <c r="M1034" s="47" t="s">
        <v>557</v>
      </c>
      <c r="N1034" s="47">
        <v>-2.64E-2</v>
      </c>
      <c r="O1034" s="47">
        <v>1.9E-3</v>
      </c>
      <c r="P1034" s="92">
        <f t="shared" si="426"/>
        <v>-13.894736842105264</v>
      </c>
      <c r="Q1034" s="47" t="s">
        <v>312</v>
      </c>
      <c r="R1034" s="92">
        <f t="shared" si="427"/>
        <v>-3.0123999999999998E-2</v>
      </c>
      <c r="S1034" s="92">
        <f t="shared" si="428"/>
        <v>-2.2676000000000002E-2</v>
      </c>
      <c r="T1034" s="47">
        <v>1</v>
      </c>
      <c r="U1034" s="47">
        <v>26142</v>
      </c>
      <c r="V1034" s="47" t="s">
        <v>312</v>
      </c>
      <c r="W1034" s="47" t="s">
        <v>312</v>
      </c>
      <c r="X1034" s="47">
        <f t="shared" si="423"/>
        <v>26142</v>
      </c>
      <c r="Y1034" s="92">
        <f t="shared" si="421"/>
        <v>-8.5621560579537376E-2</v>
      </c>
      <c r="Z1034" s="92">
        <f t="shared" si="422"/>
        <v>6.1621577689818562E-3</v>
      </c>
      <c r="AA1034" s="92">
        <f t="shared" si="430"/>
        <v>-8.5621560579537376E-2</v>
      </c>
      <c r="AB1034" s="47" t="s">
        <v>81</v>
      </c>
      <c r="AC1034" s="92">
        <f t="shared" si="424"/>
        <v>-4.1687220216606501E-2</v>
      </c>
      <c r="AD1034" s="92" cm="1">
        <f t="array" ref="AD1034">_xlfn.IFS(
AND(L1034="marginal_effect",M1034="level"),N1034*AN1034/BF1034,
AND(L1034="marginal_effect",M1034="sd (Y)"),N1034*BI1034*AN1034/BF1034,
AND(L1034="marginal_effect",M1034="sd (X)"),N1034/AQ1034*AN1034/BF1034,
AND(L1034="semi_elasticity",M1034="level"),N1034*AN1034,
AND(L1034="semi_elasticity",M1034="sd (Y)"),N1034*AN1034*BI1034,
AND(L1034="semi_elasticity",M1034="sd (X)"),N1034*AN1034/AQ1034,
AND(L1034="level-log",M1034="level"),N1034/BF1034,
AND(L1034="level-log",M1034="sd (X)"),N1034/BF1034/AQ1034,
AND(L1034="level-log",M1034="sd (Y)"),N1034/BF1034*BI1034,
AND(L1034="elasticity",M1034="level"),N1034,
AND(L1034="elasticity",M1034="sd (X)"),N1034/AQ1034,
AND(L1034="elasticity",M1034="sd (Y)"),N1034*BI1034,
AND(L1034="marginal_effect",M1034="percent_of_mean"),N1034*AN1034/BF1034/10)</f>
        <v>-4.1687220216606501E-2</v>
      </c>
      <c r="AE1034" s="51">
        <f t="shared" si="431"/>
        <v>1</v>
      </c>
      <c r="AF1034" s="92">
        <f t="shared" si="425"/>
        <v>3.000216606498195E-3</v>
      </c>
      <c r="AG1034" s="92" cm="1">
        <f t="array" ref="AG1034">_xlfn.IFS(
AND(L1034="marginal_effect",M1034="level"),O1034*AN1034/BF1034,
AND(L1034="marginal_effect",M1034="sd (Y)"),O1034*BI1034*AN1034/BF1034,
AND(L1034="marginal_effect",M1034="sd (X)"),O1034/AQ1034*AN1034/BF1034,
AND(L1034="semi_elasticity",M1034="level"),O1034*AN1034,
AND(L1034="semi_elasticity",M1034="sd (Y)"),O1034*AN1034*BI1034,
AND(L1034="semi_elasticity",M1034="sd (X)"),O1034*AN1034/AQ1034,
AND(L1034="level-log",M1034="level"),O1034/BF1034,
AND(L1034="level-log",M1034="sd (X)"),O1034/BF1034/AQ1034,
AND(L1034="level-log",M1034="sd (Y)"),O1034/BF1034*BI1034,
AND(L1034="elasticity",M1034="level"),O1034,
AND(L1034="elasticity",M1034="sd (X)"),O1034/AQ1034,
AND(L1034="elasticity",M1034="sd (Y)"),O1034*BI1034,
AND(L1034="marginal_effect",M1034="percent_of_mean"),O1034*AN1034/BF1034/10)</f>
        <v>3.000216606498195E-3</v>
      </c>
      <c r="AH1034" s="51">
        <f t="shared" si="419"/>
        <v>1</v>
      </c>
      <c r="AI1034" s="92">
        <f t="shared" si="432"/>
        <v>-4.1687220216606501E-2</v>
      </c>
      <c r="AJ1034" s="47">
        <v>0</v>
      </c>
      <c r="AK1034" s="47">
        <f t="shared" si="429"/>
        <v>1</v>
      </c>
      <c r="AL1034" s="47" t="s">
        <v>131</v>
      </c>
      <c r="AM1034" s="47" t="s">
        <v>410</v>
      </c>
      <c r="AN1034" s="47">
        <v>21.87</v>
      </c>
      <c r="AO1034" s="47">
        <v>0</v>
      </c>
      <c r="AP1034" s="47">
        <f t="shared" si="420"/>
        <v>21.87</v>
      </c>
      <c r="AQ1034" s="47">
        <v>13.85</v>
      </c>
      <c r="AR1034" s="47">
        <v>0</v>
      </c>
      <c r="AS1034" s="47">
        <v>95</v>
      </c>
      <c r="AT1034" s="47" t="s">
        <v>83</v>
      </c>
      <c r="AU1034" s="47" t="s">
        <v>109</v>
      </c>
      <c r="AV1034" s="47" t="s">
        <v>133</v>
      </c>
      <c r="AW1034" s="47" t="s">
        <v>85</v>
      </c>
      <c r="AX1034" s="47" t="s">
        <v>86</v>
      </c>
      <c r="AY1034" s="47">
        <v>0</v>
      </c>
      <c r="AZ1034" s="47">
        <v>0</v>
      </c>
      <c r="BA1034" s="47" t="s">
        <v>87</v>
      </c>
      <c r="BB1034" s="47" t="s">
        <v>134</v>
      </c>
      <c r="BC1034" s="47" t="s">
        <v>89</v>
      </c>
      <c r="BD1034" s="47" t="s">
        <v>433</v>
      </c>
      <c r="BE1034" s="47" t="s">
        <v>2021</v>
      </c>
      <c r="BF1034" s="47">
        <v>81.48</v>
      </c>
      <c r="BG1034" s="47">
        <v>0</v>
      </c>
      <c r="BH1034" s="47">
        <v>30.84</v>
      </c>
      <c r="BI1034" s="47">
        <v>30.05</v>
      </c>
      <c r="BJ1034" s="47">
        <v>200</v>
      </c>
      <c r="BK1034" s="47" t="s">
        <v>91</v>
      </c>
      <c r="BL1034" s="47" t="s">
        <v>2020</v>
      </c>
      <c r="BM1034" s="47">
        <v>1</v>
      </c>
      <c r="BN1034" s="47" t="s">
        <v>2177</v>
      </c>
      <c r="BO1034" s="47" t="s">
        <v>2022</v>
      </c>
      <c r="BP1034" s="47" t="s">
        <v>2023</v>
      </c>
      <c r="BQ1034" s="47" t="s">
        <v>92</v>
      </c>
      <c r="BR1034" s="47" t="s">
        <v>312</v>
      </c>
      <c r="BS1034" s="47" t="s">
        <v>312</v>
      </c>
      <c r="BT1034" s="47" t="s">
        <v>312</v>
      </c>
      <c r="BU1034" s="47">
        <v>1987</v>
      </c>
      <c r="BV1034" s="47">
        <v>1989</v>
      </c>
      <c r="BW1034" s="47" t="s">
        <v>94</v>
      </c>
      <c r="BX1034" s="47" t="s">
        <v>95</v>
      </c>
      <c r="BY1034" s="47" t="s">
        <v>96</v>
      </c>
      <c r="BZ1034" s="47">
        <v>0</v>
      </c>
      <c r="CA1034" s="47">
        <v>0</v>
      </c>
      <c r="CB1034" s="47" t="s">
        <v>97</v>
      </c>
      <c r="CC1034" s="47" t="s">
        <v>2024</v>
      </c>
      <c r="CD1034" s="47">
        <v>1</v>
      </c>
      <c r="CE1034" s="47" t="s">
        <v>2076</v>
      </c>
      <c r="CF1034" s="47">
        <v>1</v>
      </c>
      <c r="CG1034" s="47" t="s">
        <v>2026</v>
      </c>
      <c r="CH1034" s="47">
        <v>0</v>
      </c>
      <c r="CI1034" s="47" t="s">
        <v>97</v>
      </c>
      <c r="CJ1034" s="47" t="s">
        <v>98</v>
      </c>
      <c r="CK1034" s="47">
        <v>35</v>
      </c>
      <c r="CL1034" s="47">
        <v>0</v>
      </c>
      <c r="CM1034" s="47">
        <v>0</v>
      </c>
      <c r="CN1034" s="47" t="s">
        <v>99</v>
      </c>
      <c r="CO1034" s="47" t="s">
        <v>1318</v>
      </c>
      <c r="CP1034" s="47" t="s">
        <v>100</v>
      </c>
      <c r="CQ1034" s="47" t="s">
        <v>126</v>
      </c>
      <c r="CR1034" s="48">
        <v>46254</v>
      </c>
      <c r="CT1034" s="47" t="s">
        <v>457</v>
      </c>
    </row>
    <row r="1035" spans="1:98" s="47" customFormat="1" x14ac:dyDescent="0.35">
      <c r="A1035" s="46" t="s">
        <v>2017</v>
      </c>
      <c r="B1035" s="46" t="s">
        <v>2042</v>
      </c>
      <c r="C1035" s="47" t="s">
        <v>2018</v>
      </c>
      <c r="D1035" s="47">
        <v>2024</v>
      </c>
      <c r="E1035" s="66" t="s">
        <v>2019</v>
      </c>
      <c r="F1035" s="46" t="s">
        <v>899</v>
      </c>
      <c r="G1035" s="47" t="s">
        <v>78</v>
      </c>
      <c r="H1035" s="47">
        <v>1</v>
      </c>
      <c r="I1035" s="47" t="s">
        <v>390</v>
      </c>
      <c r="J1035" s="47" t="s">
        <v>79</v>
      </c>
      <c r="K1035" s="47">
        <v>1</v>
      </c>
      <c r="L1035" s="47" t="s">
        <v>104</v>
      </c>
      <c r="M1035" s="47" t="s">
        <v>557</v>
      </c>
      <c r="N1035" s="47">
        <v>-6.0299999999999999E-2</v>
      </c>
      <c r="O1035" s="47">
        <v>2.5000000000000001E-3</v>
      </c>
      <c r="P1035" s="92">
        <f t="shared" si="426"/>
        <v>-24.12</v>
      </c>
      <c r="Q1035" s="47" t="s">
        <v>312</v>
      </c>
      <c r="R1035" s="92">
        <f t="shared" si="427"/>
        <v>-6.5199999999999994E-2</v>
      </c>
      <c r="S1035" s="92">
        <f t="shared" si="428"/>
        <v>-5.5399999999999998E-2</v>
      </c>
      <c r="T1035" s="47">
        <v>1</v>
      </c>
      <c r="U1035" s="47">
        <v>26142</v>
      </c>
      <c r="V1035" s="47" t="s">
        <v>312</v>
      </c>
      <c r="W1035" s="47" t="s">
        <v>312</v>
      </c>
      <c r="X1035" s="47">
        <f t="shared" si="423"/>
        <v>26142</v>
      </c>
      <c r="Y1035" s="92">
        <f t="shared" si="421"/>
        <v>-0.14754632780245763</v>
      </c>
      <c r="Z1035" s="92">
        <f t="shared" si="422"/>
        <v>6.1171777695877942E-3</v>
      </c>
      <c r="AA1035" s="92">
        <f t="shared" si="430"/>
        <v>-0.14754632780245763</v>
      </c>
      <c r="AB1035" s="47" t="s">
        <v>81</v>
      </c>
      <c r="AC1035" s="92">
        <f t="shared" si="424"/>
        <v>-5.1790510948905105E-2</v>
      </c>
      <c r="AD1035" s="92" cm="1">
        <f t="array" ref="AD1035">_xlfn.IFS(
AND(L1035="marginal_effect",M1035="level"),N1035*AN1035/BF1035,
AND(L1035="marginal_effect",M1035="sd (Y)"),N1035*BI1035*AN1035/BF1035,
AND(L1035="marginal_effect",M1035="sd (X)"),N1035/AQ1035*AN1035/BF1035,
AND(L1035="semi_elasticity",M1035="level"),N1035*AN1035,
AND(L1035="semi_elasticity",M1035="sd (Y)"),N1035*AN1035*BI1035,
AND(L1035="semi_elasticity",M1035="sd (X)"),N1035*AN1035/AQ1035,
AND(L1035="level-log",M1035="level"),N1035/BF1035,
AND(L1035="level-log",M1035="sd (X)"),N1035/BF1035/AQ1035,
AND(L1035="level-log",M1035="sd (Y)"),N1035/BF1035*BI1035,
AND(L1035="elasticity",M1035="level"),N1035,
AND(L1035="elasticity",M1035="sd (X)"),N1035/AQ1035,
AND(L1035="elasticity",M1035="sd (Y)"),N1035*BI1035,
AND(L1035="marginal_effect",M1035="percent_of_mean"),N1035*AN1035/BF1035/10)</f>
        <v>-5.1790510948905105E-2</v>
      </c>
      <c r="AE1035" s="51">
        <f t="shared" si="431"/>
        <v>1</v>
      </c>
      <c r="AF1035" s="92">
        <f t="shared" si="425"/>
        <v>2.1472019464720193E-3</v>
      </c>
      <c r="AG1035" s="92" cm="1">
        <f t="array" ref="AG1035">_xlfn.IFS(
AND(L1035="marginal_effect",M1035="level"),O1035*AN1035/BF1035,
AND(L1035="marginal_effect",M1035="sd (Y)"),O1035*BI1035*AN1035/BF1035,
AND(L1035="marginal_effect",M1035="sd (X)"),O1035/AQ1035*AN1035/BF1035,
AND(L1035="semi_elasticity",M1035="level"),O1035*AN1035,
AND(L1035="semi_elasticity",M1035="sd (Y)"),O1035*AN1035*BI1035,
AND(L1035="semi_elasticity",M1035="sd (X)"),O1035*AN1035/AQ1035,
AND(L1035="level-log",M1035="level"),O1035/BF1035,
AND(L1035="level-log",M1035="sd (X)"),O1035/BF1035/AQ1035,
AND(L1035="level-log",M1035="sd (Y)"),O1035/BF1035*BI1035,
AND(L1035="elasticity",M1035="level"),O1035,
AND(L1035="elasticity",M1035="sd (X)"),O1035/AQ1035,
AND(L1035="elasticity",M1035="sd (Y)"),O1035*BI1035,
AND(L1035="marginal_effect",M1035="percent_of_mean"),O1035*AN1035/BF1035/10)</f>
        <v>2.1472019464720193E-3</v>
      </c>
      <c r="AH1035" s="51">
        <f t="shared" ref="AH1035:AH1066" si="433">IF(AF1035=AG1035,1,0)</f>
        <v>1</v>
      </c>
      <c r="AI1035" s="92">
        <f t="shared" si="432"/>
        <v>-5.1790510948905105E-2</v>
      </c>
      <c r="AJ1035" s="47">
        <v>0</v>
      </c>
      <c r="AK1035" s="47">
        <f t="shared" si="429"/>
        <v>1</v>
      </c>
      <c r="AL1035" s="47" t="s">
        <v>148</v>
      </c>
      <c r="AM1035" s="47" t="s">
        <v>590</v>
      </c>
      <c r="AN1035" s="47">
        <v>14.12</v>
      </c>
      <c r="AO1035" s="47">
        <v>0</v>
      </c>
      <c r="AP1035" s="47">
        <f t="shared" si="420"/>
        <v>14.12</v>
      </c>
      <c r="AQ1035" s="47">
        <v>16.440000000000001</v>
      </c>
      <c r="AR1035" s="47">
        <v>0</v>
      </c>
      <c r="AS1035" s="47">
        <v>166</v>
      </c>
      <c r="AT1035" s="47" t="s">
        <v>83</v>
      </c>
      <c r="AU1035" s="47" t="s">
        <v>109</v>
      </c>
      <c r="AV1035" s="47" t="s">
        <v>133</v>
      </c>
      <c r="AW1035" s="47" t="s">
        <v>85</v>
      </c>
      <c r="AX1035" s="47" t="s">
        <v>86</v>
      </c>
      <c r="AY1035" s="47">
        <v>0</v>
      </c>
      <c r="AZ1035" s="47">
        <v>0</v>
      </c>
      <c r="BA1035" s="47" t="s">
        <v>87</v>
      </c>
      <c r="BB1035" s="47" t="s">
        <v>134</v>
      </c>
      <c r="BC1035" s="47" t="s">
        <v>89</v>
      </c>
      <c r="BD1035" s="47" t="s">
        <v>433</v>
      </c>
      <c r="BE1035" s="47" t="s">
        <v>2021</v>
      </c>
      <c r="BF1035" s="47">
        <v>81.48</v>
      </c>
      <c r="BG1035" s="47">
        <v>0</v>
      </c>
      <c r="BH1035" s="47">
        <v>30.84</v>
      </c>
      <c r="BI1035" s="47">
        <v>30.05</v>
      </c>
      <c r="BJ1035" s="47">
        <v>200</v>
      </c>
      <c r="BK1035" s="47" t="s">
        <v>91</v>
      </c>
      <c r="BL1035" s="47" t="s">
        <v>2020</v>
      </c>
      <c r="BM1035" s="47">
        <v>1</v>
      </c>
      <c r="BN1035" s="47" t="s">
        <v>2177</v>
      </c>
      <c r="BO1035" s="47" t="s">
        <v>2022</v>
      </c>
      <c r="BP1035" s="47" t="s">
        <v>2023</v>
      </c>
      <c r="BQ1035" s="47" t="s">
        <v>92</v>
      </c>
      <c r="BR1035" s="47" t="s">
        <v>312</v>
      </c>
      <c r="BS1035" s="47" t="s">
        <v>312</v>
      </c>
      <c r="BT1035" s="47" t="s">
        <v>312</v>
      </c>
      <c r="BU1035" s="47">
        <v>1987</v>
      </c>
      <c r="BV1035" s="47">
        <v>1989</v>
      </c>
      <c r="BW1035" s="47" t="s">
        <v>94</v>
      </c>
      <c r="BX1035" s="47" t="s">
        <v>95</v>
      </c>
      <c r="BY1035" s="47" t="s">
        <v>96</v>
      </c>
      <c r="BZ1035" s="47">
        <v>0</v>
      </c>
      <c r="CA1035" s="47">
        <v>0</v>
      </c>
      <c r="CB1035" s="47" t="s">
        <v>97</v>
      </c>
      <c r="CC1035" s="47" t="s">
        <v>2024</v>
      </c>
      <c r="CD1035" s="47">
        <v>1</v>
      </c>
      <c r="CE1035" s="47" t="s">
        <v>2076</v>
      </c>
      <c r="CF1035" s="47">
        <v>1</v>
      </c>
      <c r="CG1035" s="47" t="s">
        <v>2027</v>
      </c>
      <c r="CH1035" s="47">
        <v>0</v>
      </c>
      <c r="CI1035" s="47" t="s">
        <v>97</v>
      </c>
      <c r="CJ1035" s="47" t="s">
        <v>98</v>
      </c>
      <c r="CK1035" s="47">
        <v>35</v>
      </c>
      <c r="CL1035" s="47">
        <v>0</v>
      </c>
      <c r="CM1035" s="47">
        <v>0</v>
      </c>
      <c r="CN1035" s="47" t="s">
        <v>99</v>
      </c>
      <c r="CO1035" s="47" t="s">
        <v>1318</v>
      </c>
      <c r="CP1035" s="47" t="s">
        <v>100</v>
      </c>
      <c r="CQ1035" s="47" t="s">
        <v>126</v>
      </c>
      <c r="CR1035" s="48">
        <v>46254</v>
      </c>
      <c r="CT1035" s="47" t="s">
        <v>457</v>
      </c>
    </row>
    <row r="1036" spans="1:98" s="47" customFormat="1" x14ac:dyDescent="0.35">
      <c r="A1036" s="46" t="s">
        <v>2017</v>
      </c>
      <c r="B1036" s="46" t="s">
        <v>2043</v>
      </c>
      <c r="C1036" s="47" t="s">
        <v>2018</v>
      </c>
      <c r="D1036" s="47">
        <v>2024</v>
      </c>
      <c r="E1036" s="66" t="s">
        <v>2019</v>
      </c>
      <c r="F1036" s="46" t="s">
        <v>899</v>
      </c>
      <c r="G1036" s="47" t="s">
        <v>78</v>
      </c>
      <c r="H1036" s="47">
        <v>1</v>
      </c>
      <c r="I1036" s="47" t="s">
        <v>390</v>
      </c>
      <c r="J1036" s="47" t="s">
        <v>79</v>
      </c>
      <c r="K1036" s="47">
        <v>1</v>
      </c>
      <c r="L1036" s="47" t="s">
        <v>104</v>
      </c>
      <c r="M1036" s="47" t="s">
        <v>557</v>
      </c>
      <c r="N1036" s="47">
        <v>-8.0500000000000002E-2</v>
      </c>
      <c r="O1036" s="47">
        <v>2.7000000000000001E-3</v>
      </c>
      <c r="P1036" s="92">
        <f t="shared" si="426"/>
        <v>-29.814814814814813</v>
      </c>
      <c r="Q1036" s="47" t="s">
        <v>312</v>
      </c>
      <c r="R1036" s="92">
        <f t="shared" si="427"/>
        <v>-8.5792000000000007E-2</v>
      </c>
      <c r="S1036" s="92">
        <f t="shared" si="428"/>
        <v>-7.5207999999999997E-2</v>
      </c>
      <c r="T1036" s="47">
        <v>1</v>
      </c>
      <c r="U1036" s="47">
        <v>26142</v>
      </c>
      <c r="V1036" s="47" t="s">
        <v>312</v>
      </c>
      <c r="W1036" s="47" t="s">
        <v>312</v>
      </c>
      <c r="X1036" s="47">
        <f t="shared" si="423"/>
        <v>26142</v>
      </c>
      <c r="Y1036" s="92">
        <f t="shared" si="421"/>
        <v>-0.18134336784839994</v>
      </c>
      <c r="Z1036" s="92">
        <f t="shared" si="422"/>
        <v>6.0823241390146575E-3</v>
      </c>
      <c r="AA1036" s="92">
        <f t="shared" si="430"/>
        <v>-0.18134336784839994</v>
      </c>
      <c r="AB1036" s="47" t="s">
        <v>81</v>
      </c>
      <c r="AC1036" s="92">
        <f t="shared" si="424"/>
        <v>-0.10604790419161678</v>
      </c>
      <c r="AD1036" s="92" cm="1">
        <f t="array" ref="AD1036">_xlfn.IFS(
AND(L1036="marginal_effect",M1036="level"),N1036*AN1036/BF1036,
AND(L1036="marginal_effect",M1036="sd (Y)"),N1036*BI1036*AN1036/BF1036,
AND(L1036="marginal_effect",M1036="sd (X)"),N1036/AQ1036*AN1036/BF1036,
AND(L1036="semi_elasticity",M1036="level"),N1036*AN1036,
AND(L1036="semi_elasticity",M1036="sd (Y)"),N1036*AN1036*BI1036,
AND(L1036="semi_elasticity",M1036="sd (X)"),N1036*AN1036/AQ1036,
AND(L1036="level-log",M1036="level"),N1036/BF1036,
AND(L1036="level-log",M1036="sd (X)"),N1036/BF1036/AQ1036,
AND(L1036="level-log",M1036="sd (Y)"),N1036/BF1036*BI1036,
AND(L1036="elasticity",M1036="level"),N1036,
AND(L1036="elasticity",M1036="sd (X)"),N1036/AQ1036,
AND(L1036="elasticity",M1036="sd (Y)"),N1036*BI1036,
AND(L1036="marginal_effect",M1036="percent_of_mean"),N1036*AN1036/BF1036/10)</f>
        <v>-0.10604790419161678</v>
      </c>
      <c r="AE1036" s="51">
        <f t="shared" si="431"/>
        <v>1</v>
      </c>
      <c r="AF1036" s="92">
        <f t="shared" si="425"/>
        <v>3.5568862275449109E-3</v>
      </c>
      <c r="AG1036" s="92" cm="1">
        <f t="array" ref="AG1036">_xlfn.IFS(
AND(L1036="marginal_effect",M1036="level"),O1036*AN1036/BF1036,
AND(L1036="marginal_effect",M1036="sd (Y)"),O1036*BI1036*AN1036/BF1036,
AND(L1036="marginal_effect",M1036="sd (X)"),O1036/AQ1036*AN1036/BF1036,
AND(L1036="semi_elasticity",M1036="level"),O1036*AN1036,
AND(L1036="semi_elasticity",M1036="sd (Y)"),O1036*AN1036*BI1036,
AND(L1036="semi_elasticity",M1036="sd (X)"),O1036*AN1036/AQ1036,
AND(L1036="level-log",M1036="level"),O1036/BF1036,
AND(L1036="level-log",M1036="sd (X)"),O1036/BF1036/AQ1036,
AND(L1036="level-log",M1036="sd (Y)"),O1036/BF1036*BI1036,
AND(L1036="elasticity",M1036="level"),O1036,
AND(L1036="elasticity",M1036="sd (X)"),O1036/AQ1036,
AND(L1036="elasticity",M1036="sd (Y)"),O1036*BI1036,
AND(L1036="marginal_effect",M1036="percent_of_mean"),O1036*AN1036/BF1036/10)</f>
        <v>3.5568862275449109E-3</v>
      </c>
      <c r="AH1036" s="51">
        <f t="shared" si="433"/>
        <v>1</v>
      </c>
      <c r="AI1036" s="92">
        <f t="shared" si="432"/>
        <v>-0.10604790419161678</v>
      </c>
      <c r="AJ1036" s="47">
        <v>0</v>
      </c>
      <c r="AK1036" s="47">
        <f t="shared" si="429"/>
        <v>1</v>
      </c>
      <c r="AL1036" s="47" t="s">
        <v>162</v>
      </c>
      <c r="AM1036" s="47" t="s">
        <v>590</v>
      </c>
      <c r="AN1036" s="47">
        <v>2.2000000000000002</v>
      </c>
      <c r="AO1036" s="47">
        <v>0</v>
      </c>
      <c r="AP1036" s="47">
        <f t="shared" si="420"/>
        <v>2.2000000000000002</v>
      </c>
      <c r="AQ1036" s="47">
        <v>1.67</v>
      </c>
      <c r="AR1036" s="47">
        <v>0</v>
      </c>
      <c r="AS1036" s="47">
        <v>16</v>
      </c>
      <c r="AT1036" s="47" t="s">
        <v>83</v>
      </c>
      <c r="AU1036" s="47" t="s">
        <v>109</v>
      </c>
      <c r="AV1036" s="47" t="s">
        <v>133</v>
      </c>
      <c r="AW1036" s="47" t="s">
        <v>85</v>
      </c>
      <c r="AX1036" s="47" t="s">
        <v>86</v>
      </c>
      <c r="AY1036" s="47">
        <v>0</v>
      </c>
      <c r="AZ1036" s="47">
        <v>0</v>
      </c>
      <c r="BA1036" s="47" t="s">
        <v>87</v>
      </c>
      <c r="BB1036" s="47" t="s">
        <v>134</v>
      </c>
      <c r="BC1036" s="47" t="s">
        <v>89</v>
      </c>
      <c r="BD1036" s="47" t="s">
        <v>433</v>
      </c>
      <c r="BE1036" s="47" t="s">
        <v>2021</v>
      </c>
      <c r="BF1036" s="47">
        <v>81.48</v>
      </c>
      <c r="BG1036" s="47">
        <v>0</v>
      </c>
      <c r="BH1036" s="47">
        <v>30.84</v>
      </c>
      <c r="BI1036" s="47">
        <v>30.05</v>
      </c>
      <c r="BJ1036" s="47">
        <v>200</v>
      </c>
      <c r="BK1036" s="47" t="s">
        <v>91</v>
      </c>
      <c r="BL1036" s="47" t="s">
        <v>2020</v>
      </c>
      <c r="BM1036" s="47">
        <v>1</v>
      </c>
      <c r="BN1036" s="47" t="s">
        <v>2177</v>
      </c>
      <c r="BO1036" s="47" t="s">
        <v>2022</v>
      </c>
      <c r="BP1036" s="47" t="s">
        <v>2023</v>
      </c>
      <c r="BQ1036" s="47" t="s">
        <v>92</v>
      </c>
      <c r="BR1036" s="47" t="s">
        <v>312</v>
      </c>
      <c r="BS1036" s="47" t="s">
        <v>312</v>
      </c>
      <c r="BT1036" s="47" t="s">
        <v>312</v>
      </c>
      <c r="BU1036" s="47">
        <v>1987</v>
      </c>
      <c r="BV1036" s="47">
        <v>1989</v>
      </c>
      <c r="BW1036" s="47" t="s">
        <v>94</v>
      </c>
      <c r="BX1036" s="47" t="s">
        <v>95</v>
      </c>
      <c r="BY1036" s="47" t="s">
        <v>96</v>
      </c>
      <c r="BZ1036" s="47">
        <v>0</v>
      </c>
      <c r="CA1036" s="47">
        <v>0</v>
      </c>
      <c r="CB1036" s="47" t="s">
        <v>97</v>
      </c>
      <c r="CC1036" s="47" t="s">
        <v>2024</v>
      </c>
      <c r="CD1036" s="47">
        <v>1</v>
      </c>
      <c r="CE1036" s="47" t="s">
        <v>2076</v>
      </c>
      <c r="CF1036" s="47">
        <v>1</v>
      </c>
      <c r="CG1036" s="47" t="s">
        <v>2028</v>
      </c>
      <c r="CH1036" s="47">
        <v>0</v>
      </c>
      <c r="CI1036" s="47" t="s">
        <v>97</v>
      </c>
      <c r="CJ1036" s="47" t="s">
        <v>98</v>
      </c>
      <c r="CK1036" s="47">
        <v>35</v>
      </c>
      <c r="CL1036" s="47">
        <v>0</v>
      </c>
      <c r="CM1036" s="47">
        <v>0</v>
      </c>
      <c r="CN1036" s="47" t="s">
        <v>99</v>
      </c>
      <c r="CO1036" s="47" t="s">
        <v>1318</v>
      </c>
      <c r="CP1036" s="47" t="s">
        <v>100</v>
      </c>
      <c r="CQ1036" s="47" t="s">
        <v>126</v>
      </c>
      <c r="CR1036" s="48">
        <v>46254</v>
      </c>
      <c r="CT1036" s="47" t="s">
        <v>457</v>
      </c>
    </row>
    <row r="1037" spans="1:98" s="47" customFormat="1" x14ac:dyDescent="0.35">
      <c r="A1037" s="46" t="s">
        <v>2017</v>
      </c>
      <c r="B1037" s="46" t="s">
        <v>2044</v>
      </c>
      <c r="C1037" s="47" t="s">
        <v>2018</v>
      </c>
      <c r="D1037" s="47">
        <v>2024</v>
      </c>
      <c r="E1037" s="66" t="s">
        <v>2019</v>
      </c>
      <c r="F1037" s="46" t="s">
        <v>899</v>
      </c>
      <c r="G1037" s="47" t="s">
        <v>78</v>
      </c>
      <c r="H1037" s="47">
        <v>1</v>
      </c>
      <c r="I1037" s="47" t="s">
        <v>390</v>
      </c>
      <c r="J1037" s="47" t="s">
        <v>79</v>
      </c>
      <c r="K1037" s="47">
        <v>1</v>
      </c>
      <c r="L1037" s="47" t="s">
        <v>104</v>
      </c>
      <c r="M1037" s="47" t="s">
        <v>557</v>
      </c>
      <c r="N1037" s="47">
        <v>-3.0700000000000002E-2</v>
      </c>
      <c r="O1037" s="47">
        <v>1.2999999999999999E-3</v>
      </c>
      <c r="P1037" s="92">
        <f t="shared" si="426"/>
        <v>-23.615384615384617</v>
      </c>
      <c r="Q1037" s="47" t="s">
        <v>312</v>
      </c>
      <c r="R1037" s="92">
        <f t="shared" si="427"/>
        <v>-3.3248E-2</v>
      </c>
      <c r="S1037" s="92">
        <f t="shared" si="428"/>
        <v>-2.8152000000000003E-2</v>
      </c>
      <c r="T1037" s="47">
        <v>1</v>
      </c>
      <c r="U1037" s="47">
        <v>26142</v>
      </c>
      <c r="V1037" s="47" t="s">
        <v>312</v>
      </c>
      <c r="W1037" s="47" t="s">
        <v>312</v>
      </c>
      <c r="X1037" s="47">
        <f t="shared" si="423"/>
        <v>26142</v>
      </c>
      <c r="Y1037" s="92">
        <f t="shared" si="421"/>
        <v>-0.14452465557074962</v>
      </c>
      <c r="Z1037" s="92">
        <f t="shared" si="422"/>
        <v>6.1199365551131753E-3</v>
      </c>
      <c r="AA1037" s="92">
        <f t="shared" si="430"/>
        <v>-0.14452465557074962</v>
      </c>
      <c r="AB1037" s="47" t="s">
        <v>81</v>
      </c>
      <c r="AC1037" s="92">
        <f t="shared" si="424"/>
        <v>-3.154677230046949E-2</v>
      </c>
      <c r="AD1037" s="92" cm="1">
        <f t="array" ref="AD1037">_xlfn.IFS(
AND(L1037="marginal_effect",M1037="level"),N1037*AN1037/BF1037,
AND(L1037="marginal_effect",M1037="sd (Y)"),N1037*BI1037*AN1037/BF1037,
AND(L1037="marginal_effect",M1037="sd (X)"),N1037/AQ1037*AN1037/BF1037,
AND(L1037="semi_elasticity",M1037="level"),N1037*AN1037,
AND(L1037="semi_elasticity",M1037="sd (Y)"),N1037*AN1037*BI1037,
AND(L1037="semi_elasticity",M1037="sd (X)"),N1037*AN1037/AQ1037,
AND(L1037="level-log",M1037="level"),N1037/BF1037,
AND(L1037="level-log",M1037="sd (X)"),N1037/BF1037/AQ1037,
AND(L1037="level-log",M1037="sd (Y)"),N1037/BF1037*BI1037,
AND(L1037="elasticity",M1037="level"),N1037,
AND(L1037="elasticity",M1037="sd (X)"),N1037/AQ1037,
AND(L1037="elasticity",M1037="sd (Y)"),N1037*BI1037,
AND(L1037="marginal_effect",M1037="percent_of_mean"),N1037*AN1037/BF1037/10)</f>
        <v>-3.154677230046949E-2</v>
      </c>
      <c r="AE1037" s="51">
        <f t="shared" si="431"/>
        <v>1</v>
      </c>
      <c r="AF1037" s="92">
        <f t="shared" si="425"/>
        <v>1.3358568075117372E-3</v>
      </c>
      <c r="AG1037" s="92" cm="1">
        <f t="array" ref="AG1037">_xlfn.IFS(
AND(L1037="marginal_effect",M1037="level"),O1037*AN1037/BF1037,
AND(L1037="marginal_effect",M1037="sd (Y)"),O1037*BI1037*AN1037/BF1037,
AND(L1037="marginal_effect",M1037="sd (X)"),O1037/AQ1037*AN1037/BF1037,
AND(L1037="semi_elasticity",M1037="level"),O1037*AN1037,
AND(L1037="semi_elasticity",M1037="sd (Y)"),O1037*AN1037*BI1037,
AND(L1037="semi_elasticity",M1037="sd (X)"),O1037*AN1037/AQ1037,
AND(L1037="level-log",M1037="level"),O1037/BF1037,
AND(L1037="level-log",M1037="sd (X)"),O1037/BF1037/AQ1037,
AND(L1037="level-log",M1037="sd (Y)"),O1037/BF1037*BI1037,
AND(L1037="elasticity",M1037="level"),O1037,
AND(L1037="elasticity",M1037="sd (X)"),O1037/AQ1037,
AND(L1037="elasticity",M1037="sd (Y)"),O1037*BI1037,
AND(L1037="marginal_effect",M1037="percent_of_mean"),O1037*AN1037/BF1037/10)</f>
        <v>1.3358568075117372E-3</v>
      </c>
      <c r="AH1037" s="51">
        <f t="shared" si="433"/>
        <v>1</v>
      </c>
      <c r="AI1037" s="92">
        <f t="shared" si="432"/>
        <v>-3.154677230046949E-2</v>
      </c>
      <c r="AJ1037" s="47">
        <v>0</v>
      </c>
      <c r="AK1037" s="47">
        <f t="shared" si="429"/>
        <v>1</v>
      </c>
      <c r="AL1037" s="47" t="s">
        <v>106</v>
      </c>
      <c r="AM1037" s="47" t="s">
        <v>1333</v>
      </c>
      <c r="AN1037" s="47">
        <v>17.510000000000002</v>
      </c>
      <c r="AO1037" s="47">
        <v>0</v>
      </c>
      <c r="AP1037" s="47">
        <f t="shared" si="420"/>
        <v>17.510000000000002</v>
      </c>
      <c r="AQ1037" s="47">
        <v>17.04</v>
      </c>
      <c r="AR1037" s="47">
        <v>0</v>
      </c>
      <c r="AS1037" s="47">
        <v>79</v>
      </c>
      <c r="AT1037" s="47" t="s">
        <v>83</v>
      </c>
      <c r="AU1037" s="47" t="s">
        <v>109</v>
      </c>
      <c r="AV1037" s="47" t="s">
        <v>133</v>
      </c>
      <c r="AW1037" s="47" t="s">
        <v>85</v>
      </c>
      <c r="AX1037" s="47" t="s">
        <v>86</v>
      </c>
      <c r="AY1037" s="47">
        <v>0</v>
      </c>
      <c r="AZ1037" s="47">
        <v>0</v>
      </c>
      <c r="BA1037" s="47" t="s">
        <v>87</v>
      </c>
      <c r="BB1037" s="47" t="s">
        <v>134</v>
      </c>
      <c r="BC1037" s="47" t="s">
        <v>89</v>
      </c>
      <c r="BD1037" s="47" t="s">
        <v>433</v>
      </c>
      <c r="BE1037" s="47" t="s">
        <v>2021</v>
      </c>
      <c r="BF1037" s="47">
        <v>81.48</v>
      </c>
      <c r="BG1037" s="47">
        <v>0</v>
      </c>
      <c r="BH1037" s="47">
        <v>30.84</v>
      </c>
      <c r="BI1037" s="47">
        <v>30.05</v>
      </c>
      <c r="BJ1037" s="47">
        <v>200</v>
      </c>
      <c r="BK1037" s="47" t="s">
        <v>91</v>
      </c>
      <c r="BL1037" s="47" t="s">
        <v>2020</v>
      </c>
      <c r="BM1037" s="47">
        <v>1</v>
      </c>
      <c r="BN1037" s="47" t="s">
        <v>2177</v>
      </c>
      <c r="BO1037" s="47" t="s">
        <v>2022</v>
      </c>
      <c r="BP1037" s="47" t="s">
        <v>2023</v>
      </c>
      <c r="BQ1037" s="47" t="s">
        <v>92</v>
      </c>
      <c r="BR1037" s="47" t="s">
        <v>312</v>
      </c>
      <c r="BS1037" s="47" t="s">
        <v>312</v>
      </c>
      <c r="BT1037" s="47" t="s">
        <v>312</v>
      </c>
      <c r="BU1037" s="47">
        <v>1987</v>
      </c>
      <c r="BV1037" s="47">
        <v>1989</v>
      </c>
      <c r="BW1037" s="47" t="s">
        <v>94</v>
      </c>
      <c r="BX1037" s="47" t="s">
        <v>95</v>
      </c>
      <c r="BY1037" s="47" t="s">
        <v>96</v>
      </c>
      <c r="BZ1037" s="47">
        <v>0</v>
      </c>
      <c r="CA1037" s="47">
        <v>0</v>
      </c>
      <c r="CB1037" s="47" t="s">
        <v>97</v>
      </c>
      <c r="CC1037" s="47" t="s">
        <v>2024</v>
      </c>
      <c r="CD1037" s="47">
        <v>1</v>
      </c>
      <c r="CE1037" s="47" t="s">
        <v>2076</v>
      </c>
      <c r="CF1037" s="47">
        <v>1</v>
      </c>
      <c r="CG1037" s="47" t="s">
        <v>2029</v>
      </c>
      <c r="CH1037" s="47">
        <v>0</v>
      </c>
      <c r="CI1037" s="47" t="s">
        <v>97</v>
      </c>
      <c r="CJ1037" s="47" t="s">
        <v>98</v>
      </c>
      <c r="CK1037" s="47">
        <v>35</v>
      </c>
      <c r="CL1037" s="47">
        <v>0</v>
      </c>
      <c r="CM1037" s="47">
        <v>0</v>
      </c>
      <c r="CN1037" s="47" t="s">
        <v>99</v>
      </c>
      <c r="CO1037" s="47" t="s">
        <v>1318</v>
      </c>
      <c r="CP1037" s="47" t="s">
        <v>100</v>
      </c>
      <c r="CQ1037" s="47" t="s">
        <v>126</v>
      </c>
      <c r="CR1037" s="48">
        <v>46254</v>
      </c>
      <c r="CT1037" s="47" t="s">
        <v>457</v>
      </c>
    </row>
    <row r="1038" spans="1:98" s="47" customFormat="1" x14ac:dyDescent="0.35">
      <c r="A1038" s="46" t="s">
        <v>2017</v>
      </c>
      <c r="B1038" s="46" t="s">
        <v>2045</v>
      </c>
      <c r="C1038" s="47" t="s">
        <v>2018</v>
      </c>
      <c r="D1038" s="47">
        <v>2024</v>
      </c>
      <c r="E1038" s="66" t="s">
        <v>2019</v>
      </c>
      <c r="F1038" s="46" t="s">
        <v>899</v>
      </c>
      <c r="G1038" s="47" t="s">
        <v>78</v>
      </c>
      <c r="H1038" s="47">
        <v>1</v>
      </c>
      <c r="I1038" s="47" t="s">
        <v>390</v>
      </c>
      <c r="J1038" s="47" t="s">
        <v>79</v>
      </c>
      <c r="K1038" s="47">
        <v>1</v>
      </c>
      <c r="L1038" s="47" t="s">
        <v>104</v>
      </c>
      <c r="M1038" s="47" t="s">
        <v>557</v>
      </c>
      <c r="N1038" s="47">
        <v>-8.3000000000000001E-3</v>
      </c>
      <c r="O1038" s="47" t="s">
        <v>312</v>
      </c>
      <c r="P1038" s="92" t="s">
        <v>312</v>
      </c>
      <c r="Q1038" s="47" t="s">
        <v>312</v>
      </c>
      <c r="R1038" s="92" t="s">
        <v>312</v>
      </c>
      <c r="S1038" s="92" t="s">
        <v>312</v>
      </c>
      <c r="T1038" s="47">
        <v>1</v>
      </c>
      <c r="U1038" s="47">
        <v>26142</v>
      </c>
      <c r="V1038" s="47" t="s">
        <v>312</v>
      </c>
      <c r="W1038" s="47" t="s">
        <v>312</v>
      </c>
      <c r="X1038" s="47">
        <f t="shared" si="423"/>
        <v>26142</v>
      </c>
      <c r="Y1038" s="92" t="s">
        <v>312</v>
      </c>
      <c r="Z1038" s="92" t="s">
        <v>312</v>
      </c>
      <c r="AA1038" s="92" t="str">
        <f t="shared" si="430"/>
        <v>NA</v>
      </c>
      <c r="AB1038" s="47" t="s">
        <v>81</v>
      </c>
      <c r="AC1038" s="92">
        <f t="shared" si="424"/>
        <v>-8.3846219201359398E-3</v>
      </c>
      <c r="AD1038" s="92" cm="1">
        <f t="array" ref="AD1038">_xlfn.IFS(
AND(L1038="marginal_effect",M1038="level"),N1038*AN1038/BF1038,
AND(L1038="marginal_effect",M1038="sd (Y)"),N1038*BI1038*AN1038/BF1038,
AND(L1038="marginal_effect",M1038="sd (X)"),N1038/AQ1038*AN1038/BF1038,
AND(L1038="semi_elasticity",M1038="level"),N1038*AN1038,
AND(L1038="semi_elasticity",M1038="sd (Y)"),N1038*AN1038*BI1038,
AND(L1038="semi_elasticity",M1038="sd (X)"),N1038*AN1038/AQ1038,
AND(L1038="level-log",M1038="level"),N1038/BF1038,
AND(L1038="level-log",M1038="sd (X)"),N1038/BF1038/AQ1038,
AND(L1038="level-log",M1038="sd (Y)"),N1038/BF1038*BI1038,
AND(L1038="elasticity",M1038="level"),N1038,
AND(L1038="elasticity",M1038="sd (X)"),N1038/AQ1038,
AND(L1038="elasticity",M1038="sd (Y)"),N1038*BI1038,
AND(L1038="marginal_effect",M1038="percent_of_mean"),N1038*AN1038/BF1038/10)</f>
        <v>-8.3846219201359398E-3</v>
      </c>
      <c r="AE1038" s="51">
        <f t="shared" si="431"/>
        <v>1</v>
      </c>
      <c r="AF1038" s="92" t="s">
        <v>312</v>
      </c>
      <c r="AG1038" s="92" t="s">
        <v>312</v>
      </c>
      <c r="AH1038" s="51">
        <f t="shared" si="433"/>
        <v>1</v>
      </c>
      <c r="AI1038" s="92">
        <f t="shared" si="432"/>
        <v>-8.3846219201359398E-3</v>
      </c>
      <c r="AJ1038" s="47">
        <v>0</v>
      </c>
      <c r="AK1038" s="47" t="s">
        <v>312</v>
      </c>
      <c r="AL1038" s="47" t="s">
        <v>159</v>
      </c>
      <c r="AM1038" s="47" t="s">
        <v>410</v>
      </c>
      <c r="AN1038" s="47">
        <v>11.89</v>
      </c>
      <c r="AO1038" s="47">
        <v>0</v>
      </c>
      <c r="AP1038" s="47">
        <f t="shared" si="420"/>
        <v>11.89</v>
      </c>
      <c r="AQ1038" s="47">
        <v>11.77</v>
      </c>
      <c r="AR1038" s="47">
        <v>0</v>
      </c>
      <c r="AS1038" s="47">
        <v>198</v>
      </c>
      <c r="AT1038" s="47" t="s">
        <v>83</v>
      </c>
      <c r="AU1038" s="47" t="s">
        <v>109</v>
      </c>
      <c r="AV1038" s="47" t="s">
        <v>133</v>
      </c>
      <c r="AW1038" s="47" t="s">
        <v>85</v>
      </c>
      <c r="AX1038" s="47" t="s">
        <v>86</v>
      </c>
      <c r="AY1038" s="47">
        <v>0</v>
      </c>
      <c r="AZ1038" s="47">
        <v>0</v>
      </c>
      <c r="BA1038" s="47" t="s">
        <v>87</v>
      </c>
      <c r="BB1038" s="47" t="s">
        <v>134</v>
      </c>
      <c r="BC1038" s="47" t="s">
        <v>89</v>
      </c>
      <c r="BD1038" s="47" t="s">
        <v>433</v>
      </c>
      <c r="BE1038" s="47" t="s">
        <v>2021</v>
      </c>
      <c r="BF1038" s="47">
        <v>81.48</v>
      </c>
      <c r="BG1038" s="47">
        <v>0</v>
      </c>
      <c r="BH1038" s="47">
        <v>30.84</v>
      </c>
      <c r="BI1038" s="47">
        <v>30.05</v>
      </c>
      <c r="BJ1038" s="47">
        <v>200</v>
      </c>
      <c r="BK1038" s="47" t="s">
        <v>91</v>
      </c>
      <c r="BL1038" s="47" t="s">
        <v>2020</v>
      </c>
      <c r="BM1038" s="47">
        <v>1</v>
      </c>
      <c r="BN1038" s="47" t="s">
        <v>2177</v>
      </c>
      <c r="BO1038" s="47" t="s">
        <v>2022</v>
      </c>
      <c r="BP1038" s="47" t="s">
        <v>2023</v>
      </c>
      <c r="BQ1038" s="47" t="s">
        <v>92</v>
      </c>
      <c r="BR1038" s="47" t="s">
        <v>312</v>
      </c>
      <c r="BS1038" s="47" t="s">
        <v>312</v>
      </c>
      <c r="BT1038" s="47" t="s">
        <v>312</v>
      </c>
      <c r="BU1038" s="47">
        <v>1987</v>
      </c>
      <c r="BV1038" s="47">
        <v>1989</v>
      </c>
      <c r="BW1038" s="47" t="s">
        <v>94</v>
      </c>
      <c r="BX1038" s="47" t="s">
        <v>95</v>
      </c>
      <c r="BY1038" s="47" t="s">
        <v>96</v>
      </c>
      <c r="BZ1038" s="47">
        <v>0</v>
      </c>
      <c r="CA1038" s="47">
        <v>0</v>
      </c>
      <c r="CB1038" s="47" t="s">
        <v>97</v>
      </c>
      <c r="CC1038" s="47" t="s">
        <v>2024</v>
      </c>
      <c r="CD1038" s="47">
        <v>1</v>
      </c>
      <c r="CE1038" s="47" t="s">
        <v>2076</v>
      </c>
      <c r="CF1038" s="47">
        <v>1</v>
      </c>
      <c r="CG1038" s="47" t="s">
        <v>2025</v>
      </c>
      <c r="CH1038" s="47">
        <v>0</v>
      </c>
      <c r="CI1038" s="47" t="s">
        <v>97</v>
      </c>
      <c r="CJ1038" s="47" t="s">
        <v>98</v>
      </c>
      <c r="CK1038" s="47">
        <v>35</v>
      </c>
      <c r="CL1038" s="47">
        <v>0</v>
      </c>
      <c r="CM1038" s="47">
        <v>0</v>
      </c>
      <c r="CN1038" s="47" t="s">
        <v>99</v>
      </c>
      <c r="CO1038" s="47" t="s">
        <v>1318</v>
      </c>
      <c r="CP1038" s="47" t="s">
        <v>100</v>
      </c>
      <c r="CQ1038" s="47" t="s">
        <v>126</v>
      </c>
      <c r="CR1038" s="48">
        <v>46254</v>
      </c>
      <c r="CT1038" s="47" t="s">
        <v>457</v>
      </c>
    </row>
    <row r="1039" spans="1:98" s="47" customFormat="1" x14ac:dyDescent="0.35">
      <c r="A1039" s="46" t="s">
        <v>2017</v>
      </c>
      <c r="B1039" s="46" t="s">
        <v>2046</v>
      </c>
      <c r="C1039" s="47" t="s">
        <v>2018</v>
      </c>
      <c r="D1039" s="47">
        <v>2024</v>
      </c>
      <c r="E1039" s="66" t="s">
        <v>2019</v>
      </c>
      <c r="F1039" s="46" t="s">
        <v>899</v>
      </c>
      <c r="G1039" s="47" t="s">
        <v>78</v>
      </c>
      <c r="H1039" s="47">
        <v>1</v>
      </c>
      <c r="I1039" s="47" t="s">
        <v>390</v>
      </c>
      <c r="J1039" s="47" t="s">
        <v>79</v>
      </c>
      <c r="K1039" s="47">
        <v>1</v>
      </c>
      <c r="L1039" s="47" t="s">
        <v>104</v>
      </c>
      <c r="M1039" s="47" t="s">
        <v>557</v>
      </c>
      <c r="N1039" s="47">
        <f>-0.0264-0.0317</f>
        <v>-5.8099999999999999E-2</v>
      </c>
      <c r="O1039" s="47" t="s">
        <v>312</v>
      </c>
      <c r="P1039" s="92" t="s">
        <v>312</v>
      </c>
      <c r="Q1039" s="47" t="s">
        <v>312</v>
      </c>
      <c r="R1039" s="92" t="s">
        <v>312</v>
      </c>
      <c r="S1039" s="92" t="s">
        <v>312</v>
      </c>
      <c r="T1039" s="47">
        <v>1</v>
      </c>
      <c r="U1039" s="47">
        <v>26142</v>
      </c>
      <c r="V1039" s="47" t="s">
        <v>312</v>
      </c>
      <c r="W1039" s="47" t="s">
        <v>312</v>
      </c>
      <c r="X1039" s="47">
        <f t="shared" si="423"/>
        <v>26142</v>
      </c>
      <c r="Y1039" s="92" t="s">
        <v>312</v>
      </c>
      <c r="Z1039" s="92" t="s">
        <v>312</v>
      </c>
      <c r="AA1039" s="92" t="str">
        <f t="shared" si="430"/>
        <v>NA</v>
      </c>
      <c r="AB1039" s="47" t="s">
        <v>81</v>
      </c>
      <c r="AC1039" s="92">
        <f t="shared" si="424"/>
        <v>-9.1743465703971128E-2</v>
      </c>
      <c r="AD1039" s="92" cm="1">
        <f t="array" ref="AD1039">_xlfn.IFS(
AND(L1039="marginal_effect",M1039="level"),N1039*AN1039/BF1039,
AND(L1039="marginal_effect",M1039="sd (Y)"),N1039*BI1039*AN1039/BF1039,
AND(L1039="marginal_effect",M1039="sd (X)"),N1039/AQ1039*AN1039/BF1039,
AND(L1039="semi_elasticity",M1039="level"),N1039*AN1039,
AND(L1039="semi_elasticity",M1039="sd (Y)"),N1039*AN1039*BI1039,
AND(L1039="semi_elasticity",M1039="sd (X)"),N1039*AN1039/AQ1039,
AND(L1039="level-log",M1039="level"),N1039/BF1039,
AND(L1039="level-log",M1039="sd (X)"),N1039/BF1039/AQ1039,
AND(L1039="level-log",M1039="sd (Y)"),N1039/BF1039*BI1039,
AND(L1039="elasticity",M1039="level"),N1039,
AND(L1039="elasticity",M1039="sd (X)"),N1039/AQ1039,
AND(L1039="elasticity",M1039="sd (Y)"),N1039*BI1039,
AND(L1039="marginal_effect",M1039="percent_of_mean"),N1039*AN1039/BF1039/10)</f>
        <v>-9.1743465703971128E-2</v>
      </c>
      <c r="AE1039" s="51">
        <f t="shared" si="431"/>
        <v>1</v>
      </c>
      <c r="AF1039" s="92" t="s">
        <v>312</v>
      </c>
      <c r="AG1039" s="92" t="s">
        <v>312</v>
      </c>
      <c r="AH1039" s="51">
        <f t="shared" si="433"/>
        <v>1</v>
      </c>
      <c r="AI1039" s="92">
        <f t="shared" si="432"/>
        <v>-9.1743465703971128E-2</v>
      </c>
      <c r="AJ1039" s="47">
        <v>0</v>
      </c>
      <c r="AK1039" s="47" t="s">
        <v>312</v>
      </c>
      <c r="AL1039" s="47" t="s">
        <v>131</v>
      </c>
      <c r="AM1039" s="47" t="s">
        <v>410</v>
      </c>
      <c r="AN1039" s="47">
        <v>21.87</v>
      </c>
      <c r="AO1039" s="47">
        <v>0</v>
      </c>
      <c r="AP1039" s="47">
        <f t="shared" si="420"/>
        <v>21.87</v>
      </c>
      <c r="AQ1039" s="47">
        <v>13.85</v>
      </c>
      <c r="AR1039" s="47">
        <v>0</v>
      </c>
      <c r="AS1039" s="47">
        <v>95</v>
      </c>
      <c r="AT1039" s="47" t="s">
        <v>83</v>
      </c>
      <c r="AU1039" s="47" t="s">
        <v>109</v>
      </c>
      <c r="AV1039" s="47" t="s">
        <v>133</v>
      </c>
      <c r="AW1039" s="47" t="s">
        <v>85</v>
      </c>
      <c r="AX1039" s="47" t="s">
        <v>86</v>
      </c>
      <c r="AY1039" s="47">
        <v>0</v>
      </c>
      <c r="AZ1039" s="47">
        <v>0</v>
      </c>
      <c r="BA1039" s="47" t="s">
        <v>87</v>
      </c>
      <c r="BB1039" s="47" t="s">
        <v>134</v>
      </c>
      <c r="BC1039" s="47" t="s">
        <v>89</v>
      </c>
      <c r="BD1039" s="47" t="s">
        <v>433</v>
      </c>
      <c r="BE1039" s="47" t="s">
        <v>2021</v>
      </c>
      <c r="BF1039" s="47">
        <v>81.48</v>
      </c>
      <c r="BG1039" s="47">
        <v>0</v>
      </c>
      <c r="BH1039" s="47">
        <v>30.84</v>
      </c>
      <c r="BI1039" s="47">
        <v>30.05</v>
      </c>
      <c r="BJ1039" s="47">
        <v>200</v>
      </c>
      <c r="BK1039" s="47" t="s">
        <v>91</v>
      </c>
      <c r="BL1039" s="47" t="s">
        <v>2020</v>
      </c>
      <c r="BM1039" s="47">
        <v>1</v>
      </c>
      <c r="BN1039" s="47" t="s">
        <v>2177</v>
      </c>
      <c r="BO1039" s="47" t="s">
        <v>2022</v>
      </c>
      <c r="BP1039" s="47" t="s">
        <v>2023</v>
      </c>
      <c r="BQ1039" s="47" t="s">
        <v>92</v>
      </c>
      <c r="BR1039" s="47" t="s">
        <v>312</v>
      </c>
      <c r="BS1039" s="47" t="s">
        <v>312</v>
      </c>
      <c r="BT1039" s="47" t="s">
        <v>312</v>
      </c>
      <c r="BU1039" s="47">
        <v>1987</v>
      </c>
      <c r="BV1039" s="47">
        <v>1989</v>
      </c>
      <c r="BW1039" s="47" t="s">
        <v>94</v>
      </c>
      <c r="BX1039" s="47" t="s">
        <v>95</v>
      </c>
      <c r="BY1039" s="47" t="s">
        <v>96</v>
      </c>
      <c r="BZ1039" s="47">
        <v>0</v>
      </c>
      <c r="CA1039" s="47">
        <v>0</v>
      </c>
      <c r="CB1039" s="47" t="s">
        <v>97</v>
      </c>
      <c r="CC1039" s="47" t="s">
        <v>2024</v>
      </c>
      <c r="CD1039" s="47">
        <v>1</v>
      </c>
      <c r="CE1039" s="47" t="s">
        <v>2076</v>
      </c>
      <c r="CF1039" s="47">
        <v>1</v>
      </c>
      <c r="CG1039" s="47" t="s">
        <v>2026</v>
      </c>
      <c r="CH1039" s="47">
        <v>0</v>
      </c>
      <c r="CI1039" s="47" t="s">
        <v>97</v>
      </c>
      <c r="CJ1039" s="47" t="s">
        <v>98</v>
      </c>
      <c r="CK1039" s="47">
        <v>35</v>
      </c>
      <c r="CL1039" s="47">
        <v>0</v>
      </c>
      <c r="CM1039" s="47">
        <v>0</v>
      </c>
      <c r="CN1039" s="47" t="s">
        <v>99</v>
      </c>
      <c r="CO1039" s="47" t="s">
        <v>1318</v>
      </c>
      <c r="CP1039" s="47" t="s">
        <v>100</v>
      </c>
      <c r="CQ1039" s="47" t="s">
        <v>126</v>
      </c>
      <c r="CR1039" s="48">
        <v>46254</v>
      </c>
      <c r="CT1039" s="47" t="s">
        <v>457</v>
      </c>
    </row>
    <row r="1040" spans="1:98" s="47" customFormat="1" x14ac:dyDescent="0.35">
      <c r="A1040" s="46" t="s">
        <v>2017</v>
      </c>
      <c r="B1040" s="46" t="s">
        <v>2047</v>
      </c>
      <c r="C1040" s="47" t="s">
        <v>2018</v>
      </c>
      <c r="D1040" s="47">
        <v>2024</v>
      </c>
      <c r="E1040" s="66" t="s">
        <v>2019</v>
      </c>
      <c r="F1040" s="46" t="s">
        <v>899</v>
      </c>
      <c r="G1040" s="47" t="s">
        <v>78</v>
      </c>
      <c r="H1040" s="47">
        <v>1</v>
      </c>
      <c r="I1040" s="47" t="s">
        <v>390</v>
      </c>
      <c r="J1040" s="47" t="s">
        <v>79</v>
      </c>
      <c r="K1040" s="47">
        <v>1</v>
      </c>
      <c r="L1040" s="47" t="s">
        <v>104</v>
      </c>
      <c r="M1040" s="47" t="s">
        <v>557</v>
      </c>
      <c r="N1040" s="47">
        <f>-0.0603+0.0374</f>
        <v>-2.2899999999999997E-2</v>
      </c>
      <c r="O1040" s="47" t="s">
        <v>312</v>
      </c>
      <c r="P1040" s="92" t="s">
        <v>312</v>
      </c>
      <c r="Q1040" s="47" t="s">
        <v>312</v>
      </c>
      <c r="R1040" s="92" t="s">
        <v>312</v>
      </c>
      <c r="S1040" s="92" t="s">
        <v>312</v>
      </c>
      <c r="T1040" s="47">
        <v>1</v>
      </c>
      <c r="U1040" s="47">
        <v>26142</v>
      </c>
      <c r="V1040" s="47" t="s">
        <v>312</v>
      </c>
      <c r="W1040" s="47" t="s">
        <v>312</v>
      </c>
      <c r="X1040" s="47">
        <f t="shared" si="423"/>
        <v>26142</v>
      </c>
      <c r="Y1040" s="92" t="s">
        <v>312</v>
      </c>
      <c r="Z1040" s="92" t="s">
        <v>312</v>
      </c>
      <c r="AA1040" s="92" t="str">
        <f t="shared" si="430"/>
        <v>NA</v>
      </c>
      <c r="AB1040" s="47" t="s">
        <v>81</v>
      </c>
      <c r="AC1040" s="92">
        <f t="shared" si="424"/>
        <v>-1.9668369829683691E-2</v>
      </c>
      <c r="AD1040" s="92" cm="1">
        <f t="array" ref="AD1040">_xlfn.IFS(
AND(L1040="marginal_effect",M1040="level"),N1040*AN1040/BF1040,
AND(L1040="marginal_effect",M1040="sd (Y)"),N1040*BI1040*AN1040/BF1040,
AND(L1040="marginal_effect",M1040="sd (X)"),N1040/AQ1040*AN1040/BF1040,
AND(L1040="semi_elasticity",M1040="level"),N1040*AN1040,
AND(L1040="semi_elasticity",M1040="sd (Y)"),N1040*AN1040*BI1040,
AND(L1040="semi_elasticity",M1040="sd (X)"),N1040*AN1040/AQ1040,
AND(L1040="level-log",M1040="level"),N1040/BF1040,
AND(L1040="level-log",M1040="sd (X)"),N1040/BF1040/AQ1040,
AND(L1040="level-log",M1040="sd (Y)"),N1040/BF1040*BI1040,
AND(L1040="elasticity",M1040="level"),N1040,
AND(L1040="elasticity",M1040="sd (X)"),N1040/AQ1040,
AND(L1040="elasticity",M1040="sd (Y)"),N1040*BI1040,
AND(L1040="marginal_effect",M1040="percent_of_mean"),N1040*AN1040/BF1040/10)</f>
        <v>-1.9668369829683691E-2</v>
      </c>
      <c r="AE1040" s="51">
        <f t="shared" si="431"/>
        <v>1</v>
      </c>
      <c r="AF1040" s="92" t="s">
        <v>312</v>
      </c>
      <c r="AG1040" s="92" t="s">
        <v>312</v>
      </c>
      <c r="AH1040" s="51">
        <f t="shared" si="433"/>
        <v>1</v>
      </c>
      <c r="AI1040" s="92">
        <f t="shared" si="432"/>
        <v>-1.9668369829683691E-2</v>
      </c>
      <c r="AJ1040" s="47">
        <v>0</v>
      </c>
      <c r="AK1040" s="47" t="s">
        <v>312</v>
      </c>
      <c r="AL1040" s="47" t="s">
        <v>148</v>
      </c>
      <c r="AM1040" s="47" t="s">
        <v>590</v>
      </c>
      <c r="AN1040" s="47">
        <v>14.12</v>
      </c>
      <c r="AO1040" s="47">
        <v>0</v>
      </c>
      <c r="AP1040" s="47">
        <f t="shared" si="420"/>
        <v>14.12</v>
      </c>
      <c r="AQ1040" s="47">
        <v>16.440000000000001</v>
      </c>
      <c r="AR1040" s="47">
        <v>0</v>
      </c>
      <c r="AS1040" s="47">
        <v>166</v>
      </c>
      <c r="AT1040" s="47" t="s">
        <v>83</v>
      </c>
      <c r="AU1040" s="47" t="s">
        <v>109</v>
      </c>
      <c r="AV1040" s="47" t="s">
        <v>133</v>
      </c>
      <c r="AW1040" s="47" t="s">
        <v>85</v>
      </c>
      <c r="AX1040" s="47" t="s">
        <v>86</v>
      </c>
      <c r="AY1040" s="47">
        <v>0</v>
      </c>
      <c r="AZ1040" s="47">
        <v>0</v>
      </c>
      <c r="BA1040" s="47" t="s">
        <v>87</v>
      </c>
      <c r="BB1040" s="47" t="s">
        <v>134</v>
      </c>
      <c r="BC1040" s="47" t="s">
        <v>89</v>
      </c>
      <c r="BD1040" s="47" t="s">
        <v>433</v>
      </c>
      <c r="BE1040" s="47" t="s">
        <v>2021</v>
      </c>
      <c r="BF1040" s="47">
        <v>81.48</v>
      </c>
      <c r="BG1040" s="47">
        <v>0</v>
      </c>
      <c r="BH1040" s="47">
        <v>30.84</v>
      </c>
      <c r="BI1040" s="47">
        <v>30.05</v>
      </c>
      <c r="BJ1040" s="47">
        <v>200</v>
      </c>
      <c r="BK1040" s="47" t="s">
        <v>91</v>
      </c>
      <c r="BL1040" s="47" t="s">
        <v>2020</v>
      </c>
      <c r="BM1040" s="47">
        <v>1</v>
      </c>
      <c r="BN1040" s="47" t="s">
        <v>2177</v>
      </c>
      <c r="BO1040" s="47" t="s">
        <v>2022</v>
      </c>
      <c r="BP1040" s="47" t="s">
        <v>2023</v>
      </c>
      <c r="BQ1040" s="47" t="s">
        <v>92</v>
      </c>
      <c r="BR1040" s="47" t="s">
        <v>312</v>
      </c>
      <c r="BS1040" s="47" t="s">
        <v>312</v>
      </c>
      <c r="BT1040" s="47" t="s">
        <v>312</v>
      </c>
      <c r="BU1040" s="47">
        <v>1987</v>
      </c>
      <c r="BV1040" s="47">
        <v>1989</v>
      </c>
      <c r="BW1040" s="47" t="s">
        <v>94</v>
      </c>
      <c r="BX1040" s="47" t="s">
        <v>95</v>
      </c>
      <c r="BY1040" s="47" t="s">
        <v>96</v>
      </c>
      <c r="BZ1040" s="47">
        <v>0</v>
      </c>
      <c r="CA1040" s="47">
        <v>0</v>
      </c>
      <c r="CB1040" s="47" t="s">
        <v>97</v>
      </c>
      <c r="CC1040" s="47" t="s">
        <v>2024</v>
      </c>
      <c r="CD1040" s="47">
        <v>1</v>
      </c>
      <c r="CE1040" s="47" t="s">
        <v>2076</v>
      </c>
      <c r="CF1040" s="47">
        <v>1</v>
      </c>
      <c r="CG1040" s="47" t="s">
        <v>2027</v>
      </c>
      <c r="CH1040" s="47">
        <v>0</v>
      </c>
      <c r="CI1040" s="47" t="s">
        <v>97</v>
      </c>
      <c r="CJ1040" s="47" t="s">
        <v>98</v>
      </c>
      <c r="CK1040" s="47">
        <v>35</v>
      </c>
      <c r="CL1040" s="47">
        <v>0</v>
      </c>
      <c r="CM1040" s="47">
        <v>0</v>
      </c>
      <c r="CN1040" s="47" t="s">
        <v>99</v>
      </c>
      <c r="CO1040" s="47" t="s">
        <v>1318</v>
      </c>
      <c r="CP1040" s="47" t="s">
        <v>100</v>
      </c>
      <c r="CQ1040" s="47" t="s">
        <v>126</v>
      </c>
      <c r="CR1040" s="48">
        <v>46254</v>
      </c>
      <c r="CT1040" s="47" t="s">
        <v>457</v>
      </c>
    </row>
    <row r="1041" spans="1:98" s="47" customFormat="1" x14ac:dyDescent="0.35">
      <c r="A1041" s="46" t="s">
        <v>2017</v>
      </c>
      <c r="B1041" s="46" t="s">
        <v>2048</v>
      </c>
      <c r="C1041" s="47" t="s">
        <v>2018</v>
      </c>
      <c r="D1041" s="47">
        <v>2024</v>
      </c>
      <c r="E1041" s="66" t="s">
        <v>2019</v>
      </c>
      <c r="F1041" s="46" t="s">
        <v>899</v>
      </c>
      <c r="G1041" s="47" t="s">
        <v>78</v>
      </c>
      <c r="H1041" s="47">
        <v>1</v>
      </c>
      <c r="I1041" s="47" t="s">
        <v>390</v>
      </c>
      <c r="J1041" s="47" t="s">
        <v>79</v>
      </c>
      <c r="K1041" s="47">
        <v>1</v>
      </c>
      <c r="L1041" s="47" t="s">
        <v>104</v>
      </c>
      <c r="M1041" s="47" t="s">
        <v>557</v>
      </c>
      <c r="N1041" s="47">
        <v>-8.0500000000000002E-2</v>
      </c>
      <c r="O1041" s="47" t="s">
        <v>312</v>
      </c>
      <c r="P1041" s="92" t="s">
        <v>312</v>
      </c>
      <c r="Q1041" s="47" t="s">
        <v>312</v>
      </c>
      <c r="R1041" s="92" t="s">
        <v>312</v>
      </c>
      <c r="S1041" s="92" t="s">
        <v>312</v>
      </c>
      <c r="T1041" s="47">
        <v>1</v>
      </c>
      <c r="U1041" s="47">
        <v>26142</v>
      </c>
      <c r="V1041" s="47" t="s">
        <v>312</v>
      </c>
      <c r="W1041" s="47" t="s">
        <v>312</v>
      </c>
      <c r="X1041" s="47">
        <f t="shared" si="423"/>
        <v>26142</v>
      </c>
      <c r="Y1041" s="92" t="s">
        <v>312</v>
      </c>
      <c r="Z1041" s="92" t="s">
        <v>312</v>
      </c>
      <c r="AA1041" s="92" t="str">
        <f t="shared" si="430"/>
        <v>NA</v>
      </c>
      <c r="AB1041" s="47" t="s">
        <v>81</v>
      </c>
      <c r="AC1041" s="92">
        <f t="shared" si="424"/>
        <v>-0.10604790419161678</v>
      </c>
      <c r="AD1041" s="92" cm="1">
        <f t="array" ref="AD1041">_xlfn.IFS(
AND(L1041="marginal_effect",M1041="level"),N1041*AN1041/BF1041,
AND(L1041="marginal_effect",M1041="sd (Y)"),N1041*BI1041*AN1041/BF1041,
AND(L1041="marginal_effect",M1041="sd (X)"),N1041/AQ1041*AN1041/BF1041,
AND(L1041="semi_elasticity",M1041="level"),N1041*AN1041,
AND(L1041="semi_elasticity",M1041="sd (Y)"),N1041*AN1041*BI1041,
AND(L1041="semi_elasticity",M1041="sd (X)"),N1041*AN1041/AQ1041,
AND(L1041="level-log",M1041="level"),N1041/BF1041,
AND(L1041="level-log",M1041="sd (X)"),N1041/BF1041/AQ1041,
AND(L1041="level-log",M1041="sd (Y)"),N1041/BF1041*BI1041,
AND(L1041="elasticity",M1041="level"),N1041,
AND(L1041="elasticity",M1041="sd (X)"),N1041/AQ1041,
AND(L1041="elasticity",M1041="sd (Y)"),N1041*BI1041,
AND(L1041="marginal_effect",M1041="percent_of_mean"),N1041*AN1041/BF1041/10)</f>
        <v>-0.10604790419161678</v>
      </c>
      <c r="AE1041" s="51">
        <f t="shared" si="431"/>
        <v>1</v>
      </c>
      <c r="AF1041" s="92" t="s">
        <v>312</v>
      </c>
      <c r="AG1041" s="92" t="s">
        <v>312</v>
      </c>
      <c r="AH1041" s="51">
        <f t="shared" si="433"/>
        <v>1</v>
      </c>
      <c r="AI1041" s="92">
        <f t="shared" si="432"/>
        <v>-0.10604790419161678</v>
      </c>
      <c r="AJ1041" s="47">
        <v>0</v>
      </c>
      <c r="AK1041" s="47" t="s">
        <v>312</v>
      </c>
      <c r="AL1041" s="47" t="s">
        <v>162</v>
      </c>
      <c r="AM1041" s="47" t="s">
        <v>590</v>
      </c>
      <c r="AN1041" s="47">
        <v>2.2000000000000002</v>
      </c>
      <c r="AO1041" s="47">
        <v>0</v>
      </c>
      <c r="AP1041" s="47">
        <f t="shared" si="420"/>
        <v>2.2000000000000002</v>
      </c>
      <c r="AQ1041" s="47">
        <v>1.67</v>
      </c>
      <c r="AR1041" s="47">
        <v>0</v>
      </c>
      <c r="AS1041" s="47">
        <v>16</v>
      </c>
      <c r="AT1041" s="47" t="s">
        <v>83</v>
      </c>
      <c r="AU1041" s="47" t="s">
        <v>109</v>
      </c>
      <c r="AV1041" s="47" t="s">
        <v>133</v>
      </c>
      <c r="AW1041" s="47" t="s">
        <v>85</v>
      </c>
      <c r="AX1041" s="47" t="s">
        <v>86</v>
      </c>
      <c r="AY1041" s="47">
        <v>0</v>
      </c>
      <c r="AZ1041" s="47">
        <v>0</v>
      </c>
      <c r="BA1041" s="47" t="s">
        <v>87</v>
      </c>
      <c r="BB1041" s="47" t="s">
        <v>134</v>
      </c>
      <c r="BC1041" s="47" t="s">
        <v>89</v>
      </c>
      <c r="BD1041" s="47" t="s">
        <v>433</v>
      </c>
      <c r="BE1041" s="47" t="s">
        <v>2021</v>
      </c>
      <c r="BF1041" s="47">
        <v>81.48</v>
      </c>
      <c r="BG1041" s="47">
        <v>0</v>
      </c>
      <c r="BH1041" s="47">
        <v>30.84</v>
      </c>
      <c r="BI1041" s="47">
        <v>30.05</v>
      </c>
      <c r="BJ1041" s="47">
        <v>200</v>
      </c>
      <c r="BK1041" s="47" t="s">
        <v>91</v>
      </c>
      <c r="BL1041" s="47" t="s">
        <v>2020</v>
      </c>
      <c r="BM1041" s="47">
        <v>1</v>
      </c>
      <c r="BN1041" s="47" t="s">
        <v>2177</v>
      </c>
      <c r="BO1041" s="47" t="s">
        <v>2022</v>
      </c>
      <c r="BP1041" s="47" t="s">
        <v>2023</v>
      </c>
      <c r="BQ1041" s="47" t="s">
        <v>92</v>
      </c>
      <c r="BR1041" s="47" t="s">
        <v>312</v>
      </c>
      <c r="BS1041" s="47" t="s">
        <v>312</v>
      </c>
      <c r="BT1041" s="47" t="s">
        <v>312</v>
      </c>
      <c r="BU1041" s="47">
        <v>1987</v>
      </c>
      <c r="BV1041" s="47">
        <v>1989</v>
      </c>
      <c r="BW1041" s="47" t="s">
        <v>94</v>
      </c>
      <c r="BX1041" s="47" t="s">
        <v>95</v>
      </c>
      <c r="BY1041" s="47" t="s">
        <v>96</v>
      </c>
      <c r="BZ1041" s="47">
        <v>0</v>
      </c>
      <c r="CA1041" s="47">
        <v>0</v>
      </c>
      <c r="CB1041" s="47" t="s">
        <v>97</v>
      </c>
      <c r="CC1041" s="47" t="s">
        <v>2024</v>
      </c>
      <c r="CD1041" s="47">
        <v>1</v>
      </c>
      <c r="CE1041" s="47" t="s">
        <v>2076</v>
      </c>
      <c r="CF1041" s="47">
        <v>1</v>
      </c>
      <c r="CG1041" s="47" t="s">
        <v>2028</v>
      </c>
      <c r="CH1041" s="47">
        <v>0</v>
      </c>
      <c r="CI1041" s="47" t="s">
        <v>97</v>
      </c>
      <c r="CJ1041" s="47" t="s">
        <v>98</v>
      </c>
      <c r="CK1041" s="47">
        <v>35</v>
      </c>
      <c r="CL1041" s="47">
        <v>0</v>
      </c>
      <c r="CM1041" s="47">
        <v>0</v>
      </c>
      <c r="CN1041" s="47" t="s">
        <v>99</v>
      </c>
      <c r="CO1041" s="47" t="s">
        <v>1318</v>
      </c>
      <c r="CP1041" s="47" t="s">
        <v>100</v>
      </c>
      <c r="CQ1041" s="47" t="s">
        <v>126</v>
      </c>
      <c r="CR1041" s="48">
        <v>46254</v>
      </c>
      <c r="CT1041" s="47" t="s">
        <v>457</v>
      </c>
    </row>
    <row r="1042" spans="1:98" s="47" customFormat="1" x14ac:dyDescent="0.35">
      <c r="A1042" s="46" t="s">
        <v>2017</v>
      </c>
      <c r="B1042" s="46" t="s">
        <v>2049</v>
      </c>
      <c r="C1042" s="47" t="s">
        <v>2018</v>
      </c>
      <c r="D1042" s="47">
        <v>2024</v>
      </c>
      <c r="E1042" s="66" t="s">
        <v>2019</v>
      </c>
      <c r="F1042" s="46" t="s">
        <v>899</v>
      </c>
      <c r="G1042" s="47" t="s">
        <v>78</v>
      </c>
      <c r="H1042" s="47">
        <v>1</v>
      </c>
      <c r="I1042" s="47" t="s">
        <v>390</v>
      </c>
      <c r="J1042" s="47" t="s">
        <v>79</v>
      </c>
      <c r="K1042" s="47">
        <v>1</v>
      </c>
      <c r="L1042" s="47" t="s">
        <v>104</v>
      </c>
      <c r="M1042" s="47" t="s">
        <v>557</v>
      </c>
      <c r="N1042" s="47">
        <v>-3.0700000000000002E-2</v>
      </c>
      <c r="O1042" s="47" t="s">
        <v>312</v>
      </c>
      <c r="P1042" s="92" t="s">
        <v>312</v>
      </c>
      <c r="Q1042" s="47" t="s">
        <v>312</v>
      </c>
      <c r="R1042" s="92" t="s">
        <v>312</v>
      </c>
      <c r="S1042" s="92" t="s">
        <v>312</v>
      </c>
      <c r="T1042" s="47">
        <v>1</v>
      </c>
      <c r="U1042" s="47">
        <v>26142</v>
      </c>
      <c r="V1042" s="47" t="s">
        <v>312</v>
      </c>
      <c r="W1042" s="47" t="s">
        <v>312</v>
      </c>
      <c r="X1042" s="47">
        <f t="shared" si="423"/>
        <v>26142</v>
      </c>
      <c r="Y1042" s="92" t="s">
        <v>312</v>
      </c>
      <c r="Z1042" s="92" t="s">
        <v>312</v>
      </c>
      <c r="AA1042" s="92" t="str">
        <f t="shared" si="430"/>
        <v>NA</v>
      </c>
      <c r="AB1042" s="47" t="s">
        <v>81</v>
      </c>
      <c r="AC1042" s="92">
        <f t="shared" si="424"/>
        <v>-3.154677230046949E-2</v>
      </c>
      <c r="AD1042" s="92" cm="1">
        <f t="array" ref="AD1042">_xlfn.IFS(
AND(L1042="marginal_effect",M1042="level"),N1042*AN1042/BF1042,
AND(L1042="marginal_effect",M1042="sd (Y)"),N1042*BI1042*AN1042/BF1042,
AND(L1042="marginal_effect",M1042="sd (X)"),N1042/AQ1042*AN1042/BF1042,
AND(L1042="semi_elasticity",M1042="level"),N1042*AN1042,
AND(L1042="semi_elasticity",M1042="sd (Y)"),N1042*AN1042*BI1042,
AND(L1042="semi_elasticity",M1042="sd (X)"),N1042*AN1042/AQ1042,
AND(L1042="level-log",M1042="level"),N1042/BF1042,
AND(L1042="level-log",M1042="sd (X)"),N1042/BF1042/AQ1042,
AND(L1042="level-log",M1042="sd (Y)"),N1042/BF1042*BI1042,
AND(L1042="elasticity",M1042="level"),N1042,
AND(L1042="elasticity",M1042="sd (X)"),N1042/AQ1042,
AND(L1042="elasticity",M1042="sd (Y)"),N1042*BI1042,
AND(L1042="marginal_effect",M1042="percent_of_mean"),N1042*AN1042/BF1042/10)</f>
        <v>-3.154677230046949E-2</v>
      </c>
      <c r="AE1042" s="51">
        <f t="shared" si="431"/>
        <v>1</v>
      </c>
      <c r="AF1042" s="92" t="s">
        <v>312</v>
      </c>
      <c r="AG1042" s="92" t="s">
        <v>312</v>
      </c>
      <c r="AH1042" s="51">
        <f t="shared" si="433"/>
        <v>1</v>
      </c>
      <c r="AI1042" s="92">
        <f t="shared" si="432"/>
        <v>-3.154677230046949E-2</v>
      </c>
      <c r="AJ1042" s="47">
        <v>0</v>
      </c>
      <c r="AK1042" s="47" t="s">
        <v>312</v>
      </c>
      <c r="AL1042" s="47" t="s">
        <v>106</v>
      </c>
      <c r="AM1042" s="47" t="s">
        <v>1333</v>
      </c>
      <c r="AN1042" s="47">
        <v>17.510000000000002</v>
      </c>
      <c r="AO1042" s="47">
        <v>0</v>
      </c>
      <c r="AP1042" s="47">
        <f t="shared" si="420"/>
        <v>17.510000000000002</v>
      </c>
      <c r="AQ1042" s="47">
        <v>17.04</v>
      </c>
      <c r="AR1042" s="47">
        <v>0</v>
      </c>
      <c r="AS1042" s="47">
        <v>79</v>
      </c>
      <c r="AT1042" s="47" t="s">
        <v>83</v>
      </c>
      <c r="AU1042" s="47" t="s">
        <v>109</v>
      </c>
      <c r="AV1042" s="47" t="s">
        <v>133</v>
      </c>
      <c r="AW1042" s="47" t="s">
        <v>85</v>
      </c>
      <c r="AX1042" s="47" t="s">
        <v>86</v>
      </c>
      <c r="AY1042" s="47">
        <v>0</v>
      </c>
      <c r="AZ1042" s="47">
        <v>0</v>
      </c>
      <c r="BA1042" s="47" t="s">
        <v>87</v>
      </c>
      <c r="BB1042" s="47" t="s">
        <v>134</v>
      </c>
      <c r="BC1042" s="47" t="s">
        <v>89</v>
      </c>
      <c r="BD1042" s="47" t="s">
        <v>433</v>
      </c>
      <c r="BE1042" s="47" t="s">
        <v>2021</v>
      </c>
      <c r="BF1042" s="47">
        <v>81.48</v>
      </c>
      <c r="BG1042" s="47">
        <v>0</v>
      </c>
      <c r="BH1042" s="47">
        <v>30.84</v>
      </c>
      <c r="BI1042" s="47">
        <v>30.05</v>
      </c>
      <c r="BJ1042" s="47">
        <v>200</v>
      </c>
      <c r="BK1042" s="47" t="s">
        <v>91</v>
      </c>
      <c r="BL1042" s="47" t="s">
        <v>2020</v>
      </c>
      <c r="BM1042" s="47">
        <v>1</v>
      </c>
      <c r="BN1042" s="47" t="s">
        <v>2177</v>
      </c>
      <c r="BO1042" s="47" t="s">
        <v>2022</v>
      </c>
      <c r="BP1042" s="47" t="s">
        <v>2023</v>
      </c>
      <c r="BQ1042" s="47" t="s">
        <v>92</v>
      </c>
      <c r="BR1042" s="47" t="s">
        <v>312</v>
      </c>
      <c r="BS1042" s="47" t="s">
        <v>312</v>
      </c>
      <c r="BT1042" s="47" t="s">
        <v>312</v>
      </c>
      <c r="BU1042" s="47">
        <v>1987</v>
      </c>
      <c r="BV1042" s="47">
        <v>1989</v>
      </c>
      <c r="BW1042" s="47" t="s">
        <v>94</v>
      </c>
      <c r="BX1042" s="47" t="s">
        <v>95</v>
      </c>
      <c r="BY1042" s="47" t="s">
        <v>96</v>
      </c>
      <c r="BZ1042" s="47">
        <v>0</v>
      </c>
      <c r="CA1042" s="47">
        <v>0</v>
      </c>
      <c r="CB1042" s="47" t="s">
        <v>97</v>
      </c>
      <c r="CC1042" s="47" t="s">
        <v>2024</v>
      </c>
      <c r="CD1042" s="47">
        <v>1</v>
      </c>
      <c r="CE1042" s="47" t="s">
        <v>2076</v>
      </c>
      <c r="CF1042" s="47">
        <v>1</v>
      </c>
      <c r="CG1042" s="47" t="s">
        <v>2029</v>
      </c>
      <c r="CH1042" s="47">
        <v>0</v>
      </c>
      <c r="CI1042" s="47" t="s">
        <v>97</v>
      </c>
      <c r="CJ1042" s="47" t="s">
        <v>98</v>
      </c>
      <c r="CK1042" s="47">
        <v>35</v>
      </c>
      <c r="CL1042" s="47">
        <v>0</v>
      </c>
      <c r="CM1042" s="47">
        <v>0</v>
      </c>
      <c r="CN1042" s="47" t="s">
        <v>99</v>
      </c>
      <c r="CO1042" s="47" t="s">
        <v>1318</v>
      </c>
      <c r="CP1042" s="47" t="s">
        <v>100</v>
      </c>
      <c r="CQ1042" s="47" t="s">
        <v>126</v>
      </c>
      <c r="CR1042" s="48">
        <v>46254</v>
      </c>
      <c r="CT1042" s="47" t="s">
        <v>457</v>
      </c>
    </row>
    <row r="1043" spans="1:98" s="47" customFormat="1" x14ac:dyDescent="0.35">
      <c r="A1043" s="46" t="s">
        <v>2017</v>
      </c>
      <c r="B1043" s="46" t="s">
        <v>2055</v>
      </c>
      <c r="C1043" s="47" t="s">
        <v>2018</v>
      </c>
      <c r="D1043" s="47">
        <v>2024</v>
      </c>
      <c r="E1043" s="66" t="s">
        <v>2019</v>
      </c>
      <c r="F1043" s="46" t="s">
        <v>899</v>
      </c>
      <c r="G1043" s="47" t="s">
        <v>78</v>
      </c>
      <c r="H1043" s="47">
        <v>1</v>
      </c>
      <c r="I1043" s="47" t="s">
        <v>390</v>
      </c>
      <c r="J1043" s="47" t="s">
        <v>79</v>
      </c>
      <c r="K1043" s="47">
        <v>1</v>
      </c>
      <c r="L1043" s="47" t="s">
        <v>104</v>
      </c>
      <c r="M1043" s="47" t="s">
        <v>557</v>
      </c>
      <c r="N1043" s="47">
        <v>-8.6E-3</v>
      </c>
      <c r="O1043" s="47">
        <v>1.2999999999999999E-3</v>
      </c>
      <c r="P1043" s="92">
        <f>N1043/O1043</f>
        <v>-6.6153846153846159</v>
      </c>
      <c r="Q1043" s="47" t="s">
        <v>312</v>
      </c>
      <c r="R1043" s="92">
        <f>N1043-1.96*O1043</f>
        <v>-1.1148E-2</v>
      </c>
      <c r="S1043" s="92">
        <f>N1043+1.96*O1043</f>
        <v>-6.0520000000000001E-3</v>
      </c>
      <c r="T1043" s="47">
        <v>1</v>
      </c>
      <c r="U1043" s="47">
        <v>26142</v>
      </c>
      <c r="V1043" s="47" t="s">
        <v>312</v>
      </c>
      <c r="W1043" s="47" t="s">
        <v>312</v>
      </c>
      <c r="X1043" s="47">
        <f t="shared" si="423"/>
        <v>26142</v>
      </c>
      <c r="Y1043" s="92">
        <f>P1043/(P1043^2 + X1043)^(1/2)</f>
        <v>-4.0881091238139752E-2</v>
      </c>
      <c r="Z1043" s="92">
        <f>((1-Y1043^2)/X1043)^(1/2)</f>
        <v>6.17969983832345E-3</v>
      </c>
      <c r="AA1043" s="92">
        <f t="shared" si="430"/>
        <v>-4.0881091238139752E-2</v>
      </c>
      <c r="AB1043" s="47" t="s">
        <v>81</v>
      </c>
      <c r="AC1043" s="92">
        <f t="shared" si="424"/>
        <v>-8.6876805437553113E-3</v>
      </c>
      <c r="AD1043" s="92" cm="1">
        <f t="array" ref="AD1043">_xlfn.IFS(
AND(L1043="marginal_effect",M1043="level"),N1043*AN1043/BF1043,
AND(L1043="marginal_effect",M1043="sd (Y)"),N1043*BI1043*AN1043/BF1043,
AND(L1043="marginal_effect",M1043="sd (X)"),N1043/AQ1043*AN1043/BF1043,
AND(L1043="semi_elasticity",M1043="level"),N1043*AN1043,
AND(L1043="semi_elasticity",M1043="sd (Y)"),N1043*AN1043*BI1043,
AND(L1043="semi_elasticity",M1043="sd (X)"),N1043*AN1043/AQ1043,
AND(L1043="level-log",M1043="level"),N1043/BF1043,
AND(L1043="level-log",M1043="sd (X)"),N1043/BF1043/AQ1043,
AND(L1043="level-log",M1043="sd (Y)"),N1043/BF1043*BI1043,
AND(L1043="elasticity",M1043="level"),N1043,
AND(L1043="elasticity",M1043="sd (X)"),N1043/AQ1043,
AND(L1043="elasticity",M1043="sd (Y)"),N1043*BI1043,
AND(L1043="marginal_effect",M1043="percent_of_mean"),N1043*AN1043/BF1043/10)</f>
        <v>-8.6876805437553113E-3</v>
      </c>
      <c r="AE1043" s="51">
        <f t="shared" si="431"/>
        <v>1</v>
      </c>
      <c r="AF1043" s="92">
        <f>O1043*AN1043/AQ1043</f>
        <v>1.3132540356839424E-3</v>
      </c>
      <c r="AG1043" s="92" cm="1">
        <f t="array" ref="AG1043">_xlfn.IFS(
AND(L1043="marginal_effect",M1043="level"),O1043*AN1043/BF1043,
AND(L1043="marginal_effect",M1043="sd (Y)"),O1043*BI1043*AN1043/BF1043,
AND(L1043="marginal_effect",M1043="sd (X)"),O1043/AQ1043*AN1043/BF1043,
AND(L1043="semi_elasticity",M1043="level"),O1043*AN1043,
AND(L1043="semi_elasticity",M1043="sd (Y)"),O1043*AN1043*BI1043,
AND(L1043="semi_elasticity",M1043="sd (X)"),O1043*AN1043/AQ1043,
AND(L1043="level-log",M1043="level"),O1043/BF1043,
AND(L1043="level-log",M1043="sd (X)"),O1043/BF1043/AQ1043,
AND(L1043="level-log",M1043="sd (Y)"),O1043/BF1043*BI1043,
AND(L1043="elasticity",M1043="level"),O1043,
AND(L1043="elasticity",M1043="sd (X)"),O1043/AQ1043,
AND(L1043="elasticity",M1043="sd (Y)"),O1043*BI1043,
AND(L1043="marginal_effect",M1043="percent_of_mean"),O1043*AN1043/BF1043/10)</f>
        <v>1.3132540356839424E-3</v>
      </c>
      <c r="AH1043" s="51">
        <f t="shared" si="433"/>
        <v>1</v>
      </c>
      <c r="AI1043" s="92">
        <f t="shared" si="432"/>
        <v>-8.6876805437553113E-3</v>
      </c>
      <c r="AJ1043" s="47">
        <v>0</v>
      </c>
      <c r="AK1043" s="47">
        <f>IF(P1043=(AC1043/AF1043),1,0)</f>
        <v>1</v>
      </c>
      <c r="AL1043" s="47" t="s">
        <v>159</v>
      </c>
      <c r="AM1043" s="47" t="s">
        <v>410</v>
      </c>
      <c r="AN1043" s="47">
        <v>11.89</v>
      </c>
      <c r="AO1043" s="47">
        <v>0</v>
      </c>
      <c r="AP1043" s="47">
        <f t="shared" si="420"/>
        <v>11.89</v>
      </c>
      <c r="AQ1043" s="47">
        <v>11.77</v>
      </c>
      <c r="AR1043" s="47">
        <v>0</v>
      </c>
      <c r="AS1043" s="47">
        <v>198</v>
      </c>
      <c r="AT1043" s="47" t="s">
        <v>83</v>
      </c>
      <c r="AU1043" s="47" t="s">
        <v>109</v>
      </c>
      <c r="AV1043" s="47" t="s">
        <v>133</v>
      </c>
      <c r="AW1043" s="47" t="s">
        <v>85</v>
      </c>
      <c r="AX1043" s="47" t="s">
        <v>86</v>
      </c>
      <c r="AY1043" s="47">
        <v>0</v>
      </c>
      <c r="AZ1043" s="47">
        <v>0</v>
      </c>
      <c r="BA1043" s="47" t="s">
        <v>87</v>
      </c>
      <c r="BB1043" s="47" t="s">
        <v>134</v>
      </c>
      <c r="BC1043" s="47" t="s">
        <v>89</v>
      </c>
      <c r="BD1043" s="47" t="s">
        <v>433</v>
      </c>
      <c r="BE1043" s="47" t="s">
        <v>2021</v>
      </c>
      <c r="BF1043" s="47">
        <v>81.48</v>
      </c>
      <c r="BG1043" s="47">
        <v>0</v>
      </c>
      <c r="BH1043" s="47">
        <v>30.84</v>
      </c>
      <c r="BI1043" s="47">
        <v>30.05</v>
      </c>
      <c r="BJ1043" s="47">
        <v>200</v>
      </c>
      <c r="BK1043" s="47" t="s">
        <v>91</v>
      </c>
      <c r="BL1043" s="47" t="s">
        <v>2020</v>
      </c>
      <c r="BM1043" s="47">
        <v>1</v>
      </c>
      <c r="BN1043" s="47" t="s">
        <v>2177</v>
      </c>
      <c r="BO1043" s="47" t="s">
        <v>2022</v>
      </c>
      <c r="BP1043" s="47" t="s">
        <v>2023</v>
      </c>
      <c r="BQ1043" s="47" t="s">
        <v>92</v>
      </c>
      <c r="BR1043" s="47" t="s">
        <v>312</v>
      </c>
      <c r="BS1043" s="47" t="s">
        <v>312</v>
      </c>
      <c r="BT1043" s="47" t="s">
        <v>312</v>
      </c>
      <c r="BU1043" s="47">
        <v>1987</v>
      </c>
      <c r="BV1043" s="47">
        <v>1989</v>
      </c>
      <c r="BW1043" s="47" t="s">
        <v>94</v>
      </c>
      <c r="BX1043" s="47" t="s">
        <v>95</v>
      </c>
      <c r="BY1043" s="47" t="s">
        <v>96</v>
      </c>
      <c r="BZ1043" s="47">
        <v>0</v>
      </c>
      <c r="CA1043" s="47">
        <v>0</v>
      </c>
      <c r="CB1043" s="47" t="s">
        <v>97</v>
      </c>
      <c r="CC1043" s="47" t="s">
        <v>2024</v>
      </c>
      <c r="CD1043" s="47">
        <v>1</v>
      </c>
      <c r="CE1043" s="47" t="s">
        <v>2076</v>
      </c>
      <c r="CF1043" s="47">
        <v>1</v>
      </c>
      <c r="CG1043" s="47" t="s">
        <v>2025</v>
      </c>
      <c r="CH1043" s="47">
        <v>0</v>
      </c>
      <c r="CI1043" s="47" t="s">
        <v>97</v>
      </c>
      <c r="CJ1043" s="47" t="s">
        <v>98</v>
      </c>
      <c r="CK1043" s="47">
        <v>35</v>
      </c>
      <c r="CL1043" s="47">
        <v>0</v>
      </c>
      <c r="CM1043" s="47">
        <v>0</v>
      </c>
      <c r="CN1043" s="47" t="s">
        <v>99</v>
      </c>
      <c r="CO1043" s="47" t="s">
        <v>1318</v>
      </c>
      <c r="CP1043" s="47" t="s">
        <v>100</v>
      </c>
      <c r="CQ1043" s="47" t="s">
        <v>126</v>
      </c>
      <c r="CR1043" s="48">
        <v>46254</v>
      </c>
      <c r="CT1043" s="47" t="s">
        <v>661</v>
      </c>
    </row>
    <row r="1044" spans="1:98" s="47" customFormat="1" x14ac:dyDescent="0.35">
      <c r="A1044" s="46" t="s">
        <v>2017</v>
      </c>
      <c r="B1044" s="46" t="s">
        <v>2056</v>
      </c>
      <c r="C1044" s="47" t="s">
        <v>2018</v>
      </c>
      <c r="D1044" s="47">
        <v>2024</v>
      </c>
      <c r="E1044" s="66" t="s">
        <v>2019</v>
      </c>
      <c r="F1044" s="46" t="s">
        <v>899</v>
      </c>
      <c r="G1044" s="47" t="s">
        <v>78</v>
      </c>
      <c r="H1044" s="47">
        <v>1</v>
      </c>
      <c r="I1044" s="47" t="s">
        <v>390</v>
      </c>
      <c r="J1044" s="47" t="s">
        <v>79</v>
      </c>
      <c r="K1044" s="47">
        <v>1</v>
      </c>
      <c r="L1044" s="47" t="s">
        <v>104</v>
      </c>
      <c r="M1044" s="47" t="s">
        <v>557</v>
      </c>
      <c r="N1044" s="47">
        <v>-2.8299999999999999E-2</v>
      </c>
      <c r="O1044" s="47">
        <v>1.9E-3</v>
      </c>
      <c r="P1044" s="92">
        <f>N1044/O1044</f>
        <v>-14.894736842105262</v>
      </c>
      <c r="Q1044" s="47" t="s">
        <v>312</v>
      </c>
      <c r="R1044" s="92">
        <f>N1044-1.96*O1044</f>
        <v>-3.2023999999999997E-2</v>
      </c>
      <c r="S1044" s="92">
        <f>N1044+1.96*O1044</f>
        <v>-2.4576000000000001E-2</v>
      </c>
      <c r="T1044" s="47">
        <v>1</v>
      </c>
      <c r="U1044" s="47">
        <v>26142</v>
      </c>
      <c r="V1044" s="47" t="s">
        <v>312</v>
      </c>
      <c r="W1044" s="47" t="s">
        <v>312</v>
      </c>
      <c r="X1044" s="47">
        <f t="shared" si="423"/>
        <v>26142</v>
      </c>
      <c r="Y1044" s="92">
        <f>P1044/(P1044^2 + X1044)^(1/2)</f>
        <v>-9.1733590495436085E-2</v>
      </c>
      <c r="Z1044" s="92">
        <f>((1-Y1044^2)/X1044)^(1/2)</f>
        <v>6.1587922947465915E-3</v>
      </c>
      <c r="AA1044" s="92">
        <f t="shared" si="430"/>
        <v>-9.1733590495436085E-2</v>
      </c>
      <c r="AB1044" s="47" t="s">
        <v>81</v>
      </c>
      <c r="AC1044" s="92">
        <f t="shared" si="424"/>
        <v>-4.46874368231047E-2</v>
      </c>
      <c r="AD1044" s="92" cm="1">
        <f t="array" ref="AD1044">_xlfn.IFS(
AND(L1044="marginal_effect",M1044="level"),N1044*AN1044/BF1044,
AND(L1044="marginal_effect",M1044="sd (Y)"),N1044*BI1044*AN1044/BF1044,
AND(L1044="marginal_effect",M1044="sd (X)"),N1044/AQ1044*AN1044/BF1044,
AND(L1044="semi_elasticity",M1044="level"),N1044*AN1044,
AND(L1044="semi_elasticity",M1044="sd (Y)"),N1044*AN1044*BI1044,
AND(L1044="semi_elasticity",M1044="sd (X)"),N1044*AN1044/AQ1044,
AND(L1044="level-log",M1044="level"),N1044/BF1044,
AND(L1044="level-log",M1044="sd (X)"),N1044/BF1044/AQ1044,
AND(L1044="level-log",M1044="sd (Y)"),N1044/BF1044*BI1044,
AND(L1044="elasticity",M1044="level"),N1044,
AND(L1044="elasticity",M1044="sd (X)"),N1044/AQ1044,
AND(L1044="elasticity",M1044="sd (Y)"),N1044*BI1044,
AND(L1044="marginal_effect",M1044="percent_of_mean"),N1044*AN1044/BF1044/10)</f>
        <v>-4.46874368231047E-2</v>
      </c>
      <c r="AE1044" s="51">
        <f t="shared" si="431"/>
        <v>1</v>
      </c>
      <c r="AF1044" s="92">
        <f>O1044*AN1044/AQ1044</f>
        <v>3.000216606498195E-3</v>
      </c>
      <c r="AG1044" s="92" cm="1">
        <f t="array" ref="AG1044">_xlfn.IFS(
AND(L1044="marginal_effect",M1044="level"),O1044*AN1044/BF1044,
AND(L1044="marginal_effect",M1044="sd (Y)"),O1044*BI1044*AN1044/BF1044,
AND(L1044="marginal_effect",M1044="sd (X)"),O1044/AQ1044*AN1044/BF1044,
AND(L1044="semi_elasticity",M1044="level"),O1044*AN1044,
AND(L1044="semi_elasticity",M1044="sd (Y)"),O1044*AN1044*BI1044,
AND(L1044="semi_elasticity",M1044="sd (X)"),O1044*AN1044/AQ1044,
AND(L1044="level-log",M1044="level"),O1044/BF1044,
AND(L1044="level-log",M1044="sd (X)"),O1044/BF1044/AQ1044,
AND(L1044="level-log",M1044="sd (Y)"),O1044/BF1044*BI1044,
AND(L1044="elasticity",M1044="level"),O1044,
AND(L1044="elasticity",M1044="sd (X)"),O1044/AQ1044,
AND(L1044="elasticity",M1044="sd (Y)"),O1044*BI1044,
AND(L1044="marginal_effect",M1044="percent_of_mean"),O1044*AN1044/BF1044/10)</f>
        <v>3.000216606498195E-3</v>
      </c>
      <c r="AH1044" s="51">
        <f t="shared" si="433"/>
        <v>1</v>
      </c>
      <c r="AI1044" s="92">
        <f t="shared" si="432"/>
        <v>-4.46874368231047E-2</v>
      </c>
      <c r="AJ1044" s="47">
        <v>0</v>
      </c>
      <c r="AK1044" s="47">
        <f>IF(P1044=(AC1044/AF1044),1,0)</f>
        <v>1</v>
      </c>
      <c r="AL1044" s="47" t="s">
        <v>131</v>
      </c>
      <c r="AM1044" s="47" t="s">
        <v>410</v>
      </c>
      <c r="AN1044" s="47">
        <v>21.87</v>
      </c>
      <c r="AO1044" s="47">
        <v>0</v>
      </c>
      <c r="AP1044" s="47">
        <f t="shared" si="420"/>
        <v>21.87</v>
      </c>
      <c r="AQ1044" s="47">
        <v>13.85</v>
      </c>
      <c r="AR1044" s="47">
        <v>0</v>
      </c>
      <c r="AS1044" s="47">
        <v>95</v>
      </c>
      <c r="AT1044" s="47" t="s">
        <v>83</v>
      </c>
      <c r="AU1044" s="47" t="s">
        <v>109</v>
      </c>
      <c r="AV1044" s="47" t="s">
        <v>133</v>
      </c>
      <c r="AW1044" s="47" t="s">
        <v>85</v>
      </c>
      <c r="AX1044" s="47" t="s">
        <v>86</v>
      </c>
      <c r="AY1044" s="47">
        <v>0</v>
      </c>
      <c r="AZ1044" s="47">
        <v>0</v>
      </c>
      <c r="BA1044" s="47" t="s">
        <v>87</v>
      </c>
      <c r="BB1044" s="47" t="s">
        <v>134</v>
      </c>
      <c r="BC1044" s="47" t="s">
        <v>89</v>
      </c>
      <c r="BD1044" s="47" t="s">
        <v>433</v>
      </c>
      <c r="BE1044" s="47" t="s">
        <v>2021</v>
      </c>
      <c r="BF1044" s="47">
        <v>81.48</v>
      </c>
      <c r="BG1044" s="47">
        <v>0</v>
      </c>
      <c r="BH1044" s="47">
        <v>30.84</v>
      </c>
      <c r="BI1044" s="47">
        <v>30.05</v>
      </c>
      <c r="BJ1044" s="47">
        <v>200</v>
      </c>
      <c r="BK1044" s="47" t="s">
        <v>91</v>
      </c>
      <c r="BL1044" s="47" t="s">
        <v>2020</v>
      </c>
      <c r="BM1044" s="47">
        <v>1</v>
      </c>
      <c r="BN1044" s="47" t="s">
        <v>2177</v>
      </c>
      <c r="BO1044" s="47" t="s">
        <v>2022</v>
      </c>
      <c r="BP1044" s="47" t="s">
        <v>2023</v>
      </c>
      <c r="BQ1044" s="47" t="s">
        <v>92</v>
      </c>
      <c r="BR1044" s="47" t="s">
        <v>312</v>
      </c>
      <c r="BS1044" s="47" t="s">
        <v>312</v>
      </c>
      <c r="BT1044" s="47" t="s">
        <v>312</v>
      </c>
      <c r="BU1044" s="47">
        <v>1987</v>
      </c>
      <c r="BV1044" s="47">
        <v>1989</v>
      </c>
      <c r="BW1044" s="47" t="s">
        <v>94</v>
      </c>
      <c r="BX1044" s="47" t="s">
        <v>95</v>
      </c>
      <c r="BY1044" s="47" t="s">
        <v>96</v>
      </c>
      <c r="BZ1044" s="47">
        <v>0</v>
      </c>
      <c r="CA1044" s="47">
        <v>0</v>
      </c>
      <c r="CB1044" s="47" t="s">
        <v>97</v>
      </c>
      <c r="CC1044" s="47" t="s">
        <v>2024</v>
      </c>
      <c r="CD1044" s="47">
        <v>1</v>
      </c>
      <c r="CE1044" s="47" t="s">
        <v>2076</v>
      </c>
      <c r="CF1044" s="47">
        <v>1</v>
      </c>
      <c r="CG1044" s="47" t="s">
        <v>2026</v>
      </c>
      <c r="CH1044" s="47">
        <v>0</v>
      </c>
      <c r="CI1044" s="47" t="s">
        <v>97</v>
      </c>
      <c r="CJ1044" s="47" t="s">
        <v>98</v>
      </c>
      <c r="CK1044" s="47">
        <v>35</v>
      </c>
      <c r="CL1044" s="47">
        <v>0</v>
      </c>
      <c r="CM1044" s="47">
        <v>0</v>
      </c>
      <c r="CN1044" s="47" t="s">
        <v>99</v>
      </c>
      <c r="CO1044" s="47" t="s">
        <v>1318</v>
      </c>
      <c r="CP1044" s="47" t="s">
        <v>100</v>
      </c>
      <c r="CQ1044" s="47" t="s">
        <v>126</v>
      </c>
      <c r="CR1044" s="48">
        <v>46254</v>
      </c>
      <c r="CT1044" s="47" t="s">
        <v>661</v>
      </c>
    </row>
    <row r="1045" spans="1:98" s="47" customFormat="1" x14ac:dyDescent="0.35">
      <c r="A1045" s="46" t="s">
        <v>2017</v>
      </c>
      <c r="B1045" s="46" t="s">
        <v>2057</v>
      </c>
      <c r="C1045" s="47" t="s">
        <v>2018</v>
      </c>
      <c r="D1045" s="47">
        <v>2024</v>
      </c>
      <c r="E1045" s="66" t="s">
        <v>2019</v>
      </c>
      <c r="F1045" s="46" t="s">
        <v>899</v>
      </c>
      <c r="G1045" s="47" t="s">
        <v>78</v>
      </c>
      <c r="H1045" s="47">
        <v>1</v>
      </c>
      <c r="I1045" s="47" t="s">
        <v>390</v>
      </c>
      <c r="J1045" s="47" t="s">
        <v>79</v>
      </c>
      <c r="K1045" s="47">
        <v>1</v>
      </c>
      <c r="L1045" s="47" t="s">
        <v>104</v>
      </c>
      <c r="M1045" s="47" t="s">
        <v>557</v>
      </c>
      <c r="N1045" s="47">
        <v>-8.2699999999999996E-2</v>
      </c>
      <c r="O1045" s="47">
        <v>2.5000000000000001E-3</v>
      </c>
      <c r="P1045" s="92">
        <f>N1045/O1045</f>
        <v>-33.08</v>
      </c>
      <c r="Q1045" s="47" t="s">
        <v>312</v>
      </c>
      <c r="R1045" s="92">
        <f>N1045-1.96*O1045</f>
        <v>-8.7599999999999997E-2</v>
      </c>
      <c r="S1045" s="92">
        <f>N1045+1.96*O1045</f>
        <v>-7.7799999999999994E-2</v>
      </c>
      <c r="T1045" s="47">
        <v>1</v>
      </c>
      <c r="U1045" s="47">
        <v>26142</v>
      </c>
      <c r="V1045" s="47" t="s">
        <v>312</v>
      </c>
      <c r="W1045" s="47" t="s">
        <v>312</v>
      </c>
      <c r="X1045" s="47">
        <f t="shared" si="423"/>
        <v>26142</v>
      </c>
      <c r="Y1045" s="92">
        <f>P1045/(P1045^2 + X1045)^(1/2)</f>
        <v>-0.20044330488702042</v>
      </c>
      <c r="Z1045" s="92">
        <f>((1-Y1045^2)/X1045)^(1/2)</f>
        <v>6.0593502081928785E-3</v>
      </c>
      <c r="AA1045" s="92">
        <f t="shared" si="430"/>
        <v>-0.20044330488702042</v>
      </c>
      <c r="AB1045" s="47" t="s">
        <v>81</v>
      </c>
      <c r="AC1045" s="92">
        <f t="shared" si="424"/>
        <v>-7.1029440389294402E-2</v>
      </c>
      <c r="AD1045" s="92" cm="1">
        <f t="array" ref="AD1045">_xlfn.IFS(
AND(L1045="marginal_effect",M1045="level"),N1045*AN1045/BF1045,
AND(L1045="marginal_effect",M1045="sd (Y)"),N1045*BI1045*AN1045/BF1045,
AND(L1045="marginal_effect",M1045="sd (X)"),N1045/AQ1045*AN1045/BF1045,
AND(L1045="semi_elasticity",M1045="level"),N1045*AN1045,
AND(L1045="semi_elasticity",M1045="sd (Y)"),N1045*AN1045*BI1045,
AND(L1045="semi_elasticity",M1045="sd (X)"),N1045*AN1045/AQ1045,
AND(L1045="level-log",M1045="level"),N1045/BF1045,
AND(L1045="level-log",M1045="sd (X)"),N1045/BF1045/AQ1045,
AND(L1045="level-log",M1045="sd (Y)"),N1045/BF1045*BI1045,
AND(L1045="elasticity",M1045="level"),N1045,
AND(L1045="elasticity",M1045="sd (X)"),N1045/AQ1045,
AND(L1045="elasticity",M1045="sd (Y)"),N1045*BI1045,
AND(L1045="marginal_effect",M1045="percent_of_mean"),N1045*AN1045/BF1045/10)</f>
        <v>-7.1029440389294402E-2</v>
      </c>
      <c r="AE1045" s="51">
        <f t="shared" si="431"/>
        <v>1</v>
      </c>
      <c r="AF1045" s="92">
        <f>O1045*AN1045/AQ1045</f>
        <v>2.1472019464720193E-3</v>
      </c>
      <c r="AG1045" s="92" cm="1">
        <f t="array" ref="AG1045">_xlfn.IFS(
AND(L1045="marginal_effect",M1045="level"),O1045*AN1045/BF1045,
AND(L1045="marginal_effect",M1045="sd (Y)"),O1045*BI1045*AN1045/BF1045,
AND(L1045="marginal_effect",M1045="sd (X)"),O1045/AQ1045*AN1045/BF1045,
AND(L1045="semi_elasticity",M1045="level"),O1045*AN1045,
AND(L1045="semi_elasticity",M1045="sd (Y)"),O1045*AN1045*BI1045,
AND(L1045="semi_elasticity",M1045="sd (X)"),O1045*AN1045/AQ1045,
AND(L1045="level-log",M1045="level"),O1045/BF1045,
AND(L1045="level-log",M1045="sd (X)"),O1045/BF1045/AQ1045,
AND(L1045="level-log",M1045="sd (Y)"),O1045/BF1045*BI1045,
AND(L1045="elasticity",M1045="level"),O1045,
AND(L1045="elasticity",M1045="sd (X)"),O1045/AQ1045,
AND(L1045="elasticity",M1045="sd (Y)"),O1045*BI1045,
AND(L1045="marginal_effect",M1045="percent_of_mean"),O1045*AN1045/BF1045/10)</f>
        <v>2.1472019464720193E-3</v>
      </c>
      <c r="AH1045" s="51">
        <f t="shared" si="433"/>
        <v>1</v>
      </c>
      <c r="AI1045" s="92">
        <f t="shared" si="432"/>
        <v>-7.1029440389294402E-2</v>
      </c>
      <c r="AJ1045" s="47">
        <v>0</v>
      </c>
      <c r="AK1045" s="47">
        <f>IF(P1045=(AC1045/AF1045),1,0)</f>
        <v>1</v>
      </c>
      <c r="AL1045" s="47" t="s">
        <v>148</v>
      </c>
      <c r="AM1045" s="47" t="s">
        <v>590</v>
      </c>
      <c r="AN1045" s="47">
        <v>14.12</v>
      </c>
      <c r="AO1045" s="47">
        <v>0</v>
      </c>
      <c r="AP1045" s="47">
        <f t="shared" si="420"/>
        <v>14.12</v>
      </c>
      <c r="AQ1045" s="47">
        <v>16.440000000000001</v>
      </c>
      <c r="AR1045" s="47">
        <v>0</v>
      </c>
      <c r="AS1045" s="47">
        <v>166</v>
      </c>
      <c r="AT1045" s="47" t="s">
        <v>83</v>
      </c>
      <c r="AU1045" s="47" t="s">
        <v>109</v>
      </c>
      <c r="AV1045" s="47" t="s">
        <v>133</v>
      </c>
      <c r="AW1045" s="47" t="s">
        <v>85</v>
      </c>
      <c r="AX1045" s="47" t="s">
        <v>86</v>
      </c>
      <c r="AY1045" s="47">
        <v>0</v>
      </c>
      <c r="AZ1045" s="47">
        <v>0</v>
      </c>
      <c r="BA1045" s="47" t="s">
        <v>87</v>
      </c>
      <c r="BB1045" s="47" t="s">
        <v>134</v>
      </c>
      <c r="BC1045" s="47" t="s">
        <v>89</v>
      </c>
      <c r="BD1045" s="47" t="s">
        <v>433</v>
      </c>
      <c r="BE1045" s="47" t="s">
        <v>2021</v>
      </c>
      <c r="BF1045" s="47">
        <v>81.48</v>
      </c>
      <c r="BG1045" s="47">
        <v>0</v>
      </c>
      <c r="BH1045" s="47">
        <v>30.84</v>
      </c>
      <c r="BI1045" s="47">
        <v>30.05</v>
      </c>
      <c r="BJ1045" s="47">
        <v>200</v>
      </c>
      <c r="BK1045" s="47" t="s">
        <v>91</v>
      </c>
      <c r="BL1045" s="47" t="s">
        <v>2020</v>
      </c>
      <c r="BM1045" s="47">
        <v>1</v>
      </c>
      <c r="BN1045" s="47" t="s">
        <v>2177</v>
      </c>
      <c r="BO1045" s="47" t="s">
        <v>2022</v>
      </c>
      <c r="BP1045" s="47" t="s">
        <v>2023</v>
      </c>
      <c r="BQ1045" s="47" t="s">
        <v>92</v>
      </c>
      <c r="BR1045" s="47" t="s">
        <v>312</v>
      </c>
      <c r="BS1045" s="47" t="s">
        <v>312</v>
      </c>
      <c r="BT1045" s="47" t="s">
        <v>312</v>
      </c>
      <c r="BU1045" s="47">
        <v>1987</v>
      </c>
      <c r="BV1045" s="47">
        <v>1989</v>
      </c>
      <c r="BW1045" s="47" t="s">
        <v>94</v>
      </c>
      <c r="BX1045" s="47" t="s">
        <v>95</v>
      </c>
      <c r="BY1045" s="47" t="s">
        <v>96</v>
      </c>
      <c r="BZ1045" s="47">
        <v>0</v>
      </c>
      <c r="CA1045" s="47">
        <v>0</v>
      </c>
      <c r="CB1045" s="47" t="s">
        <v>97</v>
      </c>
      <c r="CC1045" s="47" t="s">
        <v>2024</v>
      </c>
      <c r="CD1045" s="47">
        <v>1</v>
      </c>
      <c r="CE1045" s="47" t="s">
        <v>2076</v>
      </c>
      <c r="CF1045" s="47">
        <v>1</v>
      </c>
      <c r="CG1045" s="47" t="s">
        <v>2027</v>
      </c>
      <c r="CH1045" s="47">
        <v>0</v>
      </c>
      <c r="CI1045" s="47" t="s">
        <v>97</v>
      </c>
      <c r="CJ1045" s="47" t="s">
        <v>98</v>
      </c>
      <c r="CK1045" s="47">
        <v>35</v>
      </c>
      <c r="CL1045" s="47">
        <v>0</v>
      </c>
      <c r="CM1045" s="47">
        <v>0</v>
      </c>
      <c r="CN1045" s="47" t="s">
        <v>99</v>
      </c>
      <c r="CO1045" s="47" t="s">
        <v>1318</v>
      </c>
      <c r="CP1045" s="47" t="s">
        <v>100</v>
      </c>
      <c r="CQ1045" s="47" t="s">
        <v>126</v>
      </c>
      <c r="CR1045" s="48">
        <v>46254</v>
      </c>
      <c r="CT1045" s="47" t="s">
        <v>661</v>
      </c>
    </row>
    <row r="1046" spans="1:98" s="47" customFormat="1" x14ac:dyDescent="0.35">
      <c r="A1046" s="46" t="s">
        <v>2017</v>
      </c>
      <c r="B1046" s="46" t="s">
        <v>2058</v>
      </c>
      <c r="C1046" s="47" t="s">
        <v>2018</v>
      </c>
      <c r="D1046" s="47">
        <v>2024</v>
      </c>
      <c r="E1046" s="66" t="s">
        <v>2019</v>
      </c>
      <c r="F1046" s="46" t="s">
        <v>899</v>
      </c>
      <c r="G1046" s="47" t="s">
        <v>78</v>
      </c>
      <c r="H1046" s="47">
        <v>1</v>
      </c>
      <c r="I1046" s="47" t="s">
        <v>390</v>
      </c>
      <c r="J1046" s="47" t="s">
        <v>79</v>
      </c>
      <c r="K1046" s="47">
        <v>1</v>
      </c>
      <c r="L1046" s="47" t="s">
        <v>104</v>
      </c>
      <c r="M1046" s="47" t="s">
        <v>557</v>
      </c>
      <c r="N1046" s="47">
        <v>-7.8100000000000003E-2</v>
      </c>
      <c r="O1046" s="47">
        <v>2.7000000000000001E-3</v>
      </c>
      <c r="P1046" s="92">
        <f>N1046/O1046</f>
        <v>-28.925925925925924</v>
      </c>
      <c r="Q1046" s="47" t="s">
        <v>312</v>
      </c>
      <c r="R1046" s="92">
        <f>N1046-1.96*O1046</f>
        <v>-8.3392000000000008E-2</v>
      </c>
      <c r="S1046" s="92">
        <f>N1046+1.96*O1046</f>
        <v>-7.2807999999999998E-2</v>
      </c>
      <c r="T1046" s="47">
        <v>1</v>
      </c>
      <c r="U1046" s="47">
        <v>26142</v>
      </c>
      <c r="V1046" s="47" t="s">
        <v>312</v>
      </c>
      <c r="W1046" s="47" t="s">
        <v>312</v>
      </c>
      <c r="X1046" s="47">
        <f t="shared" si="423"/>
        <v>26142</v>
      </c>
      <c r="Y1046" s="92">
        <f>P1046/(P1046^2 + X1046)^(1/2)</f>
        <v>-0.17610702734077494</v>
      </c>
      <c r="Z1046" s="92">
        <f>((1-Y1046^2)/X1046)^(1/2)</f>
        <v>6.0882070911663557E-3</v>
      </c>
      <c r="AA1046" s="92">
        <f t="shared" si="430"/>
        <v>-0.17610702734077494</v>
      </c>
      <c r="AB1046" s="47" t="s">
        <v>81</v>
      </c>
      <c r="AC1046" s="92">
        <f t="shared" si="424"/>
        <v>-0.1028862275449102</v>
      </c>
      <c r="AD1046" s="92" cm="1">
        <f t="array" ref="AD1046">_xlfn.IFS(
AND(L1046="marginal_effect",M1046="level"),N1046*AN1046/BF1046,
AND(L1046="marginal_effect",M1046="sd (Y)"),N1046*BI1046*AN1046/BF1046,
AND(L1046="marginal_effect",M1046="sd (X)"),N1046/AQ1046*AN1046/BF1046,
AND(L1046="semi_elasticity",M1046="level"),N1046*AN1046,
AND(L1046="semi_elasticity",M1046="sd (Y)"),N1046*AN1046*BI1046,
AND(L1046="semi_elasticity",M1046="sd (X)"),N1046*AN1046/AQ1046,
AND(L1046="level-log",M1046="level"),N1046/BF1046,
AND(L1046="level-log",M1046="sd (X)"),N1046/BF1046/AQ1046,
AND(L1046="level-log",M1046="sd (Y)"),N1046/BF1046*BI1046,
AND(L1046="elasticity",M1046="level"),N1046,
AND(L1046="elasticity",M1046="sd (X)"),N1046/AQ1046,
AND(L1046="elasticity",M1046="sd (Y)"),N1046*BI1046,
AND(L1046="marginal_effect",M1046="percent_of_mean"),N1046*AN1046/BF1046/10)</f>
        <v>-0.1028862275449102</v>
      </c>
      <c r="AE1046" s="51">
        <f t="shared" si="431"/>
        <v>1</v>
      </c>
      <c r="AF1046" s="92">
        <f>O1046*AN1046/AQ1046</f>
        <v>3.5568862275449109E-3</v>
      </c>
      <c r="AG1046" s="92" cm="1">
        <f t="array" ref="AG1046">_xlfn.IFS(
AND(L1046="marginal_effect",M1046="level"),O1046*AN1046/BF1046,
AND(L1046="marginal_effect",M1046="sd (Y)"),O1046*BI1046*AN1046/BF1046,
AND(L1046="marginal_effect",M1046="sd (X)"),O1046/AQ1046*AN1046/BF1046,
AND(L1046="semi_elasticity",M1046="level"),O1046*AN1046,
AND(L1046="semi_elasticity",M1046="sd (Y)"),O1046*AN1046*BI1046,
AND(L1046="semi_elasticity",M1046="sd (X)"),O1046*AN1046/AQ1046,
AND(L1046="level-log",M1046="level"),O1046/BF1046,
AND(L1046="level-log",M1046="sd (X)"),O1046/BF1046/AQ1046,
AND(L1046="level-log",M1046="sd (Y)"),O1046/BF1046*BI1046,
AND(L1046="elasticity",M1046="level"),O1046,
AND(L1046="elasticity",M1046="sd (X)"),O1046/AQ1046,
AND(L1046="elasticity",M1046="sd (Y)"),O1046*BI1046,
AND(L1046="marginal_effect",M1046="percent_of_mean"),O1046*AN1046/BF1046/10)</f>
        <v>3.5568862275449109E-3</v>
      </c>
      <c r="AH1046" s="51">
        <f t="shared" si="433"/>
        <v>1</v>
      </c>
      <c r="AI1046" s="92">
        <f t="shared" si="432"/>
        <v>-0.1028862275449102</v>
      </c>
      <c r="AJ1046" s="47">
        <v>0</v>
      </c>
      <c r="AK1046" s="47">
        <f>IF(P1046=(AC1046/AF1046),1,0)</f>
        <v>1</v>
      </c>
      <c r="AL1046" s="47" t="s">
        <v>162</v>
      </c>
      <c r="AM1046" s="47" t="s">
        <v>590</v>
      </c>
      <c r="AN1046" s="47">
        <v>2.2000000000000002</v>
      </c>
      <c r="AO1046" s="47">
        <v>0</v>
      </c>
      <c r="AP1046" s="47">
        <f t="shared" si="420"/>
        <v>2.2000000000000002</v>
      </c>
      <c r="AQ1046" s="47">
        <v>1.67</v>
      </c>
      <c r="AR1046" s="47">
        <v>0</v>
      </c>
      <c r="AS1046" s="47">
        <v>16</v>
      </c>
      <c r="AT1046" s="47" t="s">
        <v>83</v>
      </c>
      <c r="AU1046" s="47" t="s">
        <v>109</v>
      </c>
      <c r="AV1046" s="47" t="s">
        <v>133</v>
      </c>
      <c r="AW1046" s="47" t="s">
        <v>85</v>
      </c>
      <c r="AX1046" s="47" t="s">
        <v>86</v>
      </c>
      <c r="AY1046" s="47">
        <v>0</v>
      </c>
      <c r="AZ1046" s="47">
        <v>0</v>
      </c>
      <c r="BA1046" s="47" t="s">
        <v>87</v>
      </c>
      <c r="BB1046" s="47" t="s">
        <v>134</v>
      </c>
      <c r="BC1046" s="47" t="s">
        <v>89</v>
      </c>
      <c r="BD1046" s="47" t="s">
        <v>433</v>
      </c>
      <c r="BE1046" s="47" t="s">
        <v>2021</v>
      </c>
      <c r="BF1046" s="47">
        <v>81.48</v>
      </c>
      <c r="BG1046" s="47">
        <v>0</v>
      </c>
      <c r="BH1046" s="47">
        <v>30.84</v>
      </c>
      <c r="BI1046" s="47">
        <v>30.05</v>
      </c>
      <c r="BJ1046" s="47">
        <v>200</v>
      </c>
      <c r="BK1046" s="47" t="s">
        <v>91</v>
      </c>
      <c r="BL1046" s="47" t="s">
        <v>2020</v>
      </c>
      <c r="BM1046" s="47">
        <v>1</v>
      </c>
      <c r="BN1046" s="47" t="s">
        <v>2177</v>
      </c>
      <c r="BO1046" s="47" t="s">
        <v>2022</v>
      </c>
      <c r="BP1046" s="47" t="s">
        <v>2023</v>
      </c>
      <c r="BQ1046" s="47" t="s">
        <v>92</v>
      </c>
      <c r="BR1046" s="47" t="s">
        <v>312</v>
      </c>
      <c r="BS1046" s="47" t="s">
        <v>312</v>
      </c>
      <c r="BT1046" s="47" t="s">
        <v>312</v>
      </c>
      <c r="BU1046" s="47">
        <v>1987</v>
      </c>
      <c r="BV1046" s="47">
        <v>1989</v>
      </c>
      <c r="BW1046" s="47" t="s">
        <v>94</v>
      </c>
      <c r="BX1046" s="47" t="s">
        <v>95</v>
      </c>
      <c r="BY1046" s="47" t="s">
        <v>96</v>
      </c>
      <c r="BZ1046" s="47">
        <v>0</v>
      </c>
      <c r="CA1046" s="47">
        <v>0</v>
      </c>
      <c r="CB1046" s="47" t="s">
        <v>97</v>
      </c>
      <c r="CC1046" s="47" t="s">
        <v>2024</v>
      </c>
      <c r="CD1046" s="47">
        <v>1</v>
      </c>
      <c r="CE1046" s="47" t="s">
        <v>2076</v>
      </c>
      <c r="CF1046" s="47">
        <v>1</v>
      </c>
      <c r="CG1046" s="47" t="s">
        <v>2028</v>
      </c>
      <c r="CH1046" s="47">
        <v>0</v>
      </c>
      <c r="CI1046" s="47" t="s">
        <v>97</v>
      </c>
      <c r="CJ1046" s="47" t="s">
        <v>98</v>
      </c>
      <c r="CK1046" s="47">
        <v>35</v>
      </c>
      <c r="CL1046" s="47">
        <v>0</v>
      </c>
      <c r="CM1046" s="47">
        <v>0</v>
      </c>
      <c r="CN1046" s="47" t="s">
        <v>99</v>
      </c>
      <c r="CO1046" s="47" t="s">
        <v>1318</v>
      </c>
      <c r="CP1046" s="47" t="s">
        <v>100</v>
      </c>
      <c r="CQ1046" s="47" t="s">
        <v>126</v>
      </c>
      <c r="CR1046" s="48">
        <v>46254</v>
      </c>
      <c r="CT1046" s="47" t="s">
        <v>661</v>
      </c>
    </row>
    <row r="1047" spans="1:98" s="47" customFormat="1" x14ac:dyDescent="0.35">
      <c r="A1047" s="46" t="s">
        <v>2017</v>
      </c>
      <c r="B1047" s="46" t="s">
        <v>2059</v>
      </c>
      <c r="C1047" s="47" t="s">
        <v>2018</v>
      </c>
      <c r="D1047" s="47">
        <v>2024</v>
      </c>
      <c r="E1047" s="66" t="s">
        <v>2019</v>
      </c>
      <c r="F1047" s="46" t="s">
        <v>899</v>
      </c>
      <c r="G1047" s="47" t="s">
        <v>78</v>
      </c>
      <c r="H1047" s="47">
        <v>1</v>
      </c>
      <c r="I1047" s="47" t="s">
        <v>390</v>
      </c>
      <c r="J1047" s="47" t="s">
        <v>79</v>
      </c>
      <c r="K1047" s="47">
        <v>1</v>
      </c>
      <c r="L1047" s="47" t="s">
        <v>104</v>
      </c>
      <c r="M1047" s="47" t="s">
        <v>557</v>
      </c>
      <c r="N1047" s="47">
        <v>-3.8300000000000001E-2</v>
      </c>
      <c r="O1047" s="47">
        <v>1.2999999999999999E-3</v>
      </c>
      <c r="P1047" s="92">
        <f>N1047/O1047</f>
        <v>-29.461538461538463</v>
      </c>
      <c r="Q1047" s="47" t="s">
        <v>312</v>
      </c>
      <c r="R1047" s="92">
        <f>N1047-1.96*O1047</f>
        <v>-4.0848000000000002E-2</v>
      </c>
      <c r="S1047" s="92">
        <f>N1047+1.96*O1047</f>
        <v>-3.5751999999999999E-2</v>
      </c>
      <c r="T1047" s="47">
        <v>1</v>
      </c>
      <c r="U1047" s="47">
        <v>26142</v>
      </c>
      <c r="V1047" s="47" t="s">
        <v>312</v>
      </c>
      <c r="W1047" s="47" t="s">
        <v>312</v>
      </c>
      <c r="X1047" s="47">
        <f t="shared" si="423"/>
        <v>26142</v>
      </c>
      <c r="Y1047" s="92">
        <f>P1047/(P1047^2 + X1047)^(1/2)</f>
        <v>-0.17926407820927395</v>
      </c>
      <c r="Z1047" s="92">
        <f>((1-Y1047^2)/X1047)^(1/2)</f>
        <v>6.0846815057978105E-3</v>
      </c>
      <c r="AA1047" s="92">
        <f t="shared" si="430"/>
        <v>-0.17926407820927395</v>
      </c>
      <c r="AB1047" s="47" t="s">
        <v>81</v>
      </c>
      <c r="AC1047" s="92">
        <f t="shared" si="424"/>
        <v>-3.935639671361503E-2</v>
      </c>
      <c r="AD1047" s="92" cm="1">
        <f t="array" ref="AD1047">_xlfn.IFS(
AND(L1047="marginal_effect",M1047="level"),N1047*AN1047/BF1047,
AND(L1047="marginal_effect",M1047="sd (Y)"),N1047*BI1047*AN1047/BF1047,
AND(L1047="marginal_effect",M1047="sd (X)"),N1047/AQ1047*AN1047/BF1047,
AND(L1047="semi_elasticity",M1047="level"),N1047*AN1047,
AND(L1047="semi_elasticity",M1047="sd (Y)"),N1047*AN1047*BI1047,
AND(L1047="semi_elasticity",M1047="sd (X)"),N1047*AN1047/AQ1047,
AND(L1047="level-log",M1047="level"),N1047/BF1047,
AND(L1047="level-log",M1047="sd (X)"),N1047/BF1047/AQ1047,
AND(L1047="level-log",M1047="sd (Y)"),N1047/BF1047*BI1047,
AND(L1047="elasticity",M1047="level"),N1047,
AND(L1047="elasticity",M1047="sd (X)"),N1047/AQ1047,
AND(L1047="elasticity",M1047="sd (Y)"),N1047*BI1047,
AND(L1047="marginal_effect",M1047="percent_of_mean"),N1047*AN1047/BF1047/10)</f>
        <v>-3.935639671361503E-2</v>
      </c>
      <c r="AE1047" s="51">
        <f t="shared" si="431"/>
        <v>1</v>
      </c>
      <c r="AF1047" s="92">
        <f>O1047*AN1047/AQ1047</f>
        <v>1.3358568075117372E-3</v>
      </c>
      <c r="AG1047" s="92" cm="1">
        <f t="array" ref="AG1047">_xlfn.IFS(
AND(L1047="marginal_effect",M1047="level"),O1047*AN1047/BF1047,
AND(L1047="marginal_effect",M1047="sd (Y)"),O1047*BI1047*AN1047/BF1047,
AND(L1047="marginal_effect",M1047="sd (X)"),O1047/AQ1047*AN1047/BF1047,
AND(L1047="semi_elasticity",M1047="level"),O1047*AN1047,
AND(L1047="semi_elasticity",M1047="sd (Y)"),O1047*AN1047*BI1047,
AND(L1047="semi_elasticity",M1047="sd (X)"),O1047*AN1047/AQ1047,
AND(L1047="level-log",M1047="level"),O1047/BF1047,
AND(L1047="level-log",M1047="sd (X)"),O1047/BF1047/AQ1047,
AND(L1047="level-log",M1047="sd (Y)"),O1047/BF1047*BI1047,
AND(L1047="elasticity",M1047="level"),O1047,
AND(L1047="elasticity",M1047="sd (X)"),O1047/AQ1047,
AND(L1047="elasticity",M1047="sd (Y)"),O1047*BI1047,
AND(L1047="marginal_effect",M1047="percent_of_mean"),O1047*AN1047/BF1047/10)</f>
        <v>1.3358568075117372E-3</v>
      </c>
      <c r="AH1047" s="51">
        <f t="shared" si="433"/>
        <v>1</v>
      </c>
      <c r="AI1047" s="92">
        <f t="shared" si="432"/>
        <v>-3.935639671361503E-2</v>
      </c>
      <c r="AJ1047" s="47">
        <v>0</v>
      </c>
      <c r="AK1047" s="47">
        <f>IF(P1047=(AC1047/AF1047),1,0)</f>
        <v>1</v>
      </c>
      <c r="AL1047" s="47" t="s">
        <v>106</v>
      </c>
      <c r="AM1047" s="47" t="s">
        <v>1333</v>
      </c>
      <c r="AN1047" s="47">
        <v>17.510000000000002</v>
      </c>
      <c r="AO1047" s="47">
        <v>0</v>
      </c>
      <c r="AP1047" s="47">
        <f t="shared" si="420"/>
        <v>17.510000000000002</v>
      </c>
      <c r="AQ1047" s="47">
        <v>17.04</v>
      </c>
      <c r="AR1047" s="47">
        <v>0</v>
      </c>
      <c r="AS1047" s="47">
        <v>79</v>
      </c>
      <c r="AT1047" s="47" t="s">
        <v>83</v>
      </c>
      <c r="AU1047" s="47" t="s">
        <v>109</v>
      </c>
      <c r="AV1047" s="47" t="s">
        <v>133</v>
      </c>
      <c r="AW1047" s="47" t="s">
        <v>85</v>
      </c>
      <c r="AX1047" s="47" t="s">
        <v>86</v>
      </c>
      <c r="AY1047" s="47">
        <v>0</v>
      </c>
      <c r="AZ1047" s="47">
        <v>0</v>
      </c>
      <c r="BA1047" s="47" t="s">
        <v>87</v>
      </c>
      <c r="BB1047" s="47" t="s">
        <v>134</v>
      </c>
      <c r="BC1047" s="47" t="s">
        <v>89</v>
      </c>
      <c r="BD1047" s="47" t="s">
        <v>433</v>
      </c>
      <c r="BE1047" s="47" t="s">
        <v>2021</v>
      </c>
      <c r="BF1047" s="47">
        <v>81.48</v>
      </c>
      <c r="BG1047" s="47">
        <v>0</v>
      </c>
      <c r="BH1047" s="47">
        <v>30.84</v>
      </c>
      <c r="BI1047" s="47">
        <v>30.05</v>
      </c>
      <c r="BJ1047" s="47">
        <v>200</v>
      </c>
      <c r="BK1047" s="47" t="s">
        <v>91</v>
      </c>
      <c r="BL1047" s="47" t="s">
        <v>2020</v>
      </c>
      <c r="BM1047" s="47">
        <v>1</v>
      </c>
      <c r="BN1047" s="47" t="s">
        <v>2177</v>
      </c>
      <c r="BO1047" s="47" t="s">
        <v>2022</v>
      </c>
      <c r="BP1047" s="47" t="s">
        <v>2023</v>
      </c>
      <c r="BQ1047" s="47" t="s">
        <v>92</v>
      </c>
      <c r="BR1047" s="47" t="s">
        <v>312</v>
      </c>
      <c r="BS1047" s="47" t="s">
        <v>312</v>
      </c>
      <c r="BT1047" s="47" t="s">
        <v>312</v>
      </c>
      <c r="BU1047" s="47">
        <v>1987</v>
      </c>
      <c r="BV1047" s="47">
        <v>1989</v>
      </c>
      <c r="BW1047" s="47" t="s">
        <v>94</v>
      </c>
      <c r="BX1047" s="47" t="s">
        <v>95</v>
      </c>
      <c r="BY1047" s="47" t="s">
        <v>96</v>
      </c>
      <c r="BZ1047" s="47">
        <v>0</v>
      </c>
      <c r="CA1047" s="47">
        <v>0</v>
      </c>
      <c r="CB1047" s="47" t="s">
        <v>97</v>
      </c>
      <c r="CC1047" s="47" t="s">
        <v>2024</v>
      </c>
      <c r="CD1047" s="47">
        <v>1</v>
      </c>
      <c r="CE1047" s="47" t="s">
        <v>2076</v>
      </c>
      <c r="CF1047" s="47">
        <v>1</v>
      </c>
      <c r="CG1047" s="47" t="s">
        <v>2029</v>
      </c>
      <c r="CH1047" s="47">
        <v>0</v>
      </c>
      <c r="CI1047" s="47" t="s">
        <v>97</v>
      </c>
      <c r="CJ1047" s="47" t="s">
        <v>98</v>
      </c>
      <c r="CK1047" s="47">
        <v>35</v>
      </c>
      <c r="CL1047" s="47">
        <v>0</v>
      </c>
      <c r="CM1047" s="47">
        <v>0</v>
      </c>
      <c r="CN1047" s="47" t="s">
        <v>99</v>
      </c>
      <c r="CO1047" s="47" t="s">
        <v>1318</v>
      </c>
      <c r="CP1047" s="47" t="s">
        <v>100</v>
      </c>
      <c r="CQ1047" s="47" t="s">
        <v>126</v>
      </c>
      <c r="CR1047" s="48">
        <v>46254</v>
      </c>
      <c r="CT1047" s="47" t="s">
        <v>661</v>
      </c>
    </row>
    <row r="1048" spans="1:98" s="47" customFormat="1" x14ac:dyDescent="0.35">
      <c r="A1048" s="46" t="s">
        <v>2017</v>
      </c>
      <c r="B1048" s="46" t="s">
        <v>2060</v>
      </c>
      <c r="C1048" s="47" t="s">
        <v>2018</v>
      </c>
      <c r="D1048" s="47">
        <v>2024</v>
      </c>
      <c r="E1048" s="66" t="s">
        <v>2019</v>
      </c>
      <c r="F1048" s="46" t="s">
        <v>899</v>
      </c>
      <c r="G1048" s="47" t="s">
        <v>78</v>
      </c>
      <c r="H1048" s="47">
        <v>1</v>
      </c>
      <c r="I1048" s="47" t="s">
        <v>390</v>
      </c>
      <c r="J1048" s="47" t="s">
        <v>79</v>
      </c>
      <c r="K1048" s="47">
        <v>1</v>
      </c>
      <c r="L1048" s="47" t="s">
        <v>104</v>
      </c>
      <c r="M1048" s="47" t="s">
        <v>557</v>
      </c>
      <c r="N1048" s="47">
        <v>-8.6E-3</v>
      </c>
      <c r="O1048" s="47" t="s">
        <v>312</v>
      </c>
      <c r="P1048" s="92" t="s">
        <v>312</v>
      </c>
      <c r="Q1048" s="47" t="s">
        <v>312</v>
      </c>
      <c r="R1048" s="92" t="s">
        <v>312</v>
      </c>
      <c r="S1048" s="92" t="s">
        <v>312</v>
      </c>
      <c r="T1048" s="47">
        <v>1</v>
      </c>
      <c r="U1048" s="47">
        <v>26142</v>
      </c>
      <c r="V1048" s="47" t="s">
        <v>312</v>
      </c>
      <c r="W1048" s="47" t="s">
        <v>312</v>
      </c>
      <c r="X1048" s="47">
        <f t="shared" si="423"/>
        <v>26142</v>
      </c>
      <c r="Y1048" s="92" t="s">
        <v>312</v>
      </c>
      <c r="Z1048" s="92" t="s">
        <v>312</v>
      </c>
      <c r="AA1048" s="92" t="str">
        <f t="shared" si="430"/>
        <v>NA</v>
      </c>
      <c r="AB1048" s="47" t="s">
        <v>81</v>
      </c>
      <c r="AC1048" s="92">
        <f t="shared" si="424"/>
        <v>-8.6876805437553113E-3</v>
      </c>
      <c r="AD1048" s="92" cm="1">
        <f t="array" ref="AD1048">_xlfn.IFS(
AND(L1048="marginal_effect",M1048="level"),N1048*AN1048/BF1048,
AND(L1048="marginal_effect",M1048="sd (Y)"),N1048*BI1048*AN1048/BF1048,
AND(L1048="marginal_effect",M1048="sd (X)"),N1048/AQ1048*AN1048/BF1048,
AND(L1048="semi_elasticity",M1048="level"),N1048*AN1048,
AND(L1048="semi_elasticity",M1048="sd (Y)"),N1048*AN1048*BI1048,
AND(L1048="semi_elasticity",M1048="sd (X)"),N1048*AN1048/AQ1048,
AND(L1048="level-log",M1048="level"),N1048/BF1048,
AND(L1048="level-log",M1048="sd (X)"),N1048/BF1048/AQ1048,
AND(L1048="level-log",M1048="sd (Y)"),N1048/BF1048*BI1048,
AND(L1048="elasticity",M1048="level"),N1048,
AND(L1048="elasticity",M1048="sd (X)"),N1048/AQ1048,
AND(L1048="elasticity",M1048="sd (Y)"),N1048*BI1048,
AND(L1048="marginal_effect",M1048="percent_of_mean"),N1048*AN1048/BF1048/10)</f>
        <v>-8.6876805437553113E-3</v>
      </c>
      <c r="AE1048" s="51">
        <f t="shared" si="431"/>
        <v>1</v>
      </c>
      <c r="AF1048" s="92" t="s">
        <v>312</v>
      </c>
      <c r="AG1048" s="92" t="s">
        <v>312</v>
      </c>
      <c r="AH1048" s="51">
        <f t="shared" si="433"/>
        <v>1</v>
      </c>
      <c r="AI1048" s="92">
        <f t="shared" si="432"/>
        <v>-8.6876805437553113E-3</v>
      </c>
      <c r="AJ1048" s="47">
        <v>0</v>
      </c>
      <c r="AK1048" s="47" t="s">
        <v>312</v>
      </c>
      <c r="AL1048" s="47" t="s">
        <v>159</v>
      </c>
      <c r="AM1048" s="47" t="s">
        <v>410</v>
      </c>
      <c r="AN1048" s="47">
        <v>11.89</v>
      </c>
      <c r="AO1048" s="47">
        <v>0</v>
      </c>
      <c r="AP1048" s="47">
        <f t="shared" si="420"/>
        <v>11.89</v>
      </c>
      <c r="AQ1048" s="47">
        <v>11.77</v>
      </c>
      <c r="AR1048" s="47">
        <v>0</v>
      </c>
      <c r="AS1048" s="47">
        <v>198</v>
      </c>
      <c r="AT1048" s="47" t="s">
        <v>83</v>
      </c>
      <c r="AU1048" s="47" t="s">
        <v>109</v>
      </c>
      <c r="AV1048" s="47" t="s">
        <v>133</v>
      </c>
      <c r="AW1048" s="47" t="s">
        <v>85</v>
      </c>
      <c r="AX1048" s="47" t="s">
        <v>86</v>
      </c>
      <c r="AY1048" s="47">
        <v>0</v>
      </c>
      <c r="AZ1048" s="47">
        <v>0</v>
      </c>
      <c r="BA1048" s="47" t="s">
        <v>87</v>
      </c>
      <c r="BB1048" s="47" t="s">
        <v>134</v>
      </c>
      <c r="BC1048" s="47" t="s">
        <v>89</v>
      </c>
      <c r="BD1048" s="47" t="s">
        <v>433</v>
      </c>
      <c r="BE1048" s="47" t="s">
        <v>2021</v>
      </c>
      <c r="BF1048" s="47">
        <v>81.48</v>
      </c>
      <c r="BG1048" s="47">
        <v>0</v>
      </c>
      <c r="BH1048" s="47">
        <v>30.84</v>
      </c>
      <c r="BI1048" s="47">
        <v>30.05</v>
      </c>
      <c r="BJ1048" s="47">
        <v>200</v>
      </c>
      <c r="BK1048" s="47" t="s">
        <v>91</v>
      </c>
      <c r="BL1048" s="47" t="s">
        <v>2020</v>
      </c>
      <c r="BM1048" s="47">
        <v>1</v>
      </c>
      <c r="BN1048" s="47" t="s">
        <v>2177</v>
      </c>
      <c r="BO1048" s="47" t="s">
        <v>2022</v>
      </c>
      <c r="BP1048" s="47" t="s">
        <v>2023</v>
      </c>
      <c r="BQ1048" s="47" t="s">
        <v>92</v>
      </c>
      <c r="BR1048" s="47" t="s">
        <v>312</v>
      </c>
      <c r="BS1048" s="47" t="s">
        <v>312</v>
      </c>
      <c r="BT1048" s="47" t="s">
        <v>312</v>
      </c>
      <c r="BU1048" s="47">
        <v>1987</v>
      </c>
      <c r="BV1048" s="47">
        <v>1989</v>
      </c>
      <c r="BW1048" s="47" t="s">
        <v>94</v>
      </c>
      <c r="BX1048" s="47" t="s">
        <v>95</v>
      </c>
      <c r="BY1048" s="47" t="s">
        <v>96</v>
      </c>
      <c r="BZ1048" s="47">
        <v>0</v>
      </c>
      <c r="CA1048" s="47">
        <v>0</v>
      </c>
      <c r="CB1048" s="47" t="s">
        <v>97</v>
      </c>
      <c r="CC1048" s="47" t="s">
        <v>2024</v>
      </c>
      <c r="CD1048" s="47">
        <v>1</v>
      </c>
      <c r="CE1048" s="47" t="s">
        <v>2076</v>
      </c>
      <c r="CF1048" s="47">
        <v>1</v>
      </c>
      <c r="CG1048" s="47" t="s">
        <v>2025</v>
      </c>
      <c r="CH1048" s="47">
        <v>0</v>
      </c>
      <c r="CI1048" s="47" t="s">
        <v>97</v>
      </c>
      <c r="CJ1048" s="47" t="s">
        <v>98</v>
      </c>
      <c r="CK1048" s="47">
        <v>35</v>
      </c>
      <c r="CL1048" s="47">
        <v>0</v>
      </c>
      <c r="CM1048" s="47">
        <v>0</v>
      </c>
      <c r="CN1048" s="47" t="s">
        <v>99</v>
      </c>
      <c r="CO1048" s="47" t="s">
        <v>1318</v>
      </c>
      <c r="CP1048" s="47" t="s">
        <v>100</v>
      </c>
      <c r="CQ1048" s="47" t="s">
        <v>126</v>
      </c>
      <c r="CR1048" s="48">
        <v>46254</v>
      </c>
      <c r="CT1048" s="47" t="s">
        <v>661</v>
      </c>
    </row>
    <row r="1049" spans="1:98" s="47" customFormat="1" x14ac:dyDescent="0.35">
      <c r="A1049" s="46" t="s">
        <v>2017</v>
      </c>
      <c r="B1049" s="46" t="s">
        <v>2061</v>
      </c>
      <c r="C1049" s="47" t="s">
        <v>2018</v>
      </c>
      <c r="D1049" s="47">
        <v>2024</v>
      </c>
      <c r="E1049" s="66" t="s">
        <v>2019</v>
      </c>
      <c r="F1049" s="46" t="s">
        <v>899</v>
      </c>
      <c r="G1049" s="47" t="s">
        <v>78</v>
      </c>
      <c r="H1049" s="47">
        <v>1</v>
      </c>
      <c r="I1049" s="47" t="s">
        <v>390</v>
      </c>
      <c r="J1049" s="47" t="s">
        <v>79</v>
      </c>
      <c r="K1049" s="47">
        <v>1</v>
      </c>
      <c r="L1049" s="47" t="s">
        <v>104</v>
      </c>
      <c r="M1049" s="47" t="s">
        <v>557</v>
      </c>
      <c r="N1049" s="47">
        <f>-0.0283-0.0287</f>
        <v>-5.6999999999999995E-2</v>
      </c>
      <c r="O1049" s="47" t="s">
        <v>312</v>
      </c>
      <c r="P1049" s="92" t="s">
        <v>312</v>
      </c>
      <c r="Q1049" s="47" t="s">
        <v>312</v>
      </c>
      <c r="R1049" s="92" t="s">
        <v>312</v>
      </c>
      <c r="S1049" s="92" t="s">
        <v>312</v>
      </c>
      <c r="T1049" s="47">
        <v>1</v>
      </c>
      <c r="U1049" s="47">
        <v>26142</v>
      </c>
      <c r="V1049" s="47" t="s">
        <v>312</v>
      </c>
      <c r="W1049" s="47" t="s">
        <v>312</v>
      </c>
      <c r="X1049" s="47">
        <f t="shared" si="423"/>
        <v>26142</v>
      </c>
      <c r="Y1049" s="92" t="s">
        <v>312</v>
      </c>
      <c r="Z1049" s="92" t="s">
        <v>312</v>
      </c>
      <c r="AA1049" s="92" t="str">
        <f t="shared" si="430"/>
        <v>NA</v>
      </c>
      <c r="AB1049" s="47" t="s">
        <v>81</v>
      </c>
      <c r="AC1049" s="92">
        <f t="shared" si="424"/>
        <v>-9.0006498194945841E-2</v>
      </c>
      <c r="AD1049" s="92" cm="1">
        <f t="array" ref="AD1049">_xlfn.IFS(
AND(L1049="marginal_effect",M1049="level"),N1049*AN1049/BF1049,
AND(L1049="marginal_effect",M1049="sd (Y)"),N1049*BI1049*AN1049/BF1049,
AND(L1049="marginal_effect",M1049="sd (X)"),N1049/AQ1049*AN1049/BF1049,
AND(L1049="semi_elasticity",M1049="level"),N1049*AN1049,
AND(L1049="semi_elasticity",M1049="sd (Y)"),N1049*AN1049*BI1049,
AND(L1049="semi_elasticity",M1049="sd (X)"),N1049*AN1049/AQ1049,
AND(L1049="level-log",M1049="level"),N1049/BF1049,
AND(L1049="level-log",M1049="sd (X)"),N1049/BF1049/AQ1049,
AND(L1049="level-log",M1049="sd (Y)"),N1049/BF1049*BI1049,
AND(L1049="elasticity",M1049="level"),N1049,
AND(L1049="elasticity",M1049="sd (X)"),N1049/AQ1049,
AND(L1049="elasticity",M1049="sd (Y)"),N1049*BI1049,
AND(L1049="marginal_effect",M1049="percent_of_mean"),N1049*AN1049/BF1049/10)</f>
        <v>-9.0006498194945841E-2</v>
      </c>
      <c r="AE1049" s="51">
        <f t="shared" si="431"/>
        <v>1</v>
      </c>
      <c r="AF1049" s="92" t="s">
        <v>312</v>
      </c>
      <c r="AG1049" s="92" t="s">
        <v>312</v>
      </c>
      <c r="AH1049" s="51">
        <f t="shared" si="433"/>
        <v>1</v>
      </c>
      <c r="AI1049" s="92">
        <f t="shared" si="432"/>
        <v>-9.0006498194945841E-2</v>
      </c>
      <c r="AJ1049" s="47">
        <v>0</v>
      </c>
      <c r="AK1049" s="47" t="s">
        <v>312</v>
      </c>
      <c r="AL1049" s="47" t="s">
        <v>131</v>
      </c>
      <c r="AM1049" s="47" t="s">
        <v>410</v>
      </c>
      <c r="AN1049" s="47">
        <v>21.87</v>
      </c>
      <c r="AO1049" s="47">
        <v>0</v>
      </c>
      <c r="AP1049" s="47">
        <f t="shared" si="420"/>
        <v>21.87</v>
      </c>
      <c r="AQ1049" s="47">
        <v>13.85</v>
      </c>
      <c r="AR1049" s="47">
        <v>0</v>
      </c>
      <c r="AS1049" s="47">
        <v>95</v>
      </c>
      <c r="AT1049" s="47" t="s">
        <v>83</v>
      </c>
      <c r="AU1049" s="47" t="s">
        <v>109</v>
      </c>
      <c r="AV1049" s="47" t="s">
        <v>133</v>
      </c>
      <c r="AW1049" s="47" t="s">
        <v>85</v>
      </c>
      <c r="AX1049" s="47" t="s">
        <v>86</v>
      </c>
      <c r="AY1049" s="47">
        <v>0</v>
      </c>
      <c r="AZ1049" s="47">
        <v>0</v>
      </c>
      <c r="BA1049" s="47" t="s">
        <v>87</v>
      </c>
      <c r="BB1049" s="47" t="s">
        <v>134</v>
      </c>
      <c r="BC1049" s="47" t="s">
        <v>89</v>
      </c>
      <c r="BD1049" s="47" t="s">
        <v>433</v>
      </c>
      <c r="BE1049" s="47" t="s">
        <v>2021</v>
      </c>
      <c r="BF1049" s="47">
        <v>81.48</v>
      </c>
      <c r="BG1049" s="47">
        <v>0</v>
      </c>
      <c r="BH1049" s="47">
        <v>30.84</v>
      </c>
      <c r="BI1049" s="47">
        <v>30.05</v>
      </c>
      <c r="BJ1049" s="47">
        <v>200</v>
      </c>
      <c r="BK1049" s="47" t="s">
        <v>91</v>
      </c>
      <c r="BL1049" s="47" t="s">
        <v>2020</v>
      </c>
      <c r="BM1049" s="47">
        <v>1</v>
      </c>
      <c r="BN1049" s="47" t="s">
        <v>2177</v>
      </c>
      <c r="BO1049" s="47" t="s">
        <v>2022</v>
      </c>
      <c r="BP1049" s="47" t="s">
        <v>2023</v>
      </c>
      <c r="BQ1049" s="47" t="s">
        <v>92</v>
      </c>
      <c r="BR1049" s="47" t="s">
        <v>312</v>
      </c>
      <c r="BS1049" s="47" t="s">
        <v>312</v>
      </c>
      <c r="BT1049" s="47" t="s">
        <v>312</v>
      </c>
      <c r="BU1049" s="47">
        <v>1987</v>
      </c>
      <c r="BV1049" s="47">
        <v>1989</v>
      </c>
      <c r="BW1049" s="47" t="s">
        <v>94</v>
      </c>
      <c r="BX1049" s="47" t="s">
        <v>95</v>
      </c>
      <c r="BY1049" s="47" t="s">
        <v>96</v>
      </c>
      <c r="BZ1049" s="47">
        <v>0</v>
      </c>
      <c r="CA1049" s="47">
        <v>0</v>
      </c>
      <c r="CB1049" s="47" t="s">
        <v>97</v>
      </c>
      <c r="CC1049" s="47" t="s">
        <v>2024</v>
      </c>
      <c r="CD1049" s="47">
        <v>1</v>
      </c>
      <c r="CE1049" s="47" t="s">
        <v>2076</v>
      </c>
      <c r="CF1049" s="47">
        <v>1</v>
      </c>
      <c r="CG1049" s="47" t="s">
        <v>2026</v>
      </c>
      <c r="CH1049" s="47">
        <v>0</v>
      </c>
      <c r="CI1049" s="47" t="s">
        <v>97</v>
      </c>
      <c r="CJ1049" s="47" t="s">
        <v>98</v>
      </c>
      <c r="CK1049" s="47">
        <v>35</v>
      </c>
      <c r="CL1049" s="47">
        <v>0</v>
      </c>
      <c r="CM1049" s="47">
        <v>0</v>
      </c>
      <c r="CN1049" s="47" t="s">
        <v>99</v>
      </c>
      <c r="CO1049" s="47" t="s">
        <v>1318</v>
      </c>
      <c r="CP1049" s="47" t="s">
        <v>100</v>
      </c>
      <c r="CQ1049" s="47" t="s">
        <v>126</v>
      </c>
      <c r="CR1049" s="48">
        <v>46254</v>
      </c>
      <c r="CT1049" s="47" t="s">
        <v>661</v>
      </c>
    </row>
    <row r="1050" spans="1:98" s="47" customFormat="1" x14ac:dyDescent="0.35">
      <c r="A1050" s="46" t="s">
        <v>2017</v>
      </c>
      <c r="B1050" s="46" t="s">
        <v>2062</v>
      </c>
      <c r="C1050" s="47" t="s">
        <v>2018</v>
      </c>
      <c r="D1050" s="47">
        <v>2024</v>
      </c>
      <c r="E1050" s="66" t="s">
        <v>2019</v>
      </c>
      <c r="F1050" s="46" t="s">
        <v>899</v>
      </c>
      <c r="G1050" s="47" t="s">
        <v>78</v>
      </c>
      <c r="H1050" s="47">
        <v>1</v>
      </c>
      <c r="I1050" s="47" t="s">
        <v>390</v>
      </c>
      <c r="J1050" s="47" t="s">
        <v>79</v>
      </c>
      <c r="K1050" s="47">
        <v>1</v>
      </c>
      <c r="L1050" s="47" t="s">
        <v>104</v>
      </c>
      <c r="M1050" s="47" t="s">
        <v>557</v>
      </c>
      <c r="N1050" s="47">
        <f>-0.0827+0.0638</f>
        <v>-1.89E-2</v>
      </c>
      <c r="O1050" s="47" t="s">
        <v>312</v>
      </c>
      <c r="P1050" s="92" t="s">
        <v>312</v>
      </c>
      <c r="Q1050" s="47" t="s">
        <v>312</v>
      </c>
      <c r="R1050" s="92" t="s">
        <v>312</v>
      </c>
      <c r="S1050" s="92" t="s">
        <v>312</v>
      </c>
      <c r="T1050" s="47">
        <v>1</v>
      </c>
      <c r="U1050" s="47">
        <v>26142</v>
      </c>
      <c r="V1050" s="47" t="s">
        <v>312</v>
      </c>
      <c r="W1050" s="47" t="s">
        <v>312</v>
      </c>
      <c r="X1050" s="47">
        <f t="shared" si="423"/>
        <v>26142</v>
      </c>
      <c r="Y1050" s="92" t="s">
        <v>312</v>
      </c>
      <c r="Z1050" s="92" t="s">
        <v>312</v>
      </c>
      <c r="AA1050" s="92" t="str">
        <f t="shared" si="430"/>
        <v>NA</v>
      </c>
      <c r="AB1050" s="47" t="s">
        <v>81</v>
      </c>
      <c r="AC1050" s="92">
        <f t="shared" si="424"/>
        <v>-1.6232846715328465E-2</v>
      </c>
      <c r="AD1050" s="92" cm="1">
        <f t="array" ref="AD1050">_xlfn.IFS(
AND(L1050="marginal_effect",M1050="level"),N1050*AN1050/BF1050,
AND(L1050="marginal_effect",M1050="sd (Y)"),N1050*BI1050*AN1050/BF1050,
AND(L1050="marginal_effect",M1050="sd (X)"),N1050/AQ1050*AN1050/BF1050,
AND(L1050="semi_elasticity",M1050="level"),N1050*AN1050,
AND(L1050="semi_elasticity",M1050="sd (Y)"),N1050*AN1050*BI1050,
AND(L1050="semi_elasticity",M1050="sd (X)"),N1050*AN1050/AQ1050,
AND(L1050="level-log",M1050="level"),N1050/BF1050,
AND(L1050="level-log",M1050="sd (X)"),N1050/BF1050/AQ1050,
AND(L1050="level-log",M1050="sd (Y)"),N1050/BF1050*BI1050,
AND(L1050="elasticity",M1050="level"),N1050,
AND(L1050="elasticity",M1050="sd (X)"),N1050/AQ1050,
AND(L1050="elasticity",M1050="sd (Y)"),N1050*BI1050,
AND(L1050="marginal_effect",M1050="percent_of_mean"),N1050*AN1050/BF1050/10)</f>
        <v>-1.6232846715328465E-2</v>
      </c>
      <c r="AE1050" s="51">
        <f t="shared" si="431"/>
        <v>1</v>
      </c>
      <c r="AF1050" s="92" t="s">
        <v>312</v>
      </c>
      <c r="AG1050" s="92" t="s">
        <v>312</v>
      </c>
      <c r="AH1050" s="51">
        <f t="shared" si="433"/>
        <v>1</v>
      </c>
      <c r="AI1050" s="92">
        <f t="shared" si="432"/>
        <v>-1.6232846715328465E-2</v>
      </c>
      <c r="AJ1050" s="47">
        <v>0</v>
      </c>
      <c r="AK1050" s="47" t="s">
        <v>312</v>
      </c>
      <c r="AL1050" s="47" t="s">
        <v>148</v>
      </c>
      <c r="AM1050" s="47" t="s">
        <v>590</v>
      </c>
      <c r="AN1050" s="47">
        <v>14.12</v>
      </c>
      <c r="AO1050" s="47">
        <v>0</v>
      </c>
      <c r="AP1050" s="47">
        <f t="shared" si="420"/>
        <v>14.12</v>
      </c>
      <c r="AQ1050" s="47">
        <v>16.440000000000001</v>
      </c>
      <c r="AR1050" s="47">
        <v>0</v>
      </c>
      <c r="AS1050" s="47">
        <v>166</v>
      </c>
      <c r="AT1050" s="47" t="s">
        <v>83</v>
      </c>
      <c r="AU1050" s="47" t="s">
        <v>109</v>
      </c>
      <c r="AV1050" s="47" t="s">
        <v>133</v>
      </c>
      <c r="AW1050" s="47" t="s">
        <v>85</v>
      </c>
      <c r="AX1050" s="47" t="s">
        <v>86</v>
      </c>
      <c r="AY1050" s="47">
        <v>0</v>
      </c>
      <c r="AZ1050" s="47">
        <v>0</v>
      </c>
      <c r="BA1050" s="47" t="s">
        <v>87</v>
      </c>
      <c r="BB1050" s="47" t="s">
        <v>134</v>
      </c>
      <c r="BC1050" s="47" t="s">
        <v>89</v>
      </c>
      <c r="BD1050" s="47" t="s">
        <v>433</v>
      </c>
      <c r="BE1050" s="47" t="s">
        <v>2021</v>
      </c>
      <c r="BF1050" s="47">
        <v>81.48</v>
      </c>
      <c r="BG1050" s="47">
        <v>0</v>
      </c>
      <c r="BH1050" s="47">
        <v>30.84</v>
      </c>
      <c r="BI1050" s="47">
        <v>30.05</v>
      </c>
      <c r="BJ1050" s="47">
        <v>200</v>
      </c>
      <c r="BK1050" s="47" t="s">
        <v>91</v>
      </c>
      <c r="BL1050" s="47" t="s">
        <v>2020</v>
      </c>
      <c r="BM1050" s="47">
        <v>1</v>
      </c>
      <c r="BN1050" s="47" t="s">
        <v>2177</v>
      </c>
      <c r="BO1050" s="47" t="s">
        <v>2022</v>
      </c>
      <c r="BP1050" s="47" t="s">
        <v>2023</v>
      </c>
      <c r="BQ1050" s="47" t="s">
        <v>92</v>
      </c>
      <c r="BR1050" s="47" t="s">
        <v>312</v>
      </c>
      <c r="BS1050" s="47" t="s">
        <v>312</v>
      </c>
      <c r="BT1050" s="47" t="s">
        <v>312</v>
      </c>
      <c r="BU1050" s="47">
        <v>1987</v>
      </c>
      <c r="BV1050" s="47">
        <v>1989</v>
      </c>
      <c r="BW1050" s="47" t="s">
        <v>94</v>
      </c>
      <c r="BX1050" s="47" t="s">
        <v>95</v>
      </c>
      <c r="BY1050" s="47" t="s">
        <v>96</v>
      </c>
      <c r="BZ1050" s="47">
        <v>0</v>
      </c>
      <c r="CA1050" s="47">
        <v>0</v>
      </c>
      <c r="CB1050" s="47" t="s">
        <v>97</v>
      </c>
      <c r="CC1050" s="47" t="s">
        <v>2024</v>
      </c>
      <c r="CD1050" s="47">
        <v>1</v>
      </c>
      <c r="CE1050" s="47" t="s">
        <v>2076</v>
      </c>
      <c r="CF1050" s="47">
        <v>1</v>
      </c>
      <c r="CG1050" s="47" t="s">
        <v>2027</v>
      </c>
      <c r="CH1050" s="47">
        <v>0</v>
      </c>
      <c r="CI1050" s="47" t="s">
        <v>97</v>
      </c>
      <c r="CJ1050" s="47" t="s">
        <v>98</v>
      </c>
      <c r="CK1050" s="47">
        <v>35</v>
      </c>
      <c r="CL1050" s="47">
        <v>0</v>
      </c>
      <c r="CM1050" s="47">
        <v>0</v>
      </c>
      <c r="CN1050" s="47" t="s">
        <v>99</v>
      </c>
      <c r="CO1050" s="47" t="s">
        <v>1318</v>
      </c>
      <c r="CP1050" s="47" t="s">
        <v>100</v>
      </c>
      <c r="CQ1050" s="47" t="s">
        <v>126</v>
      </c>
      <c r="CR1050" s="48">
        <v>46254</v>
      </c>
      <c r="CT1050" s="47" t="s">
        <v>661</v>
      </c>
    </row>
    <row r="1051" spans="1:98" s="47" customFormat="1" x14ac:dyDescent="0.35">
      <c r="A1051" s="46" t="s">
        <v>2017</v>
      </c>
      <c r="B1051" s="46" t="s">
        <v>2063</v>
      </c>
      <c r="C1051" s="47" t="s">
        <v>2018</v>
      </c>
      <c r="D1051" s="47">
        <v>2024</v>
      </c>
      <c r="E1051" s="66" t="s">
        <v>2019</v>
      </c>
      <c r="F1051" s="46" t="s">
        <v>899</v>
      </c>
      <c r="G1051" s="47" t="s">
        <v>78</v>
      </c>
      <c r="H1051" s="47">
        <v>1</v>
      </c>
      <c r="I1051" s="47" t="s">
        <v>390</v>
      </c>
      <c r="J1051" s="47" t="s">
        <v>79</v>
      </c>
      <c r="K1051" s="47">
        <v>1</v>
      </c>
      <c r="L1051" s="47" t="s">
        <v>104</v>
      </c>
      <c r="M1051" s="47" t="s">
        <v>557</v>
      </c>
      <c r="N1051" s="47">
        <f>-0.0781+0.0166</f>
        <v>-6.1499999999999999E-2</v>
      </c>
      <c r="O1051" s="47" t="s">
        <v>312</v>
      </c>
      <c r="P1051" s="92" t="s">
        <v>312</v>
      </c>
      <c r="Q1051" s="47" t="s">
        <v>312</v>
      </c>
      <c r="R1051" s="92" t="s">
        <v>312</v>
      </c>
      <c r="S1051" s="92" t="s">
        <v>312</v>
      </c>
      <c r="T1051" s="47">
        <v>1</v>
      </c>
      <c r="U1051" s="47">
        <v>26142</v>
      </c>
      <c r="V1051" s="47" t="s">
        <v>312</v>
      </c>
      <c r="W1051" s="47" t="s">
        <v>312</v>
      </c>
      <c r="X1051" s="47">
        <f t="shared" si="423"/>
        <v>26142</v>
      </c>
      <c r="Y1051" s="92" t="s">
        <v>312</v>
      </c>
      <c r="Z1051" s="92" t="s">
        <v>312</v>
      </c>
      <c r="AA1051" s="92" t="str">
        <f t="shared" si="430"/>
        <v>NA</v>
      </c>
      <c r="AB1051" s="47" t="s">
        <v>81</v>
      </c>
      <c r="AC1051" s="92">
        <f t="shared" si="424"/>
        <v>-8.1017964071856297E-2</v>
      </c>
      <c r="AD1051" s="92" cm="1">
        <f t="array" ref="AD1051">_xlfn.IFS(
AND(L1051="marginal_effect",M1051="level"),N1051*AN1051/BF1051,
AND(L1051="marginal_effect",M1051="sd (Y)"),N1051*BI1051*AN1051/BF1051,
AND(L1051="marginal_effect",M1051="sd (X)"),N1051/AQ1051*AN1051/BF1051,
AND(L1051="semi_elasticity",M1051="level"),N1051*AN1051,
AND(L1051="semi_elasticity",M1051="sd (Y)"),N1051*AN1051*BI1051,
AND(L1051="semi_elasticity",M1051="sd (X)"),N1051*AN1051/AQ1051,
AND(L1051="level-log",M1051="level"),N1051/BF1051,
AND(L1051="level-log",M1051="sd (X)"),N1051/BF1051/AQ1051,
AND(L1051="level-log",M1051="sd (Y)"),N1051/BF1051*BI1051,
AND(L1051="elasticity",M1051="level"),N1051,
AND(L1051="elasticity",M1051="sd (X)"),N1051/AQ1051,
AND(L1051="elasticity",M1051="sd (Y)"),N1051*BI1051,
AND(L1051="marginal_effect",M1051="percent_of_mean"),N1051*AN1051/BF1051/10)</f>
        <v>-8.1017964071856297E-2</v>
      </c>
      <c r="AE1051" s="51">
        <f t="shared" si="431"/>
        <v>1</v>
      </c>
      <c r="AF1051" s="92" t="s">
        <v>312</v>
      </c>
      <c r="AG1051" s="92" t="s">
        <v>312</v>
      </c>
      <c r="AH1051" s="51">
        <f t="shared" si="433"/>
        <v>1</v>
      </c>
      <c r="AI1051" s="92">
        <f t="shared" si="432"/>
        <v>-8.1017964071856297E-2</v>
      </c>
      <c r="AJ1051" s="47">
        <v>0</v>
      </c>
      <c r="AK1051" s="47" t="s">
        <v>312</v>
      </c>
      <c r="AL1051" s="47" t="s">
        <v>162</v>
      </c>
      <c r="AM1051" s="47" t="s">
        <v>590</v>
      </c>
      <c r="AN1051" s="47">
        <v>2.2000000000000002</v>
      </c>
      <c r="AO1051" s="47">
        <v>0</v>
      </c>
      <c r="AP1051" s="47">
        <f t="shared" si="420"/>
        <v>2.2000000000000002</v>
      </c>
      <c r="AQ1051" s="47">
        <v>1.67</v>
      </c>
      <c r="AR1051" s="47">
        <v>0</v>
      </c>
      <c r="AS1051" s="47">
        <v>16</v>
      </c>
      <c r="AT1051" s="47" t="s">
        <v>83</v>
      </c>
      <c r="AU1051" s="47" t="s">
        <v>109</v>
      </c>
      <c r="AV1051" s="47" t="s">
        <v>133</v>
      </c>
      <c r="AW1051" s="47" t="s">
        <v>85</v>
      </c>
      <c r="AX1051" s="47" t="s">
        <v>86</v>
      </c>
      <c r="AY1051" s="47">
        <v>0</v>
      </c>
      <c r="AZ1051" s="47">
        <v>0</v>
      </c>
      <c r="BA1051" s="47" t="s">
        <v>87</v>
      </c>
      <c r="BB1051" s="47" t="s">
        <v>134</v>
      </c>
      <c r="BC1051" s="47" t="s">
        <v>89</v>
      </c>
      <c r="BD1051" s="47" t="s">
        <v>433</v>
      </c>
      <c r="BE1051" s="47" t="s">
        <v>2021</v>
      </c>
      <c r="BF1051" s="47">
        <v>81.48</v>
      </c>
      <c r="BG1051" s="47">
        <v>0</v>
      </c>
      <c r="BH1051" s="47">
        <v>30.84</v>
      </c>
      <c r="BI1051" s="47">
        <v>30.05</v>
      </c>
      <c r="BJ1051" s="47">
        <v>200</v>
      </c>
      <c r="BK1051" s="47" t="s">
        <v>91</v>
      </c>
      <c r="BL1051" s="47" t="s">
        <v>2020</v>
      </c>
      <c r="BM1051" s="47">
        <v>1</v>
      </c>
      <c r="BN1051" s="47" t="s">
        <v>2177</v>
      </c>
      <c r="BO1051" s="47" t="s">
        <v>2022</v>
      </c>
      <c r="BP1051" s="47" t="s">
        <v>2023</v>
      </c>
      <c r="BQ1051" s="47" t="s">
        <v>92</v>
      </c>
      <c r="BR1051" s="47" t="s">
        <v>312</v>
      </c>
      <c r="BS1051" s="47" t="s">
        <v>312</v>
      </c>
      <c r="BT1051" s="47" t="s">
        <v>312</v>
      </c>
      <c r="BU1051" s="47">
        <v>1987</v>
      </c>
      <c r="BV1051" s="47">
        <v>1989</v>
      </c>
      <c r="BW1051" s="47" t="s">
        <v>94</v>
      </c>
      <c r="BX1051" s="47" t="s">
        <v>95</v>
      </c>
      <c r="BY1051" s="47" t="s">
        <v>96</v>
      </c>
      <c r="BZ1051" s="47">
        <v>0</v>
      </c>
      <c r="CA1051" s="47">
        <v>0</v>
      </c>
      <c r="CB1051" s="47" t="s">
        <v>97</v>
      </c>
      <c r="CC1051" s="47" t="s">
        <v>2024</v>
      </c>
      <c r="CD1051" s="47">
        <v>1</v>
      </c>
      <c r="CE1051" s="47" t="s">
        <v>2076</v>
      </c>
      <c r="CF1051" s="47">
        <v>1</v>
      </c>
      <c r="CG1051" s="47" t="s">
        <v>2028</v>
      </c>
      <c r="CH1051" s="47">
        <v>0</v>
      </c>
      <c r="CI1051" s="47" t="s">
        <v>97</v>
      </c>
      <c r="CJ1051" s="47" t="s">
        <v>98</v>
      </c>
      <c r="CK1051" s="47">
        <v>35</v>
      </c>
      <c r="CL1051" s="47">
        <v>0</v>
      </c>
      <c r="CM1051" s="47">
        <v>0</v>
      </c>
      <c r="CN1051" s="47" t="s">
        <v>99</v>
      </c>
      <c r="CO1051" s="47" t="s">
        <v>1318</v>
      </c>
      <c r="CP1051" s="47" t="s">
        <v>100</v>
      </c>
      <c r="CQ1051" s="47" t="s">
        <v>126</v>
      </c>
      <c r="CR1051" s="48">
        <v>46254</v>
      </c>
      <c r="CT1051" s="47" t="s">
        <v>661</v>
      </c>
    </row>
    <row r="1052" spans="1:98" s="47" customFormat="1" x14ac:dyDescent="0.35">
      <c r="A1052" s="46" t="s">
        <v>2017</v>
      </c>
      <c r="B1052" s="46" t="s">
        <v>2064</v>
      </c>
      <c r="C1052" s="47" t="s">
        <v>2018</v>
      </c>
      <c r="D1052" s="47">
        <v>2024</v>
      </c>
      <c r="E1052" s="66" t="s">
        <v>2019</v>
      </c>
      <c r="F1052" s="46" t="s">
        <v>899</v>
      </c>
      <c r="G1052" s="47" t="s">
        <v>78</v>
      </c>
      <c r="H1052" s="47">
        <v>1</v>
      </c>
      <c r="I1052" s="47" t="s">
        <v>390</v>
      </c>
      <c r="J1052" s="47" t="s">
        <v>79</v>
      </c>
      <c r="K1052" s="47">
        <v>1</v>
      </c>
      <c r="L1052" s="47" t="s">
        <v>104</v>
      </c>
      <c r="M1052" s="47" t="s">
        <v>557</v>
      </c>
      <c r="N1052" s="47">
        <f>-0.0383+0.0209</f>
        <v>-1.7400000000000002E-2</v>
      </c>
      <c r="O1052" s="47" t="s">
        <v>312</v>
      </c>
      <c r="P1052" s="92" t="s">
        <v>312</v>
      </c>
      <c r="Q1052" s="47" t="s">
        <v>312</v>
      </c>
      <c r="R1052" s="92" t="s">
        <v>312</v>
      </c>
      <c r="S1052" s="92" t="s">
        <v>312</v>
      </c>
      <c r="T1052" s="47">
        <v>1</v>
      </c>
      <c r="U1052" s="47">
        <v>26142</v>
      </c>
      <c r="V1052" s="47" t="s">
        <v>312</v>
      </c>
      <c r="W1052" s="47" t="s">
        <v>312</v>
      </c>
      <c r="X1052" s="47">
        <f t="shared" si="423"/>
        <v>26142</v>
      </c>
      <c r="Y1052" s="92" t="s">
        <v>312</v>
      </c>
      <c r="Z1052" s="92" t="s">
        <v>312</v>
      </c>
      <c r="AA1052" s="92" t="str">
        <f t="shared" si="430"/>
        <v>NA</v>
      </c>
      <c r="AB1052" s="47" t="s">
        <v>81</v>
      </c>
      <c r="AC1052" s="92">
        <f t="shared" si="424"/>
        <v>-1.7879929577464794E-2</v>
      </c>
      <c r="AD1052" s="92" cm="1">
        <f t="array" ref="AD1052">_xlfn.IFS(
AND(L1052="marginal_effect",M1052="level"),N1052*AN1052/BF1052,
AND(L1052="marginal_effect",M1052="sd (Y)"),N1052*BI1052*AN1052/BF1052,
AND(L1052="marginal_effect",M1052="sd (X)"),N1052/AQ1052*AN1052/BF1052,
AND(L1052="semi_elasticity",M1052="level"),N1052*AN1052,
AND(L1052="semi_elasticity",M1052="sd (Y)"),N1052*AN1052*BI1052,
AND(L1052="semi_elasticity",M1052="sd (X)"),N1052*AN1052/AQ1052,
AND(L1052="level-log",M1052="level"),N1052/BF1052,
AND(L1052="level-log",M1052="sd (X)"),N1052/BF1052/AQ1052,
AND(L1052="level-log",M1052="sd (Y)"),N1052/BF1052*BI1052,
AND(L1052="elasticity",M1052="level"),N1052,
AND(L1052="elasticity",M1052="sd (X)"),N1052/AQ1052,
AND(L1052="elasticity",M1052="sd (Y)"),N1052*BI1052,
AND(L1052="marginal_effect",M1052="percent_of_mean"),N1052*AN1052/BF1052/10)</f>
        <v>-1.7879929577464794E-2</v>
      </c>
      <c r="AE1052" s="51">
        <f t="shared" si="431"/>
        <v>1</v>
      </c>
      <c r="AF1052" s="92" t="s">
        <v>312</v>
      </c>
      <c r="AG1052" s="92" t="s">
        <v>312</v>
      </c>
      <c r="AH1052" s="51">
        <f t="shared" si="433"/>
        <v>1</v>
      </c>
      <c r="AI1052" s="92">
        <f t="shared" si="432"/>
        <v>-1.7879929577464794E-2</v>
      </c>
      <c r="AJ1052" s="47">
        <v>0</v>
      </c>
      <c r="AK1052" s="47" t="s">
        <v>312</v>
      </c>
      <c r="AL1052" s="47" t="s">
        <v>106</v>
      </c>
      <c r="AM1052" s="47" t="s">
        <v>1333</v>
      </c>
      <c r="AN1052" s="47">
        <v>17.510000000000002</v>
      </c>
      <c r="AO1052" s="47">
        <v>0</v>
      </c>
      <c r="AP1052" s="47">
        <f t="shared" si="420"/>
        <v>17.510000000000002</v>
      </c>
      <c r="AQ1052" s="47">
        <v>17.04</v>
      </c>
      <c r="AR1052" s="47">
        <v>0</v>
      </c>
      <c r="AS1052" s="47">
        <v>79</v>
      </c>
      <c r="AT1052" s="47" t="s">
        <v>83</v>
      </c>
      <c r="AU1052" s="47" t="s">
        <v>109</v>
      </c>
      <c r="AV1052" s="47" t="s">
        <v>133</v>
      </c>
      <c r="AW1052" s="47" t="s">
        <v>85</v>
      </c>
      <c r="AX1052" s="47" t="s">
        <v>86</v>
      </c>
      <c r="AY1052" s="47">
        <v>0</v>
      </c>
      <c r="AZ1052" s="47">
        <v>0</v>
      </c>
      <c r="BA1052" s="47" t="s">
        <v>87</v>
      </c>
      <c r="BB1052" s="47" t="s">
        <v>134</v>
      </c>
      <c r="BC1052" s="47" t="s">
        <v>89</v>
      </c>
      <c r="BD1052" s="47" t="s">
        <v>433</v>
      </c>
      <c r="BE1052" s="47" t="s">
        <v>2021</v>
      </c>
      <c r="BF1052" s="47">
        <v>81.48</v>
      </c>
      <c r="BG1052" s="47">
        <v>0</v>
      </c>
      <c r="BH1052" s="47">
        <v>30.84</v>
      </c>
      <c r="BI1052" s="47">
        <v>30.05</v>
      </c>
      <c r="BJ1052" s="47">
        <v>200</v>
      </c>
      <c r="BK1052" s="47" t="s">
        <v>91</v>
      </c>
      <c r="BL1052" s="47" t="s">
        <v>2020</v>
      </c>
      <c r="BM1052" s="47">
        <v>1</v>
      </c>
      <c r="BN1052" s="47" t="s">
        <v>2177</v>
      </c>
      <c r="BO1052" s="47" t="s">
        <v>2022</v>
      </c>
      <c r="BP1052" s="47" t="s">
        <v>2023</v>
      </c>
      <c r="BQ1052" s="47" t="s">
        <v>92</v>
      </c>
      <c r="BR1052" s="47" t="s">
        <v>312</v>
      </c>
      <c r="BS1052" s="47" t="s">
        <v>312</v>
      </c>
      <c r="BT1052" s="47" t="s">
        <v>312</v>
      </c>
      <c r="BU1052" s="47">
        <v>1987</v>
      </c>
      <c r="BV1052" s="47">
        <v>1989</v>
      </c>
      <c r="BW1052" s="47" t="s">
        <v>94</v>
      </c>
      <c r="BX1052" s="47" t="s">
        <v>95</v>
      </c>
      <c r="BY1052" s="47" t="s">
        <v>96</v>
      </c>
      <c r="BZ1052" s="47">
        <v>0</v>
      </c>
      <c r="CA1052" s="47">
        <v>0</v>
      </c>
      <c r="CB1052" s="47" t="s">
        <v>97</v>
      </c>
      <c r="CC1052" s="47" t="s">
        <v>2024</v>
      </c>
      <c r="CD1052" s="47">
        <v>1</v>
      </c>
      <c r="CE1052" s="47" t="s">
        <v>2076</v>
      </c>
      <c r="CF1052" s="47">
        <v>1</v>
      </c>
      <c r="CG1052" s="47" t="s">
        <v>2029</v>
      </c>
      <c r="CH1052" s="47">
        <v>0</v>
      </c>
      <c r="CI1052" s="47" t="s">
        <v>97</v>
      </c>
      <c r="CJ1052" s="47" t="s">
        <v>98</v>
      </c>
      <c r="CK1052" s="47">
        <v>35</v>
      </c>
      <c r="CL1052" s="47">
        <v>0</v>
      </c>
      <c r="CM1052" s="47">
        <v>0</v>
      </c>
      <c r="CN1052" s="47" t="s">
        <v>99</v>
      </c>
      <c r="CO1052" s="47" t="s">
        <v>1318</v>
      </c>
      <c r="CP1052" s="47" t="s">
        <v>100</v>
      </c>
      <c r="CQ1052" s="47" t="s">
        <v>126</v>
      </c>
      <c r="CR1052" s="48">
        <v>46254</v>
      </c>
      <c r="CT1052" s="47" t="s">
        <v>661</v>
      </c>
    </row>
    <row r="1053" spans="1:98" s="55" customFormat="1" x14ac:dyDescent="0.35">
      <c r="A1053" s="54" t="s">
        <v>2065</v>
      </c>
      <c r="B1053" s="54" t="s">
        <v>2068</v>
      </c>
      <c r="C1053" s="55" t="s">
        <v>2066</v>
      </c>
      <c r="D1053" s="55">
        <v>2024</v>
      </c>
      <c r="E1053" s="60" t="s">
        <v>2067</v>
      </c>
      <c r="F1053" s="54" t="s">
        <v>1269</v>
      </c>
      <c r="G1053" s="55" t="s">
        <v>78</v>
      </c>
      <c r="H1053" s="55">
        <v>1</v>
      </c>
      <c r="I1053" s="55" t="s">
        <v>686</v>
      </c>
      <c r="J1053" s="55" t="s">
        <v>1174</v>
      </c>
      <c r="K1053" s="55">
        <v>2</v>
      </c>
      <c r="L1053" s="55" t="s">
        <v>80</v>
      </c>
      <c r="M1053" s="55" t="s">
        <v>380</v>
      </c>
      <c r="N1053" s="55">
        <v>-0.06</v>
      </c>
      <c r="O1053" s="55">
        <v>2.3E-2</v>
      </c>
      <c r="P1053" s="88">
        <f t="shared" ref="P1053:P1066" si="434">N1053/O1053</f>
        <v>-2.6086956521739131</v>
      </c>
      <c r="Q1053" s="55" t="s">
        <v>312</v>
      </c>
      <c r="R1053" s="88">
        <f t="shared" ref="R1053:R1066" si="435">N1053-1.96*O1053</f>
        <v>-0.10507999999999999</v>
      </c>
      <c r="S1053" s="88">
        <f t="shared" ref="S1053:S1066" si="436">N1053+1.96*O1053</f>
        <v>-1.4920000000000003E-2</v>
      </c>
      <c r="T1053" s="55">
        <v>1</v>
      </c>
      <c r="U1053" s="55">
        <v>57447</v>
      </c>
      <c r="V1053" s="55">
        <v>4</v>
      </c>
      <c r="W1053" s="55">
        <v>1</v>
      </c>
      <c r="X1053" s="55">
        <f t="shared" ref="X1053:X1065" si="437">U1053-V1053</f>
        <v>57443</v>
      </c>
      <c r="Y1053" s="88">
        <f t="shared" ref="Y1053:Y1070" si="438">P1053/(P1053^2 + X1053)^(1/2)</f>
        <v>-1.0883764443362561E-2</v>
      </c>
      <c r="Z1053" s="88">
        <f t="shared" ref="Z1053:Z1070" si="439">((1-Y1053^2)/X1053)^(1/2)</f>
        <v>4.172109703288982E-3</v>
      </c>
      <c r="AA1053" s="88">
        <f t="shared" si="430"/>
        <v>-1.0883764443362561E-2</v>
      </c>
      <c r="AB1053" s="55" t="s">
        <v>81</v>
      </c>
      <c r="AC1053" s="88">
        <f t="shared" ref="AC1053:AC1065" si="440">N1053</f>
        <v>-0.06</v>
      </c>
      <c r="AD1053" s="88" cm="1">
        <f t="array" ref="AD1053">_xlfn.IFS(
AND(L1053="marginal_effect",M1053="level"),N1053*AN1053/BF1053,
AND(L1053="marginal_effect",M1053="sd (Y)"),N1053*BI1053*AN1053/BF1053,
AND(L1053="marginal_effect",M1053="sd (X)"),N1053/AQ1053*AN1053/BF1053,
AND(L1053="semi_elasticity",M1053="level"),N1053*AN1053,
AND(L1053="semi_elasticity",M1053="sd (Y)"),N1053*AN1053*BI1053,
AND(L1053="semi_elasticity",M1053="sd (X)"),N1053*AN1053/AQ1053,
AND(L1053="level-log",M1053="level"),N1053/BF1053,
AND(L1053="level-log",M1053="sd (X)"),N1053/BF1053/AQ1053,
AND(L1053="level-log",M1053="sd (Y)"),N1053/BF1053*BI1053,
AND(L1053="elasticity",M1053="level"),N1053,
AND(L1053="elasticity",M1053="sd (X)"),N1053/AQ1053,
AND(L1053="elasticity",M1053="sd (Y)"),N1053*BI1053,
AND(L1053="marginal_effect",M1053="percent_of_mean"),N1053*AN1053/BF1053/10)</f>
        <v>-0.06</v>
      </c>
      <c r="AE1053" s="56">
        <f t="shared" si="431"/>
        <v>1</v>
      </c>
      <c r="AF1053" s="88">
        <f t="shared" ref="AF1053:AF1065" si="441">O1053</f>
        <v>2.3E-2</v>
      </c>
      <c r="AG1053" s="88" cm="1">
        <f t="array" ref="AG1053">_xlfn.IFS(
AND(L1053="marginal_effect",M1053="level"),O1053*AN1053/BF1053,
AND(L1053="marginal_effect",M1053="sd (Y)"),O1053*BI1053*AN1053/BF1053,
AND(L1053="marginal_effect",M1053="sd (X)"),O1053/AQ1053*AN1053/BF1053,
AND(L1053="semi_elasticity",M1053="level"),O1053*AN1053,
AND(L1053="semi_elasticity",M1053="sd (Y)"),O1053*AN1053*BI1053,
AND(L1053="semi_elasticity",M1053="sd (X)"),O1053*AN1053/AQ1053,
AND(L1053="level-log",M1053="level"),O1053/BF1053,
AND(L1053="level-log",M1053="sd (X)"),O1053/BF1053/AQ1053,
AND(L1053="level-log",M1053="sd (Y)"),O1053/BF1053*BI1053,
AND(L1053="elasticity",M1053="level"),O1053,
AND(L1053="elasticity",M1053="sd (X)"),O1053/AQ1053,
AND(L1053="elasticity",M1053="sd (Y)"),O1053*BI1053,
AND(L1053="marginal_effect",M1053="percent_of_mean"),O1053*AN1053/BF1053/10)</f>
        <v>2.3E-2</v>
      </c>
      <c r="AH1053" s="56">
        <f t="shared" si="433"/>
        <v>1</v>
      </c>
      <c r="AI1053" s="88">
        <f t="shared" si="432"/>
        <v>-0.06</v>
      </c>
      <c r="AJ1053" s="55">
        <v>0</v>
      </c>
      <c r="AK1053" s="55">
        <f t="shared" ref="AK1053:AK1086" si="442">IF(P1053=(AC1053/AF1053),1,0)</f>
        <v>1</v>
      </c>
      <c r="AL1053" s="55" t="s">
        <v>82</v>
      </c>
      <c r="AM1053" s="55" t="s">
        <v>1333</v>
      </c>
      <c r="AN1053" s="55" t="s">
        <v>312</v>
      </c>
      <c r="AO1053" s="55" t="s">
        <v>312</v>
      </c>
      <c r="AP1053" s="55" t="s">
        <v>312</v>
      </c>
      <c r="AQ1053" s="55" t="s">
        <v>312</v>
      </c>
      <c r="AR1053" s="55" t="s">
        <v>312</v>
      </c>
      <c r="AS1053" s="55" t="s">
        <v>312</v>
      </c>
      <c r="AT1053" s="55" t="s">
        <v>107</v>
      </c>
      <c r="AU1053" s="55" t="s">
        <v>109</v>
      </c>
      <c r="AV1053" s="55" t="s">
        <v>133</v>
      </c>
      <c r="AW1053" s="55" t="s">
        <v>134</v>
      </c>
      <c r="AX1053" s="55" t="s">
        <v>86</v>
      </c>
      <c r="AY1053" s="55">
        <v>0</v>
      </c>
      <c r="AZ1053" s="55">
        <v>0</v>
      </c>
      <c r="BA1053" s="55" t="s">
        <v>391</v>
      </c>
      <c r="BB1053" s="55" t="s">
        <v>134</v>
      </c>
      <c r="BC1053" s="55" t="s">
        <v>89</v>
      </c>
      <c r="BD1053" s="55" t="s">
        <v>134</v>
      </c>
      <c r="BE1053" s="55" t="s">
        <v>2074</v>
      </c>
      <c r="BF1053" s="55" t="s">
        <v>312</v>
      </c>
      <c r="BG1053" s="55" t="s">
        <v>312</v>
      </c>
      <c r="BH1053" s="55" t="s">
        <v>312</v>
      </c>
      <c r="BI1053" s="55" t="s">
        <v>312</v>
      </c>
      <c r="BJ1053" s="55" t="s">
        <v>312</v>
      </c>
      <c r="BK1053" s="55" t="s">
        <v>91</v>
      </c>
      <c r="BL1053" s="55" t="s">
        <v>116</v>
      </c>
      <c r="BM1053" s="55">
        <v>1</v>
      </c>
      <c r="BN1053" s="55" t="s">
        <v>2177</v>
      </c>
      <c r="BO1053" s="55" t="s">
        <v>312</v>
      </c>
      <c r="BP1053" s="55" t="s">
        <v>312</v>
      </c>
      <c r="BQ1053" s="55" t="s">
        <v>117</v>
      </c>
      <c r="BR1053" s="55" t="s">
        <v>134</v>
      </c>
      <c r="BS1053" s="55" t="s">
        <v>312</v>
      </c>
      <c r="BT1053" s="55" t="s">
        <v>312</v>
      </c>
      <c r="BU1053" s="55">
        <v>2008</v>
      </c>
      <c r="BV1053" s="55">
        <v>2010</v>
      </c>
      <c r="BW1053" s="55" t="s">
        <v>901</v>
      </c>
      <c r="BX1053" s="55" t="s">
        <v>95</v>
      </c>
      <c r="BY1053" s="55" t="s">
        <v>2078</v>
      </c>
      <c r="BZ1053" s="55">
        <v>0</v>
      </c>
      <c r="CA1053" s="55">
        <v>0</v>
      </c>
      <c r="CB1053" s="55" t="s">
        <v>97</v>
      </c>
      <c r="CC1053" s="55" t="s">
        <v>1375</v>
      </c>
      <c r="CD1053" s="55">
        <v>1</v>
      </c>
      <c r="CE1053" s="55" t="s">
        <v>2075</v>
      </c>
      <c r="CF1053" s="55">
        <v>0</v>
      </c>
      <c r="CG1053" s="55" t="s">
        <v>97</v>
      </c>
      <c r="CH1053" s="55">
        <v>0</v>
      </c>
      <c r="CI1053" s="55" t="s">
        <v>97</v>
      </c>
      <c r="CJ1053" s="55" t="s">
        <v>98</v>
      </c>
      <c r="CK1053" s="55">
        <v>13</v>
      </c>
      <c r="CL1053" s="55">
        <v>0</v>
      </c>
      <c r="CM1053" s="55">
        <v>0</v>
      </c>
      <c r="CN1053" s="55" t="s">
        <v>99</v>
      </c>
      <c r="CO1053" s="55" t="s">
        <v>97</v>
      </c>
      <c r="CP1053" s="55" t="s">
        <v>100</v>
      </c>
      <c r="CQ1053" s="55" t="s">
        <v>126</v>
      </c>
      <c r="CR1053" s="57">
        <v>46255</v>
      </c>
      <c r="CT1053" s="55" t="s">
        <v>543</v>
      </c>
    </row>
    <row r="1054" spans="1:98" s="55" customFormat="1" x14ac:dyDescent="0.35">
      <c r="A1054" s="54" t="s">
        <v>2065</v>
      </c>
      <c r="B1054" s="54" t="s">
        <v>2069</v>
      </c>
      <c r="C1054" s="55" t="s">
        <v>2066</v>
      </c>
      <c r="D1054" s="55">
        <v>2024</v>
      </c>
      <c r="E1054" s="60" t="s">
        <v>2067</v>
      </c>
      <c r="F1054" s="54" t="s">
        <v>1269</v>
      </c>
      <c r="G1054" s="55" t="s">
        <v>78</v>
      </c>
      <c r="H1054" s="55">
        <v>1</v>
      </c>
      <c r="I1054" s="55" t="s">
        <v>686</v>
      </c>
      <c r="J1054" s="55" t="s">
        <v>1174</v>
      </c>
      <c r="K1054" s="55">
        <v>2</v>
      </c>
      <c r="L1054" s="55" t="s">
        <v>80</v>
      </c>
      <c r="M1054" s="55" t="s">
        <v>380</v>
      </c>
      <c r="N1054" s="55">
        <v>-0.14299999999999999</v>
      </c>
      <c r="O1054" s="55">
        <v>2.4E-2</v>
      </c>
      <c r="P1054" s="88">
        <f t="shared" si="434"/>
        <v>-5.958333333333333</v>
      </c>
      <c r="Q1054" s="55" t="s">
        <v>312</v>
      </c>
      <c r="R1054" s="88">
        <f t="shared" si="435"/>
        <v>-0.19003999999999999</v>
      </c>
      <c r="S1054" s="88">
        <f t="shared" si="436"/>
        <v>-9.595999999999999E-2</v>
      </c>
      <c r="T1054" s="55">
        <v>1</v>
      </c>
      <c r="U1054" s="55">
        <v>55850</v>
      </c>
      <c r="V1054" s="55">
        <v>4</v>
      </c>
      <c r="W1054" s="55">
        <v>1</v>
      </c>
      <c r="X1054" s="55">
        <f t="shared" si="437"/>
        <v>55846</v>
      </c>
      <c r="Y1054" s="88">
        <f t="shared" si="438"/>
        <v>-2.520523560994466E-2</v>
      </c>
      <c r="Z1054" s="88">
        <f t="shared" si="439"/>
        <v>4.2302493331375654E-3</v>
      </c>
      <c r="AA1054" s="88">
        <f t="shared" si="430"/>
        <v>-2.520523560994466E-2</v>
      </c>
      <c r="AB1054" s="55" t="s">
        <v>81</v>
      </c>
      <c r="AC1054" s="88">
        <f t="shared" si="440"/>
        <v>-0.14299999999999999</v>
      </c>
      <c r="AD1054" s="88" cm="1">
        <f t="array" ref="AD1054">_xlfn.IFS(
AND(L1054="marginal_effect",M1054="level"),N1054*AN1054/BF1054,
AND(L1054="marginal_effect",M1054="sd (Y)"),N1054*BI1054*AN1054/BF1054,
AND(L1054="marginal_effect",M1054="sd (X)"),N1054/AQ1054*AN1054/BF1054,
AND(L1054="semi_elasticity",M1054="level"),N1054*AN1054,
AND(L1054="semi_elasticity",M1054="sd (Y)"),N1054*AN1054*BI1054,
AND(L1054="semi_elasticity",M1054="sd (X)"),N1054*AN1054/AQ1054,
AND(L1054="level-log",M1054="level"),N1054/BF1054,
AND(L1054="level-log",M1054="sd (X)"),N1054/BF1054/AQ1054,
AND(L1054="level-log",M1054="sd (Y)"),N1054/BF1054*BI1054,
AND(L1054="elasticity",M1054="level"),N1054,
AND(L1054="elasticity",M1054="sd (X)"),N1054/AQ1054,
AND(L1054="elasticity",M1054="sd (Y)"),N1054*BI1054,
AND(L1054="marginal_effect",M1054="percent_of_mean"),N1054*AN1054/BF1054/10)</f>
        <v>-0.14299999999999999</v>
      </c>
      <c r="AE1054" s="56">
        <f t="shared" si="431"/>
        <v>1</v>
      </c>
      <c r="AF1054" s="88">
        <f t="shared" si="441"/>
        <v>2.4E-2</v>
      </c>
      <c r="AG1054" s="88" cm="1">
        <f t="array" ref="AG1054">_xlfn.IFS(
AND(L1054="marginal_effect",M1054="level"),O1054*AN1054/BF1054,
AND(L1054="marginal_effect",M1054="sd (Y)"),O1054*BI1054*AN1054/BF1054,
AND(L1054="marginal_effect",M1054="sd (X)"),O1054/AQ1054*AN1054/BF1054,
AND(L1054="semi_elasticity",M1054="level"),O1054*AN1054,
AND(L1054="semi_elasticity",M1054="sd (Y)"),O1054*AN1054*BI1054,
AND(L1054="semi_elasticity",M1054="sd (X)"),O1054*AN1054/AQ1054,
AND(L1054="level-log",M1054="level"),O1054/BF1054,
AND(L1054="level-log",M1054="sd (X)"),O1054/BF1054/AQ1054,
AND(L1054="level-log",M1054="sd (Y)"),O1054/BF1054*BI1054,
AND(L1054="elasticity",M1054="level"),O1054,
AND(L1054="elasticity",M1054="sd (X)"),O1054/AQ1054,
AND(L1054="elasticity",M1054="sd (Y)"),O1054*BI1054,
AND(L1054="marginal_effect",M1054="percent_of_mean"),O1054*AN1054/BF1054/10)</f>
        <v>2.4E-2</v>
      </c>
      <c r="AH1054" s="56">
        <f t="shared" si="433"/>
        <v>1</v>
      </c>
      <c r="AI1054" s="88">
        <f t="shared" si="432"/>
        <v>-0.14299999999999999</v>
      </c>
      <c r="AJ1054" s="55">
        <v>0</v>
      </c>
      <c r="AK1054" s="55">
        <f t="shared" si="442"/>
        <v>1</v>
      </c>
      <c r="AL1054" s="55" t="s">
        <v>82</v>
      </c>
      <c r="AM1054" s="55" t="s">
        <v>1333</v>
      </c>
      <c r="AN1054" s="55" t="s">
        <v>312</v>
      </c>
      <c r="AO1054" s="55" t="s">
        <v>312</v>
      </c>
      <c r="AP1054" s="55" t="s">
        <v>312</v>
      </c>
      <c r="AQ1054" s="55" t="s">
        <v>312</v>
      </c>
      <c r="AR1054" s="55" t="s">
        <v>312</v>
      </c>
      <c r="AS1054" s="55" t="s">
        <v>312</v>
      </c>
      <c r="AT1054" s="55" t="s">
        <v>107</v>
      </c>
      <c r="AU1054" s="55" t="s">
        <v>109</v>
      </c>
      <c r="AV1054" s="55" t="s">
        <v>133</v>
      </c>
      <c r="AW1054" s="55" t="s">
        <v>134</v>
      </c>
      <c r="AX1054" s="55" t="s">
        <v>86</v>
      </c>
      <c r="AY1054" s="55">
        <v>0</v>
      </c>
      <c r="AZ1054" s="55">
        <v>0</v>
      </c>
      <c r="BA1054" s="55" t="s">
        <v>391</v>
      </c>
      <c r="BB1054" s="55" t="s">
        <v>134</v>
      </c>
      <c r="BC1054" s="55" t="s">
        <v>89</v>
      </c>
      <c r="BD1054" s="55" t="s">
        <v>134</v>
      </c>
      <c r="BE1054" s="55" t="s">
        <v>2074</v>
      </c>
      <c r="BF1054" s="55" t="s">
        <v>312</v>
      </c>
      <c r="BG1054" s="55" t="s">
        <v>312</v>
      </c>
      <c r="BH1054" s="55" t="s">
        <v>312</v>
      </c>
      <c r="BI1054" s="55" t="s">
        <v>312</v>
      </c>
      <c r="BJ1054" s="55" t="s">
        <v>312</v>
      </c>
      <c r="BK1054" s="55" t="s">
        <v>91</v>
      </c>
      <c r="BL1054" s="55" t="s">
        <v>116</v>
      </c>
      <c r="BM1054" s="55">
        <v>1</v>
      </c>
      <c r="BN1054" s="55" t="s">
        <v>2177</v>
      </c>
      <c r="BO1054" s="55" t="s">
        <v>312</v>
      </c>
      <c r="BP1054" s="55" t="s">
        <v>312</v>
      </c>
      <c r="BQ1054" s="55" t="s">
        <v>117</v>
      </c>
      <c r="BR1054" s="55" t="s">
        <v>134</v>
      </c>
      <c r="BS1054" s="55" t="s">
        <v>312</v>
      </c>
      <c r="BT1054" s="55" t="s">
        <v>312</v>
      </c>
      <c r="BU1054" s="55">
        <v>2008</v>
      </c>
      <c r="BV1054" s="55">
        <v>2010</v>
      </c>
      <c r="BW1054" s="55" t="s">
        <v>901</v>
      </c>
      <c r="BX1054" s="55" t="s">
        <v>95</v>
      </c>
      <c r="BY1054" s="55" t="s">
        <v>2078</v>
      </c>
      <c r="BZ1054" s="55">
        <v>0</v>
      </c>
      <c r="CA1054" s="55">
        <v>0</v>
      </c>
      <c r="CB1054" s="55" t="s">
        <v>97</v>
      </c>
      <c r="CC1054" s="55" t="s">
        <v>1375</v>
      </c>
      <c r="CD1054" s="55">
        <v>1</v>
      </c>
      <c r="CE1054" s="55" t="s">
        <v>2075</v>
      </c>
      <c r="CF1054" s="55">
        <v>0</v>
      </c>
      <c r="CG1054" s="55" t="s">
        <v>97</v>
      </c>
      <c r="CH1054" s="55">
        <v>0</v>
      </c>
      <c r="CI1054" s="55" t="s">
        <v>97</v>
      </c>
      <c r="CJ1054" s="55" t="s">
        <v>98</v>
      </c>
      <c r="CK1054" s="55">
        <v>13</v>
      </c>
      <c r="CL1054" s="55">
        <v>0</v>
      </c>
      <c r="CM1054" s="55">
        <v>0</v>
      </c>
      <c r="CN1054" s="55" t="s">
        <v>99</v>
      </c>
      <c r="CO1054" s="55" t="s">
        <v>97</v>
      </c>
      <c r="CP1054" s="55" t="s">
        <v>100</v>
      </c>
      <c r="CQ1054" s="55" t="s">
        <v>126</v>
      </c>
      <c r="CR1054" s="57">
        <v>46255</v>
      </c>
      <c r="CT1054" s="55" t="s">
        <v>549</v>
      </c>
    </row>
    <row r="1055" spans="1:98" s="55" customFormat="1" x14ac:dyDescent="0.35">
      <c r="A1055" s="54" t="s">
        <v>2065</v>
      </c>
      <c r="B1055" s="54" t="s">
        <v>2070</v>
      </c>
      <c r="C1055" s="55" t="s">
        <v>2066</v>
      </c>
      <c r="D1055" s="55">
        <v>2024</v>
      </c>
      <c r="E1055" s="60" t="s">
        <v>2067</v>
      </c>
      <c r="F1055" s="54" t="s">
        <v>1269</v>
      </c>
      <c r="G1055" s="55" t="s">
        <v>78</v>
      </c>
      <c r="H1055" s="55">
        <v>1</v>
      </c>
      <c r="I1055" s="55" t="s">
        <v>686</v>
      </c>
      <c r="J1055" s="55" t="s">
        <v>1174</v>
      </c>
      <c r="K1055" s="55">
        <v>2</v>
      </c>
      <c r="L1055" s="55" t="s">
        <v>80</v>
      </c>
      <c r="M1055" s="55" t="s">
        <v>380</v>
      </c>
      <c r="N1055" s="55">
        <v>-5.1999999999999998E-2</v>
      </c>
      <c r="O1055" s="55">
        <v>2.3E-2</v>
      </c>
      <c r="P1055" s="88">
        <f t="shared" si="434"/>
        <v>-2.2608695652173911</v>
      </c>
      <c r="Q1055" s="55" t="s">
        <v>312</v>
      </c>
      <c r="R1055" s="88">
        <f t="shared" si="435"/>
        <v>-9.708E-2</v>
      </c>
      <c r="S1055" s="88">
        <f t="shared" si="436"/>
        <v>-6.9200000000000025E-3</v>
      </c>
      <c r="T1055" s="55">
        <v>1</v>
      </c>
      <c r="U1055" s="55">
        <v>57447</v>
      </c>
      <c r="V1055" s="55">
        <v>4</v>
      </c>
      <c r="W1055" s="55">
        <v>1</v>
      </c>
      <c r="X1055" s="55">
        <f t="shared" si="437"/>
        <v>57443</v>
      </c>
      <c r="Y1055" s="88">
        <f t="shared" si="438"/>
        <v>-9.4327349020725728E-3</v>
      </c>
      <c r="Z1055" s="88">
        <f t="shared" si="439"/>
        <v>4.1721712066859458E-3</v>
      </c>
      <c r="AA1055" s="88">
        <f t="shared" si="430"/>
        <v>-9.4327349020725728E-3</v>
      </c>
      <c r="AB1055" s="55" t="s">
        <v>81</v>
      </c>
      <c r="AC1055" s="88">
        <f t="shared" si="440"/>
        <v>-5.1999999999999998E-2</v>
      </c>
      <c r="AD1055" s="88" cm="1">
        <f t="array" ref="AD1055">_xlfn.IFS(
AND(L1055="marginal_effect",M1055="level"),N1055*AN1055/BF1055,
AND(L1055="marginal_effect",M1055="sd (Y)"),N1055*BI1055*AN1055/BF1055,
AND(L1055="marginal_effect",M1055="sd (X)"),N1055/AQ1055*AN1055/BF1055,
AND(L1055="semi_elasticity",M1055="level"),N1055*AN1055,
AND(L1055="semi_elasticity",M1055="sd (Y)"),N1055*AN1055*BI1055,
AND(L1055="semi_elasticity",M1055="sd (X)"),N1055*AN1055/AQ1055,
AND(L1055="level-log",M1055="level"),N1055/BF1055,
AND(L1055="level-log",M1055="sd (X)"),N1055/BF1055/AQ1055,
AND(L1055="level-log",M1055="sd (Y)"),N1055/BF1055*BI1055,
AND(L1055="elasticity",M1055="level"),N1055,
AND(L1055="elasticity",M1055="sd (X)"),N1055/AQ1055,
AND(L1055="elasticity",M1055="sd (Y)"),N1055*BI1055,
AND(L1055="marginal_effect",M1055="percent_of_mean"),N1055*AN1055/BF1055/10)</f>
        <v>-5.1999999999999998E-2</v>
      </c>
      <c r="AE1055" s="56">
        <f t="shared" si="431"/>
        <v>1</v>
      </c>
      <c r="AF1055" s="88">
        <f t="shared" si="441"/>
        <v>2.3E-2</v>
      </c>
      <c r="AG1055" s="88" cm="1">
        <f t="array" ref="AG1055">_xlfn.IFS(
AND(L1055="marginal_effect",M1055="level"),O1055*AN1055/BF1055,
AND(L1055="marginal_effect",M1055="sd (Y)"),O1055*BI1055*AN1055/BF1055,
AND(L1055="marginal_effect",M1055="sd (X)"),O1055/AQ1055*AN1055/BF1055,
AND(L1055="semi_elasticity",M1055="level"),O1055*AN1055,
AND(L1055="semi_elasticity",M1055="sd (Y)"),O1055*AN1055*BI1055,
AND(L1055="semi_elasticity",M1055="sd (X)"),O1055*AN1055/AQ1055,
AND(L1055="level-log",M1055="level"),O1055/BF1055,
AND(L1055="level-log",M1055="sd (X)"),O1055/BF1055/AQ1055,
AND(L1055="level-log",M1055="sd (Y)"),O1055/BF1055*BI1055,
AND(L1055="elasticity",M1055="level"),O1055,
AND(L1055="elasticity",M1055="sd (X)"),O1055/AQ1055,
AND(L1055="elasticity",M1055="sd (Y)"),O1055*BI1055,
AND(L1055="marginal_effect",M1055="percent_of_mean"),O1055*AN1055/BF1055/10)</f>
        <v>2.3E-2</v>
      </c>
      <c r="AH1055" s="56">
        <f t="shared" si="433"/>
        <v>1</v>
      </c>
      <c r="AI1055" s="88">
        <f t="shared" si="432"/>
        <v>-5.1999999999999998E-2</v>
      </c>
      <c r="AJ1055" s="55">
        <v>0</v>
      </c>
      <c r="AK1055" s="55">
        <f t="shared" si="442"/>
        <v>1</v>
      </c>
      <c r="AL1055" s="55" t="s">
        <v>82</v>
      </c>
      <c r="AM1055" s="55" t="s">
        <v>1333</v>
      </c>
      <c r="AN1055" s="55" t="s">
        <v>312</v>
      </c>
      <c r="AO1055" s="55" t="s">
        <v>312</v>
      </c>
      <c r="AP1055" s="55" t="s">
        <v>312</v>
      </c>
      <c r="AQ1055" s="55" t="s">
        <v>312</v>
      </c>
      <c r="AR1055" s="55" t="s">
        <v>312</v>
      </c>
      <c r="AS1055" s="55" t="s">
        <v>312</v>
      </c>
      <c r="AT1055" s="55" t="s">
        <v>107</v>
      </c>
      <c r="AU1055" s="55" t="s">
        <v>109</v>
      </c>
      <c r="AV1055" s="55" t="s">
        <v>133</v>
      </c>
      <c r="AW1055" s="55" t="s">
        <v>134</v>
      </c>
      <c r="AX1055" s="55" t="s">
        <v>86</v>
      </c>
      <c r="AY1055" s="55">
        <v>0</v>
      </c>
      <c r="AZ1055" s="55">
        <v>0</v>
      </c>
      <c r="BA1055" s="55" t="s">
        <v>391</v>
      </c>
      <c r="BB1055" s="55" t="s">
        <v>134</v>
      </c>
      <c r="BC1055" s="55" t="s">
        <v>89</v>
      </c>
      <c r="BD1055" s="55" t="s">
        <v>134</v>
      </c>
      <c r="BE1055" s="55" t="s">
        <v>2074</v>
      </c>
      <c r="BF1055" s="55" t="s">
        <v>312</v>
      </c>
      <c r="BG1055" s="55" t="s">
        <v>312</v>
      </c>
      <c r="BH1055" s="55" t="s">
        <v>312</v>
      </c>
      <c r="BI1055" s="55" t="s">
        <v>312</v>
      </c>
      <c r="BJ1055" s="55" t="s">
        <v>312</v>
      </c>
      <c r="BK1055" s="55" t="s">
        <v>91</v>
      </c>
      <c r="BL1055" s="55" t="s">
        <v>116</v>
      </c>
      <c r="BM1055" s="55">
        <v>1</v>
      </c>
      <c r="BN1055" s="55" t="s">
        <v>2177</v>
      </c>
      <c r="BO1055" s="55" t="s">
        <v>312</v>
      </c>
      <c r="BP1055" s="55" t="s">
        <v>312</v>
      </c>
      <c r="BQ1055" s="55" t="s">
        <v>117</v>
      </c>
      <c r="BR1055" s="55" t="s">
        <v>134</v>
      </c>
      <c r="BS1055" s="55" t="s">
        <v>312</v>
      </c>
      <c r="BT1055" s="55" t="s">
        <v>312</v>
      </c>
      <c r="BU1055" s="55">
        <v>2008</v>
      </c>
      <c r="BV1055" s="55">
        <v>2010</v>
      </c>
      <c r="BW1055" s="55" t="s">
        <v>901</v>
      </c>
      <c r="BX1055" s="55" t="s">
        <v>95</v>
      </c>
      <c r="BY1055" s="55" t="s">
        <v>2077</v>
      </c>
      <c r="BZ1055" s="55">
        <v>0</v>
      </c>
      <c r="CA1055" s="55">
        <v>0</v>
      </c>
      <c r="CB1055" s="55" t="s">
        <v>97</v>
      </c>
      <c r="CC1055" s="55" t="s">
        <v>1375</v>
      </c>
      <c r="CD1055" s="55">
        <v>1</v>
      </c>
      <c r="CE1055" s="55" t="s">
        <v>2075</v>
      </c>
      <c r="CF1055" s="55">
        <v>0</v>
      </c>
      <c r="CG1055" s="55" t="s">
        <v>97</v>
      </c>
      <c r="CH1055" s="55">
        <v>0</v>
      </c>
      <c r="CI1055" s="55" t="s">
        <v>97</v>
      </c>
      <c r="CJ1055" s="55" t="s">
        <v>98</v>
      </c>
      <c r="CK1055" s="55">
        <v>13</v>
      </c>
      <c r="CL1055" s="55">
        <v>0</v>
      </c>
      <c r="CM1055" s="55">
        <v>0</v>
      </c>
      <c r="CN1055" s="55" t="s">
        <v>99</v>
      </c>
      <c r="CO1055" s="55" t="s">
        <v>97</v>
      </c>
      <c r="CP1055" s="55" t="s">
        <v>100</v>
      </c>
      <c r="CQ1055" s="55" t="s">
        <v>126</v>
      </c>
      <c r="CR1055" s="57">
        <v>46255</v>
      </c>
      <c r="CT1055" s="55" t="s">
        <v>550</v>
      </c>
    </row>
    <row r="1056" spans="1:98" s="55" customFormat="1" x14ac:dyDescent="0.35">
      <c r="A1056" s="54" t="s">
        <v>2065</v>
      </c>
      <c r="B1056" s="54" t="s">
        <v>2071</v>
      </c>
      <c r="C1056" s="55" t="s">
        <v>2066</v>
      </c>
      <c r="D1056" s="55">
        <v>2024</v>
      </c>
      <c r="E1056" s="60" t="s">
        <v>2067</v>
      </c>
      <c r="F1056" s="54" t="s">
        <v>1269</v>
      </c>
      <c r="G1056" s="55" t="s">
        <v>78</v>
      </c>
      <c r="H1056" s="55">
        <v>1</v>
      </c>
      <c r="I1056" s="55" t="s">
        <v>686</v>
      </c>
      <c r="J1056" s="55" t="s">
        <v>1174</v>
      </c>
      <c r="K1056" s="55">
        <v>2</v>
      </c>
      <c r="L1056" s="55" t="s">
        <v>80</v>
      </c>
      <c r="M1056" s="55" t="s">
        <v>380</v>
      </c>
      <c r="N1056" s="55">
        <v>-8.5000000000000006E-2</v>
      </c>
      <c r="O1056" s="55">
        <v>2.4E-2</v>
      </c>
      <c r="P1056" s="88">
        <f t="shared" si="434"/>
        <v>-3.541666666666667</v>
      </c>
      <c r="Q1056" s="55" t="s">
        <v>312</v>
      </c>
      <c r="R1056" s="88">
        <f t="shared" si="435"/>
        <v>-0.13203999999999999</v>
      </c>
      <c r="S1056" s="88">
        <f t="shared" si="436"/>
        <v>-3.7960000000000008E-2</v>
      </c>
      <c r="T1056" s="55">
        <v>1</v>
      </c>
      <c r="U1056" s="55">
        <v>55850</v>
      </c>
      <c r="V1056" s="55">
        <v>4</v>
      </c>
      <c r="W1056" s="55">
        <v>1</v>
      </c>
      <c r="X1056" s="55">
        <f t="shared" si="437"/>
        <v>55846</v>
      </c>
      <c r="Y1056" s="88">
        <f t="shared" si="438"/>
        <v>-1.4985211630205547E-2</v>
      </c>
      <c r="Z1056" s="88">
        <f t="shared" si="439"/>
        <v>4.2311185779403898E-3</v>
      </c>
      <c r="AA1056" s="88">
        <f t="shared" si="430"/>
        <v>-1.4985211630205547E-2</v>
      </c>
      <c r="AB1056" s="55" t="s">
        <v>81</v>
      </c>
      <c r="AC1056" s="88">
        <f t="shared" si="440"/>
        <v>-8.5000000000000006E-2</v>
      </c>
      <c r="AD1056" s="88" cm="1">
        <f t="array" ref="AD1056">_xlfn.IFS(
AND(L1056="marginal_effect",M1056="level"),N1056*AN1056/BF1056,
AND(L1056="marginal_effect",M1056="sd (Y)"),N1056*BI1056*AN1056/BF1056,
AND(L1056="marginal_effect",M1056="sd (X)"),N1056/AQ1056*AN1056/BF1056,
AND(L1056="semi_elasticity",M1056="level"),N1056*AN1056,
AND(L1056="semi_elasticity",M1056="sd (Y)"),N1056*AN1056*BI1056,
AND(L1056="semi_elasticity",M1056="sd (X)"),N1056*AN1056/AQ1056,
AND(L1056="level-log",M1056="level"),N1056/BF1056,
AND(L1056="level-log",M1056="sd (X)"),N1056/BF1056/AQ1056,
AND(L1056="level-log",M1056="sd (Y)"),N1056/BF1056*BI1056,
AND(L1056="elasticity",M1056="level"),N1056,
AND(L1056="elasticity",M1056="sd (X)"),N1056/AQ1056,
AND(L1056="elasticity",M1056="sd (Y)"),N1056*BI1056,
AND(L1056="marginal_effect",M1056="percent_of_mean"),N1056*AN1056/BF1056/10)</f>
        <v>-8.5000000000000006E-2</v>
      </c>
      <c r="AE1056" s="56">
        <f t="shared" si="431"/>
        <v>1</v>
      </c>
      <c r="AF1056" s="88">
        <f t="shared" si="441"/>
        <v>2.4E-2</v>
      </c>
      <c r="AG1056" s="88" cm="1">
        <f t="array" ref="AG1056">_xlfn.IFS(
AND(L1056="marginal_effect",M1056="level"),O1056*AN1056/BF1056,
AND(L1056="marginal_effect",M1056="sd (Y)"),O1056*BI1056*AN1056/BF1056,
AND(L1056="marginal_effect",M1056="sd (X)"),O1056/AQ1056*AN1056/BF1056,
AND(L1056="semi_elasticity",M1056="level"),O1056*AN1056,
AND(L1056="semi_elasticity",M1056="sd (Y)"),O1056*AN1056*BI1056,
AND(L1056="semi_elasticity",M1056="sd (X)"),O1056*AN1056/AQ1056,
AND(L1056="level-log",M1056="level"),O1056/BF1056,
AND(L1056="level-log",M1056="sd (X)"),O1056/BF1056/AQ1056,
AND(L1056="level-log",M1056="sd (Y)"),O1056/BF1056*BI1056,
AND(L1056="elasticity",M1056="level"),O1056,
AND(L1056="elasticity",M1056="sd (X)"),O1056/AQ1056,
AND(L1056="elasticity",M1056="sd (Y)"),O1056*BI1056,
AND(L1056="marginal_effect",M1056="percent_of_mean"),O1056*AN1056/BF1056/10)</f>
        <v>2.4E-2</v>
      </c>
      <c r="AH1056" s="56">
        <f t="shared" si="433"/>
        <v>1</v>
      </c>
      <c r="AI1056" s="88">
        <f t="shared" si="432"/>
        <v>-8.5000000000000006E-2</v>
      </c>
      <c r="AJ1056" s="55">
        <v>0</v>
      </c>
      <c r="AK1056" s="55">
        <f t="shared" si="442"/>
        <v>1</v>
      </c>
      <c r="AL1056" s="55" t="s">
        <v>82</v>
      </c>
      <c r="AM1056" s="55" t="s">
        <v>1333</v>
      </c>
      <c r="AN1056" s="55" t="s">
        <v>312</v>
      </c>
      <c r="AO1056" s="55" t="s">
        <v>312</v>
      </c>
      <c r="AP1056" s="55" t="s">
        <v>312</v>
      </c>
      <c r="AQ1056" s="55" t="s">
        <v>312</v>
      </c>
      <c r="AR1056" s="55" t="s">
        <v>312</v>
      </c>
      <c r="AS1056" s="55" t="s">
        <v>312</v>
      </c>
      <c r="AT1056" s="55" t="s">
        <v>107</v>
      </c>
      <c r="AU1056" s="55" t="s">
        <v>109</v>
      </c>
      <c r="AV1056" s="55" t="s">
        <v>133</v>
      </c>
      <c r="AW1056" s="55" t="s">
        <v>134</v>
      </c>
      <c r="AX1056" s="55" t="s">
        <v>86</v>
      </c>
      <c r="AY1056" s="55">
        <v>0</v>
      </c>
      <c r="AZ1056" s="55">
        <v>0</v>
      </c>
      <c r="BA1056" s="55" t="s">
        <v>391</v>
      </c>
      <c r="BB1056" s="55" t="s">
        <v>134</v>
      </c>
      <c r="BC1056" s="55" t="s">
        <v>89</v>
      </c>
      <c r="BD1056" s="55" t="s">
        <v>134</v>
      </c>
      <c r="BE1056" s="55" t="s">
        <v>2074</v>
      </c>
      <c r="BF1056" s="55" t="s">
        <v>312</v>
      </c>
      <c r="BG1056" s="55" t="s">
        <v>312</v>
      </c>
      <c r="BH1056" s="55" t="s">
        <v>312</v>
      </c>
      <c r="BI1056" s="55" t="s">
        <v>312</v>
      </c>
      <c r="BJ1056" s="55" t="s">
        <v>312</v>
      </c>
      <c r="BK1056" s="55" t="s">
        <v>91</v>
      </c>
      <c r="BL1056" s="55" t="s">
        <v>116</v>
      </c>
      <c r="BM1056" s="55">
        <v>1</v>
      </c>
      <c r="BN1056" s="55" t="s">
        <v>2177</v>
      </c>
      <c r="BO1056" s="55" t="s">
        <v>312</v>
      </c>
      <c r="BP1056" s="55" t="s">
        <v>312</v>
      </c>
      <c r="BQ1056" s="55" t="s">
        <v>117</v>
      </c>
      <c r="BR1056" s="55" t="s">
        <v>134</v>
      </c>
      <c r="BS1056" s="55" t="s">
        <v>312</v>
      </c>
      <c r="BT1056" s="55" t="s">
        <v>312</v>
      </c>
      <c r="BU1056" s="55">
        <v>2008</v>
      </c>
      <c r="BV1056" s="55">
        <v>2010</v>
      </c>
      <c r="BW1056" s="55" t="s">
        <v>901</v>
      </c>
      <c r="BX1056" s="55" t="s">
        <v>95</v>
      </c>
      <c r="BY1056" s="55" t="s">
        <v>2077</v>
      </c>
      <c r="BZ1056" s="55">
        <v>0</v>
      </c>
      <c r="CA1056" s="55">
        <v>0</v>
      </c>
      <c r="CB1056" s="55" t="s">
        <v>97</v>
      </c>
      <c r="CC1056" s="55" t="s">
        <v>1375</v>
      </c>
      <c r="CD1056" s="55">
        <v>1</v>
      </c>
      <c r="CE1056" s="55" t="s">
        <v>2075</v>
      </c>
      <c r="CF1056" s="55">
        <v>0</v>
      </c>
      <c r="CG1056" s="55" t="s">
        <v>97</v>
      </c>
      <c r="CH1056" s="55">
        <v>0</v>
      </c>
      <c r="CI1056" s="55" t="s">
        <v>97</v>
      </c>
      <c r="CJ1056" s="55" t="s">
        <v>98</v>
      </c>
      <c r="CK1056" s="55">
        <v>13</v>
      </c>
      <c r="CL1056" s="55">
        <v>0</v>
      </c>
      <c r="CM1056" s="55">
        <v>0</v>
      </c>
      <c r="CN1056" s="55" t="s">
        <v>99</v>
      </c>
      <c r="CO1056" s="55" t="s">
        <v>97</v>
      </c>
      <c r="CP1056" s="55" t="s">
        <v>100</v>
      </c>
      <c r="CQ1056" s="55" t="s">
        <v>126</v>
      </c>
      <c r="CR1056" s="57">
        <v>46255</v>
      </c>
      <c r="CT1056" s="55" t="s">
        <v>551</v>
      </c>
    </row>
    <row r="1057" spans="1:105" s="55" customFormat="1" x14ac:dyDescent="0.35">
      <c r="A1057" s="54" t="s">
        <v>2065</v>
      </c>
      <c r="B1057" s="54" t="s">
        <v>2072</v>
      </c>
      <c r="C1057" s="55" t="s">
        <v>2066</v>
      </c>
      <c r="D1057" s="55">
        <v>2024</v>
      </c>
      <c r="E1057" s="60" t="s">
        <v>2067</v>
      </c>
      <c r="F1057" s="54" t="s">
        <v>1269</v>
      </c>
      <c r="G1057" s="55" t="s">
        <v>78</v>
      </c>
      <c r="H1057" s="55">
        <v>1</v>
      </c>
      <c r="I1057" s="55" t="s">
        <v>686</v>
      </c>
      <c r="J1057" s="55" t="s">
        <v>1174</v>
      </c>
      <c r="K1057" s="55">
        <v>2</v>
      </c>
      <c r="L1057" s="55" t="s">
        <v>80</v>
      </c>
      <c r="M1057" s="55" t="s">
        <v>380</v>
      </c>
      <c r="N1057" s="55">
        <v>-1.4890000000000001</v>
      </c>
      <c r="O1057" s="55">
        <v>0.497</v>
      </c>
      <c r="P1057" s="88">
        <f t="shared" si="434"/>
        <v>-2.9959758551307849</v>
      </c>
      <c r="Q1057" s="55" t="s">
        <v>312</v>
      </c>
      <c r="R1057" s="88">
        <f t="shared" si="435"/>
        <v>-2.46312</v>
      </c>
      <c r="S1057" s="88">
        <f t="shared" si="436"/>
        <v>-0.51488000000000012</v>
      </c>
      <c r="T1057" s="55">
        <v>1</v>
      </c>
      <c r="U1057" s="55">
        <v>57446</v>
      </c>
      <c r="V1057" s="55">
        <v>4</v>
      </c>
      <c r="W1057" s="55">
        <v>1</v>
      </c>
      <c r="X1057" s="55">
        <f t="shared" si="437"/>
        <v>57442</v>
      </c>
      <c r="Y1057" s="88">
        <f t="shared" si="438"/>
        <v>-1.2499412594701347E-2</v>
      </c>
      <c r="Z1057" s="88">
        <f t="shared" si="439"/>
        <v>4.1720671991716382E-3</v>
      </c>
      <c r="AA1057" s="88">
        <f t="shared" si="430"/>
        <v>-1.2499412594701347E-2</v>
      </c>
      <c r="AB1057" s="55" t="s">
        <v>81</v>
      </c>
      <c r="AC1057" s="88">
        <f t="shared" si="440"/>
        <v>-1.4890000000000001</v>
      </c>
      <c r="AD1057" s="88" cm="1">
        <f t="array" ref="AD1057">_xlfn.IFS(
AND(L1057="marginal_effect",M1057="level"),N1057*AN1057/BF1057,
AND(L1057="marginal_effect",M1057="sd (Y)"),N1057*BI1057*AN1057/BF1057,
AND(L1057="marginal_effect",M1057="sd (X)"),N1057/AQ1057*AN1057/BF1057,
AND(L1057="semi_elasticity",M1057="level"),N1057*AN1057,
AND(L1057="semi_elasticity",M1057="sd (Y)"),N1057*AN1057*BI1057,
AND(L1057="semi_elasticity",M1057="sd (X)"),N1057*AN1057/AQ1057,
AND(L1057="level-log",M1057="level"),N1057/BF1057,
AND(L1057="level-log",M1057="sd (X)"),N1057/BF1057/AQ1057,
AND(L1057="level-log",M1057="sd (Y)"),N1057/BF1057*BI1057,
AND(L1057="elasticity",M1057="level"),N1057,
AND(L1057="elasticity",M1057="sd (X)"),N1057/AQ1057,
AND(L1057="elasticity",M1057="sd (Y)"),N1057*BI1057,
AND(L1057="marginal_effect",M1057="percent_of_mean"),N1057*AN1057/BF1057/10)</f>
        <v>-1.4890000000000001</v>
      </c>
      <c r="AE1057" s="56">
        <f t="shared" si="431"/>
        <v>1</v>
      </c>
      <c r="AF1057" s="88">
        <f t="shared" si="441"/>
        <v>0.497</v>
      </c>
      <c r="AG1057" s="88" cm="1">
        <f t="array" ref="AG1057">_xlfn.IFS(
AND(L1057="marginal_effect",M1057="level"),O1057*AN1057/BF1057,
AND(L1057="marginal_effect",M1057="sd (Y)"),O1057*BI1057*AN1057/BF1057,
AND(L1057="marginal_effect",M1057="sd (X)"),O1057/AQ1057*AN1057/BF1057,
AND(L1057="semi_elasticity",M1057="level"),O1057*AN1057,
AND(L1057="semi_elasticity",M1057="sd (Y)"),O1057*AN1057*BI1057,
AND(L1057="semi_elasticity",M1057="sd (X)"),O1057*AN1057/AQ1057,
AND(L1057="level-log",M1057="level"),O1057/BF1057,
AND(L1057="level-log",M1057="sd (X)"),O1057/BF1057/AQ1057,
AND(L1057="level-log",M1057="sd (Y)"),O1057/BF1057*BI1057,
AND(L1057="elasticity",M1057="level"),O1057,
AND(L1057="elasticity",M1057="sd (X)"),O1057/AQ1057,
AND(L1057="elasticity",M1057="sd (Y)"),O1057*BI1057,
AND(L1057="marginal_effect",M1057="percent_of_mean"),O1057*AN1057/BF1057/10)</f>
        <v>0.497</v>
      </c>
      <c r="AH1057" s="56">
        <f t="shared" si="433"/>
        <v>1</v>
      </c>
      <c r="AI1057" s="88">
        <f t="shared" si="432"/>
        <v>-1.4890000000000001</v>
      </c>
      <c r="AJ1057" s="55">
        <v>0</v>
      </c>
      <c r="AK1057" s="55">
        <f t="shared" si="442"/>
        <v>1</v>
      </c>
      <c r="AL1057" s="55" t="s">
        <v>82</v>
      </c>
      <c r="AM1057" s="55" t="s">
        <v>1333</v>
      </c>
      <c r="AN1057" s="55" t="s">
        <v>312</v>
      </c>
      <c r="AO1057" s="55" t="s">
        <v>312</v>
      </c>
      <c r="AP1057" s="55" t="s">
        <v>312</v>
      </c>
      <c r="AQ1057" s="55" t="s">
        <v>312</v>
      </c>
      <c r="AR1057" s="55" t="s">
        <v>312</v>
      </c>
      <c r="AS1057" s="55" t="s">
        <v>312</v>
      </c>
      <c r="AT1057" s="55" t="s">
        <v>107</v>
      </c>
      <c r="AU1057" s="55" t="s">
        <v>109</v>
      </c>
      <c r="AV1057" s="55" t="s">
        <v>133</v>
      </c>
      <c r="AW1057" s="55" t="s">
        <v>134</v>
      </c>
      <c r="AX1057" s="55" t="s">
        <v>86</v>
      </c>
      <c r="AY1057" s="55">
        <v>0</v>
      </c>
      <c r="AZ1057" s="55">
        <v>0</v>
      </c>
      <c r="BA1057" s="55" t="s">
        <v>391</v>
      </c>
      <c r="BB1057" s="55" t="s">
        <v>134</v>
      </c>
      <c r="BC1057" s="55" t="s">
        <v>89</v>
      </c>
      <c r="BD1057" s="55" t="s">
        <v>134</v>
      </c>
      <c r="BE1057" s="55" t="s">
        <v>2074</v>
      </c>
      <c r="BF1057" s="55" t="s">
        <v>312</v>
      </c>
      <c r="BG1057" s="55" t="s">
        <v>312</v>
      </c>
      <c r="BH1057" s="55" t="s">
        <v>312</v>
      </c>
      <c r="BI1057" s="55" t="s">
        <v>312</v>
      </c>
      <c r="BJ1057" s="55" t="s">
        <v>312</v>
      </c>
      <c r="BK1057" s="55" t="s">
        <v>91</v>
      </c>
      <c r="BL1057" s="55" t="s">
        <v>116</v>
      </c>
      <c r="BM1057" s="55">
        <v>1</v>
      </c>
      <c r="BN1057" s="55" t="s">
        <v>2177</v>
      </c>
      <c r="BO1057" s="55" t="s">
        <v>312</v>
      </c>
      <c r="BP1057" s="55" t="s">
        <v>312</v>
      </c>
      <c r="BQ1057" s="55" t="s">
        <v>117</v>
      </c>
      <c r="BR1057" s="55" t="s">
        <v>134</v>
      </c>
      <c r="BS1057" s="55" t="s">
        <v>312</v>
      </c>
      <c r="BT1057" s="55" t="s">
        <v>312</v>
      </c>
      <c r="BU1057" s="55">
        <v>2008</v>
      </c>
      <c r="BV1057" s="55">
        <v>2010</v>
      </c>
      <c r="BW1057" s="55" t="s">
        <v>901</v>
      </c>
      <c r="BX1057" s="55" t="s">
        <v>95</v>
      </c>
      <c r="BY1057" s="55" t="s">
        <v>2084</v>
      </c>
      <c r="BZ1057" s="55">
        <v>1</v>
      </c>
      <c r="CA1057" s="55">
        <v>0</v>
      </c>
      <c r="CB1057" s="55" t="s">
        <v>97</v>
      </c>
      <c r="CC1057" s="55" t="s">
        <v>313</v>
      </c>
      <c r="CD1057" s="55">
        <v>1</v>
      </c>
      <c r="CE1057" s="55" t="s">
        <v>2075</v>
      </c>
      <c r="CF1057" s="55">
        <v>0</v>
      </c>
      <c r="CG1057" s="55" t="s">
        <v>97</v>
      </c>
      <c r="CH1057" s="55">
        <v>0</v>
      </c>
      <c r="CI1057" s="55" t="s">
        <v>97</v>
      </c>
      <c r="CJ1057" s="55" t="s">
        <v>98</v>
      </c>
      <c r="CK1057" s="55">
        <v>13</v>
      </c>
      <c r="CL1057" s="55">
        <v>1</v>
      </c>
      <c r="CM1057" s="55">
        <v>1</v>
      </c>
      <c r="CN1057" s="55" t="s">
        <v>99</v>
      </c>
      <c r="CO1057" s="55" t="s">
        <v>97</v>
      </c>
      <c r="CP1057" s="55" t="s">
        <v>100</v>
      </c>
      <c r="CQ1057" s="55" t="s">
        <v>126</v>
      </c>
      <c r="CR1057" s="57">
        <v>46255</v>
      </c>
      <c r="CT1057" s="55" t="s">
        <v>552</v>
      </c>
      <c r="CU1057" s="55" t="s">
        <v>2079</v>
      </c>
    </row>
    <row r="1058" spans="1:105" s="55" customFormat="1" x14ac:dyDescent="0.35">
      <c r="A1058" s="54" t="s">
        <v>2065</v>
      </c>
      <c r="B1058" s="54" t="s">
        <v>2073</v>
      </c>
      <c r="C1058" s="55" t="s">
        <v>2066</v>
      </c>
      <c r="D1058" s="55">
        <v>2024</v>
      </c>
      <c r="E1058" s="60" t="s">
        <v>2067</v>
      </c>
      <c r="F1058" s="54" t="s">
        <v>1269</v>
      </c>
      <c r="G1058" s="55" t="s">
        <v>78</v>
      </c>
      <c r="H1058" s="55">
        <v>1</v>
      </c>
      <c r="I1058" s="55" t="s">
        <v>686</v>
      </c>
      <c r="J1058" s="55" t="s">
        <v>1174</v>
      </c>
      <c r="K1058" s="55">
        <v>2</v>
      </c>
      <c r="L1058" s="55" t="s">
        <v>80</v>
      </c>
      <c r="M1058" s="55" t="s">
        <v>380</v>
      </c>
      <c r="N1058" s="55">
        <v>-2.0329999999999999</v>
      </c>
      <c r="O1058" s="55">
        <v>0.54</v>
      </c>
      <c r="P1058" s="88">
        <f t="shared" si="434"/>
        <v>-3.7648148148148146</v>
      </c>
      <c r="Q1058" s="55" t="s">
        <v>312</v>
      </c>
      <c r="R1058" s="88">
        <f t="shared" si="435"/>
        <v>-3.0914000000000001</v>
      </c>
      <c r="S1058" s="88">
        <f t="shared" si="436"/>
        <v>-0.97459999999999991</v>
      </c>
      <c r="T1058" s="55">
        <v>1</v>
      </c>
      <c r="U1058" s="55">
        <v>55849</v>
      </c>
      <c r="V1058" s="55">
        <v>4</v>
      </c>
      <c r="W1058" s="55">
        <v>1</v>
      </c>
      <c r="X1058" s="55">
        <f t="shared" si="437"/>
        <v>55845</v>
      </c>
      <c r="Y1058" s="88">
        <f t="shared" si="438"/>
        <v>-1.5929288015567315E-2</v>
      </c>
      <c r="Z1058" s="88">
        <f t="shared" si="439"/>
        <v>4.2310947016263398E-3</v>
      </c>
      <c r="AA1058" s="88">
        <f t="shared" ref="AA1058:AA1070" si="443">Y1058</f>
        <v>-1.5929288015567315E-2</v>
      </c>
      <c r="AB1058" s="55" t="s">
        <v>81</v>
      </c>
      <c r="AC1058" s="88">
        <f t="shared" si="440"/>
        <v>-2.0329999999999999</v>
      </c>
      <c r="AD1058" s="88" cm="1">
        <f t="array" ref="AD1058">_xlfn.IFS(
AND(L1058="marginal_effect",M1058="level"),N1058*AN1058/BF1058,
AND(L1058="marginal_effect",M1058="sd (Y)"),N1058*BI1058*AN1058/BF1058,
AND(L1058="marginal_effect",M1058="sd (X)"),N1058/AQ1058*AN1058/BF1058,
AND(L1058="semi_elasticity",M1058="level"),N1058*AN1058,
AND(L1058="semi_elasticity",M1058="sd (Y)"),N1058*AN1058*BI1058,
AND(L1058="semi_elasticity",M1058="sd (X)"),N1058*AN1058/AQ1058,
AND(L1058="level-log",M1058="level"),N1058/BF1058,
AND(L1058="level-log",M1058="sd (X)"),N1058/BF1058/AQ1058,
AND(L1058="level-log",M1058="sd (Y)"),N1058/BF1058*BI1058,
AND(L1058="elasticity",M1058="level"),N1058,
AND(L1058="elasticity",M1058="sd (X)"),N1058/AQ1058,
AND(L1058="elasticity",M1058="sd (Y)"),N1058*BI1058,
AND(L1058="marginal_effect",M1058="percent_of_mean"),N1058*AN1058/BF1058/10)</f>
        <v>-2.0329999999999999</v>
      </c>
      <c r="AE1058" s="56">
        <f t="shared" ref="AE1058:AE1074" si="444">IF(AC1058=AD1058,1,0)</f>
        <v>1</v>
      </c>
      <c r="AF1058" s="88">
        <f t="shared" si="441"/>
        <v>0.54</v>
      </c>
      <c r="AG1058" s="88" cm="1">
        <f t="array" ref="AG1058">_xlfn.IFS(
AND(L1058="marginal_effect",M1058="level"),O1058*AN1058/BF1058,
AND(L1058="marginal_effect",M1058="sd (Y)"),O1058*BI1058*AN1058/BF1058,
AND(L1058="marginal_effect",M1058="sd (X)"),O1058/AQ1058*AN1058/BF1058,
AND(L1058="semi_elasticity",M1058="level"),O1058*AN1058,
AND(L1058="semi_elasticity",M1058="sd (Y)"),O1058*AN1058*BI1058,
AND(L1058="semi_elasticity",M1058="sd (X)"),O1058*AN1058/AQ1058,
AND(L1058="level-log",M1058="level"),O1058/BF1058,
AND(L1058="level-log",M1058="sd (X)"),O1058/BF1058/AQ1058,
AND(L1058="level-log",M1058="sd (Y)"),O1058/BF1058*BI1058,
AND(L1058="elasticity",M1058="level"),O1058,
AND(L1058="elasticity",M1058="sd (X)"),O1058/AQ1058,
AND(L1058="elasticity",M1058="sd (Y)"),O1058*BI1058,
AND(L1058="marginal_effect",M1058="percent_of_mean"),O1058*AN1058/BF1058/10)</f>
        <v>0.54</v>
      </c>
      <c r="AH1058" s="56">
        <f t="shared" si="433"/>
        <v>1</v>
      </c>
      <c r="AI1058" s="88">
        <f t="shared" ref="AI1058:AI1086" si="445">AC1058</f>
        <v>-2.0329999999999999</v>
      </c>
      <c r="AJ1058" s="55">
        <v>0</v>
      </c>
      <c r="AK1058" s="55">
        <f t="shared" si="442"/>
        <v>1</v>
      </c>
      <c r="AL1058" s="55" t="s">
        <v>82</v>
      </c>
      <c r="AM1058" s="55" t="s">
        <v>1333</v>
      </c>
      <c r="AN1058" s="55" t="s">
        <v>312</v>
      </c>
      <c r="AO1058" s="55" t="s">
        <v>312</v>
      </c>
      <c r="AP1058" s="55" t="s">
        <v>312</v>
      </c>
      <c r="AQ1058" s="55" t="s">
        <v>312</v>
      </c>
      <c r="AR1058" s="55" t="s">
        <v>312</v>
      </c>
      <c r="AS1058" s="55" t="s">
        <v>312</v>
      </c>
      <c r="AT1058" s="55" t="s">
        <v>107</v>
      </c>
      <c r="AU1058" s="55" t="s">
        <v>109</v>
      </c>
      <c r="AV1058" s="55" t="s">
        <v>133</v>
      </c>
      <c r="AW1058" s="55" t="s">
        <v>134</v>
      </c>
      <c r="AX1058" s="55" t="s">
        <v>86</v>
      </c>
      <c r="AY1058" s="55">
        <v>0</v>
      </c>
      <c r="AZ1058" s="55">
        <v>0</v>
      </c>
      <c r="BA1058" s="55" t="s">
        <v>391</v>
      </c>
      <c r="BB1058" s="55" t="s">
        <v>134</v>
      </c>
      <c r="BC1058" s="55" t="s">
        <v>89</v>
      </c>
      <c r="BD1058" s="55" t="s">
        <v>134</v>
      </c>
      <c r="BE1058" s="55" t="s">
        <v>2074</v>
      </c>
      <c r="BF1058" s="55" t="s">
        <v>312</v>
      </c>
      <c r="BG1058" s="55" t="s">
        <v>312</v>
      </c>
      <c r="BH1058" s="55" t="s">
        <v>312</v>
      </c>
      <c r="BI1058" s="55" t="s">
        <v>312</v>
      </c>
      <c r="BJ1058" s="55" t="s">
        <v>312</v>
      </c>
      <c r="BK1058" s="55" t="s">
        <v>91</v>
      </c>
      <c r="BL1058" s="55" t="s">
        <v>116</v>
      </c>
      <c r="BM1058" s="55">
        <v>1</v>
      </c>
      <c r="BN1058" s="55" t="s">
        <v>2177</v>
      </c>
      <c r="BO1058" s="55" t="s">
        <v>312</v>
      </c>
      <c r="BP1058" s="55" t="s">
        <v>312</v>
      </c>
      <c r="BQ1058" s="55" t="s">
        <v>117</v>
      </c>
      <c r="BR1058" s="55" t="s">
        <v>134</v>
      </c>
      <c r="BS1058" s="55" t="s">
        <v>312</v>
      </c>
      <c r="BT1058" s="55" t="s">
        <v>312</v>
      </c>
      <c r="BU1058" s="55">
        <v>2008</v>
      </c>
      <c r="BV1058" s="55">
        <v>2010</v>
      </c>
      <c r="BW1058" s="55" t="s">
        <v>901</v>
      </c>
      <c r="BX1058" s="55" t="s">
        <v>95</v>
      </c>
      <c r="BY1058" s="55" t="s">
        <v>2084</v>
      </c>
      <c r="BZ1058" s="55">
        <v>1</v>
      </c>
      <c r="CA1058" s="55">
        <v>0</v>
      </c>
      <c r="CB1058" s="55" t="s">
        <v>97</v>
      </c>
      <c r="CC1058" s="55" t="s">
        <v>313</v>
      </c>
      <c r="CD1058" s="55">
        <v>1</v>
      </c>
      <c r="CE1058" s="55" t="s">
        <v>2075</v>
      </c>
      <c r="CF1058" s="55">
        <v>0</v>
      </c>
      <c r="CG1058" s="55" t="s">
        <v>97</v>
      </c>
      <c r="CH1058" s="55">
        <v>0</v>
      </c>
      <c r="CI1058" s="55" t="s">
        <v>97</v>
      </c>
      <c r="CJ1058" s="55" t="s">
        <v>98</v>
      </c>
      <c r="CK1058" s="55">
        <v>13</v>
      </c>
      <c r="CL1058" s="55">
        <v>0</v>
      </c>
      <c r="CM1058" s="55">
        <v>0</v>
      </c>
      <c r="CN1058" s="55" t="s">
        <v>99</v>
      </c>
      <c r="CO1058" s="55" t="s">
        <v>97</v>
      </c>
      <c r="CP1058" s="55" t="s">
        <v>100</v>
      </c>
      <c r="CQ1058" s="55" t="s">
        <v>126</v>
      </c>
      <c r="CR1058" s="57">
        <v>46255</v>
      </c>
      <c r="CT1058" s="55" t="s">
        <v>553</v>
      </c>
      <c r="CU1058" s="55" t="s">
        <v>2079</v>
      </c>
    </row>
    <row r="1059" spans="1:105" s="55" customFormat="1" x14ac:dyDescent="0.35">
      <c r="A1059" s="54" t="s">
        <v>2065</v>
      </c>
      <c r="B1059" s="54" t="s">
        <v>2080</v>
      </c>
      <c r="C1059" s="55" t="s">
        <v>2066</v>
      </c>
      <c r="D1059" s="55">
        <v>2024</v>
      </c>
      <c r="E1059" s="60" t="s">
        <v>2067</v>
      </c>
      <c r="F1059" s="54" t="s">
        <v>1269</v>
      </c>
      <c r="G1059" s="55" t="s">
        <v>78</v>
      </c>
      <c r="H1059" s="55">
        <v>1</v>
      </c>
      <c r="I1059" s="55" t="s">
        <v>686</v>
      </c>
      <c r="J1059" s="55" t="s">
        <v>1174</v>
      </c>
      <c r="K1059" s="55">
        <v>2</v>
      </c>
      <c r="L1059" s="55" t="s">
        <v>80</v>
      </c>
      <c r="M1059" s="55" t="s">
        <v>380</v>
      </c>
      <c r="N1059" s="55">
        <v>7.8E-2</v>
      </c>
      <c r="O1059" s="55">
        <v>0.04</v>
      </c>
      <c r="P1059" s="88">
        <f t="shared" si="434"/>
        <v>1.95</v>
      </c>
      <c r="Q1059" s="55" t="s">
        <v>312</v>
      </c>
      <c r="R1059" s="88">
        <f t="shared" si="435"/>
        <v>-3.9999999999999758E-4</v>
      </c>
      <c r="S1059" s="88">
        <f t="shared" si="436"/>
        <v>0.15639999999999998</v>
      </c>
      <c r="T1059" s="55">
        <v>1</v>
      </c>
      <c r="U1059" s="55">
        <v>16647</v>
      </c>
      <c r="V1059" s="55">
        <v>4</v>
      </c>
      <c r="W1059" s="55">
        <v>1</v>
      </c>
      <c r="X1059" s="55">
        <f t="shared" si="437"/>
        <v>16643</v>
      </c>
      <c r="Y1059" s="88">
        <f t="shared" si="438"/>
        <v>1.5113644333937665E-2</v>
      </c>
      <c r="Z1059" s="88">
        <f t="shared" si="439"/>
        <v>7.7505868379167519E-3</v>
      </c>
      <c r="AA1059" s="88">
        <f t="shared" si="443"/>
        <v>1.5113644333937665E-2</v>
      </c>
      <c r="AB1059" s="55" t="s">
        <v>81</v>
      </c>
      <c r="AC1059" s="88">
        <f t="shared" si="440"/>
        <v>7.8E-2</v>
      </c>
      <c r="AD1059" s="88" cm="1">
        <f t="array" ref="AD1059">_xlfn.IFS(
AND(L1059="marginal_effect",M1059="level"),N1059*AN1059/BF1059,
AND(L1059="marginal_effect",M1059="sd (Y)"),N1059*BI1059*AN1059/BF1059,
AND(L1059="marginal_effect",M1059="sd (X)"),N1059/AQ1059*AN1059/BF1059,
AND(L1059="semi_elasticity",M1059="level"),N1059*AN1059,
AND(L1059="semi_elasticity",M1059="sd (Y)"),N1059*AN1059*BI1059,
AND(L1059="semi_elasticity",M1059="sd (X)"),N1059*AN1059/AQ1059,
AND(L1059="level-log",M1059="level"),N1059/BF1059,
AND(L1059="level-log",M1059="sd (X)"),N1059/BF1059/AQ1059,
AND(L1059="level-log",M1059="sd (Y)"),N1059/BF1059*BI1059,
AND(L1059="elasticity",M1059="level"),N1059,
AND(L1059="elasticity",M1059="sd (X)"),N1059/AQ1059,
AND(L1059="elasticity",M1059="sd (Y)"),N1059*BI1059,
AND(L1059="marginal_effect",M1059="percent_of_mean"),N1059*AN1059/BF1059/10)</f>
        <v>7.8E-2</v>
      </c>
      <c r="AE1059" s="56">
        <f t="shared" si="444"/>
        <v>1</v>
      </c>
      <c r="AF1059" s="88">
        <f t="shared" si="441"/>
        <v>0.04</v>
      </c>
      <c r="AG1059" s="88" cm="1">
        <f t="array" ref="AG1059">_xlfn.IFS(
AND(L1059="marginal_effect",M1059="level"),O1059*AN1059/BF1059,
AND(L1059="marginal_effect",M1059="sd (Y)"),O1059*BI1059*AN1059/BF1059,
AND(L1059="marginal_effect",M1059="sd (X)"),O1059/AQ1059*AN1059/BF1059,
AND(L1059="semi_elasticity",M1059="level"),O1059*AN1059,
AND(L1059="semi_elasticity",M1059="sd (Y)"),O1059*AN1059*BI1059,
AND(L1059="semi_elasticity",M1059="sd (X)"),O1059*AN1059/AQ1059,
AND(L1059="level-log",M1059="level"),O1059/BF1059,
AND(L1059="level-log",M1059="sd (X)"),O1059/BF1059/AQ1059,
AND(L1059="level-log",M1059="sd (Y)"),O1059/BF1059*BI1059,
AND(L1059="elasticity",M1059="level"),O1059,
AND(L1059="elasticity",M1059="sd (X)"),O1059/AQ1059,
AND(L1059="elasticity",M1059="sd (Y)"),O1059*BI1059,
AND(L1059="marginal_effect",M1059="percent_of_mean"),O1059*AN1059/BF1059/10)</f>
        <v>0.04</v>
      </c>
      <c r="AH1059" s="56">
        <f t="shared" si="433"/>
        <v>1</v>
      </c>
      <c r="AI1059" s="88">
        <f t="shared" si="445"/>
        <v>7.8E-2</v>
      </c>
      <c r="AJ1059" s="55">
        <v>0</v>
      </c>
      <c r="AK1059" s="55">
        <f t="shared" si="442"/>
        <v>1</v>
      </c>
      <c r="AL1059" s="55" t="s">
        <v>82</v>
      </c>
      <c r="AM1059" s="55" t="s">
        <v>1333</v>
      </c>
      <c r="AN1059" s="55" t="s">
        <v>312</v>
      </c>
      <c r="AO1059" s="55" t="s">
        <v>312</v>
      </c>
      <c r="AP1059" s="55" t="s">
        <v>312</v>
      </c>
      <c r="AQ1059" s="55" t="s">
        <v>312</v>
      </c>
      <c r="AR1059" s="55" t="s">
        <v>312</v>
      </c>
      <c r="AS1059" s="55" t="s">
        <v>312</v>
      </c>
      <c r="AT1059" s="55" t="s">
        <v>107</v>
      </c>
      <c r="AU1059" s="55" t="s">
        <v>109</v>
      </c>
      <c r="AV1059" s="55" t="s">
        <v>133</v>
      </c>
      <c r="AW1059" s="55" t="s">
        <v>134</v>
      </c>
      <c r="AX1059" s="55" t="s">
        <v>86</v>
      </c>
      <c r="AY1059" s="55">
        <v>0</v>
      </c>
      <c r="AZ1059" s="55">
        <v>0</v>
      </c>
      <c r="BA1059" s="55" t="s">
        <v>391</v>
      </c>
      <c r="BB1059" s="55" t="s">
        <v>134</v>
      </c>
      <c r="BC1059" s="55" t="s">
        <v>89</v>
      </c>
      <c r="BD1059" s="55" t="s">
        <v>134</v>
      </c>
      <c r="BE1059" s="55" t="s">
        <v>2074</v>
      </c>
      <c r="BF1059" s="55" t="s">
        <v>312</v>
      </c>
      <c r="BG1059" s="55" t="s">
        <v>312</v>
      </c>
      <c r="BH1059" s="55" t="s">
        <v>312</v>
      </c>
      <c r="BI1059" s="55" t="s">
        <v>312</v>
      </c>
      <c r="BJ1059" s="55" t="s">
        <v>312</v>
      </c>
      <c r="BK1059" s="55" t="s">
        <v>91</v>
      </c>
      <c r="BL1059" s="55" t="s">
        <v>116</v>
      </c>
      <c r="BM1059" s="55">
        <v>1</v>
      </c>
      <c r="BN1059" s="55" t="s">
        <v>2177</v>
      </c>
      <c r="BO1059" s="55" t="s">
        <v>312</v>
      </c>
      <c r="BP1059" s="55" t="s">
        <v>312</v>
      </c>
      <c r="BQ1059" s="55" t="s">
        <v>117</v>
      </c>
      <c r="BR1059" s="55" t="s">
        <v>134</v>
      </c>
      <c r="BS1059" s="55" t="s">
        <v>312</v>
      </c>
      <c r="BT1059" s="55" t="s">
        <v>312</v>
      </c>
      <c r="BU1059" s="55">
        <v>2008</v>
      </c>
      <c r="BV1059" s="55">
        <v>2010</v>
      </c>
      <c r="BW1059" s="55" t="s">
        <v>901</v>
      </c>
      <c r="BX1059" s="55" t="s">
        <v>95</v>
      </c>
      <c r="BY1059" s="55" t="s">
        <v>2077</v>
      </c>
      <c r="BZ1059" s="55">
        <v>0</v>
      </c>
      <c r="CA1059" s="55">
        <v>0</v>
      </c>
      <c r="CB1059" s="55" t="s">
        <v>97</v>
      </c>
      <c r="CC1059" s="55" t="s">
        <v>1375</v>
      </c>
      <c r="CD1059" s="55">
        <v>1</v>
      </c>
      <c r="CE1059" s="55" t="s">
        <v>2075</v>
      </c>
      <c r="CF1059" s="55">
        <v>0</v>
      </c>
      <c r="CG1059" s="55" t="s">
        <v>97</v>
      </c>
      <c r="CH1059" s="55">
        <v>0</v>
      </c>
      <c r="CI1059" s="55" t="s">
        <v>97</v>
      </c>
      <c r="CJ1059" s="55" t="s">
        <v>98</v>
      </c>
      <c r="CK1059" s="55">
        <v>13</v>
      </c>
      <c r="CL1059" s="55">
        <v>0</v>
      </c>
      <c r="CM1059" s="55">
        <v>0</v>
      </c>
      <c r="CN1059" s="55" t="s">
        <v>99</v>
      </c>
      <c r="CO1059" s="55" t="s">
        <v>1446</v>
      </c>
      <c r="CP1059" s="55" t="s">
        <v>100</v>
      </c>
      <c r="CQ1059" s="55" t="s">
        <v>126</v>
      </c>
      <c r="CR1059" s="57">
        <v>46255</v>
      </c>
      <c r="CT1059" s="55" t="s">
        <v>437</v>
      </c>
    </row>
    <row r="1060" spans="1:105" s="55" customFormat="1" x14ac:dyDescent="0.35">
      <c r="A1060" s="54" t="s">
        <v>2065</v>
      </c>
      <c r="B1060" s="54" t="s">
        <v>2081</v>
      </c>
      <c r="C1060" s="55" t="s">
        <v>2066</v>
      </c>
      <c r="D1060" s="55">
        <v>2024</v>
      </c>
      <c r="E1060" s="60" t="s">
        <v>2067</v>
      </c>
      <c r="F1060" s="54" t="s">
        <v>1269</v>
      </c>
      <c r="G1060" s="55" t="s">
        <v>78</v>
      </c>
      <c r="H1060" s="55">
        <v>1</v>
      </c>
      <c r="I1060" s="55" t="s">
        <v>686</v>
      </c>
      <c r="J1060" s="55" t="s">
        <v>1174</v>
      </c>
      <c r="K1060" s="55">
        <v>2</v>
      </c>
      <c r="L1060" s="55" t="s">
        <v>80</v>
      </c>
      <c r="M1060" s="55" t="s">
        <v>380</v>
      </c>
      <c r="N1060" s="55">
        <v>-4.8000000000000001E-2</v>
      </c>
      <c r="O1060" s="55">
        <v>2.3E-2</v>
      </c>
      <c r="P1060" s="88">
        <f t="shared" si="434"/>
        <v>-2.0869565217391304</v>
      </c>
      <c r="Q1060" s="55" t="s">
        <v>312</v>
      </c>
      <c r="R1060" s="88">
        <f t="shared" si="435"/>
        <v>-9.3079999999999996E-2</v>
      </c>
      <c r="S1060" s="88">
        <f t="shared" si="436"/>
        <v>-2.9200000000000059E-3</v>
      </c>
      <c r="T1060" s="55">
        <v>1</v>
      </c>
      <c r="U1060" s="55">
        <v>40800</v>
      </c>
      <c r="V1060" s="55">
        <v>4</v>
      </c>
      <c r="W1060" s="55">
        <v>1</v>
      </c>
      <c r="X1060" s="55">
        <f t="shared" si="437"/>
        <v>40796</v>
      </c>
      <c r="Y1060" s="88">
        <f t="shared" si="438"/>
        <v>-1.0331929363569322E-2</v>
      </c>
      <c r="Z1060" s="88">
        <f t="shared" si="439"/>
        <v>4.9507161533769673E-3</v>
      </c>
      <c r="AA1060" s="88">
        <f t="shared" si="443"/>
        <v>-1.0331929363569322E-2</v>
      </c>
      <c r="AB1060" s="55" t="s">
        <v>81</v>
      </c>
      <c r="AC1060" s="88">
        <f t="shared" si="440"/>
        <v>-4.8000000000000001E-2</v>
      </c>
      <c r="AD1060" s="88" cm="1">
        <f t="array" ref="AD1060">_xlfn.IFS(
AND(L1060="marginal_effect",M1060="level"),N1060*AN1060/BF1060,
AND(L1060="marginal_effect",M1060="sd (Y)"),N1060*BI1060*AN1060/BF1060,
AND(L1060="marginal_effect",M1060="sd (X)"),N1060/AQ1060*AN1060/BF1060,
AND(L1060="semi_elasticity",M1060="level"),N1060*AN1060,
AND(L1060="semi_elasticity",M1060="sd (Y)"),N1060*AN1060*BI1060,
AND(L1060="semi_elasticity",M1060="sd (X)"),N1060*AN1060/AQ1060,
AND(L1060="level-log",M1060="level"),N1060/BF1060,
AND(L1060="level-log",M1060="sd (X)"),N1060/BF1060/AQ1060,
AND(L1060="level-log",M1060="sd (Y)"),N1060/BF1060*BI1060,
AND(L1060="elasticity",M1060="level"),N1060,
AND(L1060="elasticity",M1060="sd (X)"),N1060/AQ1060,
AND(L1060="elasticity",M1060="sd (Y)"),N1060*BI1060,
AND(L1060="marginal_effect",M1060="percent_of_mean"),N1060*AN1060/BF1060/10)</f>
        <v>-4.8000000000000001E-2</v>
      </c>
      <c r="AE1060" s="56">
        <f t="shared" si="444"/>
        <v>1</v>
      </c>
      <c r="AF1060" s="88">
        <f t="shared" si="441"/>
        <v>2.3E-2</v>
      </c>
      <c r="AG1060" s="88" cm="1">
        <f t="array" ref="AG1060">_xlfn.IFS(
AND(L1060="marginal_effect",M1060="level"),O1060*AN1060/BF1060,
AND(L1060="marginal_effect",M1060="sd (Y)"),O1060*BI1060*AN1060/BF1060,
AND(L1060="marginal_effect",M1060="sd (X)"),O1060/AQ1060*AN1060/BF1060,
AND(L1060="semi_elasticity",M1060="level"),O1060*AN1060,
AND(L1060="semi_elasticity",M1060="sd (Y)"),O1060*AN1060*BI1060,
AND(L1060="semi_elasticity",M1060="sd (X)"),O1060*AN1060/AQ1060,
AND(L1060="level-log",M1060="level"),O1060/BF1060,
AND(L1060="level-log",M1060="sd (X)"),O1060/BF1060/AQ1060,
AND(L1060="level-log",M1060="sd (Y)"),O1060/BF1060*BI1060,
AND(L1060="elasticity",M1060="level"),O1060,
AND(L1060="elasticity",M1060="sd (X)"),O1060/AQ1060,
AND(L1060="elasticity",M1060="sd (Y)"),O1060*BI1060,
AND(L1060="marginal_effect",M1060="percent_of_mean"),O1060*AN1060/BF1060/10)</f>
        <v>2.3E-2</v>
      </c>
      <c r="AH1060" s="56">
        <f t="shared" si="433"/>
        <v>1</v>
      </c>
      <c r="AI1060" s="88">
        <f t="shared" si="445"/>
        <v>-4.8000000000000001E-2</v>
      </c>
      <c r="AJ1060" s="55">
        <v>0</v>
      </c>
      <c r="AK1060" s="55">
        <f t="shared" si="442"/>
        <v>1</v>
      </c>
      <c r="AL1060" s="55" t="s">
        <v>82</v>
      </c>
      <c r="AM1060" s="55" t="s">
        <v>1333</v>
      </c>
      <c r="AN1060" s="55" t="s">
        <v>312</v>
      </c>
      <c r="AO1060" s="55" t="s">
        <v>312</v>
      </c>
      <c r="AP1060" s="55" t="s">
        <v>312</v>
      </c>
      <c r="AQ1060" s="55" t="s">
        <v>312</v>
      </c>
      <c r="AR1060" s="55" t="s">
        <v>312</v>
      </c>
      <c r="AS1060" s="55" t="s">
        <v>312</v>
      </c>
      <c r="AT1060" s="55" t="s">
        <v>107</v>
      </c>
      <c r="AU1060" s="55" t="s">
        <v>109</v>
      </c>
      <c r="AV1060" s="55" t="s">
        <v>133</v>
      </c>
      <c r="AW1060" s="55" t="s">
        <v>134</v>
      </c>
      <c r="AX1060" s="55" t="s">
        <v>86</v>
      </c>
      <c r="AY1060" s="55">
        <v>0</v>
      </c>
      <c r="AZ1060" s="55">
        <v>0</v>
      </c>
      <c r="BA1060" s="55" t="s">
        <v>391</v>
      </c>
      <c r="BB1060" s="55" t="s">
        <v>134</v>
      </c>
      <c r="BC1060" s="55" t="s">
        <v>89</v>
      </c>
      <c r="BD1060" s="55" t="s">
        <v>134</v>
      </c>
      <c r="BE1060" s="55" t="s">
        <v>2074</v>
      </c>
      <c r="BF1060" s="55" t="s">
        <v>312</v>
      </c>
      <c r="BG1060" s="55" t="s">
        <v>312</v>
      </c>
      <c r="BH1060" s="55" t="s">
        <v>312</v>
      </c>
      <c r="BI1060" s="55" t="s">
        <v>312</v>
      </c>
      <c r="BJ1060" s="55" t="s">
        <v>312</v>
      </c>
      <c r="BK1060" s="55" t="s">
        <v>91</v>
      </c>
      <c r="BL1060" s="55" t="s">
        <v>116</v>
      </c>
      <c r="BM1060" s="55">
        <v>1</v>
      </c>
      <c r="BN1060" s="55" t="s">
        <v>2177</v>
      </c>
      <c r="BO1060" s="55" t="s">
        <v>312</v>
      </c>
      <c r="BP1060" s="55" t="s">
        <v>312</v>
      </c>
      <c r="BQ1060" s="55" t="s">
        <v>117</v>
      </c>
      <c r="BR1060" s="55" t="s">
        <v>134</v>
      </c>
      <c r="BS1060" s="55" t="s">
        <v>312</v>
      </c>
      <c r="BT1060" s="55" t="s">
        <v>312</v>
      </c>
      <c r="BU1060" s="55">
        <v>2008</v>
      </c>
      <c r="BV1060" s="55">
        <v>2010</v>
      </c>
      <c r="BW1060" s="55" t="s">
        <v>901</v>
      </c>
      <c r="BX1060" s="55" t="s">
        <v>95</v>
      </c>
      <c r="BY1060" s="55" t="s">
        <v>2077</v>
      </c>
      <c r="BZ1060" s="55">
        <v>0</v>
      </c>
      <c r="CA1060" s="55">
        <v>0</v>
      </c>
      <c r="CB1060" s="55" t="s">
        <v>97</v>
      </c>
      <c r="CC1060" s="55" t="s">
        <v>1375</v>
      </c>
      <c r="CD1060" s="55">
        <v>1</v>
      </c>
      <c r="CE1060" s="55" t="s">
        <v>2075</v>
      </c>
      <c r="CF1060" s="55">
        <v>0</v>
      </c>
      <c r="CG1060" s="55" t="s">
        <v>97</v>
      </c>
      <c r="CH1060" s="55">
        <v>0</v>
      </c>
      <c r="CI1060" s="55" t="s">
        <v>97</v>
      </c>
      <c r="CJ1060" s="55" t="s">
        <v>98</v>
      </c>
      <c r="CK1060" s="55">
        <v>13</v>
      </c>
      <c r="CL1060" s="55">
        <v>0</v>
      </c>
      <c r="CM1060" s="55">
        <v>0</v>
      </c>
      <c r="CN1060" s="55" t="s">
        <v>99</v>
      </c>
      <c r="CO1060" s="55" t="s">
        <v>1446</v>
      </c>
      <c r="CP1060" s="55" t="s">
        <v>100</v>
      </c>
      <c r="CQ1060" s="55" t="s">
        <v>126</v>
      </c>
      <c r="CR1060" s="57">
        <v>46255</v>
      </c>
      <c r="CT1060" s="55" t="s">
        <v>438</v>
      </c>
    </row>
    <row r="1061" spans="1:105" s="55" customFormat="1" x14ac:dyDescent="0.35">
      <c r="A1061" s="54" t="s">
        <v>2065</v>
      </c>
      <c r="B1061" s="54" t="s">
        <v>2082</v>
      </c>
      <c r="C1061" s="55" t="s">
        <v>2066</v>
      </c>
      <c r="D1061" s="55">
        <v>2024</v>
      </c>
      <c r="E1061" s="60" t="s">
        <v>2067</v>
      </c>
      <c r="F1061" s="54" t="s">
        <v>1269</v>
      </c>
      <c r="G1061" s="55" t="s">
        <v>78</v>
      </c>
      <c r="H1061" s="55">
        <v>1</v>
      </c>
      <c r="I1061" s="55" t="s">
        <v>686</v>
      </c>
      <c r="J1061" s="55" t="s">
        <v>1174</v>
      </c>
      <c r="K1061" s="55">
        <v>2</v>
      </c>
      <c r="L1061" s="55" t="s">
        <v>80</v>
      </c>
      <c r="M1061" s="55" t="s">
        <v>380</v>
      </c>
      <c r="N1061" s="55">
        <v>-0.13900000000000001</v>
      </c>
      <c r="O1061" s="55">
        <v>2.9000000000000001E-2</v>
      </c>
      <c r="P1061" s="88">
        <f t="shared" si="434"/>
        <v>-4.7931034482758621</v>
      </c>
      <c r="Q1061" s="55" t="s">
        <v>312</v>
      </c>
      <c r="R1061" s="88">
        <f t="shared" si="435"/>
        <v>-0.19584000000000001</v>
      </c>
      <c r="S1061" s="88">
        <f t="shared" si="436"/>
        <v>-8.2160000000000011E-2</v>
      </c>
      <c r="T1061" s="55">
        <v>1</v>
      </c>
      <c r="U1061" s="55">
        <v>16361</v>
      </c>
      <c r="V1061" s="55">
        <v>4</v>
      </c>
      <c r="W1061" s="55">
        <v>1</v>
      </c>
      <c r="X1061" s="55">
        <f t="shared" si="437"/>
        <v>16357</v>
      </c>
      <c r="Y1061" s="88">
        <f t="shared" si="438"/>
        <v>-3.7450722491421874E-2</v>
      </c>
      <c r="Z1061" s="88">
        <f t="shared" si="439"/>
        <v>7.813460088138378E-3</v>
      </c>
      <c r="AA1061" s="88">
        <f t="shared" si="443"/>
        <v>-3.7450722491421874E-2</v>
      </c>
      <c r="AB1061" s="55" t="s">
        <v>81</v>
      </c>
      <c r="AC1061" s="88">
        <f t="shared" si="440"/>
        <v>-0.13900000000000001</v>
      </c>
      <c r="AD1061" s="88" cm="1">
        <f t="array" ref="AD1061">_xlfn.IFS(
AND(L1061="marginal_effect",M1061="level"),N1061*AN1061/BF1061,
AND(L1061="marginal_effect",M1061="sd (Y)"),N1061*BI1061*AN1061/BF1061,
AND(L1061="marginal_effect",M1061="sd (X)"),N1061/AQ1061*AN1061/BF1061,
AND(L1061="semi_elasticity",M1061="level"),N1061*AN1061,
AND(L1061="semi_elasticity",M1061="sd (Y)"),N1061*AN1061*BI1061,
AND(L1061="semi_elasticity",M1061="sd (X)"),N1061*AN1061/AQ1061,
AND(L1061="level-log",M1061="level"),N1061/BF1061,
AND(L1061="level-log",M1061="sd (X)"),N1061/BF1061/AQ1061,
AND(L1061="level-log",M1061="sd (Y)"),N1061/BF1061*BI1061,
AND(L1061="elasticity",M1061="level"),N1061,
AND(L1061="elasticity",M1061="sd (X)"),N1061/AQ1061,
AND(L1061="elasticity",M1061="sd (Y)"),N1061*BI1061,
AND(L1061="marginal_effect",M1061="percent_of_mean"),N1061*AN1061/BF1061/10)</f>
        <v>-0.13900000000000001</v>
      </c>
      <c r="AE1061" s="56">
        <f t="shared" si="444"/>
        <v>1</v>
      </c>
      <c r="AF1061" s="88">
        <f t="shared" si="441"/>
        <v>2.9000000000000001E-2</v>
      </c>
      <c r="AG1061" s="88" cm="1">
        <f t="array" ref="AG1061">_xlfn.IFS(
AND(L1061="marginal_effect",M1061="level"),O1061*AN1061/BF1061,
AND(L1061="marginal_effect",M1061="sd (Y)"),O1061*BI1061*AN1061/BF1061,
AND(L1061="marginal_effect",M1061="sd (X)"),O1061/AQ1061*AN1061/BF1061,
AND(L1061="semi_elasticity",M1061="level"),O1061*AN1061,
AND(L1061="semi_elasticity",M1061="sd (Y)"),O1061*AN1061*BI1061,
AND(L1061="semi_elasticity",M1061="sd (X)"),O1061*AN1061/AQ1061,
AND(L1061="level-log",M1061="level"),O1061/BF1061,
AND(L1061="level-log",M1061="sd (X)"),O1061/BF1061/AQ1061,
AND(L1061="level-log",M1061="sd (Y)"),O1061/BF1061*BI1061,
AND(L1061="elasticity",M1061="level"),O1061,
AND(L1061="elasticity",M1061="sd (X)"),O1061/AQ1061,
AND(L1061="elasticity",M1061="sd (Y)"),O1061*BI1061,
AND(L1061="marginal_effect",M1061="percent_of_mean"),O1061*AN1061/BF1061/10)</f>
        <v>2.9000000000000001E-2</v>
      </c>
      <c r="AH1061" s="56">
        <f t="shared" si="433"/>
        <v>1</v>
      </c>
      <c r="AI1061" s="88">
        <f t="shared" si="445"/>
        <v>-0.13900000000000001</v>
      </c>
      <c r="AJ1061" s="55">
        <v>0</v>
      </c>
      <c r="AK1061" s="55">
        <f t="shared" si="442"/>
        <v>1</v>
      </c>
      <c r="AL1061" s="55" t="s">
        <v>82</v>
      </c>
      <c r="AM1061" s="55" t="s">
        <v>1333</v>
      </c>
      <c r="AN1061" s="55" t="s">
        <v>312</v>
      </c>
      <c r="AO1061" s="55" t="s">
        <v>312</v>
      </c>
      <c r="AP1061" s="55" t="s">
        <v>312</v>
      </c>
      <c r="AQ1061" s="55" t="s">
        <v>312</v>
      </c>
      <c r="AR1061" s="55" t="s">
        <v>312</v>
      </c>
      <c r="AS1061" s="55" t="s">
        <v>312</v>
      </c>
      <c r="AT1061" s="55" t="s">
        <v>107</v>
      </c>
      <c r="AU1061" s="55" t="s">
        <v>109</v>
      </c>
      <c r="AV1061" s="55" t="s">
        <v>133</v>
      </c>
      <c r="AW1061" s="55" t="s">
        <v>134</v>
      </c>
      <c r="AX1061" s="55" t="s">
        <v>86</v>
      </c>
      <c r="AY1061" s="55">
        <v>0</v>
      </c>
      <c r="AZ1061" s="55">
        <v>0</v>
      </c>
      <c r="BA1061" s="55" t="s">
        <v>391</v>
      </c>
      <c r="BB1061" s="55" t="s">
        <v>134</v>
      </c>
      <c r="BC1061" s="55" t="s">
        <v>89</v>
      </c>
      <c r="BD1061" s="55" t="s">
        <v>90</v>
      </c>
      <c r="BE1061" s="55" t="s">
        <v>2074</v>
      </c>
      <c r="BF1061" s="55" t="s">
        <v>312</v>
      </c>
      <c r="BG1061" s="55" t="s">
        <v>312</v>
      </c>
      <c r="BH1061" s="55" t="s">
        <v>312</v>
      </c>
      <c r="BI1061" s="55" t="s">
        <v>312</v>
      </c>
      <c r="BJ1061" s="55" t="s">
        <v>312</v>
      </c>
      <c r="BK1061" s="55" t="s">
        <v>91</v>
      </c>
      <c r="BL1061" s="55" t="s">
        <v>116</v>
      </c>
      <c r="BM1061" s="55">
        <v>1</v>
      </c>
      <c r="BN1061" s="55" t="s">
        <v>2177</v>
      </c>
      <c r="BO1061" s="55" t="s">
        <v>312</v>
      </c>
      <c r="BP1061" s="55" t="s">
        <v>312</v>
      </c>
      <c r="BQ1061" s="55" t="s">
        <v>117</v>
      </c>
      <c r="BR1061" s="55" t="s">
        <v>134</v>
      </c>
      <c r="BS1061" s="55" t="s">
        <v>312</v>
      </c>
      <c r="BT1061" s="55" t="s">
        <v>312</v>
      </c>
      <c r="BU1061" s="55">
        <v>2008</v>
      </c>
      <c r="BV1061" s="55">
        <v>2010</v>
      </c>
      <c r="BW1061" s="55" t="s">
        <v>901</v>
      </c>
      <c r="BX1061" s="55" t="s">
        <v>95</v>
      </c>
      <c r="BY1061" s="55" t="s">
        <v>2077</v>
      </c>
      <c r="BZ1061" s="55">
        <v>0</v>
      </c>
      <c r="CA1061" s="55">
        <v>0</v>
      </c>
      <c r="CB1061" s="55" t="s">
        <v>97</v>
      </c>
      <c r="CC1061" s="55" t="s">
        <v>1375</v>
      </c>
      <c r="CD1061" s="55">
        <v>1</v>
      </c>
      <c r="CE1061" s="55" t="s">
        <v>2075</v>
      </c>
      <c r="CF1061" s="55">
        <v>0</v>
      </c>
      <c r="CG1061" s="55" t="s">
        <v>97</v>
      </c>
      <c r="CH1061" s="55">
        <v>0</v>
      </c>
      <c r="CI1061" s="55" t="s">
        <v>97</v>
      </c>
      <c r="CJ1061" s="55" t="s">
        <v>98</v>
      </c>
      <c r="CK1061" s="55">
        <v>13</v>
      </c>
      <c r="CL1061" s="55">
        <v>0</v>
      </c>
      <c r="CM1061" s="55">
        <v>0</v>
      </c>
      <c r="CN1061" s="55" t="s">
        <v>99</v>
      </c>
      <c r="CO1061" s="55" t="s">
        <v>1457</v>
      </c>
      <c r="CP1061" s="55" t="s">
        <v>100</v>
      </c>
      <c r="CQ1061" s="55" t="s">
        <v>126</v>
      </c>
      <c r="CR1061" s="57">
        <v>46255</v>
      </c>
      <c r="CT1061" s="55" t="s">
        <v>439</v>
      </c>
    </row>
    <row r="1062" spans="1:105" s="55" customFormat="1" x14ac:dyDescent="0.35">
      <c r="A1062" s="54" t="s">
        <v>2065</v>
      </c>
      <c r="B1062" s="54" t="s">
        <v>2083</v>
      </c>
      <c r="C1062" s="55" t="s">
        <v>2066</v>
      </c>
      <c r="D1062" s="55">
        <v>2024</v>
      </c>
      <c r="E1062" s="60" t="s">
        <v>2067</v>
      </c>
      <c r="F1062" s="54" t="s">
        <v>1269</v>
      </c>
      <c r="G1062" s="55" t="s">
        <v>78</v>
      </c>
      <c r="H1062" s="55">
        <v>1</v>
      </c>
      <c r="I1062" s="55" t="s">
        <v>686</v>
      </c>
      <c r="J1062" s="55" t="s">
        <v>1174</v>
      </c>
      <c r="K1062" s="55">
        <v>2</v>
      </c>
      <c r="L1062" s="55" t="s">
        <v>80</v>
      </c>
      <c r="M1062" s="55" t="s">
        <v>380</v>
      </c>
      <c r="N1062" s="55">
        <v>-1.6E-2</v>
      </c>
      <c r="O1062" s="55">
        <v>3.1E-2</v>
      </c>
      <c r="P1062" s="88">
        <f t="shared" si="434"/>
        <v>-0.5161290322580645</v>
      </c>
      <c r="Q1062" s="55" t="s">
        <v>312</v>
      </c>
      <c r="R1062" s="88">
        <f t="shared" si="435"/>
        <v>-7.6759999999999995E-2</v>
      </c>
      <c r="S1062" s="88">
        <f t="shared" si="436"/>
        <v>4.4760000000000001E-2</v>
      </c>
      <c r="T1062" s="55">
        <v>1</v>
      </c>
      <c r="U1062" s="55">
        <v>22451</v>
      </c>
      <c r="V1062" s="55">
        <v>4</v>
      </c>
      <c r="W1062" s="55">
        <v>1</v>
      </c>
      <c r="X1062" s="55">
        <f t="shared" si="437"/>
        <v>22447</v>
      </c>
      <c r="Y1062" s="88">
        <f t="shared" si="438"/>
        <v>-3.444899516306226E-3</v>
      </c>
      <c r="Z1062" s="88">
        <f t="shared" si="439"/>
        <v>6.6744928128433132E-3</v>
      </c>
      <c r="AA1062" s="88">
        <f t="shared" si="443"/>
        <v>-3.444899516306226E-3</v>
      </c>
      <c r="AB1062" s="55" t="s">
        <v>81</v>
      </c>
      <c r="AC1062" s="88">
        <f t="shared" si="440"/>
        <v>-1.6E-2</v>
      </c>
      <c r="AD1062" s="88" cm="1">
        <f t="array" ref="AD1062">_xlfn.IFS(
AND(L1062="marginal_effect",M1062="level"),N1062*AN1062/BF1062,
AND(L1062="marginal_effect",M1062="sd (Y)"),N1062*BI1062*AN1062/BF1062,
AND(L1062="marginal_effect",M1062="sd (X)"),N1062/AQ1062*AN1062/BF1062,
AND(L1062="semi_elasticity",M1062="level"),N1062*AN1062,
AND(L1062="semi_elasticity",M1062="sd (Y)"),N1062*AN1062*BI1062,
AND(L1062="semi_elasticity",M1062="sd (X)"),N1062*AN1062/AQ1062,
AND(L1062="level-log",M1062="level"),N1062/BF1062,
AND(L1062="level-log",M1062="sd (X)"),N1062/BF1062/AQ1062,
AND(L1062="level-log",M1062="sd (Y)"),N1062/BF1062*BI1062,
AND(L1062="elasticity",M1062="level"),N1062,
AND(L1062="elasticity",M1062="sd (X)"),N1062/AQ1062,
AND(L1062="elasticity",M1062="sd (Y)"),N1062*BI1062,
AND(L1062="marginal_effect",M1062="percent_of_mean"),N1062*AN1062/BF1062/10)</f>
        <v>-1.6E-2</v>
      </c>
      <c r="AE1062" s="56">
        <f t="shared" si="444"/>
        <v>1</v>
      </c>
      <c r="AF1062" s="88">
        <f t="shared" si="441"/>
        <v>3.1E-2</v>
      </c>
      <c r="AG1062" s="88" cm="1">
        <f t="array" ref="AG1062">_xlfn.IFS(
AND(L1062="marginal_effect",M1062="level"),O1062*AN1062/BF1062,
AND(L1062="marginal_effect",M1062="sd (Y)"),O1062*BI1062*AN1062/BF1062,
AND(L1062="marginal_effect",M1062="sd (X)"),O1062/AQ1062*AN1062/BF1062,
AND(L1062="semi_elasticity",M1062="level"),O1062*AN1062,
AND(L1062="semi_elasticity",M1062="sd (Y)"),O1062*AN1062*BI1062,
AND(L1062="semi_elasticity",M1062="sd (X)"),O1062*AN1062/AQ1062,
AND(L1062="level-log",M1062="level"),O1062/BF1062,
AND(L1062="level-log",M1062="sd (X)"),O1062/BF1062/AQ1062,
AND(L1062="level-log",M1062="sd (Y)"),O1062/BF1062*BI1062,
AND(L1062="elasticity",M1062="level"),O1062,
AND(L1062="elasticity",M1062="sd (X)"),O1062/AQ1062,
AND(L1062="elasticity",M1062="sd (Y)"),O1062*BI1062,
AND(L1062="marginal_effect",M1062="percent_of_mean"),O1062*AN1062/BF1062/10)</f>
        <v>3.1E-2</v>
      </c>
      <c r="AH1062" s="56">
        <f t="shared" si="433"/>
        <v>1</v>
      </c>
      <c r="AI1062" s="88">
        <f t="shared" si="445"/>
        <v>-1.6E-2</v>
      </c>
      <c r="AJ1062" s="55">
        <v>0</v>
      </c>
      <c r="AK1062" s="55">
        <f t="shared" si="442"/>
        <v>1</v>
      </c>
      <c r="AL1062" s="55" t="s">
        <v>82</v>
      </c>
      <c r="AM1062" s="55" t="s">
        <v>1333</v>
      </c>
      <c r="AN1062" s="55" t="s">
        <v>312</v>
      </c>
      <c r="AO1062" s="55" t="s">
        <v>312</v>
      </c>
      <c r="AP1062" s="55" t="s">
        <v>312</v>
      </c>
      <c r="AQ1062" s="55" t="s">
        <v>312</v>
      </c>
      <c r="AR1062" s="55" t="s">
        <v>312</v>
      </c>
      <c r="AS1062" s="55" t="s">
        <v>312</v>
      </c>
      <c r="AT1062" s="55" t="s">
        <v>107</v>
      </c>
      <c r="AU1062" s="55" t="s">
        <v>109</v>
      </c>
      <c r="AV1062" s="55" t="s">
        <v>133</v>
      </c>
      <c r="AW1062" s="55" t="s">
        <v>134</v>
      </c>
      <c r="AX1062" s="55" t="s">
        <v>86</v>
      </c>
      <c r="AY1062" s="55">
        <v>0</v>
      </c>
      <c r="AZ1062" s="55">
        <v>0</v>
      </c>
      <c r="BA1062" s="55" t="s">
        <v>391</v>
      </c>
      <c r="BB1062" s="55" t="s">
        <v>134</v>
      </c>
      <c r="BC1062" s="55" t="s">
        <v>89</v>
      </c>
      <c r="BD1062" s="55" t="s">
        <v>114</v>
      </c>
      <c r="BE1062" s="55" t="s">
        <v>2074</v>
      </c>
      <c r="BF1062" s="55" t="s">
        <v>312</v>
      </c>
      <c r="BG1062" s="55" t="s">
        <v>312</v>
      </c>
      <c r="BH1062" s="55" t="s">
        <v>312</v>
      </c>
      <c r="BI1062" s="55" t="s">
        <v>312</v>
      </c>
      <c r="BJ1062" s="55" t="s">
        <v>312</v>
      </c>
      <c r="BK1062" s="55" t="s">
        <v>91</v>
      </c>
      <c r="BL1062" s="55" t="s">
        <v>116</v>
      </c>
      <c r="BM1062" s="55">
        <v>1</v>
      </c>
      <c r="BN1062" s="55" t="s">
        <v>2177</v>
      </c>
      <c r="BO1062" s="55" t="s">
        <v>312</v>
      </c>
      <c r="BP1062" s="55" t="s">
        <v>312</v>
      </c>
      <c r="BQ1062" s="55" t="s">
        <v>117</v>
      </c>
      <c r="BR1062" s="55" t="s">
        <v>134</v>
      </c>
      <c r="BS1062" s="55" t="s">
        <v>312</v>
      </c>
      <c r="BT1062" s="55" t="s">
        <v>312</v>
      </c>
      <c r="BU1062" s="55">
        <v>2008</v>
      </c>
      <c r="BV1062" s="55">
        <v>2010</v>
      </c>
      <c r="BW1062" s="55" t="s">
        <v>901</v>
      </c>
      <c r="BX1062" s="55" t="s">
        <v>95</v>
      </c>
      <c r="BY1062" s="55" t="s">
        <v>2077</v>
      </c>
      <c r="BZ1062" s="55">
        <v>0</v>
      </c>
      <c r="CA1062" s="55">
        <v>0</v>
      </c>
      <c r="CB1062" s="55" t="s">
        <v>97</v>
      </c>
      <c r="CC1062" s="55" t="s">
        <v>1375</v>
      </c>
      <c r="CD1062" s="55">
        <v>1</v>
      </c>
      <c r="CE1062" s="55" t="s">
        <v>2075</v>
      </c>
      <c r="CF1062" s="55">
        <v>0</v>
      </c>
      <c r="CG1062" s="55" t="s">
        <v>97</v>
      </c>
      <c r="CH1062" s="55">
        <v>0</v>
      </c>
      <c r="CI1062" s="55" t="s">
        <v>97</v>
      </c>
      <c r="CJ1062" s="55" t="s">
        <v>98</v>
      </c>
      <c r="CK1062" s="55">
        <v>13</v>
      </c>
      <c r="CL1062" s="55">
        <v>0</v>
      </c>
      <c r="CM1062" s="55">
        <v>0</v>
      </c>
      <c r="CN1062" s="55" t="s">
        <v>99</v>
      </c>
      <c r="CO1062" s="55" t="s">
        <v>1457</v>
      </c>
      <c r="CP1062" s="55" t="s">
        <v>100</v>
      </c>
      <c r="CQ1062" s="55" t="s">
        <v>126</v>
      </c>
      <c r="CR1062" s="57">
        <v>46255</v>
      </c>
      <c r="CT1062" s="55" t="s">
        <v>440</v>
      </c>
    </row>
    <row r="1063" spans="1:105" s="55" customFormat="1" x14ac:dyDescent="0.35">
      <c r="A1063" s="54" t="s">
        <v>2065</v>
      </c>
      <c r="B1063" s="54" t="s">
        <v>2085</v>
      </c>
      <c r="C1063" s="55" t="s">
        <v>2066</v>
      </c>
      <c r="D1063" s="55">
        <v>2024</v>
      </c>
      <c r="E1063" s="60" t="s">
        <v>2067</v>
      </c>
      <c r="F1063" s="54" t="s">
        <v>1269</v>
      </c>
      <c r="G1063" s="55" t="s">
        <v>78</v>
      </c>
      <c r="H1063" s="55">
        <v>1</v>
      </c>
      <c r="I1063" s="55" t="s">
        <v>686</v>
      </c>
      <c r="J1063" s="55" t="s">
        <v>1174</v>
      </c>
      <c r="K1063" s="55">
        <v>2</v>
      </c>
      <c r="L1063" s="55" t="s">
        <v>80</v>
      </c>
      <c r="M1063" s="55" t="s">
        <v>380</v>
      </c>
      <c r="N1063" s="55">
        <v>-7.2999999999999995E-2</v>
      </c>
      <c r="O1063" s="55">
        <v>2.5000000000000001E-2</v>
      </c>
      <c r="P1063" s="88">
        <f t="shared" si="434"/>
        <v>-2.9199999999999995</v>
      </c>
      <c r="Q1063" s="55" t="s">
        <v>312</v>
      </c>
      <c r="R1063" s="88">
        <f t="shared" si="435"/>
        <v>-0.122</v>
      </c>
      <c r="S1063" s="88">
        <f t="shared" si="436"/>
        <v>-2.3999999999999994E-2</v>
      </c>
      <c r="T1063" s="55">
        <v>1</v>
      </c>
      <c r="U1063" s="55">
        <v>37124</v>
      </c>
      <c r="V1063" s="55">
        <v>6</v>
      </c>
      <c r="W1063" s="55">
        <v>1</v>
      </c>
      <c r="X1063" s="55">
        <f t="shared" si="437"/>
        <v>37118</v>
      </c>
      <c r="Y1063" s="88">
        <f t="shared" si="438"/>
        <v>-1.5154467910424355E-2</v>
      </c>
      <c r="Z1063" s="88">
        <f t="shared" si="439"/>
        <v>5.1898862706932737E-3</v>
      </c>
      <c r="AA1063" s="88">
        <f t="shared" si="443"/>
        <v>-1.5154467910424355E-2</v>
      </c>
      <c r="AB1063" s="55" t="s">
        <v>81</v>
      </c>
      <c r="AC1063" s="88">
        <f t="shared" si="440"/>
        <v>-7.2999999999999995E-2</v>
      </c>
      <c r="AD1063" s="88" cm="1">
        <f t="array" ref="AD1063">_xlfn.IFS(
AND(L1063="marginal_effect",M1063="level"),N1063*AN1063/BF1063,
AND(L1063="marginal_effect",M1063="sd (Y)"),N1063*BI1063*AN1063/BF1063,
AND(L1063="marginal_effect",M1063="sd (X)"),N1063/AQ1063*AN1063/BF1063,
AND(L1063="semi_elasticity",M1063="level"),N1063*AN1063,
AND(L1063="semi_elasticity",M1063="sd (Y)"),N1063*AN1063*BI1063,
AND(L1063="semi_elasticity",M1063="sd (X)"),N1063*AN1063/AQ1063,
AND(L1063="level-log",M1063="level"),N1063/BF1063,
AND(L1063="level-log",M1063="sd (X)"),N1063/BF1063/AQ1063,
AND(L1063="level-log",M1063="sd (Y)"),N1063/BF1063*BI1063,
AND(L1063="elasticity",M1063="level"),N1063,
AND(L1063="elasticity",M1063="sd (X)"),N1063/AQ1063,
AND(L1063="elasticity",M1063="sd (Y)"),N1063*BI1063,
AND(L1063="marginal_effect",M1063="percent_of_mean"),N1063*AN1063/BF1063/10)</f>
        <v>-7.2999999999999995E-2</v>
      </c>
      <c r="AE1063" s="56">
        <f t="shared" si="444"/>
        <v>1</v>
      </c>
      <c r="AF1063" s="88">
        <f t="shared" si="441"/>
        <v>2.5000000000000001E-2</v>
      </c>
      <c r="AG1063" s="88" cm="1">
        <f t="array" ref="AG1063">_xlfn.IFS(
AND(L1063="marginal_effect",M1063="level"),O1063*AN1063/BF1063,
AND(L1063="marginal_effect",M1063="sd (Y)"),O1063*BI1063*AN1063/BF1063,
AND(L1063="marginal_effect",M1063="sd (X)"),O1063/AQ1063*AN1063/BF1063,
AND(L1063="semi_elasticity",M1063="level"),O1063*AN1063,
AND(L1063="semi_elasticity",M1063="sd (Y)"),O1063*AN1063*BI1063,
AND(L1063="semi_elasticity",M1063="sd (X)"),O1063*AN1063/AQ1063,
AND(L1063="level-log",M1063="level"),O1063/BF1063,
AND(L1063="level-log",M1063="sd (X)"),O1063/BF1063/AQ1063,
AND(L1063="level-log",M1063="sd (Y)"),O1063/BF1063*BI1063,
AND(L1063="elasticity",M1063="level"),O1063,
AND(L1063="elasticity",M1063="sd (X)"),O1063/AQ1063,
AND(L1063="elasticity",M1063="sd (Y)"),O1063*BI1063,
AND(L1063="marginal_effect",M1063="percent_of_mean"),O1063*AN1063/BF1063/10)</f>
        <v>2.5000000000000001E-2</v>
      </c>
      <c r="AH1063" s="56">
        <f t="shared" si="433"/>
        <v>1</v>
      </c>
      <c r="AI1063" s="88">
        <f t="shared" si="445"/>
        <v>-7.2999999999999995E-2</v>
      </c>
      <c r="AJ1063" s="55">
        <v>0</v>
      </c>
      <c r="AK1063" s="55">
        <f t="shared" si="442"/>
        <v>1</v>
      </c>
      <c r="AL1063" s="55" t="s">
        <v>82</v>
      </c>
      <c r="AM1063" s="55" t="s">
        <v>1333</v>
      </c>
      <c r="AN1063" s="55" t="s">
        <v>312</v>
      </c>
      <c r="AO1063" s="55" t="s">
        <v>312</v>
      </c>
      <c r="AP1063" s="55" t="s">
        <v>312</v>
      </c>
      <c r="AQ1063" s="55" t="s">
        <v>312</v>
      </c>
      <c r="AR1063" s="55" t="s">
        <v>312</v>
      </c>
      <c r="AS1063" s="55" t="s">
        <v>312</v>
      </c>
      <c r="AT1063" s="55" t="s">
        <v>107</v>
      </c>
      <c r="AU1063" s="55" t="s">
        <v>109</v>
      </c>
      <c r="AV1063" s="55" t="s">
        <v>133</v>
      </c>
      <c r="AW1063" s="55" t="s">
        <v>134</v>
      </c>
      <c r="AX1063" s="55" t="s">
        <v>86</v>
      </c>
      <c r="AY1063" s="55">
        <v>0</v>
      </c>
      <c r="AZ1063" s="55">
        <v>0</v>
      </c>
      <c r="BA1063" s="55" t="s">
        <v>391</v>
      </c>
      <c r="BB1063" s="55" t="s">
        <v>134</v>
      </c>
      <c r="BC1063" s="55" t="s">
        <v>89</v>
      </c>
      <c r="BD1063" s="55" t="s">
        <v>134</v>
      </c>
      <c r="BE1063" s="55" t="s">
        <v>2074</v>
      </c>
      <c r="BF1063" s="55" t="s">
        <v>312</v>
      </c>
      <c r="BG1063" s="55" t="s">
        <v>312</v>
      </c>
      <c r="BH1063" s="55" t="s">
        <v>312</v>
      </c>
      <c r="BI1063" s="55" t="s">
        <v>312</v>
      </c>
      <c r="BJ1063" s="55" t="s">
        <v>312</v>
      </c>
      <c r="BK1063" s="55" t="s">
        <v>91</v>
      </c>
      <c r="BL1063" s="55" t="s">
        <v>116</v>
      </c>
      <c r="BM1063" s="55">
        <v>1</v>
      </c>
      <c r="BN1063" s="55" t="s">
        <v>2177</v>
      </c>
      <c r="BO1063" s="55" t="s">
        <v>312</v>
      </c>
      <c r="BP1063" s="55" t="s">
        <v>312</v>
      </c>
      <c r="BQ1063" s="55" t="s">
        <v>117</v>
      </c>
      <c r="BR1063" s="55" t="s">
        <v>134</v>
      </c>
      <c r="BS1063" s="55" t="s">
        <v>312</v>
      </c>
      <c r="BT1063" s="55" t="s">
        <v>312</v>
      </c>
      <c r="BU1063" s="55">
        <v>2015</v>
      </c>
      <c r="BV1063" s="55">
        <v>2016</v>
      </c>
      <c r="BW1063" s="55" t="s">
        <v>901</v>
      </c>
      <c r="BX1063" s="55" t="s">
        <v>95</v>
      </c>
      <c r="BY1063" s="55" t="s">
        <v>96</v>
      </c>
      <c r="BZ1063" s="55">
        <v>0</v>
      </c>
      <c r="CA1063" s="55">
        <v>0</v>
      </c>
      <c r="CB1063" s="55" t="s">
        <v>97</v>
      </c>
      <c r="CC1063" s="55" t="s">
        <v>2089</v>
      </c>
      <c r="CD1063" s="55">
        <v>1</v>
      </c>
      <c r="CE1063" s="55" t="s">
        <v>2075</v>
      </c>
      <c r="CF1063" s="55">
        <v>0</v>
      </c>
      <c r="CG1063" s="55" t="s">
        <v>97</v>
      </c>
      <c r="CH1063" s="55">
        <v>0</v>
      </c>
      <c r="CI1063" s="55" t="s">
        <v>97</v>
      </c>
      <c r="CJ1063" s="55" t="s">
        <v>98</v>
      </c>
      <c r="CK1063" s="55">
        <v>13</v>
      </c>
      <c r="CL1063" s="55">
        <v>0</v>
      </c>
      <c r="CM1063" s="55">
        <v>0</v>
      </c>
      <c r="CN1063" s="55" t="s">
        <v>124</v>
      </c>
      <c r="CO1063" s="55" t="s">
        <v>97</v>
      </c>
      <c r="CP1063" s="55" t="s">
        <v>100</v>
      </c>
      <c r="CQ1063" s="55" t="s">
        <v>126</v>
      </c>
      <c r="CR1063" s="57">
        <v>46255</v>
      </c>
      <c r="CT1063" s="55" t="s">
        <v>543</v>
      </c>
    </row>
    <row r="1064" spans="1:105" s="55" customFormat="1" x14ac:dyDescent="0.35">
      <c r="A1064" s="54" t="s">
        <v>2065</v>
      </c>
      <c r="B1064" s="54" t="s">
        <v>2086</v>
      </c>
      <c r="C1064" s="55" t="s">
        <v>2066</v>
      </c>
      <c r="D1064" s="55">
        <v>2024</v>
      </c>
      <c r="E1064" s="60" t="s">
        <v>2067</v>
      </c>
      <c r="F1064" s="54" t="s">
        <v>1269</v>
      </c>
      <c r="G1064" s="55" t="s">
        <v>78</v>
      </c>
      <c r="H1064" s="55">
        <v>1</v>
      </c>
      <c r="I1064" s="55" t="s">
        <v>686</v>
      </c>
      <c r="J1064" s="55" t="s">
        <v>1174</v>
      </c>
      <c r="K1064" s="55">
        <v>2</v>
      </c>
      <c r="L1064" s="55" t="s">
        <v>80</v>
      </c>
      <c r="M1064" s="55" t="s">
        <v>380</v>
      </c>
      <c r="N1064" s="55">
        <v>-1.5409999999999999</v>
      </c>
      <c r="O1064" s="55">
        <v>9.1999999999999998E-2</v>
      </c>
      <c r="P1064" s="88">
        <f t="shared" si="434"/>
        <v>-16.75</v>
      </c>
      <c r="Q1064" s="55" t="s">
        <v>312</v>
      </c>
      <c r="R1064" s="88">
        <f t="shared" si="435"/>
        <v>-1.72132</v>
      </c>
      <c r="S1064" s="88">
        <f t="shared" si="436"/>
        <v>-1.3606799999999999</v>
      </c>
      <c r="T1064" s="55">
        <v>1</v>
      </c>
      <c r="U1064" s="55">
        <v>37120</v>
      </c>
      <c r="V1064" s="55">
        <v>6</v>
      </c>
      <c r="W1064" s="55">
        <v>1</v>
      </c>
      <c r="X1064" s="55">
        <f t="shared" si="437"/>
        <v>37114</v>
      </c>
      <c r="Y1064" s="88">
        <f t="shared" si="438"/>
        <v>-8.6618484934219725E-2</v>
      </c>
      <c r="Z1064" s="88">
        <f t="shared" si="439"/>
        <v>5.1712528318937148E-3</v>
      </c>
      <c r="AA1064" s="88">
        <f t="shared" si="443"/>
        <v>-8.6618484934219725E-2</v>
      </c>
      <c r="AB1064" s="55" t="s">
        <v>81</v>
      </c>
      <c r="AC1064" s="88">
        <f t="shared" si="440"/>
        <v>-1.5409999999999999</v>
      </c>
      <c r="AD1064" s="88" cm="1">
        <f t="array" ref="AD1064">_xlfn.IFS(
AND(L1064="marginal_effect",M1064="level"),N1064*AN1064/BF1064,
AND(L1064="marginal_effect",M1064="sd (Y)"),N1064*BI1064*AN1064/BF1064,
AND(L1064="marginal_effect",M1064="sd (X)"),N1064/AQ1064*AN1064/BF1064,
AND(L1064="semi_elasticity",M1064="level"),N1064*AN1064,
AND(L1064="semi_elasticity",M1064="sd (Y)"),N1064*AN1064*BI1064,
AND(L1064="semi_elasticity",M1064="sd (X)"),N1064*AN1064/AQ1064,
AND(L1064="level-log",M1064="level"),N1064/BF1064,
AND(L1064="level-log",M1064="sd (X)"),N1064/BF1064/AQ1064,
AND(L1064="level-log",M1064="sd (Y)"),N1064/BF1064*BI1064,
AND(L1064="elasticity",M1064="level"),N1064,
AND(L1064="elasticity",M1064="sd (X)"),N1064/AQ1064,
AND(L1064="elasticity",M1064="sd (Y)"),N1064*BI1064,
AND(L1064="marginal_effect",M1064="percent_of_mean"),N1064*AN1064/BF1064/10)</f>
        <v>-1.5409999999999999</v>
      </c>
      <c r="AE1064" s="56">
        <f t="shared" si="444"/>
        <v>1</v>
      </c>
      <c r="AF1064" s="88">
        <f t="shared" si="441"/>
        <v>9.1999999999999998E-2</v>
      </c>
      <c r="AG1064" s="88" cm="1">
        <f t="array" ref="AG1064">_xlfn.IFS(
AND(L1064="marginal_effect",M1064="level"),O1064*AN1064/BF1064,
AND(L1064="marginal_effect",M1064="sd (Y)"),O1064*BI1064*AN1064/BF1064,
AND(L1064="marginal_effect",M1064="sd (X)"),O1064/AQ1064*AN1064/BF1064,
AND(L1064="semi_elasticity",M1064="level"),O1064*AN1064,
AND(L1064="semi_elasticity",M1064="sd (Y)"),O1064*AN1064*BI1064,
AND(L1064="semi_elasticity",M1064="sd (X)"),O1064*AN1064/AQ1064,
AND(L1064="level-log",M1064="level"),O1064/BF1064,
AND(L1064="level-log",M1064="sd (X)"),O1064/BF1064/AQ1064,
AND(L1064="level-log",M1064="sd (Y)"),O1064/BF1064*BI1064,
AND(L1064="elasticity",M1064="level"),O1064,
AND(L1064="elasticity",M1064="sd (X)"),O1064/AQ1064,
AND(L1064="elasticity",M1064="sd (Y)"),O1064*BI1064,
AND(L1064="marginal_effect",M1064="percent_of_mean"),O1064*AN1064/BF1064/10)</f>
        <v>9.1999999999999998E-2</v>
      </c>
      <c r="AH1064" s="56">
        <f t="shared" si="433"/>
        <v>1</v>
      </c>
      <c r="AI1064" s="88">
        <f t="shared" si="445"/>
        <v>-1.5409999999999999</v>
      </c>
      <c r="AJ1064" s="55">
        <v>0</v>
      </c>
      <c r="AK1064" s="55">
        <f t="shared" si="442"/>
        <v>1</v>
      </c>
      <c r="AL1064" s="55" t="s">
        <v>82</v>
      </c>
      <c r="AM1064" s="55" t="s">
        <v>1333</v>
      </c>
      <c r="AN1064" s="55" t="s">
        <v>312</v>
      </c>
      <c r="AO1064" s="55" t="s">
        <v>312</v>
      </c>
      <c r="AP1064" s="55" t="s">
        <v>312</v>
      </c>
      <c r="AQ1064" s="55" t="s">
        <v>312</v>
      </c>
      <c r="AR1064" s="55" t="s">
        <v>312</v>
      </c>
      <c r="AS1064" s="55" t="s">
        <v>312</v>
      </c>
      <c r="AT1064" s="55" t="s">
        <v>107</v>
      </c>
      <c r="AU1064" s="55" t="s">
        <v>109</v>
      </c>
      <c r="AV1064" s="55" t="s">
        <v>133</v>
      </c>
      <c r="AW1064" s="55" t="s">
        <v>134</v>
      </c>
      <c r="AX1064" s="55" t="s">
        <v>86</v>
      </c>
      <c r="AY1064" s="55">
        <v>0</v>
      </c>
      <c r="AZ1064" s="55">
        <v>0</v>
      </c>
      <c r="BA1064" s="55" t="s">
        <v>391</v>
      </c>
      <c r="BB1064" s="55" t="s">
        <v>134</v>
      </c>
      <c r="BC1064" s="55" t="s">
        <v>89</v>
      </c>
      <c r="BD1064" s="55" t="s">
        <v>134</v>
      </c>
      <c r="BE1064" s="55" t="s">
        <v>2074</v>
      </c>
      <c r="BF1064" s="55" t="s">
        <v>312</v>
      </c>
      <c r="BG1064" s="55" t="s">
        <v>312</v>
      </c>
      <c r="BH1064" s="55" t="s">
        <v>312</v>
      </c>
      <c r="BI1064" s="55" t="s">
        <v>312</v>
      </c>
      <c r="BJ1064" s="55" t="s">
        <v>312</v>
      </c>
      <c r="BK1064" s="55" t="s">
        <v>91</v>
      </c>
      <c r="BL1064" s="55" t="s">
        <v>116</v>
      </c>
      <c r="BM1064" s="55">
        <v>1</v>
      </c>
      <c r="BN1064" s="55" t="s">
        <v>2177</v>
      </c>
      <c r="BO1064" s="55" t="s">
        <v>312</v>
      </c>
      <c r="BP1064" s="55" t="s">
        <v>312</v>
      </c>
      <c r="BQ1064" s="55" t="s">
        <v>117</v>
      </c>
      <c r="BR1064" s="55" t="s">
        <v>134</v>
      </c>
      <c r="BS1064" s="55" t="s">
        <v>312</v>
      </c>
      <c r="BT1064" s="55" t="s">
        <v>312</v>
      </c>
      <c r="BU1064" s="55">
        <v>2015</v>
      </c>
      <c r="BV1064" s="55">
        <v>2016</v>
      </c>
      <c r="BW1064" s="55" t="s">
        <v>901</v>
      </c>
      <c r="BX1064" s="55" t="s">
        <v>95</v>
      </c>
      <c r="BY1064" s="55" t="s">
        <v>748</v>
      </c>
      <c r="BZ1064" s="55">
        <v>1</v>
      </c>
      <c r="CA1064" s="55">
        <v>1</v>
      </c>
      <c r="CB1064" s="55" t="s">
        <v>2088</v>
      </c>
      <c r="CC1064" s="55" t="s">
        <v>2089</v>
      </c>
      <c r="CD1064" s="55">
        <v>1</v>
      </c>
      <c r="CE1064" s="55" t="s">
        <v>2075</v>
      </c>
      <c r="CF1064" s="55">
        <v>0</v>
      </c>
      <c r="CG1064" s="55" t="s">
        <v>97</v>
      </c>
      <c r="CH1064" s="55">
        <v>0</v>
      </c>
      <c r="CI1064" s="55" t="s">
        <v>97</v>
      </c>
      <c r="CJ1064" s="55" t="s">
        <v>98</v>
      </c>
      <c r="CK1064" s="55">
        <v>13</v>
      </c>
      <c r="CL1064" s="55">
        <v>0</v>
      </c>
      <c r="CM1064" s="55">
        <v>0</v>
      </c>
      <c r="CN1064" s="55" t="s">
        <v>124</v>
      </c>
      <c r="CO1064" s="55" t="s">
        <v>97</v>
      </c>
      <c r="CP1064" s="55" t="s">
        <v>100</v>
      </c>
      <c r="CQ1064" s="55" t="s">
        <v>126</v>
      </c>
      <c r="CR1064" s="57">
        <v>46255</v>
      </c>
      <c r="CT1064" s="55" t="s">
        <v>543</v>
      </c>
    </row>
    <row r="1065" spans="1:105" s="55" customFormat="1" x14ac:dyDescent="0.35">
      <c r="A1065" s="54" t="s">
        <v>2065</v>
      </c>
      <c r="B1065" s="54" t="s">
        <v>2087</v>
      </c>
      <c r="C1065" s="55" t="s">
        <v>2066</v>
      </c>
      <c r="D1065" s="55">
        <v>2024</v>
      </c>
      <c r="E1065" s="60" t="s">
        <v>2067</v>
      </c>
      <c r="F1065" s="54" t="s">
        <v>1269</v>
      </c>
      <c r="G1065" s="55" t="s">
        <v>78</v>
      </c>
      <c r="H1065" s="55">
        <v>1</v>
      </c>
      <c r="I1065" s="55" t="s">
        <v>686</v>
      </c>
      <c r="J1065" s="55" t="s">
        <v>1174</v>
      </c>
      <c r="K1065" s="55">
        <v>2</v>
      </c>
      <c r="L1065" s="55" t="s">
        <v>80</v>
      </c>
      <c r="M1065" s="55" t="s">
        <v>380</v>
      </c>
      <c r="N1065" s="55">
        <v>-2.3559999999999999</v>
      </c>
      <c r="O1065" s="55">
        <v>0.14599999999999999</v>
      </c>
      <c r="P1065" s="88">
        <f t="shared" si="434"/>
        <v>-16.136986301369863</v>
      </c>
      <c r="Q1065" s="55" t="s">
        <v>312</v>
      </c>
      <c r="R1065" s="88">
        <f t="shared" si="435"/>
        <v>-2.6421599999999996</v>
      </c>
      <c r="S1065" s="88">
        <f t="shared" si="436"/>
        <v>-2.0698400000000001</v>
      </c>
      <c r="T1065" s="55">
        <v>1</v>
      </c>
      <c r="U1065" s="55">
        <v>36415</v>
      </c>
      <c r="V1065" s="55">
        <v>6</v>
      </c>
      <c r="W1065" s="55">
        <v>1</v>
      </c>
      <c r="X1065" s="55">
        <f t="shared" si="437"/>
        <v>36409</v>
      </c>
      <c r="Y1065" s="88">
        <f t="shared" si="438"/>
        <v>-8.4269518915888353E-2</v>
      </c>
      <c r="Z1065" s="88">
        <f t="shared" si="439"/>
        <v>5.2221348733954582E-3</v>
      </c>
      <c r="AA1065" s="88">
        <f t="shared" si="443"/>
        <v>-8.4269518915888353E-2</v>
      </c>
      <c r="AB1065" s="55" t="s">
        <v>81</v>
      </c>
      <c r="AC1065" s="88">
        <f t="shared" si="440"/>
        <v>-2.3559999999999999</v>
      </c>
      <c r="AD1065" s="88" cm="1">
        <f t="array" ref="AD1065">_xlfn.IFS(
AND(L1065="marginal_effect",M1065="level"),N1065*AN1065/BF1065,
AND(L1065="marginal_effect",M1065="sd (Y)"),N1065*BI1065*AN1065/BF1065,
AND(L1065="marginal_effect",M1065="sd (X)"),N1065/AQ1065*AN1065/BF1065,
AND(L1065="semi_elasticity",M1065="level"),N1065*AN1065,
AND(L1065="semi_elasticity",M1065="sd (Y)"),N1065*AN1065*BI1065,
AND(L1065="semi_elasticity",M1065="sd (X)"),N1065*AN1065/AQ1065,
AND(L1065="level-log",M1065="level"),N1065/BF1065,
AND(L1065="level-log",M1065="sd (X)"),N1065/BF1065/AQ1065,
AND(L1065="level-log",M1065="sd (Y)"),N1065/BF1065*BI1065,
AND(L1065="elasticity",M1065="level"),N1065,
AND(L1065="elasticity",M1065="sd (X)"),N1065/AQ1065,
AND(L1065="elasticity",M1065="sd (Y)"),N1065*BI1065,
AND(L1065="marginal_effect",M1065="percent_of_mean"),N1065*AN1065/BF1065/10)</f>
        <v>-2.3559999999999999</v>
      </c>
      <c r="AE1065" s="56">
        <f t="shared" si="444"/>
        <v>1</v>
      </c>
      <c r="AF1065" s="88">
        <f t="shared" si="441"/>
        <v>0.14599999999999999</v>
      </c>
      <c r="AG1065" s="88" cm="1">
        <f t="array" ref="AG1065">_xlfn.IFS(
AND(L1065="marginal_effect",M1065="level"),O1065*AN1065/BF1065,
AND(L1065="marginal_effect",M1065="sd (Y)"),O1065*BI1065*AN1065/BF1065,
AND(L1065="marginal_effect",M1065="sd (X)"),O1065/AQ1065*AN1065/BF1065,
AND(L1065="semi_elasticity",M1065="level"),O1065*AN1065,
AND(L1065="semi_elasticity",M1065="sd (Y)"),O1065*AN1065*BI1065,
AND(L1065="semi_elasticity",M1065="sd (X)"),O1065*AN1065/AQ1065,
AND(L1065="level-log",M1065="level"),O1065/BF1065,
AND(L1065="level-log",M1065="sd (X)"),O1065/BF1065/AQ1065,
AND(L1065="level-log",M1065="sd (Y)"),O1065/BF1065*BI1065,
AND(L1065="elasticity",M1065="level"),O1065,
AND(L1065="elasticity",M1065="sd (X)"),O1065/AQ1065,
AND(L1065="elasticity",M1065="sd (Y)"),O1065*BI1065,
AND(L1065="marginal_effect",M1065="percent_of_mean"),O1065*AN1065/BF1065/10)</f>
        <v>0.14599999999999999</v>
      </c>
      <c r="AH1065" s="56">
        <f t="shared" si="433"/>
        <v>1</v>
      </c>
      <c r="AI1065" s="88">
        <f t="shared" si="445"/>
        <v>-2.3559999999999999</v>
      </c>
      <c r="AJ1065" s="55">
        <v>0</v>
      </c>
      <c r="AK1065" s="55">
        <f t="shared" si="442"/>
        <v>1</v>
      </c>
      <c r="AL1065" s="55" t="s">
        <v>82</v>
      </c>
      <c r="AM1065" s="55" t="s">
        <v>1333</v>
      </c>
      <c r="AN1065" s="55" t="s">
        <v>312</v>
      </c>
      <c r="AO1065" s="55" t="s">
        <v>312</v>
      </c>
      <c r="AP1065" s="55" t="s">
        <v>312</v>
      </c>
      <c r="AQ1065" s="55" t="s">
        <v>312</v>
      </c>
      <c r="AR1065" s="55" t="s">
        <v>312</v>
      </c>
      <c r="AS1065" s="55" t="s">
        <v>312</v>
      </c>
      <c r="AT1065" s="55" t="s">
        <v>107</v>
      </c>
      <c r="AU1065" s="55" t="s">
        <v>109</v>
      </c>
      <c r="AV1065" s="55" t="s">
        <v>133</v>
      </c>
      <c r="AW1065" s="55" t="s">
        <v>134</v>
      </c>
      <c r="AX1065" s="55" t="s">
        <v>86</v>
      </c>
      <c r="AY1065" s="55">
        <v>0</v>
      </c>
      <c r="AZ1065" s="55">
        <v>0</v>
      </c>
      <c r="BA1065" s="55" t="s">
        <v>391</v>
      </c>
      <c r="BB1065" s="55" t="s">
        <v>134</v>
      </c>
      <c r="BC1065" s="55" t="s">
        <v>89</v>
      </c>
      <c r="BD1065" s="55" t="s">
        <v>134</v>
      </c>
      <c r="BE1065" s="55" t="s">
        <v>2074</v>
      </c>
      <c r="BF1065" s="55" t="s">
        <v>312</v>
      </c>
      <c r="BG1065" s="55" t="s">
        <v>312</v>
      </c>
      <c r="BH1065" s="55" t="s">
        <v>312</v>
      </c>
      <c r="BI1065" s="55" t="s">
        <v>312</v>
      </c>
      <c r="BJ1065" s="55" t="s">
        <v>312</v>
      </c>
      <c r="BK1065" s="55" t="s">
        <v>91</v>
      </c>
      <c r="BL1065" s="55" t="s">
        <v>116</v>
      </c>
      <c r="BM1065" s="55">
        <v>1</v>
      </c>
      <c r="BN1065" s="55" t="s">
        <v>2177</v>
      </c>
      <c r="BO1065" s="55" t="s">
        <v>312</v>
      </c>
      <c r="BP1065" s="55" t="s">
        <v>312</v>
      </c>
      <c r="BQ1065" s="55" t="s">
        <v>117</v>
      </c>
      <c r="BR1065" s="55" t="s">
        <v>134</v>
      </c>
      <c r="BS1065" s="55" t="s">
        <v>312</v>
      </c>
      <c r="BT1065" s="55" t="s">
        <v>312</v>
      </c>
      <c r="BU1065" s="55">
        <v>2015</v>
      </c>
      <c r="BV1065" s="55">
        <v>2016</v>
      </c>
      <c r="BW1065" s="55" t="s">
        <v>901</v>
      </c>
      <c r="BX1065" s="55" t="s">
        <v>95</v>
      </c>
      <c r="BY1065" s="55" t="s">
        <v>748</v>
      </c>
      <c r="BZ1065" s="55">
        <v>1</v>
      </c>
      <c r="CA1065" s="55">
        <v>1</v>
      </c>
      <c r="CB1065" s="55" t="s">
        <v>2088</v>
      </c>
      <c r="CC1065" s="55" t="s">
        <v>2089</v>
      </c>
      <c r="CD1065" s="55">
        <v>1</v>
      </c>
      <c r="CE1065" s="55" t="s">
        <v>2075</v>
      </c>
      <c r="CF1065" s="55">
        <v>0</v>
      </c>
      <c r="CG1065" s="55" t="s">
        <v>97</v>
      </c>
      <c r="CH1065" s="55">
        <v>0</v>
      </c>
      <c r="CI1065" s="55" t="s">
        <v>97</v>
      </c>
      <c r="CJ1065" s="55" t="s">
        <v>98</v>
      </c>
      <c r="CK1065" s="55">
        <v>13</v>
      </c>
      <c r="CL1065" s="55">
        <v>0</v>
      </c>
      <c r="CM1065" s="55">
        <v>0</v>
      </c>
      <c r="CN1065" s="55" t="s">
        <v>124</v>
      </c>
      <c r="CO1065" s="55" t="s">
        <v>97</v>
      </c>
      <c r="CP1065" s="55" t="s">
        <v>100</v>
      </c>
      <c r="CQ1065" s="55" t="s">
        <v>126</v>
      </c>
      <c r="CR1065" s="57">
        <v>46255</v>
      </c>
      <c r="CT1065" s="55" t="s">
        <v>549</v>
      </c>
    </row>
    <row r="1066" spans="1:105" s="35" customFormat="1" x14ac:dyDescent="0.35">
      <c r="A1066" s="34" t="s">
        <v>2090</v>
      </c>
      <c r="B1066" s="34" t="s">
        <v>2090</v>
      </c>
      <c r="C1066" s="35" t="s">
        <v>2091</v>
      </c>
      <c r="D1066" s="35">
        <v>2023</v>
      </c>
      <c r="E1066" s="37" t="s">
        <v>2092</v>
      </c>
      <c r="F1066" s="34" t="s">
        <v>2093</v>
      </c>
      <c r="G1066" s="35" t="s">
        <v>78</v>
      </c>
      <c r="H1066" s="35">
        <v>1</v>
      </c>
      <c r="I1066" s="35" t="s">
        <v>290</v>
      </c>
      <c r="J1066" s="35" t="s">
        <v>1174</v>
      </c>
      <c r="K1066" s="35">
        <v>8</v>
      </c>
      <c r="L1066" s="35" t="s">
        <v>104</v>
      </c>
      <c r="M1066" s="35" t="s">
        <v>380</v>
      </c>
      <c r="N1066" s="35">
        <v>-6.0000000000000001E-3</v>
      </c>
      <c r="O1066" s="35">
        <v>3.0000000000000001E-3</v>
      </c>
      <c r="P1066" s="89">
        <f t="shared" si="434"/>
        <v>-2</v>
      </c>
      <c r="Q1066" s="35" t="s">
        <v>312</v>
      </c>
      <c r="R1066" s="89">
        <f t="shared" si="435"/>
        <v>-1.188E-2</v>
      </c>
      <c r="S1066" s="89">
        <f t="shared" si="436"/>
        <v>-1.2000000000000031E-4</v>
      </c>
      <c r="T1066" s="35">
        <v>1</v>
      </c>
      <c r="U1066" s="35">
        <v>30732</v>
      </c>
      <c r="V1066" s="35" t="s">
        <v>312</v>
      </c>
      <c r="W1066" s="35" t="s">
        <v>312</v>
      </c>
      <c r="X1066" s="35">
        <f>U1066</f>
        <v>30732</v>
      </c>
      <c r="Y1066" s="89">
        <f t="shared" si="438"/>
        <v>-1.1407916189906884E-2</v>
      </c>
      <c r="Z1066" s="89">
        <f t="shared" si="439"/>
        <v>5.7039580949534421E-3</v>
      </c>
      <c r="AA1066" s="89">
        <f t="shared" si="443"/>
        <v>-1.1407916189906884E-2</v>
      </c>
      <c r="AB1066" s="35" t="s">
        <v>81</v>
      </c>
      <c r="AC1066" s="89">
        <f>N1066*AN1066</f>
        <v>-0.38647799999999999</v>
      </c>
      <c r="AD1066" s="89" cm="1">
        <f t="array" ref="AD1066">_xlfn.IFS(
AND(L1066="marginal_effect",M1066="level"),N1066*AN1066/BF1066,
AND(L1066="marginal_effect",M1066="sd (Y)"),N1066*BI1066*AN1066/BF1066,
AND(L1066="marginal_effect",M1066="sd (X)"),N1066/AQ1066*AN1066/BF1066,
AND(L1066="semi_elasticity",M1066="level"),N1066*AN1066,
AND(L1066="semi_elasticity",M1066="sd (Y)"),N1066*AN1066*BI1066,
AND(L1066="semi_elasticity",M1066="sd (X)"),N1066*AN1066/AQ1066,
AND(L1066="level-log",M1066="level"),N1066/BF1066,
AND(L1066="level-log",M1066="sd (X)"),N1066/BF1066/AQ1066,
AND(L1066="level-log",M1066="sd (Y)"),N1066/BF1066*BI1066,
AND(L1066="elasticity",M1066="level"),N1066,
AND(L1066="elasticity",M1066="sd (X)"),N1066/AQ1066,
AND(L1066="elasticity",M1066="sd (Y)"),N1066*BI1066,
AND(L1066="marginal_effect",M1066="percent_of_mean"),N1066*AN1066/BF1066/10)</f>
        <v>-0.38647799999999999</v>
      </c>
      <c r="AE1066" s="49">
        <f t="shared" si="444"/>
        <v>1</v>
      </c>
      <c r="AF1066" s="89">
        <f>O1066*AN1066</f>
        <v>0.19323899999999999</v>
      </c>
      <c r="AG1066" s="89" cm="1">
        <f t="array" ref="AG1066">_xlfn.IFS(
AND(L1066="marginal_effect",M1066="level"),O1066*AN1066/BF1066,
AND(L1066="marginal_effect",M1066="sd (Y)"),O1066*BI1066*AN1066/BF1066,
AND(L1066="marginal_effect",M1066="sd (X)"),O1066/AQ1066*AN1066/BF1066,
AND(L1066="semi_elasticity",M1066="level"),O1066*AN1066,
AND(L1066="semi_elasticity",M1066="sd (Y)"),O1066*AN1066*BI1066,
AND(L1066="semi_elasticity",M1066="sd (X)"),O1066*AN1066/AQ1066,
AND(L1066="level-log",M1066="level"),O1066/BF1066,
AND(L1066="level-log",M1066="sd (X)"),O1066/BF1066/AQ1066,
AND(L1066="level-log",M1066="sd (Y)"),O1066/BF1066*BI1066,
AND(L1066="elasticity",M1066="level"),O1066,
AND(L1066="elasticity",M1066="sd (X)"),O1066/AQ1066,
AND(L1066="elasticity",M1066="sd (Y)"),O1066*BI1066,
AND(L1066="marginal_effect",M1066="percent_of_mean"),O1066*AN1066/BF1066/10)</f>
        <v>0.19323899999999999</v>
      </c>
      <c r="AH1066" s="49">
        <f t="shared" si="433"/>
        <v>1</v>
      </c>
      <c r="AI1066" s="89">
        <f t="shared" si="445"/>
        <v>-0.38647799999999999</v>
      </c>
      <c r="AJ1066" s="35">
        <v>0</v>
      </c>
      <c r="AK1066" s="35">
        <f t="shared" si="442"/>
        <v>1</v>
      </c>
      <c r="AL1066" s="35" t="s">
        <v>82</v>
      </c>
      <c r="AM1066" s="35" t="s">
        <v>1333</v>
      </c>
      <c r="AN1066" s="35">
        <v>64.412999999999997</v>
      </c>
      <c r="AO1066" s="35">
        <v>1</v>
      </c>
      <c r="AP1066" s="35">
        <f>AN1066</f>
        <v>64.412999999999997</v>
      </c>
      <c r="AQ1066" s="35">
        <v>21.97</v>
      </c>
      <c r="AR1066" s="35">
        <v>7.7430000000000003</v>
      </c>
      <c r="AS1066" s="35">
        <v>134.84200000000001</v>
      </c>
      <c r="AT1066" s="35" t="s">
        <v>107</v>
      </c>
      <c r="AU1066" s="35" t="s">
        <v>109</v>
      </c>
      <c r="AV1066" s="35" t="s">
        <v>133</v>
      </c>
      <c r="AW1066" s="35" t="s">
        <v>134</v>
      </c>
      <c r="AX1066" s="35" t="s">
        <v>86</v>
      </c>
      <c r="AY1066" s="35">
        <v>0</v>
      </c>
      <c r="AZ1066" s="35">
        <v>0</v>
      </c>
      <c r="BA1066" s="35" t="s">
        <v>312</v>
      </c>
      <c r="BB1066" s="35" t="s">
        <v>312</v>
      </c>
      <c r="BC1066" s="35" t="s">
        <v>134</v>
      </c>
      <c r="BD1066" s="35" t="s">
        <v>134</v>
      </c>
      <c r="BE1066" s="35" t="s">
        <v>312</v>
      </c>
      <c r="BF1066" s="35" t="s">
        <v>312</v>
      </c>
      <c r="BG1066" s="35" t="s">
        <v>312</v>
      </c>
      <c r="BH1066" s="35" t="s">
        <v>312</v>
      </c>
      <c r="BI1066" s="35" t="s">
        <v>312</v>
      </c>
      <c r="BJ1066" s="35" t="s">
        <v>312</v>
      </c>
      <c r="BK1066" s="35" t="s">
        <v>312</v>
      </c>
      <c r="BL1066" s="35" t="s">
        <v>116</v>
      </c>
      <c r="BM1066" s="35">
        <v>1</v>
      </c>
      <c r="BN1066" s="35" t="s">
        <v>1407</v>
      </c>
      <c r="BO1066" s="35" t="s">
        <v>312</v>
      </c>
      <c r="BP1066" s="35" t="s">
        <v>312</v>
      </c>
      <c r="BQ1066" s="35" t="s">
        <v>117</v>
      </c>
      <c r="BR1066" s="35" t="s">
        <v>134</v>
      </c>
      <c r="BS1066" s="35" t="s">
        <v>312</v>
      </c>
      <c r="BT1066" s="35" t="s">
        <v>312</v>
      </c>
      <c r="BU1066" s="35">
        <v>1998</v>
      </c>
      <c r="BV1066" s="35">
        <v>2007</v>
      </c>
      <c r="BW1066" s="35" t="s">
        <v>901</v>
      </c>
      <c r="BX1066" s="35" t="s">
        <v>95</v>
      </c>
      <c r="BY1066" s="35" t="s">
        <v>748</v>
      </c>
      <c r="BZ1066" s="35">
        <v>1</v>
      </c>
      <c r="CA1066" s="35">
        <v>1</v>
      </c>
      <c r="CB1066" s="35" t="s">
        <v>303</v>
      </c>
      <c r="CC1066" s="35" t="s">
        <v>1375</v>
      </c>
      <c r="CD1066" s="35">
        <v>1</v>
      </c>
      <c r="CE1066" s="35" t="s">
        <v>2094</v>
      </c>
      <c r="CF1066" s="35">
        <v>0</v>
      </c>
      <c r="CG1066" s="35" t="s">
        <v>97</v>
      </c>
      <c r="CH1066" s="35">
        <v>0</v>
      </c>
      <c r="CI1066" s="35" t="s">
        <v>116</v>
      </c>
      <c r="CJ1066" s="35" t="s">
        <v>98</v>
      </c>
      <c r="CK1066" s="35">
        <v>1</v>
      </c>
      <c r="CL1066" s="35">
        <v>1</v>
      </c>
      <c r="CM1066" s="35">
        <v>0</v>
      </c>
      <c r="CN1066" s="35" t="s">
        <v>124</v>
      </c>
      <c r="CO1066" s="35" t="s">
        <v>97</v>
      </c>
      <c r="CP1066" s="35" t="s">
        <v>100</v>
      </c>
      <c r="CQ1066" s="35" t="s">
        <v>126</v>
      </c>
      <c r="CR1066" s="36">
        <v>46255</v>
      </c>
      <c r="CT1066" s="35" t="s">
        <v>673</v>
      </c>
    </row>
    <row r="1067" spans="1:105" s="78" customFormat="1" x14ac:dyDescent="0.35">
      <c r="A1067" s="82" t="s">
        <v>2095</v>
      </c>
      <c r="B1067" s="82" t="s">
        <v>2105</v>
      </c>
      <c r="C1067" s="83" t="s">
        <v>2096</v>
      </c>
      <c r="D1067" s="83">
        <v>2018</v>
      </c>
      <c r="E1067" s="82" t="s">
        <v>2097</v>
      </c>
      <c r="F1067" s="82" t="s">
        <v>2098</v>
      </c>
      <c r="G1067" s="83" t="s">
        <v>78</v>
      </c>
      <c r="H1067" s="83">
        <v>1</v>
      </c>
      <c r="I1067" s="83" t="s">
        <v>390</v>
      </c>
      <c r="J1067" s="83" t="s">
        <v>128</v>
      </c>
      <c r="K1067" s="83">
        <v>66</v>
      </c>
      <c r="L1067" s="83" t="s">
        <v>104</v>
      </c>
      <c r="M1067" s="83" t="s">
        <v>380</v>
      </c>
      <c r="N1067" s="83">
        <v>-3.8999999999999998E-3</v>
      </c>
      <c r="O1067" s="83">
        <v>1.5499999999999999E-3</v>
      </c>
      <c r="P1067" s="106">
        <f>N1067/O1067</f>
        <v>-2.5161290322580645</v>
      </c>
      <c r="Q1067" s="83" t="s">
        <v>312</v>
      </c>
      <c r="R1067" s="106">
        <v>-2.0119999999999999E-2</v>
      </c>
      <c r="S1067" s="106">
        <v>-2.48E-3</v>
      </c>
      <c r="T1067" s="83">
        <v>1</v>
      </c>
      <c r="U1067" s="83">
        <v>183698</v>
      </c>
      <c r="V1067" s="83" t="s">
        <v>312</v>
      </c>
      <c r="W1067" s="83" t="s">
        <v>312</v>
      </c>
      <c r="X1067" s="83">
        <f>U1067</f>
        <v>183698</v>
      </c>
      <c r="Y1067" s="106">
        <f t="shared" si="438"/>
        <v>-5.8704745728756867E-3</v>
      </c>
      <c r="Z1067" s="106">
        <f t="shared" si="439"/>
        <v>2.333137330245465E-3</v>
      </c>
      <c r="AA1067" s="106">
        <f t="shared" si="443"/>
        <v>-5.8704745728756867E-3</v>
      </c>
      <c r="AB1067" s="83" t="s">
        <v>81</v>
      </c>
      <c r="AC1067" s="95">
        <f>N1067*AN1067</f>
        <v>-1.3244399999999998E-2</v>
      </c>
      <c r="AD1067" s="95" cm="1">
        <f t="array" ref="AD1067">_xlfn.IFS(
AND(L1067="marginal_effect",M1067="level"),N1067*AN1067/BF1067,
AND(L1067="marginal_effect",M1067="sd (Y)"),N1067*BI1067*AN1067/BF1067,
AND(L1067="marginal_effect",M1067="sd (X)"),N1067/AQ1067*AN1067/BF1067,
AND(L1067="semi_elasticity",M1067="level"),N1067*AN1067,
AND(L1067="semi_elasticity",M1067="sd (Y)"),N1067*AN1067*BI1067,
AND(L1067="semi_elasticity",M1067="sd (X)"),N1067*AN1067/AQ1067,
AND(L1067="level-log",M1067="level"),N1067/BF1067,
AND(L1067="level-log",M1067="sd (X)"),N1067/BF1067/AQ1067,
AND(L1067="level-log",M1067="sd (Y)"),N1067/BF1067*BI1067,
AND(L1067="elasticity",M1067="level"),N1067,
AND(L1067="elasticity",M1067="sd (X)"),N1067/AQ1067,
AND(L1067="elasticity",M1067="sd (Y)"),N1067*BI1067,
AND(L1067="marginal_effect",M1067="percent_of_mean"),N1067*AN1067/BF1067/10)</f>
        <v>-1.3244399999999998E-2</v>
      </c>
      <c r="AE1067" s="105">
        <f t="shared" si="444"/>
        <v>1</v>
      </c>
      <c r="AF1067" s="95">
        <f>O1067*AN1067</f>
        <v>5.2637999999999999E-3</v>
      </c>
      <c r="AG1067" s="106" cm="1">
        <f t="array" ref="AG1067">_xlfn.IFS(
AND(L1067="marginal_effect",M1067="level"),O1067*AN1067/BF1067,
AND(L1067="marginal_effect",M1067="sd (Y)"),O1067*BI1067*AN1067/BF1067,
AND(L1067="marginal_effect",M1067="sd (X)"),O1067/AQ1067*AN1067/BF1067,
AND(L1067="semi_elasticity",M1067="level"),O1067*AN1067,
AND(L1067="semi_elasticity",M1067="sd (Y)"),O1067*AN1067*BI1067,
AND(L1067="semi_elasticity",M1067="sd (X)"),O1067*AN1067/AQ1067,
AND(L1067="level-log",M1067="level"),O1067/BF1067,
AND(L1067="level-log",M1067="sd (X)"),O1067/BF1067/AQ1067,
AND(L1067="level-log",M1067="sd (Y)"),O1067/BF1067*BI1067,
AND(L1067="elasticity",M1067="level"),O1067,
AND(L1067="elasticity",M1067="sd (X)"),O1067/AQ1067,
AND(L1067="elasticity",M1067="sd (Y)"),O1067*BI1067,
AND(L1067="marginal_effect",M1067="percent_of_mean"),O1067*AN1067/BF1067/10)</f>
        <v>5.2637999999999999E-3</v>
      </c>
      <c r="AH1067" s="84">
        <f t="shared" ref="AH1067:AH1074" si="446">IF(AF1067=AG1067,1,0)</f>
        <v>1</v>
      </c>
      <c r="AI1067" s="106">
        <f t="shared" si="445"/>
        <v>-1.3244399999999998E-2</v>
      </c>
      <c r="AJ1067" s="84">
        <v>0</v>
      </c>
      <c r="AK1067" s="84">
        <f t="shared" si="442"/>
        <v>1</v>
      </c>
      <c r="AL1067" s="83" t="s">
        <v>148</v>
      </c>
      <c r="AM1067" s="83" t="s">
        <v>483</v>
      </c>
      <c r="AN1067" s="83">
        <v>3.3959999999999999</v>
      </c>
      <c r="AO1067" s="83" t="s">
        <v>312</v>
      </c>
      <c r="AP1067" s="83">
        <v>33.96</v>
      </c>
      <c r="AQ1067" s="83" t="s">
        <v>312</v>
      </c>
      <c r="AR1067" s="83" t="s">
        <v>312</v>
      </c>
      <c r="AS1067" s="83" t="s">
        <v>312</v>
      </c>
      <c r="AT1067" s="83" t="s">
        <v>83</v>
      </c>
      <c r="AU1067" s="83" t="s">
        <v>109</v>
      </c>
      <c r="AV1067" s="83" t="s">
        <v>133</v>
      </c>
      <c r="AW1067" s="83" t="s">
        <v>109</v>
      </c>
      <c r="AX1067" s="83" t="s">
        <v>86</v>
      </c>
      <c r="AY1067" s="83">
        <v>0</v>
      </c>
      <c r="AZ1067" s="83">
        <v>0</v>
      </c>
      <c r="BA1067" s="83" t="s">
        <v>734</v>
      </c>
      <c r="BB1067" s="83" t="s">
        <v>88</v>
      </c>
      <c r="BC1067" s="83" t="s">
        <v>89</v>
      </c>
      <c r="BD1067" s="83" t="s">
        <v>114</v>
      </c>
      <c r="BE1067" s="83" t="s">
        <v>2101</v>
      </c>
      <c r="BF1067" s="83" t="s">
        <v>312</v>
      </c>
      <c r="BG1067" s="83" t="s">
        <v>312</v>
      </c>
      <c r="BH1067" s="83" t="s">
        <v>312</v>
      </c>
      <c r="BI1067" s="83" t="s">
        <v>312</v>
      </c>
      <c r="BJ1067" s="83" t="s">
        <v>312</v>
      </c>
      <c r="BK1067" s="83" t="s">
        <v>91</v>
      </c>
      <c r="BL1067" s="83" t="s">
        <v>84</v>
      </c>
      <c r="BM1067" s="83">
        <v>1</v>
      </c>
      <c r="BN1067" s="83" t="s">
        <v>539</v>
      </c>
      <c r="BO1067" s="83" t="s">
        <v>2102</v>
      </c>
      <c r="BP1067" s="83" t="s">
        <v>312</v>
      </c>
      <c r="BQ1067" s="83" t="s">
        <v>92</v>
      </c>
      <c r="BR1067" s="83" t="s">
        <v>134</v>
      </c>
      <c r="BS1067" s="83" t="s">
        <v>312</v>
      </c>
      <c r="BT1067" s="83" t="s">
        <v>312</v>
      </c>
      <c r="BU1067" s="78">
        <v>2005</v>
      </c>
      <c r="BV1067" s="78">
        <v>2013</v>
      </c>
      <c r="BW1067" s="83" t="s">
        <v>2099</v>
      </c>
      <c r="BX1067" s="83" t="s">
        <v>95</v>
      </c>
      <c r="BY1067" s="83" t="s">
        <v>96</v>
      </c>
      <c r="BZ1067" s="83">
        <v>0</v>
      </c>
      <c r="CA1067" s="83">
        <v>0</v>
      </c>
      <c r="CB1067" s="83" t="s">
        <v>97</v>
      </c>
      <c r="CC1067" s="83" t="s">
        <v>2103</v>
      </c>
      <c r="CD1067" s="83">
        <v>1</v>
      </c>
      <c r="CE1067" s="83" t="s">
        <v>2104</v>
      </c>
      <c r="CF1067" s="83">
        <v>0</v>
      </c>
      <c r="CG1067" s="83" t="s">
        <v>97</v>
      </c>
      <c r="CH1067" s="83">
        <v>1</v>
      </c>
      <c r="CI1067" s="83" t="s">
        <v>2100</v>
      </c>
      <c r="CJ1067" s="83" t="s">
        <v>98</v>
      </c>
      <c r="CK1067" s="83">
        <v>1</v>
      </c>
      <c r="CL1067" s="83">
        <v>1</v>
      </c>
      <c r="CM1067" s="83">
        <v>0</v>
      </c>
      <c r="CN1067" s="83" t="s">
        <v>99</v>
      </c>
      <c r="CO1067" s="83" t="s">
        <v>97</v>
      </c>
      <c r="CP1067" s="83" t="s">
        <v>125</v>
      </c>
      <c r="CQ1067" s="83" t="s">
        <v>126</v>
      </c>
      <c r="CR1067" s="80">
        <v>46255</v>
      </c>
      <c r="CS1067" s="85"/>
      <c r="CT1067" s="83" t="s">
        <v>1980</v>
      </c>
      <c r="CU1067" s="85"/>
      <c r="CV1067" s="85"/>
      <c r="CW1067" s="85"/>
      <c r="CX1067" s="85"/>
      <c r="CY1067" s="85"/>
      <c r="CZ1067" s="85"/>
      <c r="DA1067" s="85"/>
    </row>
    <row r="1068" spans="1:105" s="44" customFormat="1" x14ac:dyDescent="0.35">
      <c r="A1068" s="43" t="s">
        <v>2114</v>
      </c>
      <c r="B1068" s="43" t="s">
        <v>2115</v>
      </c>
      <c r="C1068" s="44" t="s">
        <v>2106</v>
      </c>
      <c r="D1068" s="44">
        <v>2020</v>
      </c>
      <c r="E1068" s="64" t="s">
        <v>2107</v>
      </c>
      <c r="F1068" s="43" t="s">
        <v>2093</v>
      </c>
      <c r="G1068" s="44" t="s">
        <v>78</v>
      </c>
      <c r="H1068" s="44">
        <v>1</v>
      </c>
      <c r="I1068" s="44" t="s">
        <v>290</v>
      </c>
      <c r="J1068" s="44" t="s">
        <v>1174</v>
      </c>
      <c r="K1068" s="44">
        <v>27</v>
      </c>
      <c r="L1068" s="44" t="s">
        <v>80</v>
      </c>
      <c r="M1068" s="44" t="s">
        <v>380</v>
      </c>
      <c r="N1068" s="44">
        <v>-0.23599999999999999</v>
      </c>
      <c r="O1068" s="44">
        <f t="shared" ref="O1068:O1074" si="447">N1068/P1068</f>
        <v>5.8415841584158412E-2</v>
      </c>
      <c r="P1068" s="91">
        <v>-4.04</v>
      </c>
      <c r="Q1068" s="44" t="s">
        <v>312</v>
      </c>
      <c r="R1068" s="91">
        <f t="shared" ref="R1068:R1074" si="448">N1068-1.96*O1068</f>
        <v>-0.35049504950495047</v>
      </c>
      <c r="S1068" s="91">
        <f t="shared" ref="S1068:S1074" si="449">N1068+1.96*O1068</f>
        <v>-0.1215049504950495</v>
      </c>
      <c r="T1068" s="44">
        <v>1</v>
      </c>
      <c r="U1068" s="44">
        <v>7328</v>
      </c>
      <c r="V1068" s="44">
        <v>10</v>
      </c>
      <c r="W1068" s="44">
        <v>1</v>
      </c>
      <c r="X1068" s="44">
        <f>U1068-V1068</f>
        <v>7318</v>
      </c>
      <c r="Y1068" s="91">
        <f t="shared" si="438"/>
        <v>-4.7173857462986524E-2</v>
      </c>
      <c r="Z1068" s="91">
        <f t="shared" si="439"/>
        <v>1.1676697391828347E-2</v>
      </c>
      <c r="AA1068" s="91">
        <f t="shared" si="443"/>
        <v>-4.7173857462986524E-2</v>
      </c>
      <c r="AB1068" s="44" t="s">
        <v>81</v>
      </c>
      <c r="AC1068" s="91">
        <f t="shared" ref="AC1068:AC1074" si="450">N1068</f>
        <v>-0.23599999999999999</v>
      </c>
      <c r="AD1068" s="91" cm="1">
        <f t="array" ref="AD1068">_xlfn.IFS(
AND(L1068="marginal_effect",M1068="level"),N1068*AN1068/BF1068,
AND(L1068="marginal_effect",M1068="sd (Y)"),N1068*BI1068*AN1068/BF1068,
AND(L1068="marginal_effect",M1068="sd (X)"),N1068/AQ1068*AN1068/BF1068,
AND(L1068="semi_elasticity",M1068="level"),N1068*AN1068,
AND(L1068="semi_elasticity",M1068="sd (Y)"),N1068*AN1068*BI1068,
AND(L1068="semi_elasticity",M1068="sd (X)"),N1068*AN1068/AQ1068,
AND(L1068="level-log",M1068="level"),N1068/BF1068,
AND(L1068="level-log",M1068="sd (X)"),N1068/BF1068/AQ1068,
AND(L1068="level-log",M1068="sd (Y)"),N1068/BF1068*BI1068,
AND(L1068="elasticity",M1068="level"),N1068,
AND(L1068="elasticity",M1068="sd (X)"),N1068/AQ1068,
AND(L1068="elasticity",M1068="sd (Y)"),N1068*BI1068,
AND(L1068="marginal_effect",M1068="percent_of_mean"),N1068*AN1068/BF1068/10)</f>
        <v>-0.23599999999999999</v>
      </c>
      <c r="AE1068" s="50">
        <f t="shared" si="444"/>
        <v>1</v>
      </c>
      <c r="AF1068" s="91">
        <f t="shared" ref="AF1068:AF1074" si="451">O1068</f>
        <v>5.8415841584158412E-2</v>
      </c>
      <c r="AG1068" s="91" cm="1">
        <f t="array" ref="AG1068">_xlfn.IFS(
AND(L1068="marginal_effect",M1068="level"),O1068*AN1068/BF1068,
AND(L1068="marginal_effect",M1068="sd (Y)"),O1068*BI1068*AN1068/BF1068,
AND(L1068="marginal_effect",M1068="sd (X)"),O1068/AQ1068*AN1068/BF1068,
AND(L1068="semi_elasticity",M1068="level"),O1068*AN1068,
AND(L1068="semi_elasticity",M1068="sd (Y)"),O1068*AN1068*BI1068,
AND(L1068="semi_elasticity",M1068="sd (X)"),O1068*AN1068/AQ1068,
AND(L1068="level-log",M1068="level"),O1068/BF1068,
AND(L1068="level-log",M1068="sd (X)"),O1068/BF1068/AQ1068,
AND(L1068="level-log",M1068="sd (Y)"),O1068/BF1068*BI1068,
AND(L1068="elasticity",M1068="level"),O1068,
AND(L1068="elasticity",M1068="sd (X)"),O1068/AQ1068,
AND(L1068="elasticity",M1068="sd (Y)"),O1068*BI1068,
AND(L1068="marginal_effect",M1068="percent_of_mean"),O1068*AN1068/BF1068/10)</f>
        <v>5.8415841584158412E-2</v>
      </c>
      <c r="AH1068" s="50">
        <f t="shared" si="446"/>
        <v>1</v>
      </c>
      <c r="AI1068" s="91">
        <f t="shared" si="445"/>
        <v>-0.23599999999999999</v>
      </c>
      <c r="AJ1068" s="44">
        <v>0</v>
      </c>
      <c r="AK1068" s="44">
        <f t="shared" si="442"/>
        <v>1</v>
      </c>
      <c r="AL1068" s="44" t="s">
        <v>82</v>
      </c>
      <c r="AM1068" s="44" t="s">
        <v>1333</v>
      </c>
      <c r="AN1068" s="44">
        <v>57.481999999999999</v>
      </c>
      <c r="AO1068" s="44">
        <v>0</v>
      </c>
      <c r="AP1068" s="44">
        <f t="shared" ref="AP1068:AP1076" si="452">AN1068</f>
        <v>57.481999999999999</v>
      </c>
      <c r="AQ1068" s="44">
        <v>20.145</v>
      </c>
      <c r="AR1068" s="44">
        <v>20.89</v>
      </c>
      <c r="AS1068" s="44">
        <v>160.07</v>
      </c>
      <c r="AT1068" s="44" t="s">
        <v>83</v>
      </c>
      <c r="AU1068" s="44" t="s">
        <v>109</v>
      </c>
      <c r="AV1068" s="44" t="s">
        <v>133</v>
      </c>
      <c r="AW1068" s="44" t="s">
        <v>134</v>
      </c>
      <c r="AX1068" s="44" t="s">
        <v>110</v>
      </c>
      <c r="AY1068" s="76">
        <v>0</v>
      </c>
      <c r="AZ1068" s="76">
        <v>0</v>
      </c>
      <c r="BA1068" s="44" t="s">
        <v>391</v>
      </c>
      <c r="BB1068" s="44" t="s">
        <v>134</v>
      </c>
      <c r="BC1068" s="44" t="s">
        <v>134</v>
      </c>
      <c r="BD1068" s="44" t="s">
        <v>134</v>
      </c>
      <c r="BE1068" s="44" t="s">
        <v>2108</v>
      </c>
      <c r="BF1068" s="44">
        <v>13.836</v>
      </c>
      <c r="BG1068" s="44">
        <v>0</v>
      </c>
      <c r="BH1068" s="44">
        <v>0.91900000000000004</v>
      </c>
      <c r="BI1068" s="44">
        <v>9.3249999999999993</v>
      </c>
      <c r="BJ1068" s="44">
        <v>18.951000000000001</v>
      </c>
      <c r="BK1068" s="44" t="s">
        <v>91</v>
      </c>
      <c r="BL1068" s="44" t="s">
        <v>116</v>
      </c>
      <c r="BM1068" s="44">
        <v>1</v>
      </c>
      <c r="BN1068" s="44" t="s">
        <v>134</v>
      </c>
      <c r="BO1068" s="44" t="s">
        <v>312</v>
      </c>
      <c r="BP1068" s="44" t="s">
        <v>312</v>
      </c>
      <c r="BQ1068" s="44" t="s">
        <v>117</v>
      </c>
      <c r="BR1068" s="44" t="s">
        <v>134</v>
      </c>
      <c r="BS1068" s="44" t="s">
        <v>312</v>
      </c>
      <c r="BT1068" s="44" t="s">
        <v>312</v>
      </c>
      <c r="BU1068" s="44">
        <v>2013</v>
      </c>
      <c r="BV1068" s="44">
        <v>2017</v>
      </c>
      <c r="BW1068" s="44" t="s">
        <v>901</v>
      </c>
      <c r="BX1068" s="44" t="s">
        <v>95</v>
      </c>
      <c r="BY1068" s="44" t="s">
        <v>96</v>
      </c>
      <c r="BZ1068" s="44">
        <v>0</v>
      </c>
      <c r="CA1068" s="44">
        <v>0</v>
      </c>
      <c r="CB1068" s="44" t="s">
        <v>97</v>
      </c>
      <c r="CC1068" s="44" t="s">
        <v>2122</v>
      </c>
      <c r="CD1068" s="44">
        <v>0</v>
      </c>
      <c r="CE1068" s="44" t="s">
        <v>97</v>
      </c>
      <c r="CF1068" s="44">
        <v>0</v>
      </c>
      <c r="CG1068" s="44" t="s">
        <v>97</v>
      </c>
      <c r="CH1068" s="44">
        <v>0</v>
      </c>
      <c r="CI1068" s="44" t="s">
        <v>97</v>
      </c>
      <c r="CJ1068" s="44" t="s">
        <v>98</v>
      </c>
      <c r="CK1068" s="44">
        <v>7</v>
      </c>
      <c r="CL1068" s="44">
        <v>1</v>
      </c>
      <c r="CM1068" s="44">
        <v>1</v>
      </c>
      <c r="CN1068" s="44" t="s">
        <v>99</v>
      </c>
      <c r="CO1068" s="44" t="s">
        <v>97</v>
      </c>
      <c r="CP1068" s="44" t="s">
        <v>100</v>
      </c>
      <c r="CQ1068" s="44" t="s">
        <v>126</v>
      </c>
      <c r="CR1068" s="45">
        <v>46258</v>
      </c>
      <c r="CT1068" s="44" t="s">
        <v>450</v>
      </c>
      <c r="CU1068" s="44" t="s">
        <v>2110</v>
      </c>
    </row>
    <row r="1069" spans="1:105" s="44" customFormat="1" x14ac:dyDescent="0.35">
      <c r="A1069" s="43" t="s">
        <v>2114</v>
      </c>
      <c r="B1069" s="43" t="s">
        <v>2116</v>
      </c>
      <c r="C1069" s="44" t="s">
        <v>2106</v>
      </c>
      <c r="D1069" s="44">
        <v>2020</v>
      </c>
      <c r="E1069" s="64" t="s">
        <v>2107</v>
      </c>
      <c r="F1069" s="43" t="s">
        <v>2093</v>
      </c>
      <c r="G1069" s="44" t="s">
        <v>78</v>
      </c>
      <c r="H1069" s="44">
        <v>1</v>
      </c>
      <c r="I1069" s="44" t="s">
        <v>290</v>
      </c>
      <c r="J1069" s="44" t="s">
        <v>1174</v>
      </c>
      <c r="K1069" s="44">
        <v>27</v>
      </c>
      <c r="L1069" s="44" t="s">
        <v>80</v>
      </c>
      <c r="M1069" s="44" t="s">
        <v>380</v>
      </c>
      <c r="N1069" s="44">
        <v>-0.153</v>
      </c>
      <c r="O1069" s="44">
        <f t="shared" si="447"/>
        <v>4.7076923076923079E-2</v>
      </c>
      <c r="P1069" s="91">
        <v>-3.25</v>
      </c>
      <c r="Q1069" s="44" t="s">
        <v>312</v>
      </c>
      <c r="R1069" s="91">
        <f t="shared" si="448"/>
        <v>-0.24527076923076924</v>
      </c>
      <c r="S1069" s="91">
        <f t="shared" si="449"/>
        <v>-6.0729230769230771E-2</v>
      </c>
      <c r="T1069" s="44">
        <v>1</v>
      </c>
      <c r="U1069" s="44">
        <v>7328</v>
      </c>
      <c r="V1069" s="44">
        <v>10</v>
      </c>
      <c r="W1069" s="44">
        <v>1</v>
      </c>
      <c r="X1069" s="44">
        <f>U1069-V1069</f>
        <v>7318</v>
      </c>
      <c r="Y1069" s="91">
        <f t="shared" si="438"/>
        <v>-3.7964174679065162E-2</v>
      </c>
      <c r="Z1069" s="91">
        <f t="shared" si="439"/>
        <v>1.1681284516635432E-2</v>
      </c>
      <c r="AA1069" s="91">
        <f t="shared" si="443"/>
        <v>-3.7964174679065162E-2</v>
      </c>
      <c r="AB1069" s="44" t="s">
        <v>81</v>
      </c>
      <c r="AC1069" s="91">
        <f t="shared" si="450"/>
        <v>-0.153</v>
      </c>
      <c r="AD1069" s="91" cm="1">
        <f t="array" ref="AD1069">_xlfn.IFS(
AND(L1069="marginal_effect",M1069="level"),N1069*AN1069/BF1069,
AND(L1069="marginal_effect",M1069="sd (Y)"),N1069*BI1069*AN1069/BF1069,
AND(L1069="marginal_effect",M1069="sd (X)"),N1069/AQ1069*AN1069/BF1069,
AND(L1069="semi_elasticity",M1069="level"),N1069*AN1069,
AND(L1069="semi_elasticity",M1069="sd (Y)"),N1069*AN1069*BI1069,
AND(L1069="semi_elasticity",M1069="sd (X)"),N1069*AN1069/AQ1069,
AND(L1069="level-log",M1069="level"),N1069/BF1069,
AND(L1069="level-log",M1069="sd (X)"),N1069/BF1069/AQ1069,
AND(L1069="level-log",M1069="sd (Y)"),N1069/BF1069*BI1069,
AND(L1069="elasticity",M1069="level"),N1069,
AND(L1069="elasticity",M1069="sd (X)"),N1069/AQ1069,
AND(L1069="elasticity",M1069="sd (Y)"),N1069*BI1069,
AND(L1069="marginal_effect",M1069="percent_of_mean"),N1069*AN1069/BF1069/10)</f>
        <v>-0.153</v>
      </c>
      <c r="AE1069" s="50">
        <f t="shared" si="444"/>
        <v>1</v>
      </c>
      <c r="AF1069" s="91">
        <f t="shared" si="451"/>
        <v>4.7076923076923079E-2</v>
      </c>
      <c r="AG1069" s="91" cm="1">
        <f t="array" ref="AG1069">_xlfn.IFS(
AND(L1069="marginal_effect",M1069="level"),O1069*AN1069/BF1069,
AND(L1069="marginal_effect",M1069="sd (Y)"),O1069*BI1069*AN1069/BF1069,
AND(L1069="marginal_effect",M1069="sd (X)"),O1069/AQ1069*AN1069/BF1069,
AND(L1069="semi_elasticity",M1069="level"),O1069*AN1069,
AND(L1069="semi_elasticity",M1069="sd (Y)"),O1069*AN1069*BI1069,
AND(L1069="semi_elasticity",M1069="sd (X)"),O1069*AN1069/AQ1069,
AND(L1069="level-log",M1069="level"),O1069/BF1069,
AND(L1069="level-log",M1069="sd (X)"),O1069/BF1069/AQ1069,
AND(L1069="level-log",M1069="sd (Y)"),O1069/BF1069*BI1069,
AND(L1069="elasticity",M1069="level"),O1069,
AND(L1069="elasticity",M1069="sd (X)"),O1069/AQ1069,
AND(L1069="elasticity",M1069="sd (Y)"),O1069*BI1069,
AND(L1069="marginal_effect",M1069="percent_of_mean"),O1069*AN1069/BF1069/10)</f>
        <v>4.7076923076923079E-2</v>
      </c>
      <c r="AH1069" s="50">
        <f t="shared" si="446"/>
        <v>1</v>
      </c>
      <c r="AI1069" s="91">
        <f t="shared" si="445"/>
        <v>-0.153</v>
      </c>
      <c r="AJ1069" s="44">
        <v>0</v>
      </c>
      <c r="AK1069" s="44">
        <f t="shared" si="442"/>
        <v>1</v>
      </c>
      <c r="AL1069" s="44" t="s">
        <v>82</v>
      </c>
      <c r="AM1069" s="44" t="s">
        <v>1333</v>
      </c>
      <c r="AN1069" s="44">
        <v>57.481999999999999</v>
      </c>
      <c r="AO1069" s="44">
        <v>0</v>
      </c>
      <c r="AP1069" s="44">
        <f t="shared" si="452"/>
        <v>57.481999999999999</v>
      </c>
      <c r="AQ1069" s="44">
        <v>20.145</v>
      </c>
      <c r="AR1069" s="44">
        <v>20.89</v>
      </c>
      <c r="AS1069" s="44">
        <v>160.07</v>
      </c>
      <c r="AT1069" s="44" t="s">
        <v>83</v>
      </c>
      <c r="AU1069" s="44" t="s">
        <v>109</v>
      </c>
      <c r="AV1069" s="44" t="s">
        <v>133</v>
      </c>
      <c r="AW1069" s="44" t="s">
        <v>134</v>
      </c>
      <c r="AX1069" s="44" t="s">
        <v>110</v>
      </c>
      <c r="AY1069" s="76">
        <v>0</v>
      </c>
      <c r="AZ1069" s="76">
        <v>0</v>
      </c>
      <c r="BA1069" s="44" t="s">
        <v>391</v>
      </c>
      <c r="BB1069" s="44" t="s">
        <v>134</v>
      </c>
      <c r="BC1069" s="44" t="s">
        <v>134</v>
      </c>
      <c r="BD1069" s="44" t="s">
        <v>134</v>
      </c>
      <c r="BE1069" s="44" t="s">
        <v>2108</v>
      </c>
      <c r="BF1069" s="44">
        <v>13.836</v>
      </c>
      <c r="BG1069" s="44">
        <v>0</v>
      </c>
      <c r="BH1069" s="44">
        <v>0.91900000000000004</v>
      </c>
      <c r="BI1069" s="44">
        <v>9.3249999999999993</v>
      </c>
      <c r="BJ1069" s="44">
        <v>18.951000000000001</v>
      </c>
      <c r="BK1069" s="44" t="s">
        <v>91</v>
      </c>
      <c r="BL1069" s="44" t="s">
        <v>116</v>
      </c>
      <c r="BM1069" s="44">
        <v>1</v>
      </c>
      <c r="BN1069" s="44" t="s">
        <v>134</v>
      </c>
      <c r="BO1069" s="44" t="s">
        <v>312</v>
      </c>
      <c r="BP1069" s="44" t="s">
        <v>312</v>
      </c>
      <c r="BQ1069" s="44" t="s">
        <v>117</v>
      </c>
      <c r="BR1069" s="44" t="s">
        <v>134</v>
      </c>
      <c r="BS1069" s="44" t="s">
        <v>312</v>
      </c>
      <c r="BT1069" s="44" t="s">
        <v>312</v>
      </c>
      <c r="BU1069" s="44">
        <v>2013</v>
      </c>
      <c r="BV1069" s="44">
        <v>2017</v>
      </c>
      <c r="BW1069" s="44" t="s">
        <v>901</v>
      </c>
      <c r="BX1069" s="44" t="s">
        <v>95</v>
      </c>
      <c r="BY1069" s="44" t="s">
        <v>96</v>
      </c>
      <c r="BZ1069" s="44">
        <v>0</v>
      </c>
      <c r="CA1069" s="44">
        <v>0</v>
      </c>
      <c r="CB1069" s="44" t="s">
        <v>97</v>
      </c>
      <c r="CC1069" s="44" t="s">
        <v>2122</v>
      </c>
      <c r="CD1069" s="44">
        <v>0</v>
      </c>
      <c r="CE1069" s="44" t="s">
        <v>97</v>
      </c>
      <c r="CF1069" s="44">
        <v>0</v>
      </c>
      <c r="CG1069" s="44" t="s">
        <v>97</v>
      </c>
      <c r="CH1069" s="44">
        <v>0</v>
      </c>
      <c r="CI1069" s="44" t="s">
        <v>97</v>
      </c>
      <c r="CJ1069" s="44" t="s">
        <v>98</v>
      </c>
      <c r="CK1069" s="44">
        <v>7</v>
      </c>
      <c r="CL1069" s="44">
        <v>0</v>
      </c>
      <c r="CM1069" s="44">
        <v>0</v>
      </c>
      <c r="CN1069" s="44" t="s">
        <v>124</v>
      </c>
      <c r="CO1069" s="44" t="s">
        <v>97</v>
      </c>
      <c r="CP1069" s="44" t="s">
        <v>100</v>
      </c>
      <c r="CQ1069" s="44" t="s">
        <v>126</v>
      </c>
      <c r="CR1069" s="45">
        <v>46258</v>
      </c>
      <c r="CT1069" s="44" t="s">
        <v>457</v>
      </c>
      <c r="CU1069" s="44" t="s">
        <v>2109</v>
      </c>
    </row>
    <row r="1070" spans="1:105" s="44" customFormat="1" x14ac:dyDescent="0.35">
      <c r="A1070" s="43" t="s">
        <v>2114</v>
      </c>
      <c r="B1070" s="43" t="s">
        <v>2117</v>
      </c>
      <c r="C1070" s="44" t="s">
        <v>2106</v>
      </c>
      <c r="D1070" s="44">
        <v>2020</v>
      </c>
      <c r="E1070" s="64" t="s">
        <v>2107</v>
      </c>
      <c r="F1070" s="43" t="s">
        <v>2093</v>
      </c>
      <c r="G1070" s="44" t="s">
        <v>78</v>
      </c>
      <c r="H1070" s="44">
        <v>1</v>
      </c>
      <c r="I1070" s="44" t="s">
        <v>290</v>
      </c>
      <c r="J1070" s="44" t="s">
        <v>1174</v>
      </c>
      <c r="K1070" s="44">
        <v>27</v>
      </c>
      <c r="L1070" s="44" t="s">
        <v>80</v>
      </c>
      <c r="M1070" s="44" t="s">
        <v>380</v>
      </c>
      <c r="N1070" s="44">
        <v>-0.17399999999999999</v>
      </c>
      <c r="O1070" s="44">
        <f t="shared" si="447"/>
        <v>5.6310679611650483E-2</v>
      </c>
      <c r="P1070" s="91">
        <v>-3.09</v>
      </c>
      <c r="Q1070" s="44" t="s">
        <v>312</v>
      </c>
      <c r="R1070" s="91">
        <f t="shared" si="448"/>
        <v>-0.28436893203883495</v>
      </c>
      <c r="S1070" s="91">
        <f t="shared" si="449"/>
        <v>-6.363106796116505E-2</v>
      </c>
      <c r="T1070" s="44">
        <v>1</v>
      </c>
      <c r="U1070" s="44">
        <v>7328</v>
      </c>
      <c r="V1070" s="44">
        <v>10</v>
      </c>
      <c r="W1070" s="44">
        <v>1</v>
      </c>
      <c r="X1070" s="44">
        <f>U1070-V1070</f>
        <v>7318</v>
      </c>
      <c r="Y1070" s="91">
        <f t="shared" si="438"/>
        <v>-3.6097667514105772E-2</v>
      </c>
      <c r="Z1070" s="91">
        <f t="shared" si="439"/>
        <v>1.1682093046636173E-2</v>
      </c>
      <c r="AA1070" s="91">
        <f t="shared" si="443"/>
        <v>-3.6097667514105772E-2</v>
      </c>
      <c r="AB1070" s="44" t="s">
        <v>81</v>
      </c>
      <c r="AC1070" s="91">
        <f t="shared" si="450"/>
        <v>-0.17399999999999999</v>
      </c>
      <c r="AD1070" s="91" cm="1">
        <f t="array" ref="AD1070">_xlfn.IFS(
AND(L1070="marginal_effect",M1070="level"),N1070*AN1070/BF1070,
AND(L1070="marginal_effect",M1070="sd (Y)"),N1070*BI1070*AN1070/BF1070,
AND(L1070="marginal_effect",M1070="sd (X)"),N1070/AQ1070*AN1070/BF1070,
AND(L1070="semi_elasticity",M1070="level"),N1070*AN1070,
AND(L1070="semi_elasticity",M1070="sd (Y)"),N1070*AN1070*BI1070,
AND(L1070="semi_elasticity",M1070="sd (X)"),N1070*AN1070/AQ1070,
AND(L1070="level-log",M1070="level"),N1070/BF1070,
AND(L1070="level-log",M1070="sd (X)"),N1070/BF1070/AQ1070,
AND(L1070="level-log",M1070="sd (Y)"),N1070/BF1070*BI1070,
AND(L1070="elasticity",M1070="level"),N1070,
AND(L1070="elasticity",M1070="sd (X)"),N1070/AQ1070,
AND(L1070="elasticity",M1070="sd (Y)"),N1070*BI1070,
AND(L1070="marginal_effect",M1070="percent_of_mean"),N1070*AN1070/BF1070/10)</f>
        <v>-0.17399999999999999</v>
      </c>
      <c r="AE1070" s="50">
        <f t="shared" si="444"/>
        <v>1</v>
      </c>
      <c r="AF1070" s="91">
        <f t="shared" si="451"/>
        <v>5.6310679611650483E-2</v>
      </c>
      <c r="AG1070" s="91" cm="1">
        <f t="array" ref="AG1070">_xlfn.IFS(
AND(L1070="marginal_effect",M1070="level"),O1070*AN1070/BF1070,
AND(L1070="marginal_effect",M1070="sd (Y)"),O1070*BI1070*AN1070/BF1070,
AND(L1070="marginal_effect",M1070="sd (X)"),O1070/AQ1070*AN1070/BF1070,
AND(L1070="semi_elasticity",M1070="level"),O1070*AN1070,
AND(L1070="semi_elasticity",M1070="sd (Y)"),O1070*AN1070*BI1070,
AND(L1070="semi_elasticity",M1070="sd (X)"),O1070*AN1070/AQ1070,
AND(L1070="level-log",M1070="level"),O1070/BF1070,
AND(L1070="level-log",M1070="sd (X)"),O1070/BF1070/AQ1070,
AND(L1070="level-log",M1070="sd (Y)"),O1070/BF1070*BI1070,
AND(L1070="elasticity",M1070="level"),O1070,
AND(L1070="elasticity",M1070="sd (X)"),O1070/AQ1070,
AND(L1070="elasticity",M1070="sd (Y)"),O1070*BI1070,
AND(L1070="marginal_effect",M1070="percent_of_mean"),O1070*AN1070/BF1070/10)</f>
        <v>5.6310679611650483E-2</v>
      </c>
      <c r="AH1070" s="50">
        <f t="shared" si="446"/>
        <v>1</v>
      </c>
      <c r="AI1070" s="91">
        <f t="shared" si="445"/>
        <v>-0.17399999999999999</v>
      </c>
      <c r="AJ1070" s="44">
        <v>0</v>
      </c>
      <c r="AK1070" s="44">
        <f t="shared" si="442"/>
        <v>1</v>
      </c>
      <c r="AL1070" s="44" t="s">
        <v>82</v>
      </c>
      <c r="AM1070" s="44" t="s">
        <v>1333</v>
      </c>
      <c r="AN1070" s="44">
        <v>57.481999999999999</v>
      </c>
      <c r="AO1070" s="44">
        <v>0</v>
      </c>
      <c r="AP1070" s="44">
        <f t="shared" si="452"/>
        <v>57.481999999999999</v>
      </c>
      <c r="AQ1070" s="44">
        <v>20.145</v>
      </c>
      <c r="AR1070" s="44">
        <v>20.89</v>
      </c>
      <c r="AS1070" s="44">
        <v>160.07</v>
      </c>
      <c r="AT1070" s="44" t="s">
        <v>83</v>
      </c>
      <c r="AU1070" s="44" t="s">
        <v>109</v>
      </c>
      <c r="AV1070" s="44" t="s">
        <v>133</v>
      </c>
      <c r="AW1070" s="44" t="s">
        <v>134</v>
      </c>
      <c r="AX1070" s="44" t="s">
        <v>110</v>
      </c>
      <c r="AY1070" s="76">
        <v>0</v>
      </c>
      <c r="AZ1070" s="76">
        <v>0</v>
      </c>
      <c r="BA1070" s="44" t="s">
        <v>391</v>
      </c>
      <c r="BB1070" s="44" t="s">
        <v>134</v>
      </c>
      <c r="BC1070" s="44" t="s">
        <v>134</v>
      </c>
      <c r="BD1070" s="44" t="s">
        <v>134</v>
      </c>
      <c r="BE1070" s="44" t="s">
        <v>2108</v>
      </c>
      <c r="BF1070" s="44">
        <v>13.836</v>
      </c>
      <c r="BG1070" s="44">
        <v>0</v>
      </c>
      <c r="BH1070" s="44">
        <v>0.91900000000000004</v>
      </c>
      <c r="BI1070" s="44">
        <v>9.3249999999999993</v>
      </c>
      <c r="BJ1070" s="44">
        <v>18.951000000000001</v>
      </c>
      <c r="BK1070" s="44" t="s">
        <v>91</v>
      </c>
      <c r="BL1070" s="44" t="s">
        <v>116</v>
      </c>
      <c r="BM1070" s="44">
        <v>1</v>
      </c>
      <c r="BN1070" s="44" t="s">
        <v>134</v>
      </c>
      <c r="BO1070" s="44" t="s">
        <v>312</v>
      </c>
      <c r="BP1070" s="44" t="s">
        <v>312</v>
      </c>
      <c r="BQ1070" s="44" t="s">
        <v>117</v>
      </c>
      <c r="BR1070" s="44" t="s">
        <v>134</v>
      </c>
      <c r="BS1070" s="44" t="s">
        <v>312</v>
      </c>
      <c r="BT1070" s="44" t="s">
        <v>312</v>
      </c>
      <c r="BU1070" s="44">
        <v>2013</v>
      </c>
      <c r="BV1070" s="44">
        <v>2017</v>
      </c>
      <c r="BW1070" s="44" t="s">
        <v>901</v>
      </c>
      <c r="BX1070" s="44" t="s">
        <v>95</v>
      </c>
      <c r="BY1070" s="44" t="s">
        <v>96</v>
      </c>
      <c r="BZ1070" s="44">
        <v>0</v>
      </c>
      <c r="CA1070" s="44">
        <v>0</v>
      </c>
      <c r="CB1070" s="44" t="s">
        <v>97</v>
      </c>
      <c r="CC1070" s="44" t="s">
        <v>2122</v>
      </c>
      <c r="CD1070" s="44">
        <v>0</v>
      </c>
      <c r="CE1070" s="44" t="s">
        <v>97</v>
      </c>
      <c r="CF1070" s="44">
        <v>0</v>
      </c>
      <c r="CG1070" s="44" t="s">
        <v>97</v>
      </c>
      <c r="CH1070" s="44">
        <v>0</v>
      </c>
      <c r="CI1070" s="44" t="s">
        <v>97</v>
      </c>
      <c r="CJ1070" s="44" t="s">
        <v>98</v>
      </c>
      <c r="CK1070" s="44">
        <v>7</v>
      </c>
      <c r="CL1070" s="44">
        <v>0</v>
      </c>
      <c r="CM1070" s="44">
        <v>0</v>
      </c>
      <c r="CN1070" s="44" t="s">
        <v>124</v>
      </c>
      <c r="CO1070" s="44" t="s">
        <v>97</v>
      </c>
      <c r="CP1070" s="44" t="s">
        <v>100</v>
      </c>
      <c r="CQ1070" s="44" t="s">
        <v>126</v>
      </c>
      <c r="CR1070" s="45">
        <v>46258</v>
      </c>
      <c r="CT1070" s="44" t="s">
        <v>783</v>
      </c>
      <c r="CU1070" s="44" t="s">
        <v>2113</v>
      </c>
    </row>
    <row r="1071" spans="1:105" s="44" customFormat="1" x14ac:dyDescent="0.35">
      <c r="A1071" s="43" t="s">
        <v>2114</v>
      </c>
      <c r="B1071" s="43" t="s">
        <v>2118</v>
      </c>
      <c r="C1071" s="44" t="s">
        <v>2106</v>
      </c>
      <c r="D1071" s="44">
        <v>2020</v>
      </c>
      <c r="E1071" s="64" t="s">
        <v>2107</v>
      </c>
      <c r="F1071" s="43" t="s">
        <v>2093</v>
      </c>
      <c r="G1071" s="44" t="s">
        <v>78</v>
      </c>
      <c r="H1071" s="44">
        <v>1</v>
      </c>
      <c r="I1071" s="44" t="s">
        <v>290</v>
      </c>
      <c r="J1071" s="44" t="s">
        <v>1174</v>
      </c>
      <c r="K1071" s="44">
        <v>27</v>
      </c>
      <c r="L1071" s="44" t="s">
        <v>80</v>
      </c>
      <c r="M1071" s="44" t="s">
        <v>380</v>
      </c>
      <c r="N1071" s="44">
        <v>-0.32400000000000001</v>
      </c>
      <c r="O1071" s="44">
        <f t="shared" si="447"/>
        <v>6.7500000000000004E-2</v>
      </c>
      <c r="P1071" s="91">
        <v>-4.8</v>
      </c>
      <c r="Q1071" s="44" t="s">
        <v>312</v>
      </c>
      <c r="R1071" s="91">
        <f t="shared" si="448"/>
        <v>-0.45630000000000004</v>
      </c>
      <c r="S1071" s="91">
        <f t="shared" si="449"/>
        <v>-0.19170000000000001</v>
      </c>
      <c r="T1071" s="44">
        <v>1</v>
      </c>
      <c r="U1071" s="44" t="s">
        <v>312</v>
      </c>
      <c r="V1071" s="44">
        <v>10</v>
      </c>
      <c r="W1071" s="44">
        <v>1</v>
      </c>
      <c r="X1071" s="44" t="s">
        <v>312</v>
      </c>
      <c r="Y1071" s="91" t="s">
        <v>312</v>
      </c>
      <c r="Z1071" s="91" t="s">
        <v>312</v>
      </c>
      <c r="AA1071" s="91" t="s">
        <v>312</v>
      </c>
      <c r="AB1071" s="44" t="s">
        <v>81</v>
      </c>
      <c r="AC1071" s="91">
        <f t="shared" si="450"/>
        <v>-0.32400000000000001</v>
      </c>
      <c r="AD1071" s="91" cm="1">
        <f t="array" ref="AD1071">_xlfn.IFS(
AND(L1071="marginal_effect",M1071="level"),N1071*AN1071/BF1071,
AND(L1071="marginal_effect",M1071="sd (Y)"),N1071*BI1071*AN1071/BF1071,
AND(L1071="marginal_effect",M1071="sd (X)"),N1071/AQ1071*AN1071/BF1071,
AND(L1071="semi_elasticity",M1071="level"),N1071*AN1071,
AND(L1071="semi_elasticity",M1071="sd (Y)"),N1071*AN1071*BI1071,
AND(L1071="semi_elasticity",M1071="sd (X)"),N1071*AN1071/AQ1071,
AND(L1071="level-log",M1071="level"),N1071/BF1071,
AND(L1071="level-log",M1071="sd (X)"),N1071/BF1071/AQ1071,
AND(L1071="level-log",M1071="sd (Y)"),N1071/BF1071*BI1071,
AND(L1071="elasticity",M1071="level"),N1071,
AND(L1071="elasticity",M1071="sd (X)"),N1071/AQ1071,
AND(L1071="elasticity",M1071="sd (Y)"),N1071*BI1071,
AND(L1071="marginal_effect",M1071="percent_of_mean"),N1071*AN1071/BF1071/10)</f>
        <v>-0.32400000000000001</v>
      </c>
      <c r="AE1071" s="50">
        <f t="shared" si="444"/>
        <v>1</v>
      </c>
      <c r="AF1071" s="91">
        <f t="shared" si="451"/>
        <v>6.7500000000000004E-2</v>
      </c>
      <c r="AG1071" s="91" cm="1">
        <f t="array" ref="AG1071">_xlfn.IFS(
AND(L1071="marginal_effect",M1071="level"),O1071*AN1071/BF1071,
AND(L1071="marginal_effect",M1071="sd (Y)"),O1071*BI1071*AN1071/BF1071,
AND(L1071="marginal_effect",M1071="sd (X)"),O1071/AQ1071*AN1071/BF1071,
AND(L1071="semi_elasticity",M1071="level"),O1071*AN1071,
AND(L1071="semi_elasticity",M1071="sd (Y)"),O1071*AN1071*BI1071,
AND(L1071="semi_elasticity",M1071="sd (X)"),O1071*AN1071/AQ1071,
AND(L1071="level-log",M1071="level"),O1071/BF1071,
AND(L1071="level-log",M1071="sd (X)"),O1071/BF1071/AQ1071,
AND(L1071="level-log",M1071="sd (Y)"),O1071/BF1071*BI1071,
AND(L1071="elasticity",M1071="level"),O1071,
AND(L1071="elasticity",M1071="sd (X)"),O1071/AQ1071,
AND(L1071="elasticity",M1071="sd (Y)"),O1071*BI1071,
AND(L1071="marginal_effect",M1071="percent_of_mean"),O1071*AN1071/BF1071/10)</f>
        <v>6.7500000000000004E-2</v>
      </c>
      <c r="AH1071" s="50">
        <f t="shared" si="446"/>
        <v>1</v>
      </c>
      <c r="AI1071" s="91">
        <f t="shared" si="445"/>
        <v>-0.32400000000000001</v>
      </c>
      <c r="AJ1071" s="44">
        <v>0</v>
      </c>
      <c r="AK1071" s="44">
        <f t="shared" si="442"/>
        <v>1</v>
      </c>
      <c r="AL1071" s="44" t="s">
        <v>82</v>
      </c>
      <c r="AM1071" s="44" t="s">
        <v>1333</v>
      </c>
      <c r="AN1071" s="44">
        <v>57.481999999999999</v>
      </c>
      <c r="AO1071" s="44">
        <v>1</v>
      </c>
      <c r="AP1071" s="44">
        <f t="shared" si="452"/>
        <v>57.481999999999999</v>
      </c>
      <c r="AQ1071" s="44">
        <v>20.145</v>
      </c>
      <c r="AR1071" s="44">
        <v>20.89</v>
      </c>
      <c r="AS1071" s="44">
        <v>160.07</v>
      </c>
      <c r="AT1071" s="44" t="s">
        <v>83</v>
      </c>
      <c r="AU1071" s="44" t="s">
        <v>109</v>
      </c>
      <c r="AV1071" s="44" t="s">
        <v>133</v>
      </c>
      <c r="AW1071" s="44" t="s">
        <v>134</v>
      </c>
      <c r="AX1071" s="44" t="s">
        <v>110</v>
      </c>
      <c r="AY1071" s="76">
        <v>0</v>
      </c>
      <c r="AZ1071" s="76">
        <v>0</v>
      </c>
      <c r="BA1071" s="44" t="s">
        <v>391</v>
      </c>
      <c r="BB1071" s="44" t="s">
        <v>134</v>
      </c>
      <c r="BC1071" s="44" t="s">
        <v>134</v>
      </c>
      <c r="BD1071" s="44" t="s">
        <v>134</v>
      </c>
      <c r="BE1071" s="44" t="s">
        <v>2108</v>
      </c>
      <c r="BF1071" s="44">
        <v>13.836</v>
      </c>
      <c r="BG1071" s="44">
        <v>1</v>
      </c>
      <c r="BH1071" s="44">
        <v>0.91900000000000004</v>
      </c>
      <c r="BI1071" s="44">
        <v>9.3249999999999993</v>
      </c>
      <c r="BJ1071" s="44">
        <v>18.951000000000001</v>
      </c>
      <c r="BK1071" s="44" t="s">
        <v>91</v>
      </c>
      <c r="BL1071" s="44" t="s">
        <v>116</v>
      </c>
      <c r="BM1071" s="44">
        <v>1</v>
      </c>
      <c r="BN1071" s="44" t="s">
        <v>134</v>
      </c>
      <c r="BO1071" s="44" t="s">
        <v>312</v>
      </c>
      <c r="BP1071" s="44" t="s">
        <v>312</v>
      </c>
      <c r="BQ1071" s="44" t="s">
        <v>117</v>
      </c>
      <c r="BR1071" s="44" t="s">
        <v>134</v>
      </c>
      <c r="BS1071" s="44" t="s">
        <v>312</v>
      </c>
      <c r="BT1071" s="44" t="s">
        <v>312</v>
      </c>
      <c r="BU1071" s="44">
        <v>2013</v>
      </c>
      <c r="BV1071" s="44">
        <v>2017</v>
      </c>
      <c r="BW1071" s="44" t="s">
        <v>901</v>
      </c>
      <c r="BX1071" s="44" t="s">
        <v>95</v>
      </c>
      <c r="BY1071" s="44" t="s">
        <v>96</v>
      </c>
      <c r="BZ1071" s="44">
        <v>0</v>
      </c>
      <c r="CA1071" s="44">
        <v>0</v>
      </c>
      <c r="CB1071" s="44" t="s">
        <v>97</v>
      </c>
      <c r="CC1071" s="44" t="s">
        <v>2122</v>
      </c>
      <c r="CD1071" s="44">
        <v>0</v>
      </c>
      <c r="CE1071" s="44" t="s">
        <v>97</v>
      </c>
      <c r="CF1071" s="44">
        <v>0</v>
      </c>
      <c r="CG1071" s="44" t="s">
        <v>97</v>
      </c>
      <c r="CH1071" s="44">
        <v>0</v>
      </c>
      <c r="CI1071" s="44" t="s">
        <v>97</v>
      </c>
      <c r="CJ1071" s="44" t="s">
        <v>98</v>
      </c>
      <c r="CK1071" s="44">
        <v>7</v>
      </c>
      <c r="CL1071" s="44">
        <v>0</v>
      </c>
      <c r="CM1071" s="44">
        <v>0</v>
      </c>
      <c r="CN1071" s="44" t="s">
        <v>99</v>
      </c>
      <c r="CO1071" s="44" t="s">
        <v>2111</v>
      </c>
      <c r="CP1071" s="44" t="s">
        <v>100</v>
      </c>
      <c r="CQ1071" s="44" t="s">
        <v>126</v>
      </c>
      <c r="CR1071" s="45">
        <v>46258</v>
      </c>
      <c r="CT1071" s="44" t="s">
        <v>933</v>
      </c>
    </row>
    <row r="1072" spans="1:105" s="44" customFormat="1" x14ac:dyDescent="0.35">
      <c r="A1072" s="43" t="s">
        <v>2114</v>
      </c>
      <c r="B1072" s="43" t="s">
        <v>2119</v>
      </c>
      <c r="C1072" s="44" t="s">
        <v>2106</v>
      </c>
      <c r="D1072" s="44">
        <v>2020</v>
      </c>
      <c r="E1072" s="64" t="s">
        <v>2107</v>
      </c>
      <c r="F1072" s="43" t="s">
        <v>2093</v>
      </c>
      <c r="G1072" s="44" t="s">
        <v>78</v>
      </c>
      <c r="H1072" s="44">
        <v>1</v>
      </c>
      <c r="I1072" s="44" t="s">
        <v>290</v>
      </c>
      <c r="J1072" s="44" t="s">
        <v>1174</v>
      </c>
      <c r="K1072" s="44">
        <v>27</v>
      </c>
      <c r="L1072" s="44" t="s">
        <v>80</v>
      </c>
      <c r="M1072" s="44" t="s">
        <v>380</v>
      </c>
      <c r="N1072" s="44">
        <v>0.112</v>
      </c>
      <c r="O1072" s="44">
        <f t="shared" si="447"/>
        <v>0.1009009009009009</v>
      </c>
      <c r="P1072" s="91">
        <v>1.1100000000000001</v>
      </c>
      <c r="Q1072" s="44" t="s">
        <v>312</v>
      </c>
      <c r="R1072" s="91">
        <f t="shared" si="448"/>
        <v>-8.5765765765765764E-2</v>
      </c>
      <c r="S1072" s="91">
        <f t="shared" si="449"/>
        <v>0.30976576576576575</v>
      </c>
      <c r="T1072" s="44">
        <v>1</v>
      </c>
      <c r="U1072" s="44" t="s">
        <v>312</v>
      </c>
      <c r="V1072" s="44">
        <v>10</v>
      </c>
      <c r="W1072" s="44">
        <v>1</v>
      </c>
      <c r="X1072" s="44" t="s">
        <v>312</v>
      </c>
      <c r="Y1072" s="91" t="s">
        <v>312</v>
      </c>
      <c r="Z1072" s="91" t="s">
        <v>312</v>
      </c>
      <c r="AA1072" s="91" t="s">
        <v>312</v>
      </c>
      <c r="AB1072" s="44" t="s">
        <v>81</v>
      </c>
      <c r="AC1072" s="91">
        <f t="shared" si="450"/>
        <v>0.112</v>
      </c>
      <c r="AD1072" s="91" cm="1">
        <f t="array" ref="AD1072">_xlfn.IFS(
AND(L1072="marginal_effect",M1072="level"),N1072*AN1072/BF1072,
AND(L1072="marginal_effect",M1072="sd (Y)"),N1072*BI1072*AN1072/BF1072,
AND(L1072="marginal_effect",M1072="sd (X)"),N1072/AQ1072*AN1072/BF1072,
AND(L1072="semi_elasticity",M1072="level"),N1072*AN1072,
AND(L1072="semi_elasticity",M1072="sd (Y)"),N1072*AN1072*BI1072,
AND(L1072="semi_elasticity",M1072="sd (X)"),N1072*AN1072/AQ1072,
AND(L1072="level-log",M1072="level"),N1072/BF1072,
AND(L1072="level-log",M1072="sd (X)"),N1072/BF1072/AQ1072,
AND(L1072="level-log",M1072="sd (Y)"),N1072/BF1072*BI1072,
AND(L1072="elasticity",M1072="level"),N1072,
AND(L1072="elasticity",M1072="sd (X)"),N1072/AQ1072,
AND(L1072="elasticity",M1072="sd (Y)"),N1072*BI1072,
AND(L1072="marginal_effect",M1072="percent_of_mean"),N1072*AN1072/BF1072/10)</f>
        <v>0.112</v>
      </c>
      <c r="AE1072" s="50">
        <f t="shared" si="444"/>
        <v>1</v>
      </c>
      <c r="AF1072" s="91">
        <f t="shared" si="451"/>
        <v>0.1009009009009009</v>
      </c>
      <c r="AG1072" s="91" cm="1">
        <f t="array" ref="AG1072">_xlfn.IFS(
AND(L1072="marginal_effect",M1072="level"),O1072*AN1072/BF1072,
AND(L1072="marginal_effect",M1072="sd (Y)"),O1072*BI1072*AN1072/BF1072,
AND(L1072="marginal_effect",M1072="sd (X)"),O1072/AQ1072*AN1072/BF1072,
AND(L1072="semi_elasticity",M1072="level"),O1072*AN1072,
AND(L1072="semi_elasticity",M1072="sd (Y)"),O1072*AN1072*BI1072,
AND(L1072="semi_elasticity",M1072="sd (X)"),O1072*AN1072/AQ1072,
AND(L1072="level-log",M1072="level"),O1072/BF1072,
AND(L1072="level-log",M1072="sd (X)"),O1072/BF1072/AQ1072,
AND(L1072="level-log",M1072="sd (Y)"),O1072/BF1072*BI1072,
AND(L1072="elasticity",M1072="level"),O1072,
AND(L1072="elasticity",M1072="sd (X)"),O1072/AQ1072,
AND(L1072="elasticity",M1072="sd (Y)"),O1072*BI1072,
AND(L1072="marginal_effect",M1072="percent_of_mean"),O1072*AN1072/BF1072/10)</f>
        <v>0.1009009009009009</v>
      </c>
      <c r="AH1072" s="50">
        <f t="shared" si="446"/>
        <v>1</v>
      </c>
      <c r="AI1072" s="91">
        <f t="shared" si="445"/>
        <v>0.112</v>
      </c>
      <c r="AJ1072" s="44">
        <v>0</v>
      </c>
      <c r="AK1072" s="44">
        <f t="shared" si="442"/>
        <v>1</v>
      </c>
      <c r="AL1072" s="44" t="s">
        <v>82</v>
      </c>
      <c r="AM1072" s="44" t="s">
        <v>1333</v>
      </c>
      <c r="AN1072" s="44">
        <v>57.481999999999999</v>
      </c>
      <c r="AO1072" s="44">
        <v>1</v>
      </c>
      <c r="AP1072" s="44">
        <f t="shared" si="452"/>
        <v>57.481999999999999</v>
      </c>
      <c r="AQ1072" s="44">
        <v>20.145</v>
      </c>
      <c r="AR1072" s="44">
        <v>20.89</v>
      </c>
      <c r="AS1072" s="44">
        <v>160.07</v>
      </c>
      <c r="AT1072" s="44" t="s">
        <v>83</v>
      </c>
      <c r="AU1072" s="44" t="s">
        <v>109</v>
      </c>
      <c r="AV1072" s="44" t="s">
        <v>133</v>
      </c>
      <c r="AW1072" s="44" t="s">
        <v>134</v>
      </c>
      <c r="AX1072" s="44" t="s">
        <v>110</v>
      </c>
      <c r="AY1072" s="76">
        <v>0</v>
      </c>
      <c r="AZ1072" s="76">
        <v>0</v>
      </c>
      <c r="BA1072" s="44" t="s">
        <v>391</v>
      </c>
      <c r="BB1072" s="44" t="s">
        <v>134</v>
      </c>
      <c r="BC1072" s="44" t="s">
        <v>134</v>
      </c>
      <c r="BD1072" s="44" t="s">
        <v>134</v>
      </c>
      <c r="BE1072" s="44" t="s">
        <v>2108</v>
      </c>
      <c r="BF1072" s="44">
        <v>13.836</v>
      </c>
      <c r="BG1072" s="44">
        <v>1</v>
      </c>
      <c r="BH1072" s="44">
        <v>0.91900000000000004</v>
      </c>
      <c r="BI1072" s="44">
        <v>9.3249999999999993</v>
      </c>
      <c r="BJ1072" s="44">
        <v>18.951000000000001</v>
      </c>
      <c r="BK1072" s="44" t="s">
        <v>91</v>
      </c>
      <c r="BL1072" s="44" t="s">
        <v>116</v>
      </c>
      <c r="BM1072" s="44">
        <v>1</v>
      </c>
      <c r="BN1072" s="44" t="s">
        <v>134</v>
      </c>
      <c r="BO1072" s="44" t="s">
        <v>312</v>
      </c>
      <c r="BP1072" s="44" t="s">
        <v>312</v>
      </c>
      <c r="BQ1072" s="44" t="s">
        <v>117</v>
      </c>
      <c r="BR1072" s="44" t="s">
        <v>134</v>
      </c>
      <c r="BS1072" s="44" t="s">
        <v>312</v>
      </c>
      <c r="BT1072" s="44" t="s">
        <v>312</v>
      </c>
      <c r="BU1072" s="44">
        <v>2013</v>
      </c>
      <c r="BV1072" s="44">
        <v>2017</v>
      </c>
      <c r="BW1072" s="44" t="s">
        <v>901</v>
      </c>
      <c r="BX1072" s="44" t="s">
        <v>95</v>
      </c>
      <c r="BY1072" s="44" t="s">
        <v>96</v>
      </c>
      <c r="BZ1072" s="44">
        <v>0</v>
      </c>
      <c r="CA1072" s="44">
        <v>0</v>
      </c>
      <c r="CB1072" s="44" t="s">
        <v>97</v>
      </c>
      <c r="CC1072" s="44" t="s">
        <v>2122</v>
      </c>
      <c r="CD1072" s="44">
        <v>0</v>
      </c>
      <c r="CE1072" s="44" t="s">
        <v>97</v>
      </c>
      <c r="CF1072" s="44">
        <v>0</v>
      </c>
      <c r="CG1072" s="44" t="s">
        <v>97</v>
      </c>
      <c r="CH1072" s="44">
        <v>0</v>
      </c>
      <c r="CI1072" s="44" t="s">
        <v>97</v>
      </c>
      <c r="CJ1072" s="44" t="s">
        <v>98</v>
      </c>
      <c r="CK1072" s="44">
        <v>7</v>
      </c>
      <c r="CL1072" s="44">
        <v>0</v>
      </c>
      <c r="CM1072" s="44">
        <v>0</v>
      </c>
      <c r="CN1072" s="44" t="s">
        <v>99</v>
      </c>
      <c r="CO1072" s="44" t="s">
        <v>2111</v>
      </c>
      <c r="CP1072" s="44" t="s">
        <v>100</v>
      </c>
      <c r="CQ1072" s="44" t="s">
        <v>126</v>
      </c>
      <c r="CR1072" s="45">
        <v>46258</v>
      </c>
      <c r="CT1072" s="44" t="s">
        <v>937</v>
      </c>
    </row>
    <row r="1073" spans="1:98" s="44" customFormat="1" x14ac:dyDescent="0.35">
      <c r="A1073" s="43" t="s">
        <v>2114</v>
      </c>
      <c r="B1073" s="43" t="s">
        <v>2120</v>
      </c>
      <c r="C1073" s="44" t="s">
        <v>2106</v>
      </c>
      <c r="D1073" s="44">
        <v>2020</v>
      </c>
      <c r="E1073" s="64" t="s">
        <v>2107</v>
      </c>
      <c r="F1073" s="43" t="s">
        <v>2093</v>
      </c>
      <c r="G1073" s="44" t="s">
        <v>78</v>
      </c>
      <c r="H1073" s="44">
        <v>1</v>
      </c>
      <c r="I1073" s="44" t="s">
        <v>290</v>
      </c>
      <c r="J1073" s="44" t="s">
        <v>1174</v>
      </c>
      <c r="K1073" s="44">
        <v>27</v>
      </c>
      <c r="L1073" s="44" t="s">
        <v>80</v>
      </c>
      <c r="M1073" s="44" t="s">
        <v>380</v>
      </c>
      <c r="N1073" s="44">
        <v>-0.38200000000000001</v>
      </c>
      <c r="O1073" s="44">
        <f t="shared" si="447"/>
        <v>7.6247504990019963E-2</v>
      </c>
      <c r="P1073" s="91">
        <v>-5.01</v>
      </c>
      <c r="Q1073" s="44" t="s">
        <v>312</v>
      </c>
      <c r="R1073" s="91">
        <f t="shared" si="448"/>
        <v>-0.53144510978043913</v>
      </c>
      <c r="S1073" s="91">
        <f t="shared" si="449"/>
        <v>-0.23255489021956088</v>
      </c>
      <c r="T1073" s="44">
        <v>1</v>
      </c>
      <c r="U1073" s="44" t="s">
        <v>312</v>
      </c>
      <c r="V1073" s="44">
        <v>10</v>
      </c>
      <c r="W1073" s="44">
        <v>1</v>
      </c>
      <c r="X1073" s="44" t="s">
        <v>312</v>
      </c>
      <c r="Y1073" s="91" t="s">
        <v>312</v>
      </c>
      <c r="Z1073" s="91" t="s">
        <v>312</v>
      </c>
      <c r="AA1073" s="91" t="s">
        <v>312</v>
      </c>
      <c r="AB1073" s="44" t="s">
        <v>81</v>
      </c>
      <c r="AC1073" s="91">
        <f t="shared" si="450"/>
        <v>-0.38200000000000001</v>
      </c>
      <c r="AD1073" s="91" cm="1">
        <f t="array" ref="AD1073">_xlfn.IFS(
AND(L1073="marginal_effect",M1073="level"),N1073*AN1073/BF1073,
AND(L1073="marginal_effect",M1073="sd (Y)"),N1073*BI1073*AN1073/BF1073,
AND(L1073="marginal_effect",M1073="sd (X)"),N1073/AQ1073*AN1073/BF1073,
AND(L1073="semi_elasticity",M1073="level"),N1073*AN1073,
AND(L1073="semi_elasticity",M1073="sd (Y)"),N1073*AN1073*BI1073,
AND(L1073="semi_elasticity",M1073="sd (X)"),N1073*AN1073/AQ1073,
AND(L1073="level-log",M1073="level"),N1073/BF1073,
AND(L1073="level-log",M1073="sd (X)"),N1073/BF1073/AQ1073,
AND(L1073="level-log",M1073="sd (Y)"),N1073/BF1073*BI1073,
AND(L1073="elasticity",M1073="level"),N1073,
AND(L1073="elasticity",M1073="sd (X)"),N1073/AQ1073,
AND(L1073="elasticity",M1073="sd (Y)"),N1073*BI1073,
AND(L1073="marginal_effect",M1073="percent_of_mean"),N1073*AN1073/BF1073/10)</f>
        <v>-0.38200000000000001</v>
      </c>
      <c r="AE1073" s="50">
        <f t="shared" si="444"/>
        <v>1</v>
      </c>
      <c r="AF1073" s="91">
        <f t="shared" si="451"/>
        <v>7.6247504990019963E-2</v>
      </c>
      <c r="AG1073" s="91" cm="1">
        <f t="array" ref="AG1073">_xlfn.IFS(
AND(L1073="marginal_effect",M1073="level"),O1073*AN1073/BF1073,
AND(L1073="marginal_effect",M1073="sd (Y)"),O1073*BI1073*AN1073/BF1073,
AND(L1073="marginal_effect",M1073="sd (X)"),O1073/AQ1073*AN1073/BF1073,
AND(L1073="semi_elasticity",M1073="level"),O1073*AN1073,
AND(L1073="semi_elasticity",M1073="sd (Y)"),O1073*AN1073*BI1073,
AND(L1073="semi_elasticity",M1073="sd (X)"),O1073*AN1073/AQ1073,
AND(L1073="level-log",M1073="level"),O1073/BF1073,
AND(L1073="level-log",M1073="sd (X)"),O1073/BF1073/AQ1073,
AND(L1073="level-log",M1073="sd (Y)"),O1073/BF1073*BI1073,
AND(L1073="elasticity",M1073="level"),O1073,
AND(L1073="elasticity",M1073="sd (X)"),O1073/AQ1073,
AND(L1073="elasticity",M1073="sd (Y)"),O1073*BI1073,
AND(L1073="marginal_effect",M1073="percent_of_mean"),O1073*AN1073/BF1073/10)</f>
        <v>7.6247504990019963E-2</v>
      </c>
      <c r="AH1073" s="50">
        <f t="shared" si="446"/>
        <v>1</v>
      </c>
      <c r="AI1073" s="91">
        <f t="shared" si="445"/>
        <v>-0.38200000000000001</v>
      </c>
      <c r="AJ1073" s="44">
        <v>0</v>
      </c>
      <c r="AK1073" s="44">
        <f t="shared" si="442"/>
        <v>1</v>
      </c>
      <c r="AL1073" s="44" t="s">
        <v>82</v>
      </c>
      <c r="AM1073" s="44" t="s">
        <v>1333</v>
      </c>
      <c r="AN1073" s="44">
        <v>57.481999999999999</v>
      </c>
      <c r="AO1073" s="44">
        <v>1</v>
      </c>
      <c r="AP1073" s="44">
        <f t="shared" si="452"/>
        <v>57.481999999999999</v>
      </c>
      <c r="AQ1073" s="44">
        <v>20.145</v>
      </c>
      <c r="AR1073" s="44">
        <v>20.89</v>
      </c>
      <c r="AS1073" s="44">
        <v>160.07</v>
      </c>
      <c r="AT1073" s="44" t="s">
        <v>83</v>
      </c>
      <c r="AU1073" s="44" t="s">
        <v>109</v>
      </c>
      <c r="AV1073" s="44" t="s">
        <v>133</v>
      </c>
      <c r="AW1073" s="44" t="s">
        <v>134</v>
      </c>
      <c r="AX1073" s="44" t="s">
        <v>110</v>
      </c>
      <c r="AY1073" s="76">
        <v>0</v>
      </c>
      <c r="AZ1073" s="76">
        <v>0</v>
      </c>
      <c r="BA1073" s="44" t="s">
        <v>391</v>
      </c>
      <c r="BB1073" s="44" t="s">
        <v>134</v>
      </c>
      <c r="BC1073" s="44" t="s">
        <v>134</v>
      </c>
      <c r="BD1073" s="44" t="s">
        <v>134</v>
      </c>
      <c r="BE1073" s="44" t="s">
        <v>2108</v>
      </c>
      <c r="BF1073" s="44">
        <v>13.836</v>
      </c>
      <c r="BG1073" s="44">
        <v>1</v>
      </c>
      <c r="BH1073" s="44">
        <v>0.91900000000000004</v>
      </c>
      <c r="BI1073" s="44">
        <v>9.3249999999999993</v>
      </c>
      <c r="BJ1073" s="44">
        <v>18.951000000000001</v>
      </c>
      <c r="BK1073" s="44" t="s">
        <v>91</v>
      </c>
      <c r="BL1073" s="44" t="s">
        <v>116</v>
      </c>
      <c r="BM1073" s="44">
        <v>1</v>
      </c>
      <c r="BN1073" s="44" t="s">
        <v>134</v>
      </c>
      <c r="BO1073" s="44" t="s">
        <v>312</v>
      </c>
      <c r="BP1073" s="44" t="s">
        <v>312</v>
      </c>
      <c r="BQ1073" s="44" t="s">
        <v>117</v>
      </c>
      <c r="BR1073" s="44" t="s">
        <v>134</v>
      </c>
      <c r="BS1073" s="44" t="s">
        <v>312</v>
      </c>
      <c r="BT1073" s="44" t="s">
        <v>312</v>
      </c>
      <c r="BU1073" s="44">
        <v>2013</v>
      </c>
      <c r="BV1073" s="44">
        <v>2017</v>
      </c>
      <c r="BW1073" s="44" t="s">
        <v>901</v>
      </c>
      <c r="BX1073" s="44" t="s">
        <v>95</v>
      </c>
      <c r="BY1073" s="44" t="s">
        <v>96</v>
      </c>
      <c r="BZ1073" s="44">
        <v>0</v>
      </c>
      <c r="CA1073" s="44">
        <v>0</v>
      </c>
      <c r="CB1073" s="44" t="s">
        <v>97</v>
      </c>
      <c r="CC1073" s="44" t="s">
        <v>2122</v>
      </c>
      <c r="CD1073" s="44">
        <v>0</v>
      </c>
      <c r="CE1073" s="44" t="s">
        <v>97</v>
      </c>
      <c r="CF1073" s="44">
        <v>0</v>
      </c>
      <c r="CG1073" s="44" t="s">
        <v>97</v>
      </c>
      <c r="CH1073" s="44">
        <v>0</v>
      </c>
      <c r="CI1073" s="44" t="s">
        <v>97</v>
      </c>
      <c r="CJ1073" s="44" t="s">
        <v>98</v>
      </c>
      <c r="CK1073" s="44">
        <v>7</v>
      </c>
      <c r="CL1073" s="44">
        <v>0</v>
      </c>
      <c r="CM1073" s="44">
        <v>0</v>
      </c>
      <c r="CN1073" s="44" t="s">
        <v>99</v>
      </c>
      <c r="CO1073" s="44" t="s">
        <v>946</v>
      </c>
      <c r="CP1073" s="44" t="s">
        <v>100</v>
      </c>
      <c r="CQ1073" s="44" t="s">
        <v>126</v>
      </c>
      <c r="CR1073" s="45">
        <v>46258</v>
      </c>
      <c r="CT1073" s="44" t="s">
        <v>1433</v>
      </c>
    </row>
    <row r="1074" spans="1:98" s="44" customFormat="1" x14ac:dyDescent="0.35">
      <c r="A1074" s="43" t="s">
        <v>2114</v>
      </c>
      <c r="B1074" s="43" t="s">
        <v>2121</v>
      </c>
      <c r="C1074" s="44" t="s">
        <v>2106</v>
      </c>
      <c r="D1074" s="44">
        <v>2020</v>
      </c>
      <c r="E1074" s="64" t="s">
        <v>2107</v>
      </c>
      <c r="F1074" s="43" t="s">
        <v>2093</v>
      </c>
      <c r="G1074" s="44" t="s">
        <v>78</v>
      </c>
      <c r="H1074" s="44">
        <v>1</v>
      </c>
      <c r="I1074" s="44" t="s">
        <v>290</v>
      </c>
      <c r="J1074" s="44" t="s">
        <v>1174</v>
      </c>
      <c r="K1074" s="44">
        <v>27</v>
      </c>
      <c r="L1074" s="44" t="s">
        <v>80</v>
      </c>
      <c r="M1074" s="44" t="s">
        <v>380</v>
      </c>
      <c r="N1074" s="44">
        <v>9.7000000000000003E-2</v>
      </c>
      <c r="O1074" s="44">
        <f t="shared" si="447"/>
        <v>7.9508196721311486E-2</v>
      </c>
      <c r="P1074" s="91">
        <v>1.22</v>
      </c>
      <c r="Q1074" s="44" t="s">
        <v>312</v>
      </c>
      <c r="R1074" s="91">
        <f t="shared" si="448"/>
        <v>-5.8836065573770496E-2</v>
      </c>
      <c r="S1074" s="91">
        <f t="shared" si="449"/>
        <v>0.25283606557377047</v>
      </c>
      <c r="T1074" s="44">
        <v>1</v>
      </c>
      <c r="U1074" s="44" t="s">
        <v>312</v>
      </c>
      <c r="V1074" s="44">
        <v>10</v>
      </c>
      <c r="W1074" s="44">
        <v>1</v>
      </c>
      <c r="X1074" s="44" t="s">
        <v>312</v>
      </c>
      <c r="Y1074" s="91" t="s">
        <v>312</v>
      </c>
      <c r="Z1074" s="91" t="s">
        <v>312</v>
      </c>
      <c r="AA1074" s="91" t="s">
        <v>312</v>
      </c>
      <c r="AB1074" s="44" t="s">
        <v>81</v>
      </c>
      <c r="AC1074" s="91">
        <f t="shared" si="450"/>
        <v>9.7000000000000003E-2</v>
      </c>
      <c r="AD1074" s="91" cm="1">
        <f t="array" ref="AD1074">_xlfn.IFS(
AND(L1074="marginal_effect",M1074="level"),N1074*AN1074/BF1074,
AND(L1074="marginal_effect",M1074="sd (Y)"),N1074*BI1074*AN1074/BF1074,
AND(L1074="marginal_effect",M1074="sd (X)"),N1074/AQ1074*AN1074/BF1074,
AND(L1074="semi_elasticity",M1074="level"),N1074*AN1074,
AND(L1074="semi_elasticity",M1074="sd (Y)"),N1074*AN1074*BI1074,
AND(L1074="semi_elasticity",M1074="sd (X)"),N1074*AN1074/AQ1074,
AND(L1074="level-log",M1074="level"),N1074/BF1074,
AND(L1074="level-log",M1074="sd (X)"),N1074/BF1074/AQ1074,
AND(L1074="level-log",M1074="sd (Y)"),N1074/BF1074*BI1074,
AND(L1074="elasticity",M1074="level"),N1074,
AND(L1074="elasticity",M1074="sd (X)"),N1074/AQ1074,
AND(L1074="elasticity",M1074="sd (Y)"),N1074*BI1074,
AND(L1074="marginal_effect",M1074="percent_of_mean"),N1074*AN1074/BF1074/10)</f>
        <v>9.7000000000000003E-2</v>
      </c>
      <c r="AE1074" s="50">
        <f t="shared" si="444"/>
        <v>1</v>
      </c>
      <c r="AF1074" s="91">
        <f t="shared" si="451"/>
        <v>7.9508196721311486E-2</v>
      </c>
      <c r="AG1074" s="91" cm="1">
        <f t="array" ref="AG1074">_xlfn.IFS(
AND(L1074="marginal_effect",M1074="level"),O1074*AN1074/BF1074,
AND(L1074="marginal_effect",M1074="sd (Y)"),O1074*BI1074*AN1074/BF1074,
AND(L1074="marginal_effect",M1074="sd (X)"),O1074/AQ1074*AN1074/BF1074,
AND(L1074="semi_elasticity",M1074="level"),O1074*AN1074,
AND(L1074="semi_elasticity",M1074="sd (Y)"),O1074*AN1074*BI1074,
AND(L1074="semi_elasticity",M1074="sd (X)"),O1074*AN1074/AQ1074,
AND(L1074="level-log",M1074="level"),O1074/BF1074,
AND(L1074="level-log",M1074="sd (X)"),O1074/BF1074/AQ1074,
AND(L1074="level-log",M1074="sd (Y)"),O1074/BF1074*BI1074,
AND(L1074="elasticity",M1074="level"),O1074,
AND(L1074="elasticity",M1074="sd (X)"),O1074/AQ1074,
AND(L1074="elasticity",M1074="sd (Y)"),O1074*BI1074,
AND(L1074="marginal_effect",M1074="percent_of_mean"),O1074*AN1074/BF1074/10)</f>
        <v>7.9508196721311486E-2</v>
      </c>
      <c r="AH1074" s="50">
        <f t="shared" si="446"/>
        <v>1</v>
      </c>
      <c r="AI1074" s="91">
        <f t="shared" si="445"/>
        <v>9.7000000000000003E-2</v>
      </c>
      <c r="AJ1074" s="44">
        <v>0</v>
      </c>
      <c r="AK1074" s="44">
        <f t="shared" si="442"/>
        <v>1</v>
      </c>
      <c r="AL1074" s="44" t="s">
        <v>82</v>
      </c>
      <c r="AM1074" s="44" t="s">
        <v>1333</v>
      </c>
      <c r="AN1074" s="44">
        <v>57.481999999999999</v>
      </c>
      <c r="AO1074" s="44">
        <v>1</v>
      </c>
      <c r="AP1074" s="44">
        <f t="shared" si="452"/>
        <v>57.481999999999999</v>
      </c>
      <c r="AQ1074" s="44">
        <v>20.145</v>
      </c>
      <c r="AR1074" s="44">
        <v>20.89</v>
      </c>
      <c r="AS1074" s="44">
        <v>160.07</v>
      </c>
      <c r="AT1074" s="44" t="s">
        <v>83</v>
      </c>
      <c r="AU1074" s="44" t="s">
        <v>109</v>
      </c>
      <c r="AV1074" s="44" t="s">
        <v>133</v>
      </c>
      <c r="AW1074" s="44" t="s">
        <v>134</v>
      </c>
      <c r="AX1074" s="44" t="s">
        <v>110</v>
      </c>
      <c r="AY1074" s="76">
        <v>0</v>
      </c>
      <c r="AZ1074" s="76">
        <v>0</v>
      </c>
      <c r="BA1074" s="44" t="s">
        <v>391</v>
      </c>
      <c r="BB1074" s="44" t="s">
        <v>134</v>
      </c>
      <c r="BC1074" s="44" t="s">
        <v>134</v>
      </c>
      <c r="BD1074" s="44" t="s">
        <v>134</v>
      </c>
      <c r="BE1074" s="44" t="s">
        <v>2108</v>
      </c>
      <c r="BF1074" s="44">
        <v>13.836</v>
      </c>
      <c r="BG1074" s="44">
        <v>1</v>
      </c>
      <c r="BH1074" s="44">
        <v>0.91900000000000004</v>
      </c>
      <c r="BI1074" s="44">
        <v>9.3249999999999993</v>
      </c>
      <c r="BJ1074" s="44">
        <v>18.951000000000001</v>
      </c>
      <c r="BK1074" s="44" t="s">
        <v>91</v>
      </c>
      <c r="BL1074" s="44" t="s">
        <v>116</v>
      </c>
      <c r="BM1074" s="44">
        <v>1</v>
      </c>
      <c r="BN1074" s="44" t="s">
        <v>134</v>
      </c>
      <c r="BO1074" s="44" t="s">
        <v>312</v>
      </c>
      <c r="BP1074" s="44" t="s">
        <v>312</v>
      </c>
      <c r="BQ1074" s="44" t="s">
        <v>117</v>
      </c>
      <c r="BR1074" s="44" t="s">
        <v>134</v>
      </c>
      <c r="BS1074" s="44" t="s">
        <v>312</v>
      </c>
      <c r="BT1074" s="44" t="s">
        <v>312</v>
      </c>
      <c r="BU1074" s="44">
        <v>2013</v>
      </c>
      <c r="BV1074" s="44">
        <v>2017</v>
      </c>
      <c r="BW1074" s="44" t="s">
        <v>901</v>
      </c>
      <c r="BX1074" s="44" t="s">
        <v>95</v>
      </c>
      <c r="BY1074" s="44" t="s">
        <v>96</v>
      </c>
      <c r="BZ1074" s="44">
        <v>0</v>
      </c>
      <c r="CA1074" s="44">
        <v>0</v>
      </c>
      <c r="CB1074" s="44" t="s">
        <v>97</v>
      </c>
      <c r="CC1074" s="44" t="s">
        <v>2122</v>
      </c>
      <c r="CD1074" s="44">
        <v>0</v>
      </c>
      <c r="CE1074" s="44" t="s">
        <v>97</v>
      </c>
      <c r="CF1074" s="44">
        <v>0</v>
      </c>
      <c r="CG1074" s="44" t="s">
        <v>97</v>
      </c>
      <c r="CH1074" s="44">
        <v>0</v>
      </c>
      <c r="CI1074" s="44" t="s">
        <v>97</v>
      </c>
      <c r="CJ1074" s="44" t="s">
        <v>98</v>
      </c>
      <c r="CK1074" s="44">
        <v>7</v>
      </c>
      <c r="CL1074" s="44">
        <v>0</v>
      </c>
      <c r="CM1074" s="44">
        <v>0</v>
      </c>
      <c r="CN1074" s="44" t="s">
        <v>99</v>
      </c>
      <c r="CO1074" s="44" t="s">
        <v>946</v>
      </c>
      <c r="CP1074" s="44" t="s">
        <v>100</v>
      </c>
      <c r="CQ1074" s="44" t="s">
        <v>126</v>
      </c>
      <c r="CR1074" s="45">
        <v>46258</v>
      </c>
      <c r="CT1074" s="44" t="s">
        <v>2112</v>
      </c>
    </row>
    <row r="1075" spans="1:98" s="47" customFormat="1" x14ac:dyDescent="0.35">
      <c r="A1075" s="46" t="s">
        <v>2207</v>
      </c>
      <c r="B1075" s="46" t="s">
        <v>2214</v>
      </c>
      <c r="C1075" s="47" t="s">
        <v>1913</v>
      </c>
      <c r="D1075" s="47">
        <v>2017</v>
      </c>
      <c r="E1075" s="66" t="s">
        <v>2208</v>
      </c>
      <c r="F1075" s="46" t="s">
        <v>2209</v>
      </c>
      <c r="G1075" s="47" t="s">
        <v>78</v>
      </c>
      <c r="H1075" s="47">
        <v>1</v>
      </c>
      <c r="I1075" s="47" t="s">
        <v>290</v>
      </c>
      <c r="J1075" s="47" t="s">
        <v>2210</v>
      </c>
      <c r="K1075" s="47">
        <v>47</v>
      </c>
      <c r="L1075" s="47" t="s">
        <v>104</v>
      </c>
      <c r="M1075" s="47" t="s">
        <v>380</v>
      </c>
      <c r="N1075" s="47">
        <v>4.0000000000000003E-5</v>
      </c>
      <c r="O1075" s="47">
        <v>2.0000000000000001E-4</v>
      </c>
      <c r="P1075" s="47">
        <f>N1075/O1075</f>
        <v>0.2</v>
      </c>
      <c r="Q1075" s="47" t="s">
        <v>312</v>
      </c>
      <c r="R1075" s="47">
        <f t="shared" ref="R1075" si="453">N1075-1.96*O1075</f>
        <v>-3.5199999999999999E-4</v>
      </c>
      <c r="S1075" s="47">
        <f t="shared" ref="S1075" si="454">N1075+1.96*O1075</f>
        <v>4.3199999999999998E-4</v>
      </c>
      <c r="T1075" s="47">
        <v>1</v>
      </c>
      <c r="U1075" s="47">
        <v>1593247</v>
      </c>
      <c r="V1075" s="47" t="s">
        <v>312</v>
      </c>
      <c r="W1075" s="47" t="s">
        <v>312</v>
      </c>
      <c r="X1075" s="47">
        <f>U1075</f>
        <v>1593247</v>
      </c>
      <c r="Y1075" s="47">
        <f t="shared" ref="Y1075" si="455">P1075/(P1075^2 + X1075)^(1/2)</f>
        <v>1.5844861067287181E-4</v>
      </c>
      <c r="Z1075" s="47">
        <f t="shared" ref="Z1075" si="456">((1-Y1075^2)/X1075)^(1/2)</f>
        <v>7.9224305336435903E-4</v>
      </c>
      <c r="AA1075" s="47">
        <f t="shared" ref="AA1075" si="457">Y1075</f>
        <v>1.5844861067287181E-4</v>
      </c>
      <c r="AB1075" s="47" t="s">
        <v>81</v>
      </c>
      <c r="AC1075" s="47">
        <f>N1075*AN1075</f>
        <v>2.1408000000000004E-3</v>
      </c>
      <c r="AD1075" s="47" cm="1">
        <f t="array" ref="AD1075">_xlfn.IFS(
AND(L1075="marginal_effect",M1075="level"),N1075*AN1075/BF1075,
AND(L1075="marginal_effect",M1075="sd (Y)"),N1075*BJ1075*AN1075/BF1075,
AND(L1075="marginal_effect",M1075="sd (X)"),N1075/AQ1075*AN1075/BF1075,
AND(L1075="semi_elasticity",M1075="level"),N1075*AN1075,
AND(L1075="semi_elasticity",M1075="sd (Y)"),N1075*AN1075*BJ1075,
AND(L1075="semi_elasticity",M1075="sd (X)"),N1075*AN1075/AQ1075,
AND(L1075="level-log",M1075="level"),N1075/BF1075,
AND(L1075="level-log",M1075="sd (X)"),N1075/BF1075/AQ1075,
AND(L1075="level-log",M1075="sd (Y)"),N1075/BF1075*BJ1075,
AND(L1075="elasticity",M1075="level"),N1075,
AND(L1075="elasticity",M1075="sd (X)"),N1075/AQ1075,
AND(L1075="elasticity",M1075="sd (Y)"),N1075*BJ1075,
AND(L1075="marginal_effect",M1075="percent_of_mean"),N1075*AN1075/BF1075/10)</f>
        <v>2.1408000000000004E-3</v>
      </c>
      <c r="AE1075" s="47">
        <f t="shared" ref="AE1075" si="458">IF(AC1075=AD1075,1,0)</f>
        <v>1</v>
      </c>
      <c r="AF1075" s="47">
        <f>O1075*AN1075</f>
        <v>1.0704000000000002E-2</v>
      </c>
      <c r="AG1075" s="47" cm="1">
        <f t="array" ref="AG1075">_xlfn.IFS(
AND(L1075="marginal_effect",M1075="level"),O1075*AN1075/BF1075,
AND(L1075="marginal_effect",M1075="sd (Y)"),O1075*BJ1075*AN1075/BF1075,
AND(L1075="marginal_effect",M1075="sd (X)"),O1075/AQ1075*AN1075/BF1075,
AND(L1075="semi_elasticity",M1075="level"),O1075*AN1075,
AND(L1075="semi_elasticity",M1075="sd (Y)"),O1075*AN1075*BJ1075,
AND(L1075="semi_elasticity",M1075="sd (X)"),O1075*AN1075/AQ1075,
AND(L1075="level-log",M1075="level"),O1075/BF1075,
AND(L1075="level-log",M1075="sd (X)"),O1075/BF1075/AQ1075,
AND(L1075="level-log",M1075="sd (Y)"),O1075/BF1075*BJ1075,
AND(L1075="elasticity",M1075="level"),O1075,
AND(L1075="elasticity",M1075="sd (X)"),O1075/AQ1075,
AND(L1075="elasticity",M1075="sd (Y)"),O1075*BJ1075,
AND(L1075="marginal_effect",M1075="percent_of_mean"),O1075*AN1075/BF1075/10)</f>
        <v>1.0704000000000002E-2</v>
      </c>
      <c r="AH1075" s="47">
        <f t="shared" ref="AH1075" si="459">IF(AF1075=AG1075,1,0)</f>
        <v>1</v>
      </c>
      <c r="AI1075" s="47">
        <f t="shared" si="445"/>
        <v>2.1408000000000004E-3</v>
      </c>
      <c r="AJ1075" s="47">
        <v>0</v>
      </c>
      <c r="AK1075" s="47">
        <f t="shared" si="442"/>
        <v>1</v>
      </c>
      <c r="AL1075" s="47" t="s">
        <v>82</v>
      </c>
      <c r="AM1075" s="47" t="s">
        <v>1333</v>
      </c>
      <c r="AN1075" s="47">
        <v>53.52</v>
      </c>
      <c r="AO1075" s="47">
        <v>0</v>
      </c>
      <c r="AP1075" s="47">
        <f t="shared" si="452"/>
        <v>53.52</v>
      </c>
      <c r="AQ1075" s="47">
        <v>25.46</v>
      </c>
      <c r="AR1075" s="47">
        <v>2.62</v>
      </c>
      <c r="AS1075" s="47">
        <v>134.84</v>
      </c>
      <c r="AT1075" s="47" t="s">
        <v>107</v>
      </c>
      <c r="AU1075" s="47" t="s">
        <v>109</v>
      </c>
      <c r="AV1075" s="47" t="s">
        <v>133</v>
      </c>
      <c r="AW1075" s="47" t="s">
        <v>134</v>
      </c>
      <c r="AX1075" s="47" t="s">
        <v>86</v>
      </c>
      <c r="AY1075" s="47">
        <v>0</v>
      </c>
      <c r="AZ1075" s="47">
        <v>0</v>
      </c>
      <c r="BA1075" s="47" t="s">
        <v>391</v>
      </c>
      <c r="BB1075" s="47" t="s">
        <v>134</v>
      </c>
      <c r="BC1075" s="47" t="s">
        <v>134</v>
      </c>
      <c r="BD1075" s="47" t="s">
        <v>134</v>
      </c>
      <c r="BE1075" s="47" t="s">
        <v>2211</v>
      </c>
      <c r="BF1075" s="47">
        <v>88</v>
      </c>
      <c r="BG1075" s="47">
        <v>0</v>
      </c>
      <c r="BH1075" s="47">
        <v>160</v>
      </c>
      <c r="BI1075" s="47">
        <v>0.13</v>
      </c>
      <c r="BJ1075" s="47">
        <v>16.248000000000001</v>
      </c>
      <c r="BK1075" s="47" t="s">
        <v>91</v>
      </c>
      <c r="BL1075" s="47" t="s">
        <v>116</v>
      </c>
      <c r="BM1075" s="47">
        <v>1</v>
      </c>
      <c r="BN1075" s="47" t="s">
        <v>2177</v>
      </c>
      <c r="BO1075" s="47" t="s">
        <v>312</v>
      </c>
      <c r="BP1075" s="47" t="s">
        <v>312</v>
      </c>
      <c r="BQ1075" s="47" t="s">
        <v>117</v>
      </c>
      <c r="BR1075" s="47" t="s">
        <v>134</v>
      </c>
      <c r="BS1075" s="47" t="s">
        <v>312</v>
      </c>
      <c r="BT1075" s="47" t="s">
        <v>312</v>
      </c>
      <c r="BU1075" s="47">
        <v>1998</v>
      </c>
      <c r="BV1075" s="47">
        <v>2007</v>
      </c>
      <c r="BW1075" s="47" t="s">
        <v>901</v>
      </c>
      <c r="BX1075" s="47" t="s">
        <v>95</v>
      </c>
      <c r="BY1075" s="47" t="s">
        <v>96</v>
      </c>
      <c r="BZ1075" s="47">
        <v>0</v>
      </c>
      <c r="CA1075" s="47">
        <v>0</v>
      </c>
      <c r="CB1075" s="47" t="s">
        <v>97</v>
      </c>
      <c r="CC1075" s="47" t="s">
        <v>1375</v>
      </c>
      <c r="CD1075" s="47">
        <v>1</v>
      </c>
      <c r="CE1075" s="47" t="s">
        <v>2212</v>
      </c>
      <c r="CF1075" s="47">
        <v>0</v>
      </c>
      <c r="CG1075" s="47" t="s">
        <v>97</v>
      </c>
      <c r="CH1075" s="47">
        <v>0</v>
      </c>
      <c r="CI1075" s="47" t="s">
        <v>116</v>
      </c>
      <c r="CJ1075" s="47" t="s">
        <v>98</v>
      </c>
      <c r="CK1075" s="47">
        <v>22</v>
      </c>
      <c r="CL1075" s="47">
        <v>0</v>
      </c>
      <c r="CM1075" s="47">
        <v>0</v>
      </c>
      <c r="CN1075" s="47" t="s">
        <v>99</v>
      </c>
      <c r="CO1075" s="47" t="s">
        <v>97</v>
      </c>
      <c r="CP1075" s="47" t="s">
        <v>100</v>
      </c>
      <c r="CQ1075" s="47" t="s">
        <v>126</v>
      </c>
      <c r="CR1075" s="48">
        <v>46267</v>
      </c>
      <c r="CT1075" s="47" t="s">
        <v>543</v>
      </c>
    </row>
    <row r="1076" spans="1:98" s="47" customFormat="1" x14ac:dyDescent="0.35">
      <c r="A1076" s="46" t="s">
        <v>2207</v>
      </c>
      <c r="B1076" s="46" t="s">
        <v>2215</v>
      </c>
      <c r="C1076" s="47" t="s">
        <v>1913</v>
      </c>
      <c r="D1076" s="47">
        <v>2017</v>
      </c>
      <c r="E1076" s="66" t="s">
        <v>2208</v>
      </c>
      <c r="F1076" s="46" t="s">
        <v>2209</v>
      </c>
      <c r="G1076" s="47" t="s">
        <v>78</v>
      </c>
      <c r="H1076" s="47">
        <v>1</v>
      </c>
      <c r="I1076" s="47" t="s">
        <v>290</v>
      </c>
      <c r="J1076" s="47" t="s">
        <v>2210</v>
      </c>
      <c r="K1076" s="47">
        <v>47</v>
      </c>
      <c r="L1076" s="47" t="s">
        <v>104</v>
      </c>
      <c r="M1076" s="47" t="s">
        <v>380</v>
      </c>
      <c r="N1076" s="47">
        <v>-5.4999999999999997E-3</v>
      </c>
      <c r="O1076" s="47">
        <v>5.0000000000000001E-4</v>
      </c>
      <c r="P1076" s="47">
        <f t="shared" ref="P1076:P1086" si="460">N1076/O1076</f>
        <v>-11</v>
      </c>
      <c r="Q1076" s="47" t="s">
        <v>312</v>
      </c>
      <c r="R1076" s="47">
        <f t="shared" ref="R1076:R1086" si="461">N1076-1.96*O1076</f>
        <v>-6.4799999999999996E-3</v>
      </c>
      <c r="S1076" s="47">
        <f t="shared" ref="S1076:S1086" si="462">N1076+1.96*O1076</f>
        <v>-4.5199999999999997E-3</v>
      </c>
      <c r="T1076" s="47">
        <v>1</v>
      </c>
      <c r="U1076" s="47">
        <v>1593247</v>
      </c>
      <c r="V1076" s="47" t="s">
        <v>312</v>
      </c>
      <c r="W1076" s="47" t="s">
        <v>312</v>
      </c>
      <c r="X1076" s="47">
        <f t="shared" ref="X1076:X1086" si="463">U1076</f>
        <v>1593247</v>
      </c>
      <c r="Y1076" s="47">
        <f t="shared" ref="Y1076:Y1086" si="464">P1076/(P1076^2 + X1076)^(1/2)</f>
        <v>-8.7143427949612374E-3</v>
      </c>
      <c r="Z1076" s="47">
        <f t="shared" ref="Z1076:Z1086" si="465">((1-Y1076^2)/X1076)^(1/2)</f>
        <v>7.9221298136011257E-4</v>
      </c>
      <c r="AA1076" s="47">
        <f t="shared" ref="AA1076:AA1086" si="466">Y1076</f>
        <v>-8.7143427949612374E-3</v>
      </c>
      <c r="AB1076" s="47" t="s">
        <v>81</v>
      </c>
      <c r="AC1076" s="47">
        <f t="shared" ref="AC1076:AC1086" si="467">N1076*AN1076</f>
        <v>-8.2885E-2</v>
      </c>
      <c r="AD1076" s="47" cm="1">
        <f t="array" ref="AD1076">_xlfn.IFS(
AND(L1076="marginal_effect",M1076="level"),N1076*AN1076/BF1076,
AND(L1076="marginal_effect",M1076="sd (Y)"),N1076*BI1076*AN1076/BF1076,
AND(L1076="marginal_effect",M1076="sd (X)"),N1076/AQ1076*AN1076/BF1076,
AND(L1076="semi_elasticity",M1076="level"),N1076*AN1076,
AND(L1076="semi_elasticity",M1076="sd (Y)"),N1076*AN1076*BI1076,
AND(L1076="semi_elasticity",M1076="sd (X)"),N1076*AN1076/AQ1076,
AND(L1076="level-log",M1076="level"),N1076/BF1076,
AND(L1076="level-log",M1076="sd (X)"),N1076/BF1076/AQ1076,
AND(L1076="level-log",M1076="sd (Y)"),N1076/BF1076*BI1076,
AND(L1076="elasticity",M1076="level"),N1076,
AND(L1076="elasticity",M1076="sd (X)"),N1076/AQ1076,
AND(L1076="elasticity",M1076="sd (Y)"),N1076*BI1076,
AND(L1076="marginal_effect",M1076="percent_of_mean"),N1076*AN1076/BF1076/10)</f>
        <v>-8.2885E-2</v>
      </c>
      <c r="AE1076" s="47">
        <f t="shared" ref="AE1076:AE1086" si="468">IF(AC1076=AD1076,1,0)</f>
        <v>1</v>
      </c>
      <c r="AF1076" s="47">
        <f t="shared" ref="AF1076:AF1086" si="469">O1076*AN1076</f>
        <v>7.535E-3</v>
      </c>
      <c r="AG1076" s="47" cm="1">
        <f t="array" ref="AG1076">_xlfn.IFS(
AND(L1076="marginal_effect",M1076="level"),O1076*AN1076/BF1076,
AND(L1076="marginal_effect",M1076="sd (Y)"),O1076*BI1076*AN1076/BF1076,
AND(L1076="marginal_effect",M1076="sd (X)"),O1076/AQ1076*AN1076/BF1076,
AND(L1076="semi_elasticity",M1076="level"),O1076*AN1076,
AND(L1076="semi_elasticity",M1076="sd (Y)"),O1076*AN1076*BI1076,
AND(L1076="semi_elasticity",M1076="sd (X)"),O1076*AN1076/AQ1076,
AND(L1076="level-log",M1076="level"),O1076/BF1076,
AND(L1076="level-log",M1076="sd (X)"),O1076/BF1076/AQ1076,
AND(L1076="level-log",M1076="sd (Y)"),O1076/BF1076*BI1076,
AND(L1076="elasticity",M1076="level"),O1076,
AND(L1076="elasticity",M1076="sd (X)"),O1076/AQ1076,
AND(L1076="elasticity",M1076="sd (Y)"),O1076*BI1076,
AND(L1076="marginal_effect",M1076="percent_of_mean"),O1076*AN1076/BF1076/10)</f>
        <v>7.535E-3</v>
      </c>
      <c r="AH1076" s="47">
        <f t="shared" ref="AH1076:AH1086" si="470">IF(AF1076=AG1076,1,0)</f>
        <v>1</v>
      </c>
      <c r="AI1076" s="47">
        <f t="shared" si="445"/>
        <v>-8.2885E-2</v>
      </c>
      <c r="AJ1076" s="47">
        <v>0</v>
      </c>
      <c r="AK1076" s="47">
        <f t="shared" si="442"/>
        <v>1</v>
      </c>
      <c r="AL1076" s="47" t="s">
        <v>159</v>
      </c>
      <c r="AM1076" s="47" t="s">
        <v>1333</v>
      </c>
      <c r="AN1076" s="47">
        <v>15.07</v>
      </c>
      <c r="AO1076" s="47">
        <v>0</v>
      </c>
      <c r="AP1076" s="47">
        <f t="shared" si="452"/>
        <v>15.07</v>
      </c>
      <c r="AQ1076" s="47">
        <v>10.7</v>
      </c>
      <c r="AR1076" s="47">
        <v>0.04</v>
      </c>
      <c r="AS1076" s="47">
        <v>54.68</v>
      </c>
      <c r="AT1076" s="47" t="s">
        <v>107</v>
      </c>
      <c r="AU1076" s="47" t="s">
        <v>109</v>
      </c>
      <c r="AV1076" s="47" t="s">
        <v>133</v>
      </c>
      <c r="AW1076" s="47" t="s">
        <v>134</v>
      </c>
      <c r="AX1076" s="47" t="s">
        <v>86</v>
      </c>
      <c r="AY1076" s="47">
        <v>0</v>
      </c>
      <c r="AZ1076" s="47">
        <v>0</v>
      </c>
      <c r="BA1076" s="47" t="s">
        <v>391</v>
      </c>
      <c r="BB1076" s="47" t="s">
        <v>134</v>
      </c>
      <c r="BC1076" s="47" t="s">
        <v>134</v>
      </c>
      <c r="BD1076" s="47" t="s">
        <v>134</v>
      </c>
      <c r="BE1076" s="47" t="s">
        <v>2211</v>
      </c>
      <c r="BF1076" s="47">
        <v>88</v>
      </c>
      <c r="BG1076" s="47">
        <v>0</v>
      </c>
      <c r="BH1076" s="47">
        <v>160</v>
      </c>
      <c r="BI1076" s="47">
        <v>0.13</v>
      </c>
      <c r="BJ1076" s="47">
        <v>16.248000000000001</v>
      </c>
      <c r="BK1076" s="47" t="s">
        <v>91</v>
      </c>
      <c r="BL1076" s="47" t="s">
        <v>116</v>
      </c>
      <c r="BM1076" s="47">
        <v>1</v>
      </c>
      <c r="BN1076" s="47" t="s">
        <v>2177</v>
      </c>
      <c r="BO1076" s="47" t="s">
        <v>312</v>
      </c>
      <c r="BP1076" s="47" t="s">
        <v>312</v>
      </c>
      <c r="BQ1076" s="47" t="s">
        <v>117</v>
      </c>
      <c r="BR1076" s="47" t="s">
        <v>134</v>
      </c>
      <c r="BS1076" s="47" t="s">
        <v>312</v>
      </c>
      <c r="BT1076" s="47" t="s">
        <v>312</v>
      </c>
      <c r="BU1076" s="47">
        <v>1998</v>
      </c>
      <c r="BV1076" s="47">
        <v>2007</v>
      </c>
      <c r="BW1076" s="47" t="s">
        <v>901</v>
      </c>
      <c r="BX1076" s="47" t="s">
        <v>95</v>
      </c>
      <c r="BY1076" s="47" t="s">
        <v>96</v>
      </c>
      <c r="BZ1076" s="47">
        <v>0</v>
      </c>
      <c r="CA1076" s="47">
        <v>0</v>
      </c>
      <c r="CB1076" s="47" t="s">
        <v>97</v>
      </c>
      <c r="CC1076" s="47" t="s">
        <v>1375</v>
      </c>
      <c r="CD1076" s="47">
        <v>1</v>
      </c>
      <c r="CE1076" s="47" t="s">
        <v>2212</v>
      </c>
      <c r="CF1076" s="47">
        <v>0</v>
      </c>
      <c r="CG1076" s="47" t="s">
        <v>97</v>
      </c>
      <c r="CH1076" s="47">
        <v>0</v>
      </c>
      <c r="CI1076" s="47" t="s">
        <v>116</v>
      </c>
      <c r="CJ1076" s="47" t="s">
        <v>98</v>
      </c>
      <c r="CK1076" s="47">
        <v>22</v>
      </c>
      <c r="CL1076" s="47">
        <v>0</v>
      </c>
      <c r="CM1076" s="47">
        <v>0</v>
      </c>
      <c r="CN1076" s="47" t="s">
        <v>99</v>
      </c>
      <c r="CO1076" s="47" t="s">
        <v>97</v>
      </c>
      <c r="CP1076" s="47" t="s">
        <v>100</v>
      </c>
      <c r="CQ1076" s="47" t="s">
        <v>126</v>
      </c>
      <c r="CR1076" s="48">
        <v>46267</v>
      </c>
      <c r="CT1076" s="47" t="s">
        <v>549</v>
      </c>
    </row>
    <row r="1077" spans="1:98" s="47" customFormat="1" x14ac:dyDescent="0.35">
      <c r="A1077" s="46" t="s">
        <v>2207</v>
      </c>
      <c r="B1077" s="46" t="s">
        <v>2216</v>
      </c>
      <c r="C1077" s="47" t="s">
        <v>1913</v>
      </c>
      <c r="D1077" s="47">
        <v>2017</v>
      </c>
      <c r="E1077" s="66" t="s">
        <v>2208</v>
      </c>
      <c r="F1077" s="46" t="s">
        <v>2209</v>
      </c>
      <c r="G1077" s="47" t="s">
        <v>78</v>
      </c>
      <c r="H1077" s="47">
        <v>1</v>
      </c>
      <c r="I1077" s="47" t="s">
        <v>290</v>
      </c>
      <c r="J1077" s="47" t="s">
        <v>2210</v>
      </c>
      <c r="K1077" s="47">
        <v>47</v>
      </c>
      <c r="L1077" s="47" t="s">
        <v>104</v>
      </c>
      <c r="M1077" s="47" t="s">
        <v>380</v>
      </c>
      <c r="N1077" s="47">
        <v>-8.3999999999999995E-3</v>
      </c>
      <c r="O1077" s="47">
        <v>1.6000000000000001E-3</v>
      </c>
      <c r="P1077" s="47">
        <f t="shared" si="460"/>
        <v>-5.2499999999999991</v>
      </c>
      <c r="Q1077" s="47" t="s">
        <v>312</v>
      </c>
      <c r="R1077" s="47">
        <f t="shared" si="461"/>
        <v>-1.1535999999999999E-2</v>
      </c>
      <c r="S1077" s="47">
        <f t="shared" si="462"/>
        <v>-5.2639999999999996E-3</v>
      </c>
      <c r="T1077" s="47">
        <v>1</v>
      </c>
      <c r="U1077" s="47">
        <v>1593247</v>
      </c>
      <c r="V1077" s="47" t="s">
        <v>312</v>
      </c>
      <c r="W1077" s="47" t="s">
        <v>312</v>
      </c>
      <c r="X1077" s="47">
        <f t="shared" si="463"/>
        <v>1593247</v>
      </c>
      <c r="Y1077" s="47">
        <f t="shared" si="464"/>
        <v>-4.1592401059814535E-3</v>
      </c>
      <c r="Z1077" s="47">
        <f t="shared" si="465"/>
        <v>7.9223621066313416E-4</v>
      </c>
      <c r="AA1077" s="47">
        <f t="shared" si="466"/>
        <v>-4.1592401059814535E-3</v>
      </c>
      <c r="AB1077" s="47" t="s">
        <v>81</v>
      </c>
      <c r="AC1077" s="47">
        <f t="shared" si="467"/>
        <v>-0.44956800000000002</v>
      </c>
      <c r="AD1077" s="47" cm="1">
        <f t="array" ref="AD1077">_xlfn.IFS(
AND(L1077="marginal_effect",M1077="level"),N1077*AN1077/BF1077,
AND(L1077="marginal_effect",M1077="sd (Y)"),N1077*BI1077*AN1077/BF1077,
AND(L1077="marginal_effect",M1077="sd (X)"),N1077/AQ1077*AN1077/BF1077,
AND(L1077="semi_elasticity",M1077="level"),N1077*AN1077,
AND(L1077="semi_elasticity",M1077="sd (Y)"),N1077*AN1077*BI1077,
AND(L1077="semi_elasticity",M1077="sd (X)"),N1077*AN1077/AQ1077,
AND(L1077="level-log",M1077="level"),N1077/BF1077,
AND(L1077="level-log",M1077="sd (X)"),N1077/BF1077/AQ1077,
AND(L1077="level-log",M1077="sd (Y)"),N1077/BF1077*BI1077,
AND(L1077="elasticity",M1077="level"),N1077,
AND(L1077="elasticity",M1077="sd (X)"),N1077/AQ1077,
AND(L1077="elasticity",M1077="sd (Y)"),N1077*BI1077,
AND(L1077="marginal_effect",M1077="percent_of_mean"),N1077*AN1077/BF1077/10)</f>
        <v>-0.44956800000000002</v>
      </c>
      <c r="AE1077" s="47">
        <f t="shared" si="468"/>
        <v>1</v>
      </c>
      <c r="AF1077" s="47">
        <f t="shared" si="469"/>
        <v>8.5632000000000014E-2</v>
      </c>
      <c r="AG1077" s="47" cm="1">
        <f t="array" ref="AG1077">_xlfn.IFS(
AND(L1077="marginal_effect",M1077="level"),O1077*AN1077/BF1077,
AND(L1077="marginal_effect",M1077="sd (Y)"),O1077*BI1077*AN1077/BF1077,
AND(L1077="marginal_effect",M1077="sd (X)"),O1077/AQ1077*AN1077/BF1077,
AND(L1077="semi_elasticity",M1077="level"),O1077*AN1077,
AND(L1077="semi_elasticity",M1077="sd (Y)"),O1077*AN1077*BI1077,
AND(L1077="semi_elasticity",M1077="sd (X)"),O1077*AN1077/AQ1077,
AND(L1077="level-log",M1077="level"),O1077/BF1077,
AND(L1077="level-log",M1077="sd (X)"),O1077/BF1077/AQ1077,
AND(L1077="level-log",M1077="sd (Y)"),O1077/BF1077*BI1077,
AND(L1077="elasticity",M1077="level"),O1077,
AND(L1077="elasticity",M1077="sd (X)"),O1077/AQ1077,
AND(L1077="elasticity",M1077="sd (Y)"),O1077*BI1077,
AND(L1077="marginal_effect",M1077="percent_of_mean"),O1077*AN1077/BF1077/10)</f>
        <v>8.5632000000000014E-2</v>
      </c>
      <c r="AH1077" s="47">
        <f t="shared" si="470"/>
        <v>1</v>
      </c>
      <c r="AI1077" s="47">
        <f t="shared" si="445"/>
        <v>-0.44956800000000002</v>
      </c>
      <c r="AJ1077" s="47">
        <v>0</v>
      </c>
      <c r="AK1077" s="47">
        <f t="shared" si="442"/>
        <v>1</v>
      </c>
      <c r="AL1077" s="47" t="s">
        <v>82</v>
      </c>
      <c r="AM1077" s="47" t="s">
        <v>1333</v>
      </c>
      <c r="AN1077" s="47">
        <v>53.52</v>
      </c>
      <c r="AO1077" s="47">
        <v>0</v>
      </c>
      <c r="AP1077" s="47">
        <f t="shared" ref="AP1077:AP1086" si="471">AN1077</f>
        <v>53.52</v>
      </c>
      <c r="AQ1077" s="47">
        <v>25.46</v>
      </c>
      <c r="AR1077" s="47">
        <v>2.62</v>
      </c>
      <c r="AS1077" s="47">
        <v>134.84</v>
      </c>
      <c r="AT1077" s="47" t="s">
        <v>107</v>
      </c>
      <c r="AU1077" s="47" t="s">
        <v>109</v>
      </c>
      <c r="AV1077" s="47" t="s">
        <v>133</v>
      </c>
      <c r="AW1077" s="47" t="s">
        <v>134</v>
      </c>
      <c r="AX1077" s="47" t="s">
        <v>86</v>
      </c>
      <c r="AY1077" s="47">
        <v>0</v>
      </c>
      <c r="AZ1077" s="47">
        <v>0</v>
      </c>
      <c r="BA1077" s="47" t="s">
        <v>391</v>
      </c>
      <c r="BB1077" s="47" t="s">
        <v>134</v>
      </c>
      <c r="BC1077" s="47" t="s">
        <v>134</v>
      </c>
      <c r="BD1077" s="47" t="s">
        <v>134</v>
      </c>
      <c r="BE1077" s="47" t="s">
        <v>2211</v>
      </c>
      <c r="BF1077" s="47">
        <v>88</v>
      </c>
      <c r="BG1077" s="47">
        <v>0</v>
      </c>
      <c r="BH1077" s="47">
        <v>160</v>
      </c>
      <c r="BI1077" s="47">
        <v>0.13</v>
      </c>
      <c r="BJ1077" s="47">
        <v>16.248000000000001</v>
      </c>
      <c r="BK1077" s="47" t="s">
        <v>91</v>
      </c>
      <c r="BL1077" s="47" t="s">
        <v>116</v>
      </c>
      <c r="BM1077" s="47">
        <v>1</v>
      </c>
      <c r="BN1077" s="47" t="s">
        <v>2177</v>
      </c>
      <c r="BO1077" s="47" t="s">
        <v>312</v>
      </c>
      <c r="BP1077" s="47" t="s">
        <v>312</v>
      </c>
      <c r="BQ1077" s="47" t="s">
        <v>117</v>
      </c>
      <c r="BR1077" s="47" t="s">
        <v>134</v>
      </c>
      <c r="BS1077" s="47" t="s">
        <v>312</v>
      </c>
      <c r="BT1077" s="47" t="s">
        <v>312</v>
      </c>
      <c r="BU1077" s="47">
        <v>1998</v>
      </c>
      <c r="BV1077" s="47">
        <v>2007</v>
      </c>
      <c r="BW1077" s="47" t="s">
        <v>901</v>
      </c>
      <c r="BX1077" s="47" t="s">
        <v>95</v>
      </c>
      <c r="BY1077" s="47" t="s">
        <v>748</v>
      </c>
      <c r="BZ1077" s="47">
        <v>1</v>
      </c>
      <c r="CA1077" s="47">
        <v>1</v>
      </c>
      <c r="CB1077" s="47" t="s">
        <v>303</v>
      </c>
      <c r="CC1077" s="47" t="s">
        <v>1375</v>
      </c>
      <c r="CD1077" s="47">
        <v>1</v>
      </c>
      <c r="CE1077" s="47" t="s">
        <v>2212</v>
      </c>
      <c r="CF1077" s="47">
        <v>0</v>
      </c>
      <c r="CG1077" s="47" t="s">
        <v>97</v>
      </c>
      <c r="CH1077" s="47">
        <v>0</v>
      </c>
      <c r="CI1077" s="47" t="s">
        <v>116</v>
      </c>
      <c r="CJ1077" s="47" t="s">
        <v>98</v>
      </c>
      <c r="CK1077" s="47">
        <v>22</v>
      </c>
      <c r="CL1077" s="47">
        <v>1</v>
      </c>
      <c r="CM1077" s="47">
        <v>1</v>
      </c>
      <c r="CN1077" s="47" t="s">
        <v>99</v>
      </c>
      <c r="CO1077" s="47" t="s">
        <v>97</v>
      </c>
      <c r="CP1077" s="47" t="s">
        <v>100</v>
      </c>
      <c r="CQ1077" s="47" t="s">
        <v>126</v>
      </c>
      <c r="CR1077" s="48">
        <v>46267</v>
      </c>
      <c r="CT1077" s="47" t="s">
        <v>550</v>
      </c>
    </row>
    <row r="1078" spans="1:98" s="47" customFormat="1" x14ac:dyDescent="0.35">
      <c r="A1078" s="46" t="s">
        <v>2207</v>
      </c>
      <c r="B1078" s="46" t="s">
        <v>2217</v>
      </c>
      <c r="C1078" s="47" t="s">
        <v>1913</v>
      </c>
      <c r="D1078" s="47">
        <v>2017</v>
      </c>
      <c r="E1078" s="66" t="s">
        <v>2208</v>
      </c>
      <c r="F1078" s="46" t="s">
        <v>2209</v>
      </c>
      <c r="G1078" s="47" t="s">
        <v>78</v>
      </c>
      <c r="H1078" s="47">
        <v>1</v>
      </c>
      <c r="I1078" s="47" t="s">
        <v>290</v>
      </c>
      <c r="J1078" s="47" t="s">
        <v>2210</v>
      </c>
      <c r="K1078" s="47">
        <v>47</v>
      </c>
      <c r="L1078" s="47" t="s">
        <v>104</v>
      </c>
      <c r="M1078" s="47" t="s">
        <v>380</v>
      </c>
      <c r="N1078" s="47">
        <v>-5.7200000000000001E-2</v>
      </c>
      <c r="O1078" s="47">
        <v>1.09E-2</v>
      </c>
      <c r="P1078" s="47">
        <f t="shared" si="460"/>
        <v>-5.2477064220183491</v>
      </c>
      <c r="Q1078" s="47" t="s">
        <v>312</v>
      </c>
      <c r="R1078" s="47">
        <f t="shared" si="461"/>
        <v>-7.8563999999999995E-2</v>
      </c>
      <c r="S1078" s="47">
        <f t="shared" si="462"/>
        <v>-3.5836E-2</v>
      </c>
      <c r="T1078" s="47">
        <v>1</v>
      </c>
      <c r="U1078" s="47">
        <v>1593247</v>
      </c>
      <c r="V1078" s="47" t="s">
        <v>312</v>
      </c>
      <c r="W1078" s="47" t="s">
        <v>312</v>
      </c>
      <c r="X1078" s="47">
        <f t="shared" si="463"/>
        <v>1593247</v>
      </c>
      <c r="Y1078" s="47">
        <f t="shared" si="464"/>
        <v>-4.1574230818655642E-3</v>
      </c>
      <c r="Z1078" s="47">
        <f t="shared" si="465"/>
        <v>7.9223621664920713E-4</v>
      </c>
      <c r="AA1078" s="47">
        <f t="shared" si="466"/>
        <v>-4.1574230818655642E-3</v>
      </c>
      <c r="AB1078" s="47" t="s">
        <v>81</v>
      </c>
      <c r="AC1078" s="47">
        <f t="shared" si="467"/>
        <v>-0.86200399999999999</v>
      </c>
      <c r="AD1078" s="47" cm="1">
        <f t="array" ref="AD1078">_xlfn.IFS(
AND(L1078="marginal_effect",M1078="level"),N1078*AN1078/BF1078,
AND(L1078="marginal_effect",M1078="sd (Y)"),N1078*BI1078*AN1078/BF1078,
AND(L1078="marginal_effect",M1078="sd (X)"),N1078/AQ1078*AN1078/BF1078,
AND(L1078="semi_elasticity",M1078="level"),N1078*AN1078,
AND(L1078="semi_elasticity",M1078="sd (Y)"),N1078*AN1078*BI1078,
AND(L1078="semi_elasticity",M1078="sd (X)"),N1078*AN1078/AQ1078,
AND(L1078="level-log",M1078="level"),N1078/BF1078,
AND(L1078="level-log",M1078="sd (X)"),N1078/BF1078/AQ1078,
AND(L1078="level-log",M1078="sd (Y)"),N1078/BF1078*BI1078,
AND(L1078="elasticity",M1078="level"),N1078,
AND(L1078="elasticity",M1078="sd (X)"),N1078/AQ1078,
AND(L1078="elasticity",M1078="sd (Y)"),N1078*BI1078,
AND(L1078="marginal_effect",M1078="percent_of_mean"),N1078*AN1078/BF1078/10)</f>
        <v>-0.86200399999999999</v>
      </c>
      <c r="AE1078" s="47">
        <f t="shared" si="468"/>
        <v>1</v>
      </c>
      <c r="AF1078" s="47">
        <f t="shared" si="469"/>
        <v>0.16426299999999999</v>
      </c>
      <c r="AG1078" s="47" cm="1">
        <f t="array" ref="AG1078">_xlfn.IFS(
AND(L1078="marginal_effect",M1078="level"),O1078*AN1078/BF1078,
AND(L1078="marginal_effect",M1078="sd (Y)"),O1078*BI1078*AN1078/BF1078,
AND(L1078="marginal_effect",M1078="sd (X)"),O1078/AQ1078*AN1078/BF1078,
AND(L1078="semi_elasticity",M1078="level"),O1078*AN1078,
AND(L1078="semi_elasticity",M1078="sd (Y)"),O1078*AN1078*BI1078,
AND(L1078="semi_elasticity",M1078="sd (X)"),O1078*AN1078/AQ1078,
AND(L1078="level-log",M1078="level"),O1078/BF1078,
AND(L1078="level-log",M1078="sd (X)"),O1078/BF1078/AQ1078,
AND(L1078="level-log",M1078="sd (Y)"),O1078/BF1078*BI1078,
AND(L1078="elasticity",M1078="level"),O1078,
AND(L1078="elasticity",M1078="sd (X)"),O1078/AQ1078,
AND(L1078="elasticity",M1078="sd (Y)"),O1078*BI1078,
AND(L1078="marginal_effect",M1078="percent_of_mean"),O1078*AN1078/BF1078/10)</f>
        <v>0.16426299999999999</v>
      </c>
      <c r="AH1078" s="47">
        <f t="shared" si="470"/>
        <v>1</v>
      </c>
      <c r="AI1078" s="47">
        <f t="shared" si="445"/>
        <v>-0.86200399999999999</v>
      </c>
      <c r="AJ1078" s="47">
        <v>0</v>
      </c>
      <c r="AK1078" s="47">
        <f t="shared" si="442"/>
        <v>1</v>
      </c>
      <c r="AL1078" s="47" t="s">
        <v>159</v>
      </c>
      <c r="AM1078" s="47" t="s">
        <v>1333</v>
      </c>
      <c r="AN1078" s="47">
        <v>15.07</v>
      </c>
      <c r="AO1078" s="47">
        <v>0</v>
      </c>
      <c r="AP1078" s="47">
        <f t="shared" si="471"/>
        <v>15.07</v>
      </c>
      <c r="AQ1078" s="47">
        <v>10.7</v>
      </c>
      <c r="AR1078" s="47">
        <v>0.04</v>
      </c>
      <c r="AS1078" s="47">
        <v>54.68</v>
      </c>
      <c r="AT1078" s="47" t="s">
        <v>107</v>
      </c>
      <c r="AU1078" s="47" t="s">
        <v>109</v>
      </c>
      <c r="AV1078" s="47" t="s">
        <v>133</v>
      </c>
      <c r="AW1078" s="47" t="s">
        <v>134</v>
      </c>
      <c r="AX1078" s="47" t="s">
        <v>86</v>
      </c>
      <c r="AY1078" s="47">
        <v>0</v>
      </c>
      <c r="AZ1078" s="47">
        <v>0</v>
      </c>
      <c r="BA1078" s="47" t="s">
        <v>391</v>
      </c>
      <c r="BB1078" s="47" t="s">
        <v>134</v>
      </c>
      <c r="BC1078" s="47" t="s">
        <v>134</v>
      </c>
      <c r="BD1078" s="47" t="s">
        <v>134</v>
      </c>
      <c r="BE1078" s="47" t="s">
        <v>2211</v>
      </c>
      <c r="BF1078" s="47">
        <v>88</v>
      </c>
      <c r="BG1078" s="47">
        <v>0</v>
      </c>
      <c r="BH1078" s="47">
        <v>160</v>
      </c>
      <c r="BI1078" s="47">
        <v>0.13</v>
      </c>
      <c r="BJ1078" s="47">
        <v>16.248000000000001</v>
      </c>
      <c r="BK1078" s="47" t="s">
        <v>91</v>
      </c>
      <c r="BL1078" s="47" t="s">
        <v>116</v>
      </c>
      <c r="BM1078" s="47">
        <v>1</v>
      </c>
      <c r="BN1078" s="47" t="s">
        <v>2177</v>
      </c>
      <c r="BO1078" s="47" t="s">
        <v>312</v>
      </c>
      <c r="BP1078" s="47" t="s">
        <v>312</v>
      </c>
      <c r="BQ1078" s="47" t="s">
        <v>117</v>
      </c>
      <c r="BR1078" s="47" t="s">
        <v>134</v>
      </c>
      <c r="BS1078" s="47" t="s">
        <v>312</v>
      </c>
      <c r="BT1078" s="47" t="s">
        <v>312</v>
      </c>
      <c r="BU1078" s="47">
        <v>1998</v>
      </c>
      <c r="BV1078" s="47">
        <v>2007</v>
      </c>
      <c r="BW1078" s="47" t="s">
        <v>901</v>
      </c>
      <c r="BX1078" s="47" t="s">
        <v>95</v>
      </c>
      <c r="BY1078" s="47" t="s">
        <v>748</v>
      </c>
      <c r="BZ1078" s="47">
        <v>1</v>
      </c>
      <c r="CA1078" s="47">
        <v>1</v>
      </c>
      <c r="CB1078" s="47" t="s">
        <v>303</v>
      </c>
      <c r="CC1078" s="47" t="s">
        <v>1375</v>
      </c>
      <c r="CD1078" s="47">
        <v>1</v>
      </c>
      <c r="CE1078" s="47" t="s">
        <v>2212</v>
      </c>
      <c r="CF1078" s="47">
        <v>0</v>
      </c>
      <c r="CG1078" s="47" t="s">
        <v>97</v>
      </c>
      <c r="CH1078" s="47">
        <v>0</v>
      </c>
      <c r="CI1078" s="47" t="s">
        <v>116</v>
      </c>
      <c r="CJ1078" s="47" t="s">
        <v>98</v>
      </c>
      <c r="CK1078" s="47">
        <v>22</v>
      </c>
      <c r="CL1078" s="47">
        <v>1</v>
      </c>
      <c r="CM1078" s="47">
        <v>1</v>
      </c>
      <c r="CN1078" s="47" t="s">
        <v>99</v>
      </c>
      <c r="CO1078" s="47" t="s">
        <v>97</v>
      </c>
      <c r="CP1078" s="47" t="s">
        <v>100</v>
      </c>
      <c r="CQ1078" s="47" t="s">
        <v>126</v>
      </c>
      <c r="CR1078" s="48">
        <v>46267</v>
      </c>
      <c r="CT1078" s="47" t="s">
        <v>551</v>
      </c>
    </row>
    <row r="1079" spans="1:98" s="47" customFormat="1" x14ac:dyDescent="0.35">
      <c r="A1079" s="46" t="s">
        <v>2207</v>
      </c>
      <c r="B1079" s="46" t="s">
        <v>2218</v>
      </c>
      <c r="C1079" s="47" t="s">
        <v>1913</v>
      </c>
      <c r="D1079" s="47">
        <v>2017</v>
      </c>
      <c r="E1079" s="66" t="s">
        <v>2208</v>
      </c>
      <c r="F1079" s="46" t="s">
        <v>2209</v>
      </c>
      <c r="G1079" s="47" t="s">
        <v>78</v>
      </c>
      <c r="H1079" s="47">
        <v>1</v>
      </c>
      <c r="I1079" s="47" t="s">
        <v>290</v>
      </c>
      <c r="J1079" s="47" t="s">
        <v>2210</v>
      </c>
      <c r="K1079" s="47">
        <v>47</v>
      </c>
      <c r="L1079" s="47" t="s">
        <v>104</v>
      </c>
      <c r="M1079" s="47" t="s">
        <v>380</v>
      </c>
      <c r="N1079" s="47">
        <v>-1.2E-2</v>
      </c>
      <c r="O1079" s="47">
        <v>2.5000000000000001E-3</v>
      </c>
      <c r="P1079" s="47">
        <f t="shared" si="460"/>
        <v>-4.8</v>
      </c>
      <c r="Q1079" s="47" t="s">
        <v>312</v>
      </c>
      <c r="R1079" s="47">
        <f t="shared" si="461"/>
        <v>-1.6899999999999998E-2</v>
      </c>
      <c r="S1079" s="47">
        <f t="shared" si="462"/>
        <v>-7.1000000000000004E-3</v>
      </c>
      <c r="T1079" s="47">
        <v>1</v>
      </c>
      <c r="U1079" s="47">
        <v>1593247</v>
      </c>
      <c r="V1079" s="47" t="s">
        <v>312</v>
      </c>
      <c r="W1079" s="47" t="s">
        <v>312</v>
      </c>
      <c r="X1079" s="47">
        <f t="shared" si="463"/>
        <v>1593247</v>
      </c>
      <c r="Y1079" s="47">
        <f t="shared" si="464"/>
        <v>-3.8027392082127451E-3</v>
      </c>
      <c r="Z1079" s="47">
        <f t="shared" si="465"/>
        <v>7.9223733504432193E-4</v>
      </c>
      <c r="AA1079" s="47">
        <f t="shared" si="466"/>
        <v>-3.8027392082127451E-3</v>
      </c>
      <c r="AB1079" s="47" t="s">
        <v>81</v>
      </c>
      <c r="AC1079" s="47">
        <f t="shared" si="467"/>
        <v>-0.64224000000000003</v>
      </c>
      <c r="AD1079" s="47" cm="1">
        <f t="array" ref="AD1079">_xlfn.IFS(
AND(L1079="marginal_effect",M1079="level"),N1079*AN1079/BF1079,
AND(L1079="marginal_effect",M1079="sd (Y)"),N1079*BI1079*AN1079/BF1079,
AND(L1079="marginal_effect",M1079="sd (X)"),N1079/AQ1079*AN1079/BF1079,
AND(L1079="semi_elasticity",M1079="level"),N1079*AN1079,
AND(L1079="semi_elasticity",M1079="sd (Y)"),N1079*AN1079*BI1079,
AND(L1079="semi_elasticity",M1079="sd (X)"),N1079*AN1079/AQ1079,
AND(L1079="level-log",M1079="level"),N1079/BF1079,
AND(L1079="level-log",M1079="sd (X)"),N1079/BF1079/AQ1079,
AND(L1079="level-log",M1079="sd (Y)"),N1079/BF1079*BI1079,
AND(L1079="elasticity",M1079="level"),N1079,
AND(L1079="elasticity",M1079="sd (X)"),N1079/AQ1079,
AND(L1079="elasticity",M1079="sd (Y)"),N1079*BI1079,
AND(L1079="marginal_effect",M1079="percent_of_mean"),N1079*AN1079/BF1079/10)</f>
        <v>-0.64224000000000003</v>
      </c>
      <c r="AE1079" s="47">
        <f t="shared" si="468"/>
        <v>1</v>
      </c>
      <c r="AF1079" s="47">
        <f t="shared" si="469"/>
        <v>0.1338</v>
      </c>
      <c r="AG1079" s="47" cm="1">
        <f t="array" ref="AG1079">_xlfn.IFS(
AND(L1079="marginal_effect",M1079="level"),O1079*AN1079/BF1079,
AND(L1079="marginal_effect",M1079="sd (Y)"),O1079*BI1079*AN1079/BF1079,
AND(L1079="marginal_effect",M1079="sd (X)"),O1079/AQ1079*AN1079/BF1079,
AND(L1079="semi_elasticity",M1079="level"),O1079*AN1079,
AND(L1079="semi_elasticity",M1079="sd (Y)"),O1079*AN1079*BI1079,
AND(L1079="semi_elasticity",M1079="sd (X)"),O1079*AN1079/AQ1079,
AND(L1079="level-log",M1079="level"),O1079/BF1079,
AND(L1079="level-log",M1079="sd (X)"),O1079/BF1079/AQ1079,
AND(L1079="level-log",M1079="sd (Y)"),O1079/BF1079*BI1079,
AND(L1079="elasticity",M1079="level"),O1079,
AND(L1079="elasticity",M1079="sd (X)"),O1079/AQ1079,
AND(L1079="elasticity",M1079="sd (Y)"),O1079*BI1079,
AND(L1079="marginal_effect",M1079="percent_of_mean"),O1079*AN1079/BF1079/10)</f>
        <v>0.1338</v>
      </c>
      <c r="AH1079" s="47">
        <f t="shared" si="470"/>
        <v>1</v>
      </c>
      <c r="AI1079" s="47">
        <f t="shared" si="445"/>
        <v>-0.64224000000000003</v>
      </c>
      <c r="AJ1079" s="47">
        <v>0</v>
      </c>
      <c r="AK1079" s="47">
        <f t="shared" si="442"/>
        <v>1</v>
      </c>
      <c r="AL1079" s="47" t="s">
        <v>82</v>
      </c>
      <c r="AM1079" s="47" t="s">
        <v>1333</v>
      </c>
      <c r="AN1079" s="47">
        <v>53.52</v>
      </c>
      <c r="AO1079" s="47">
        <v>0</v>
      </c>
      <c r="AP1079" s="47">
        <f t="shared" si="471"/>
        <v>53.52</v>
      </c>
      <c r="AQ1079" s="47">
        <v>25.46</v>
      </c>
      <c r="AR1079" s="47">
        <v>2.62</v>
      </c>
      <c r="AS1079" s="47">
        <v>134.84</v>
      </c>
      <c r="AT1079" s="47" t="s">
        <v>107</v>
      </c>
      <c r="AU1079" s="47" t="s">
        <v>109</v>
      </c>
      <c r="AV1079" s="47" t="s">
        <v>133</v>
      </c>
      <c r="AW1079" s="47" t="s">
        <v>134</v>
      </c>
      <c r="AX1079" s="47" t="s">
        <v>86</v>
      </c>
      <c r="AY1079" s="47">
        <v>0</v>
      </c>
      <c r="AZ1079" s="47">
        <v>0</v>
      </c>
      <c r="BA1079" s="47" t="s">
        <v>391</v>
      </c>
      <c r="BB1079" s="47" t="s">
        <v>134</v>
      </c>
      <c r="BC1079" s="47" t="s">
        <v>134</v>
      </c>
      <c r="BD1079" s="47" t="s">
        <v>134</v>
      </c>
      <c r="BE1079" s="47" t="s">
        <v>2211</v>
      </c>
      <c r="BF1079" s="47">
        <v>88</v>
      </c>
      <c r="BG1079" s="47">
        <v>0</v>
      </c>
      <c r="BH1079" s="47">
        <v>160</v>
      </c>
      <c r="BI1079" s="47">
        <v>0.13</v>
      </c>
      <c r="BJ1079" s="47">
        <v>16.248000000000001</v>
      </c>
      <c r="BK1079" s="47" t="s">
        <v>91</v>
      </c>
      <c r="BL1079" s="47" t="s">
        <v>116</v>
      </c>
      <c r="BM1079" s="47">
        <v>1</v>
      </c>
      <c r="BN1079" s="47" t="s">
        <v>2177</v>
      </c>
      <c r="BO1079" s="47" t="s">
        <v>312</v>
      </c>
      <c r="BP1079" s="47" t="s">
        <v>312</v>
      </c>
      <c r="BQ1079" s="47" t="s">
        <v>117</v>
      </c>
      <c r="BR1079" s="47" t="s">
        <v>134</v>
      </c>
      <c r="BS1079" s="47" t="s">
        <v>312</v>
      </c>
      <c r="BT1079" s="47" t="s">
        <v>312</v>
      </c>
      <c r="BU1079" s="47">
        <v>1998</v>
      </c>
      <c r="BV1079" s="47">
        <v>2007</v>
      </c>
      <c r="BW1079" s="47" t="s">
        <v>901</v>
      </c>
      <c r="BX1079" s="47" t="s">
        <v>95</v>
      </c>
      <c r="BY1079" s="47" t="s">
        <v>748</v>
      </c>
      <c r="BZ1079" s="47">
        <v>1</v>
      </c>
      <c r="CA1079" s="47">
        <v>1</v>
      </c>
      <c r="CB1079" s="47" t="s">
        <v>303</v>
      </c>
      <c r="CC1079" s="47" t="s">
        <v>1375</v>
      </c>
      <c r="CD1079" s="47">
        <v>1</v>
      </c>
      <c r="CE1079" s="47" t="s">
        <v>2212</v>
      </c>
      <c r="CF1079" s="47">
        <v>0</v>
      </c>
      <c r="CG1079" s="47" t="s">
        <v>97</v>
      </c>
      <c r="CH1079" s="47">
        <v>0</v>
      </c>
      <c r="CI1079" s="47" t="s">
        <v>116</v>
      </c>
      <c r="CJ1079" s="47" t="s">
        <v>98</v>
      </c>
      <c r="CK1079" s="47">
        <v>22</v>
      </c>
      <c r="CL1079" s="47">
        <v>0</v>
      </c>
      <c r="CM1079" s="47">
        <v>0</v>
      </c>
      <c r="CN1079" s="47" t="s">
        <v>124</v>
      </c>
      <c r="CO1079" s="47" t="s">
        <v>97</v>
      </c>
      <c r="CP1079" s="47" t="s">
        <v>100</v>
      </c>
      <c r="CQ1079" s="47" t="s">
        <v>126</v>
      </c>
      <c r="CR1079" s="48">
        <v>46267</v>
      </c>
      <c r="CT1079" s="47" t="s">
        <v>437</v>
      </c>
    </row>
    <row r="1080" spans="1:98" s="47" customFormat="1" x14ac:dyDescent="0.35">
      <c r="A1080" s="46" t="s">
        <v>2207</v>
      </c>
      <c r="B1080" s="46" t="s">
        <v>2219</v>
      </c>
      <c r="C1080" s="47" t="s">
        <v>1913</v>
      </c>
      <c r="D1080" s="47">
        <v>2017</v>
      </c>
      <c r="E1080" s="66" t="s">
        <v>2208</v>
      </c>
      <c r="F1080" s="46" t="s">
        <v>2209</v>
      </c>
      <c r="G1080" s="47" t="s">
        <v>78</v>
      </c>
      <c r="H1080" s="47">
        <v>1</v>
      </c>
      <c r="I1080" s="47" t="s">
        <v>290</v>
      </c>
      <c r="J1080" s="47" t="s">
        <v>2210</v>
      </c>
      <c r="K1080" s="47">
        <v>47</v>
      </c>
      <c r="L1080" s="47" t="s">
        <v>104</v>
      </c>
      <c r="M1080" s="47" t="s">
        <v>380</v>
      </c>
      <c r="N1080" s="47">
        <v>-8.3999999999999995E-3</v>
      </c>
      <c r="O1080" s="47">
        <v>4.7000000000000002E-3</v>
      </c>
      <c r="P1080" s="47">
        <f t="shared" si="460"/>
        <v>-1.7872340425531914</v>
      </c>
      <c r="Q1080" s="47" t="s">
        <v>312</v>
      </c>
      <c r="R1080" s="47">
        <f t="shared" si="461"/>
        <v>-1.7611999999999999E-2</v>
      </c>
      <c r="S1080" s="47">
        <f t="shared" si="462"/>
        <v>8.1200000000000022E-4</v>
      </c>
      <c r="T1080" s="47">
        <v>1</v>
      </c>
      <c r="U1080" s="47">
        <v>1593247</v>
      </c>
      <c r="V1080" s="47" t="s">
        <v>312</v>
      </c>
      <c r="W1080" s="47" t="s">
        <v>312</v>
      </c>
      <c r="X1080" s="47">
        <f t="shared" si="463"/>
        <v>1593247</v>
      </c>
      <c r="Y1080" s="47">
        <f t="shared" si="464"/>
        <v>-1.4159223533748654E-3</v>
      </c>
      <c r="Z1080" s="47">
        <f t="shared" si="465"/>
        <v>7.9224226915022226E-4</v>
      </c>
      <c r="AA1080" s="47">
        <f t="shared" si="466"/>
        <v>-1.4159223533748654E-3</v>
      </c>
      <c r="AB1080" s="47" t="s">
        <v>81</v>
      </c>
      <c r="AC1080" s="47">
        <f t="shared" si="467"/>
        <v>-0.44956800000000002</v>
      </c>
      <c r="AD1080" s="47" cm="1">
        <f t="array" ref="AD1080">_xlfn.IFS(
AND(L1080="marginal_effect",M1080="level"),N1080*AN1080/BF1080,
AND(L1080="marginal_effect",M1080="sd (Y)"),N1080*BI1080*AN1080/BF1080,
AND(L1080="marginal_effect",M1080="sd (X)"),N1080/AQ1080*AN1080/BF1080,
AND(L1080="semi_elasticity",M1080="level"),N1080*AN1080,
AND(L1080="semi_elasticity",M1080="sd (Y)"),N1080*AN1080*BI1080,
AND(L1080="semi_elasticity",M1080="sd (X)"),N1080*AN1080/AQ1080,
AND(L1080="level-log",M1080="level"),N1080/BF1080,
AND(L1080="level-log",M1080="sd (X)"),N1080/BF1080/AQ1080,
AND(L1080="level-log",M1080="sd (Y)"),N1080/BF1080*BI1080,
AND(L1080="elasticity",M1080="level"),N1080,
AND(L1080="elasticity",M1080="sd (X)"),N1080/AQ1080,
AND(L1080="elasticity",M1080="sd (Y)"),N1080*BI1080,
AND(L1080="marginal_effect",M1080="percent_of_mean"),N1080*AN1080/BF1080/10)</f>
        <v>-0.44956800000000002</v>
      </c>
      <c r="AE1080" s="47">
        <f t="shared" si="468"/>
        <v>1</v>
      </c>
      <c r="AF1080" s="47">
        <f t="shared" si="469"/>
        <v>0.25154400000000005</v>
      </c>
      <c r="AG1080" s="47" cm="1">
        <f t="array" ref="AG1080">_xlfn.IFS(
AND(L1080="marginal_effect",M1080="level"),O1080*AN1080/BF1080,
AND(L1080="marginal_effect",M1080="sd (Y)"),O1080*BI1080*AN1080/BF1080,
AND(L1080="marginal_effect",M1080="sd (X)"),O1080/AQ1080*AN1080/BF1080,
AND(L1080="semi_elasticity",M1080="level"),O1080*AN1080,
AND(L1080="semi_elasticity",M1080="sd (Y)"),O1080*AN1080*BI1080,
AND(L1080="semi_elasticity",M1080="sd (X)"),O1080*AN1080/AQ1080,
AND(L1080="level-log",M1080="level"),O1080/BF1080,
AND(L1080="level-log",M1080="sd (X)"),O1080/BF1080/AQ1080,
AND(L1080="level-log",M1080="sd (Y)"),O1080/BF1080*BI1080,
AND(L1080="elasticity",M1080="level"),O1080,
AND(L1080="elasticity",M1080="sd (X)"),O1080/AQ1080,
AND(L1080="elasticity",M1080="sd (Y)"),O1080*BI1080,
AND(L1080="marginal_effect",M1080="percent_of_mean"),O1080*AN1080/BF1080/10)</f>
        <v>0.25154400000000005</v>
      </c>
      <c r="AH1080" s="47">
        <f t="shared" si="470"/>
        <v>1</v>
      </c>
      <c r="AI1080" s="47">
        <f t="shared" si="445"/>
        <v>-0.44956800000000002</v>
      </c>
      <c r="AJ1080" s="47">
        <v>0</v>
      </c>
      <c r="AK1080" s="47">
        <f t="shared" si="442"/>
        <v>1</v>
      </c>
      <c r="AL1080" s="47" t="s">
        <v>82</v>
      </c>
      <c r="AM1080" s="47" t="s">
        <v>1333</v>
      </c>
      <c r="AN1080" s="47">
        <v>53.52</v>
      </c>
      <c r="AO1080" s="47">
        <v>0</v>
      </c>
      <c r="AP1080" s="47">
        <f t="shared" si="471"/>
        <v>53.52</v>
      </c>
      <c r="AQ1080" s="47">
        <v>25.46</v>
      </c>
      <c r="AR1080" s="47">
        <v>2.62</v>
      </c>
      <c r="AS1080" s="47">
        <v>134.84</v>
      </c>
      <c r="AT1080" s="47" t="s">
        <v>107</v>
      </c>
      <c r="AU1080" s="47" t="s">
        <v>109</v>
      </c>
      <c r="AV1080" s="47" t="s">
        <v>133</v>
      </c>
      <c r="AW1080" s="47" t="s">
        <v>134</v>
      </c>
      <c r="AX1080" s="47" t="s">
        <v>86</v>
      </c>
      <c r="AY1080" s="47">
        <v>0</v>
      </c>
      <c r="AZ1080" s="47">
        <v>0</v>
      </c>
      <c r="BA1080" s="47" t="s">
        <v>391</v>
      </c>
      <c r="BB1080" s="47" t="s">
        <v>134</v>
      </c>
      <c r="BC1080" s="47" t="s">
        <v>134</v>
      </c>
      <c r="BD1080" s="47" t="s">
        <v>134</v>
      </c>
      <c r="BE1080" s="47" t="s">
        <v>2211</v>
      </c>
      <c r="BF1080" s="47">
        <v>88</v>
      </c>
      <c r="BG1080" s="47">
        <v>0</v>
      </c>
      <c r="BH1080" s="47">
        <v>160</v>
      </c>
      <c r="BI1080" s="47">
        <v>0.13</v>
      </c>
      <c r="BJ1080" s="47">
        <v>16.248000000000001</v>
      </c>
      <c r="BK1080" s="47" t="s">
        <v>91</v>
      </c>
      <c r="BL1080" s="47" t="s">
        <v>116</v>
      </c>
      <c r="BM1080" s="47">
        <v>1</v>
      </c>
      <c r="BN1080" s="47" t="s">
        <v>2177</v>
      </c>
      <c r="BO1080" s="47" t="s">
        <v>312</v>
      </c>
      <c r="BP1080" s="47" t="s">
        <v>312</v>
      </c>
      <c r="BQ1080" s="47" t="s">
        <v>117</v>
      </c>
      <c r="BR1080" s="47" t="s">
        <v>134</v>
      </c>
      <c r="BS1080" s="47" t="s">
        <v>312</v>
      </c>
      <c r="BT1080" s="47" t="s">
        <v>312</v>
      </c>
      <c r="BU1080" s="47">
        <v>1998</v>
      </c>
      <c r="BV1080" s="47">
        <v>2007</v>
      </c>
      <c r="BW1080" s="47" t="s">
        <v>901</v>
      </c>
      <c r="BX1080" s="47" t="s">
        <v>95</v>
      </c>
      <c r="BY1080" s="47" t="s">
        <v>748</v>
      </c>
      <c r="BZ1080" s="47">
        <v>1</v>
      </c>
      <c r="CA1080" s="47">
        <v>1</v>
      </c>
      <c r="CB1080" s="47" t="s">
        <v>303</v>
      </c>
      <c r="CC1080" s="47" t="s">
        <v>1375</v>
      </c>
      <c r="CD1080" s="47">
        <v>1</v>
      </c>
      <c r="CE1080" s="47" t="s">
        <v>2212</v>
      </c>
      <c r="CF1080" s="47">
        <v>0</v>
      </c>
      <c r="CG1080" s="47" t="s">
        <v>97</v>
      </c>
      <c r="CH1080" s="47">
        <v>0</v>
      </c>
      <c r="CI1080" s="47" t="s">
        <v>1932</v>
      </c>
      <c r="CJ1080" s="47" t="s">
        <v>98</v>
      </c>
      <c r="CK1080" s="47">
        <v>22</v>
      </c>
      <c r="CL1080" s="47">
        <v>0</v>
      </c>
      <c r="CM1080" s="47">
        <v>0</v>
      </c>
      <c r="CN1080" s="47" t="s">
        <v>124</v>
      </c>
      <c r="CO1080" s="47" t="s">
        <v>97</v>
      </c>
      <c r="CP1080" s="47" t="s">
        <v>100</v>
      </c>
      <c r="CQ1080" s="47" t="s">
        <v>126</v>
      </c>
      <c r="CR1080" s="48">
        <v>46267</v>
      </c>
      <c r="CT1080" s="47" t="s">
        <v>438</v>
      </c>
    </row>
    <row r="1081" spans="1:98" s="47" customFormat="1" x14ac:dyDescent="0.35">
      <c r="A1081" s="46" t="s">
        <v>2207</v>
      </c>
      <c r="B1081" s="46" t="s">
        <v>2220</v>
      </c>
      <c r="C1081" s="47" t="s">
        <v>1913</v>
      </c>
      <c r="D1081" s="47">
        <v>2017</v>
      </c>
      <c r="E1081" s="66" t="s">
        <v>2208</v>
      </c>
      <c r="F1081" s="46" t="s">
        <v>2209</v>
      </c>
      <c r="G1081" s="47" t="s">
        <v>78</v>
      </c>
      <c r="H1081" s="47">
        <v>1</v>
      </c>
      <c r="I1081" s="47" t="s">
        <v>290</v>
      </c>
      <c r="J1081" s="47" t="s">
        <v>2210</v>
      </c>
      <c r="K1081" s="47">
        <v>47</v>
      </c>
      <c r="L1081" s="47" t="s">
        <v>104</v>
      </c>
      <c r="M1081" s="47" t="s">
        <v>380</v>
      </c>
      <c r="N1081" s="47">
        <v>-8.8000000000000005E-3</v>
      </c>
      <c r="O1081" s="47">
        <v>1.6999999999999999E-3</v>
      </c>
      <c r="P1081" s="47">
        <f t="shared" si="460"/>
        <v>-5.1764705882352944</v>
      </c>
      <c r="Q1081" s="47" t="s">
        <v>312</v>
      </c>
      <c r="R1081" s="47">
        <f t="shared" si="461"/>
        <v>-1.2132E-2</v>
      </c>
      <c r="S1081" s="47">
        <f t="shared" si="462"/>
        <v>-5.4680000000000006E-3</v>
      </c>
      <c r="T1081" s="47">
        <v>1</v>
      </c>
      <c r="U1081" s="47">
        <v>1746850</v>
      </c>
      <c r="V1081" s="47" t="s">
        <v>312</v>
      </c>
      <c r="W1081" s="47" t="s">
        <v>312</v>
      </c>
      <c r="X1081" s="47">
        <f t="shared" si="463"/>
        <v>1746850</v>
      </c>
      <c r="Y1081" s="47">
        <f t="shared" si="464"/>
        <v>-3.9165404180937311E-3</v>
      </c>
      <c r="Z1081" s="47">
        <f t="shared" si="465"/>
        <v>7.5660439894992531E-4</v>
      </c>
      <c r="AA1081" s="47">
        <f t="shared" si="466"/>
        <v>-3.9165404180937311E-3</v>
      </c>
      <c r="AB1081" s="47" t="s">
        <v>81</v>
      </c>
      <c r="AC1081" s="47">
        <f t="shared" si="467"/>
        <v>-0.47097600000000006</v>
      </c>
      <c r="AD1081" s="47" cm="1">
        <f t="array" ref="AD1081">_xlfn.IFS(
AND(L1081="marginal_effect",M1081="level"),N1081*AN1081/BF1081,
AND(L1081="marginal_effect",M1081="sd (Y)"),N1081*BI1081*AN1081/BF1081,
AND(L1081="marginal_effect",M1081="sd (X)"),N1081/AQ1081*AN1081/BF1081,
AND(L1081="semi_elasticity",M1081="level"),N1081*AN1081,
AND(L1081="semi_elasticity",M1081="sd (Y)"),N1081*AN1081*BI1081,
AND(L1081="semi_elasticity",M1081="sd (X)"),N1081*AN1081/AQ1081,
AND(L1081="level-log",M1081="level"),N1081/BF1081,
AND(L1081="level-log",M1081="sd (X)"),N1081/BF1081/AQ1081,
AND(L1081="level-log",M1081="sd (Y)"),N1081/BF1081*BI1081,
AND(L1081="elasticity",M1081="level"),N1081,
AND(L1081="elasticity",M1081="sd (X)"),N1081/AQ1081,
AND(L1081="elasticity",M1081="sd (Y)"),N1081*BI1081,
AND(L1081="marginal_effect",M1081="percent_of_mean"),N1081*AN1081/BF1081/10)</f>
        <v>-0.47097600000000006</v>
      </c>
      <c r="AE1081" s="47">
        <f t="shared" si="468"/>
        <v>1</v>
      </c>
      <c r="AF1081" s="47">
        <f t="shared" si="469"/>
        <v>9.0983999999999995E-2</v>
      </c>
      <c r="AG1081" s="47" cm="1">
        <f t="array" ref="AG1081">_xlfn.IFS(
AND(L1081="marginal_effect",M1081="level"),O1081*AN1081/BF1081,
AND(L1081="marginal_effect",M1081="sd (Y)"),O1081*BI1081*AN1081/BF1081,
AND(L1081="marginal_effect",M1081="sd (X)"),O1081/AQ1081*AN1081/BF1081,
AND(L1081="semi_elasticity",M1081="level"),O1081*AN1081,
AND(L1081="semi_elasticity",M1081="sd (Y)"),O1081*AN1081*BI1081,
AND(L1081="semi_elasticity",M1081="sd (X)"),O1081*AN1081/AQ1081,
AND(L1081="level-log",M1081="level"),O1081/BF1081,
AND(L1081="level-log",M1081="sd (X)"),O1081/BF1081/AQ1081,
AND(L1081="level-log",M1081="sd (Y)"),O1081/BF1081*BI1081,
AND(L1081="elasticity",M1081="level"),O1081,
AND(L1081="elasticity",M1081="sd (X)"),O1081/AQ1081,
AND(L1081="elasticity",M1081="sd (Y)"),O1081*BI1081,
AND(L1081="marginal_effect",M1081="percent_of_mean"),O1081*AN1081/BF1081/10)</f>
        <v>9.0983999999999995E-2</v>
      </c>
      <c r="AH1081" s="47">
        <f t="shared" si="470"/>
        <v>1</v>
      </c>
      <c r="AI1081" s="47">
        <f t="shared" si="445"/>
        <v>-0.47097600000000006</v>
      </c>
      <c r="AJ1081" s="47">
        <v>0</v>
      </c>
      <c r="AK1081" s="47">
        <f t="shared" si="442"/>
        <v>0</v>
      </c>
      <c r="AL1081" s="47" t="s">
        <v>82</v>
      </c>
      <c r="AM1081" s="47" t="s">
        <v>1333</v>
      </c>
      <c r="AN1081" s="47">
        <v>53.52</v>
      </c>
      <c r="AO1081" s="47">
        <v>0</v>
      </c>
      <c r="AP1081" s="47">
        <f t="shared" si="471"/>
        <v>53.52</v>
      </c>
      <c r="AQ1081" s="47">
        <v>25.46</v>
      </c>
      <c r="AR1081" s="47">
        <v>2.62</v>
      </c>
      <c r="AS1081" s="47">
        <v>134.84</v>
      </c>
      <c r="AT1081" s="47" t="s">
        <v>107</v>
      </c>
      <c r="AU1081" s="47" t="s">
        <v>109</v>
      </c>
      <c r="AV1081" s="47" t="s">
        <v>133</v>
      </c>
      <c r="AW1081" s="47" t="s">
        <v>134</v>
      </c>
      <c r="AX1081" s="47" t="s">
        <v>86</v>
      </c>
      <c r="AY1081" s="47">
        <v>0</v>
      </c>
      <c r="AZ1081" s="47">
        <v>0</v>
      </c>
      <c r="BA1081" s="47" t="s">
        <v>391</v>
      </c>
      <c r="BB1081" s="47" t="s">
        <v>134</v>
      </c>
      <c r="BC1081" s="47" t="s">
        <v>134</v>
      </c>
      <c r="BD1081" s="47" t="s">
        <v>134</v>
      </c>
      <c r="BE1081" s="47" t="s">
        <v>2211</v>
      </c>
      <c r="BF1081" s="47">
        <v>88</v>
      </c>
      <c r="BG1081" s="47">
        <v>0</v>
      </c>
      <c r="BH1081" s="47">
        <v>160</v>
      </c>
      <c r="BI1081" s="47">
        <v>0.13</v>
      </c>
      <c r="BJ1081" s="47">
        <v>16.248000000000001</v>
      </c>
      <c r="BK1081" s="47" t="s">
        <v>91</v>
      </c>
      <c r="BL1081" s="47" t="s">
        <v>116</v>
      </c>
      <c r="BM1081" s="47">
        <v>1</v>
      </c>
      <c r="BN1081" s="47" t="s">
        <v>2177</v>
      </c>
      <c r="BO1081" s="47" t="s">
        <v>312</v>
      </c>
      <c r="BP1081" s="47" t="s">
        <v>312</v>
      </c>
      <c r="BQ1081" s="47" t="s">
        <v>117</v>
      </c>
      <c r="BR1081" s="47" t="s">
        <v>134</v>
      </c>
      <c r="BS1081" s="47" t="s">
        <v>312</v>
      </c>
      <c r="BT1081" s="47" t="s">
        <v>312</v>
      </c>
      <c r="BU1081" s="47">
        <v>1998</v>
      </c>
      <c r="BV1081" s="47">
        <v>2007</v>
      </c>
      <c r="BW1081" s="47" t="s">
        <v>901</v>
      </c>
      <c r="BX1081" s="47" t="s">
        <v>95</v>
      </c>
      <c r="BY1081" s="47" t="s">
        <v>748</v>
      </c>
      <c r="BZ1081" s="47">
        <v>1</v>
      </c>
      <c r="CA1081" s="47">
        <v>1</v>
      </c>
      <c r="CB1081" s="47" t="s">
        <v>303</v>
      </c>
      <c r="CC1081" s="47" t="s">
        <v>1375</v>
      </c>
      <c r="CD1081" s="47">
        <v>1</v>
      </c>
      <c r="CE1081" s="47" t="s">
        <v>2212</v>
      </c>
      <c r="CF1081" s="47">
        <v>0</v>
      </c>
      <c r="CG1081" s="47" t="s">
        <v>97</v>
      </c>
      <c r="CH1081" s="47">
        <v>0</v>
      </c>
      <c r="CI1081" s="47" t="s">
        <v>116</v>
      </c>
      <c r="CJ1081" s="47" t="s">
        <v>98</v>
      </c>
      <c r="CK1081" s="47">
        <v>22</v>
      </c>
      <c r="CL1081" s="47">
        <v>0</v>
      </c>
      <c r="CM1081" s="47">
        <v>0</v>
      </c>
      <c r="CN1081" s="47" t="s">
        <v>124</v>
      </c>
      <c r="CO1081" s="47" t="s">
        <v>97</v>
      </c>
      <c r="CP1081" s="47" t="s">
        <v>100</v>
      </c>
      <c r="CQ1081" s="47" t="s">
        <v>126</v>
      </c>
      <c r="CR1081" s="48">
        <v>46267</v>
      </c>
      <c r="CT1081" s="47" t="s">
        <v>439</v>
      </c>
    </row>
    <row r="1082" spans="1:98" s="47" customFormat="1" x14ac:dyDescent="0.35">
      <c r="A1082" s="46" t="s">
        <v>2207</v>
      </c>
      <c r="B1082" s="46" t="s">
        <v>2221</v>
      </c>
      <c r="C1082" s="47" t="s">
        <v>1913</v>
      </c>
      <c r="D1082" s="47">
        <v>2017</v>
      </c>
      <c r="E1082" s="66" t="s">
        <v>2208</v>
      </c>
      <c r="F1082" s="46" t="s">
        <v>2209</v>
      </c>
      <c r="G1082" s="47" t="s">
        <v>78</v>
      </c>
      <c r="H1082" s="47">
        <v>1</v>
      </c>
      <c r="I1082" s="47" t="s">
        <v>290</v>
      </c>
      <c r="J1082" s="47" t="s">
        <v>2210</v>
      </c>
      <c r="K1082" s="47">
        <v>47</v>
      </c>
      <c r="L1082" s="47" t="s">
        <v>104</v>
      </c>
      <c r="M1082" s="47" t="s">
        <v>380</v>
      </c>
      <c r="N1082" s="47">
        <v>-8.6E-3</v>
      </c>
      <c r="O1082" s="47">
        <v>1.8E-3</v>
      </c>
      <c r="P1082" s="47">
        <f t="shared" si="460"/>
        <v>-4.7777777777777777</v>
      </c>
      <c r="Q1082" s="47" t="s">
        <v>312</v>
      </c>
      <c r="R1082" s="47">
        <f t="shared" si="461"/>
        <v>-1.2128E-2</v>
      </c>
      <c r="S1082" s="47">
        <f t="shared" si="462"/>
        <v>-5.0720000000000001E-3</v>
      </c>
      <c r="T1082" s="47">
        <v>1</v>
      </c>
      <c r="U1082" s="47">
        <v>1593247</v>
      </c>
      <c r="V1082" s="47" t="s">
        <v>312</v>
      </c>
      <c r="W1082" s="47" t="s">
        <v>312</v>
      </c>
      <c r="X1082" s="47">
        <f t="shared" si="463"/>
        <v>1593247</v>
      </c>
      <c r="Y1082" s="47">
        <f t="shared" si="464"/>
        <v>-3.7851341869222354E-3</v>
      </c>
      <c r="Z1082" s="47">
        <f t="shared" si="465"/>
        <v>7.9223738796046789E-4</v>
      </c>
      <c r="AA1082" s="47">
        <f t="shared" si="466"/>
        <v>-3.7851341869222354E-3</v>
      </c>
      <c r="AB1082" s="47" t="s">
        <v>81</v>
      </c>
      <c r="AC1082" s="47">
        <f t="shared" si="467"/>
        <v>-0.46027200000000001</v>
      </c>
      <c r="AD1082" s="47" cm="1">
        <f t="array" ref="AD1082">_xlfn.IFS(
AND(L1082="marginal_effect",M1082="level"),N1082*AN1082/BF1082,
AND(L1082="marginal_effect",M1082="sd (Y)"),N1082*BI1082*AN1082/BF1082,
AND(L1082="marginal_effect",M1082="sd (X)"),N1082/AQ1082*AN1082/BF1082,
AND(L1082="semi_elasticity",M1082="level"),N1082*AN1082,
AND(L1082="semi_elasticity",M1082="sd (Y)"),N1082*AN1082*BI1082,
AND(L1082="semi_elasticity",M1082="sd (X)"),N1082*AN1082/AQ1082,
AND(L1082="level-log",M1082="level"),N1082/BF1082,
AND(L1082="level-log",M1082="sd (X)"),N1082/BF1082/AQ1082,
AND(L1082="level-log",M1082="sd (Y)"),N1082/BF1082*BI1082,
AND(L1082="elasticity",M1082="level"),N1082,
AND(L1082="elasticity",M1082="sd (X)"),N1082/AQ1082,
AND(L1082="elasticity",M1082="sd (Y)"),N1082*BI1082,
AND(L1082="marginal_effect",M1082="percent_of_mean"),N1082*AN1082/BF1082/10)</f>
        <v>-0.46027200000000001</v>
      </c>
      <c r="AE1082" s="47">
        <f t="shared" si="468"/>
        <v>1</v>
      </c>
      <c r="AF1082" s="47">
        <f t="shared" si="469"/>
        <v>9.6336000000000005E-2</v>
      </c>
      <c r="AG1082" s="47" cm="1">
        <f t="array" ref="AG1082">_xlfn.IFS(
AND(L1082="marginal_effect",M1082="level"),O1082*AN1082/BF1082,
AND(L1082="marginal_effect",M1082="sd (Y)"),O1082*BI1082*AN1082/BF1082,
AND(L1082="marginal_effect",M1082="sd (X)"),O1082/AQ1082*AN1082/BF1082,
AND(L1082="semi_elasticity",M1082="level"),O1082*AN1082,
AND(L1082="semi_elasticity",M1082="sd (Y)"),O1082*AN1082*BI1082,
AND(L1082="semi_elasticity",M1082="sd (X)"),O1082*AN1082/AQ1082,
AND(L1082="level-log",M1082="level"),O1082/BF1082,
AND(L1082="level-log",M1082="sd (X)"),O1082/BF1082/AQ1082,
AND(L1082="level-log",M1082="sd (Y)"),O1082/BF1082*BI1082,
AND(L1082="elasticity",M1082="level"),O1082,
AND(L1082="elasticity",M1082="sd (X)"),O1082/AQ1082,
AND(L1082="elasticity",M1082="sd (Y)"),O1082*BI1082,
AND(L1082="marginal_effect",M1082="percent_of_mean"),O1082*AN1082/BF1082/10)</f>
        <v>9.6336000000000005E-2</v>
      </c>
      <c r="AH1082" s="47">
        <f t="shared" si="470"/>
        <v>1</v>
      </c>
      <c r="AI1082" s="47">
        <f t="shared" si="445"/>
        <v>-0.46027200000000001</v>
      </c>
      <c r="AJ1082" s="47">
        <v>0</v>
      </c>
      <c r="AK1082" s="47">
        <f t="shared" si="442"/>
        <v>1</v>
      </c>
      <c r="AL1082" s="47" t="s">
        <v>82</v>
      </c>
      <c r="AM1082" s="47" t="s">
        <v>1333</v>
      </c>
      <c r="AN1082" s="47">
        <v>53.52</v>
      </c>
      <c r="AO1082" s="47">
        <v>0</v>
      </c>
      <c r="AP1082" s="47">
        <f t="shared" si="471"/>
        <v>53.52</v>
      </c>
      <c r="AQ1082" s="47">
        <v>25.46</v>
      </c>
      <c r="AR1082" s="47">
        <v>2.62</v>
      </c>
      <c r="AS1082" s="47">
        <v>134.84</v>
      </c>
      <c r="AT1082" s="47" t="s">
        <v>107</v>
      </c>
      <c r="AU1082" s="47" t="s">
        <v>109</v>
      </c>
      <c r="AV1082" s="47" t="s">
        <v>133</v>
      </c>
      <c r="AW1082" s="47" t="s">
        <v>134</v>
      </c>
      <c r="AX1082" s="47" t="s">
        <v>86</v>
      </c>
      <c r="AY1082" s="47">
        <v>0</v>
      </c>
      <c r="AZ1082" s="47">
        <v>0</v>
      </c>
      <c r="BA1082" s="47" t="s">
        <v>391</v>
      </c>
      <c r="BB1082" s="47" t="s">
        <v>134</v>
      </c>
      <c r="BC1082" s="47" t="s">
        <v>134</v>
      </c>
      <c r="BD1082" s="47" t="s">
        <v>134</v>
      </c>
      <c r="BE1082" s="47" t="s">
        <v>2211</v>
      </c>
      <c r="BF1082" s="47">
        <v>88</v>
      </c>
      <c r="BG1082" s="47">
        <v>0</v>
      </c>
      <c r="BH1082" s="47">
        <v>160</v>
      </c>
      <c r="BI1082" s="47">
        <v>0.13</v>
      </c>
      <c r="BJ1082" s="47">
        <v>16.248000000000001</v>
      </c>
      <c r="BK1082" s="47" t="s">
        <v>91</v>
      </c>
      <c r="BL1082" s="47" t="s">
        <v>116</v>
      </c>
      <c r="BM1082" s="47">
        <v>1</v>
      </c>
      <c r="BN1082" s="47" t="s">
        <v>2177</v>
      </c>
      <c r="BO1082" s="47" t="s">
        <v>312</v>
      </c>
      <c r="BP1082" s="47" t="s">
        <v>312</v>
      </c>
      <c r="BQ1082" s="47" t="s">
        <v>117</v>
      </c>
      <c r="BR1082" s="47" t="s">
        <v>134</v>
      </c>
      <c r="BS1082" s="47" t="s">
        <v>312</v>
      </c>
      <c r="BT1082" s="47" t="s">
        <v>312</v>
      </c>
      <c r="BU1082" s="47">
        <v>1998</v>
      </c>
      <c r="BV1082" s="47">
        <v>2007</v>
      </c>
      <c r="BW1082" s="47" t="s">
        <v>901</v>
      </c>
      <c r="BX1082" s="47" t="s">
        <v>95</v>
      </c>
      <c r="BY1082" s="47" t="s">
        <v>748</v>
      </c>
      <c r="BZ1082" s="47">
        <v>1</v>
      </c>
      <c r="CA1082" s="47">
        <v>1</v>
      </c>
      <c r="CB1082" s="47" t="s">
        <v>303</v>
      </c>
      <c r="CC1082" s="47" t="s">
        <v>1375</v>
      </c>
      <c r="CD1082" s="47">
        <v>1</v>
      </c>
      <c r="CE1082" s="47" t="s">
        <v>2212</v>
      </c>
      <c r="CF1082" s="47">
        <v>0</v>
      </c>
      <c r="CG1082" s="47" t="s">
        <v>97</v>
      </c>
      <c r="CH1082" s="47">
        <v>0</v>
      </c>
      <c r="CI1082" s="47" t="s">
        <v>116</v>
      </c>
      <c r="CJ1082" s="47" t="s">
        <v>98</v>
      </c>
      <c r="CK1082" s="47">
        <v>22</v>
      </c>
      <c r="CL1082" s="47">
        <v>0</v>
      </c>
      <c r="CM1082" s="47">
        <v>0</v>
      </c>
      <c r="CN1082" s="47" t="s">
        <v>124</v>
      </c>
      <c r="CO1082" s="47" t="s">
        <v>97</v>
      </c>
      <c r="CP1082" s="47" t="s">
        <v>100</v>
      </c>
      <c r="CQ1082" s="47" t="s">
        <v>126</v>
      </c>
      <c r="CR1082" s="48">
        <v>46267</v>
      </c>
      <c r="CT1082" s="47" t="s">
        <v>440</v>
      </c>
    </row>
    <row r="1083" spans="1:98" s="47" customFormat="1" x14ac:dyDescent="0.35">
      <c r="A1083" s="46" t="s">
        <v>2207</v>
      </c>
      <c r="B1083" s="46" t="s">
        <v>2222</v>
      </c>
      <c r="C1083" s="47" t="s">
        <v>1913</v>
      </c>
      <c r="D1083" s="47">
        <v>2017</v>
      </c>
      <c r="E1083" s="66" t="s">
        <v>2208</v>
      </c>
      <c r="F1083" s="46" t="s">
        <v>2209</v>
      </c>
      <c r="G1083" s="47" t="s">
        <v>78</v>
      </c>
      <c r="H1083" s="47">
        <v>1</v>
      </c>
      <c r="I1083" s="47" t="s">
        <v>290</v>
      </c>
      <c r="J1083" s="47" t="s">
        <v>2210</v>
      </c>
      <c r="K1083" s="47">
        <v>47</v>
      </c>
      <c r="L1083" s="47" t="s">
        <v>104</v>
      </c>
      <c r="M1083" s="47" t="s">
        <v>380</v>
      </c>
      <c r="N1083" s="47">
        <v>-8.6499999999999994E-2</v>
      </c>
      <c r="O1083" s="47">
        <v>1.9699999999999999E-2</v>
      </c>
      <c r="P1083" s="47">
        <f t="shared" si="460"/>
        <v>-4.3908629441624365</v>
      </c>
      <c r="Q1083" s="47" t="s">
        <v>312</v>
      </c>
      <c r="R1083" s="47">
        <f t="shared" si="461"/>
        <v>-0.125112</v>
      </c>
      <c r="S1083" s="47">
        <f t="shared" si="462"/>
        <v>-4.7888E-2</v>
      </c>
      <c r="T1083" s="47">
        <v>1</v>
      </c>
      <c r="U1083" s="47">
        <v>1593247</v>
      </c>
      <c r="V1083" s="47" t="s">
        <v>312</v>
      </c>
      <c r="W1083" s="47" t="s">
        <v>312</v>
      </c>
      <c r="X1083" s="47">
        <f t="shared" si="463"/>
        <v>1593247</v>
      </c>
      <c r="Y1083" s="47">
        <f t="shared" si="464"/>
        <v>-3.4786096624140673E-3</v>
      </c>
      <c r="Z1083" s="47">
        <f t="shared" si="465"/>
        <v>7.9223826993707661E-4</v>
      </c>
      <c r="AA1083" s="47">
        <f t="shared" si="466"/>
        <v>-3.4786096624140673E-3</v>
      </c>
      <c r="AB1083" s="47" t="s">
        <v>81</v>
      </c>
      <c r="AC1083" s="47">
        <f t="shared" si="467"/>
        <v>-1.303555</v>
      </c>
      <c r="AD1083" s="47" cm="1">
        <f t="array" ref="AD1083">_xlfn.IFS(
AND(L1083="marginal_effect",M1083="level"),N1083*AN1083/BF1083,
AND(L1083="marginal_effect",M1083="sd (Y)"),N1083*BI1083*AN1083/BF1083,
AND(L1083="marginal_effect",M1083="sd (X)"),N1083/AQ1083*AN1083/BF1083,
AND(L1083="semi_elasticity",M1083="level"),N1083*AN1083,
AND(L1083="semi_elasticity",M1083="sd (Y)"),N1083*AN1083*BI1083,
AND(L1083="semi_elasticity",M1083="sd (X)"),N1083*AN1083/AQ1083,
AND(L1083="level-log",M1083="level"),N1083/BF1083,
AND(L1083="level-log",M1083="sd (X)"),N1083/BF1083/AQ1083,
AND(L1083="level-log",M1083="sd (Y)"),N1083/BF1083*BI1083,
AND(L1083="elasticity",M1083="level"),N1083,
AND(L1083="elasticity",M1083="sd (X)"),N1083/AQ1083,
AND(L1083="elasticity",M1083="sd (Y)"),N1083*BI1083,
AND(L1083="marginal_effect",M1083="percent_of_mean"),N1083*AN1083/BF1083/10)</f>
        <v>-1.303555</v>
      </c>
      <c r="AE1083" s="47">
        <f t="shared" si="468"/>
        <v>1</v>
      </c>
      <c r="AF1083" s="47">
        <f t="shared" si="469"/>
        <v>0.296879</v>
      </c>
      <c r="AG1083" s="47" cm="1">
        <f t="array" ref="AG1083">_xlfn.IFS(
AND(L1083="marginal_effect",M1083="level"),O1083*AN1083/BF1083,
AND(L1083="marginal_effect",M1083="sd (Y)"),O1083*BI1083*AN1083/BF1083,
AND(L1083="marginal_effect",M1083="sd (X)"),O1083/AQ1083*AN1083/BF1083,
AND(L1083="semi_elasticity",M1083="level"),O1083*AN1083,
AND(L1083="semi_elasticity",M1083="sd (Y)"),O1083*AN1083*BI1083,
AND(L1083="semi_elasticity",M1083="sd (X)"),O1083*AN1083/AQ1083,
AND(L1083="level-log",M1083="level"),O1083/BF1083,
AND(L1083="level-log",M1083="sd (X)"),O1083/BF1083/AQ1083,
AND(L1083="level-log",M1083="sd (Y)"),O1083/BF1083*BI1083,
AND(L1083="elasticity",M1083="level"),O1083,
AND(L1083="elasticity",M1083="sd (X)"),O1083/AQ1083,
AND(L1083="elasticity",M1083="sd (Y)"),O1083*BI1083,
AND(L1083="marginal_effect",M1083="percent_of_mean"),O1083*AN1083/BF1083/10)</f>
        <v>0.296879</v>
      </c>
      <c r="AH1083" s="47">
        <f t="shared" si="470"/>
        <v>1</v>
      </c>
      <c r="AI1083" s="47">
        <f t="shared" si="445"/>
        <v>-1.303555</v>
      </c>
      <c r="AJ1083" s="47">
        <v>0</v>
      </c>
      <c r="AK1083" s="47">
        <f t="shared" si="442"/>
        <v>1</v>
      </c>
      <c r="AL1083" s="47" t="s">
        <v>159</v>
      </c>
      <c r="AM1083" s="47" t="s">
        <v>1333</v>
      </c>
      <c r="AN1083" s="47">
        <v>15.07</v>
      </c>
      <c r="AO1083" s="47">
        <v>0</v>
      </c>
      <c r="AP1083" s="47">
        <f t="shared" si="471"/>
        <v>15.07</v>
      </c>
      <c r="AQ1083" s="47">
        <v>10.7</v>
      </c>
      <c r="AR1083" s="47">
        <v>0.04</v>
      </c>
      <c r="AS1083" s="47">
        <v>54.68</v>
      </c>
      <c r="AT1083" s="47" t="s">
        <v>107</v>
      </c>
      <c r="AU1083" s="47" t="s">
        <v>109</v>
      </c>
      <c r="AV1083" s="47" t="s">
        <v>133</v>
      </c>
      <c r="AW1083" s="47" t="s">
        <v>134</v>
      </c>
      <c r="AX1083" s="47" t="s">
        <v>86</v>
      </c>
      <c r="AY1083" s="47">
        <v>0</v>
      </c>
      <c r="AZ1083" s="47">
        <v>0</v>
      </c>
      <c r="BA1083" s="47" t="s">
        <v>391</v>
      </c>
      <c r="BB1083" s="47" t="s">
        <v>134</v>
      </c>
      <c r="BC1083" s="47" t="s">
        <v>134</v>
      </c>
      <c r="BD1083" s="47" t="s">
        <v>134</v>
      </c>
      <c r="BE1083" s="47" t="s">
        <v>2211</v>
      </c>
      <c r="BF1083" s="47">
        <v>88</v>
      </c>
      <c r="BG1083" s="47">
        <v>0</v>
      </c>
      <c r="BH1083" s="47">
        <v>160</v>
      </c>
      <c r="BI1083" s="47">
        <v>0.13</v>
      </c>
      <c r="BJ1083" s="47">
        <v>16.248000000000001</v>
      </c>
      <c r="BK1083" s="47" t="s">
        <v>91</v>
      </c>
      <c r="BL1083" s="47" t="s">
        <v>116</v>
      </c>
      <c r="BM1083" s="47">
        <v>1</v>
      </c>
      <c r="BN1083" s="47" t="s">
        <v>2177</v>
      </c>
      <c r="BO1083" s="47" t="s">
        <v>312</v>
      </c>
      <c r="BP1083" s="47" t="s">
        <v>312</v>
      </c>
      <c r="BQ1083" s="47" t="s">
        <v>117</v>
      </c>
      <c r="BR1083" s="47" t="s">
        <v>134</v>
      </c>
      <c r="BS1083" s="47" t="s">
        <v>312</v>
      </c>
      <c r="BT1083" s="47" t="s">
        <v>312</v>
      </c>
      <c r="BU1083" s="47">
        <v>1998</v>
      </c>
      <c r="BV1083" s="47">
        <v>2007</v>
      </c>
      <c r="BW1083" s="47" t="s">
        <v>901</v>
      </c>
      <c r="BX1083" s="47" t="s">
        <v>95</v>
      </c>
      <c r="BY1083" s="47" t="s">
        <v>748</v>
      </c>
      <c r="BZ1083" s="47">
        <v>1</v>
      </c>
      <c r="CA1083" s="47">
        <v>1</v>
      </c>
      <c r="CB1083" s="47" t="s">
        <v>303</v>
      </c>
      <c r="CC1083" s="47" t="s">
        <v>1375</v>
      </c>
      <c r="CD1083" s="47">
        <v>1</v>
      </c>
      <c r="CE1083" s="47" t="s">
        <v>2212</v>
      </c>
      <c r="CF1083" s="47">
        <v>0</v>
      </c>
      <c r="CG1083" s="47" t="s">
        <v>97</v>
      </c>
      <c r="CH1083" s="47">
        <v>0</v>
      </c>
      <c r="CI1083" s="47" t="s">
        <v>116</v>
      </c>
      <c r="CJ1083" s="47" t="s">
        <v>98</v>
      </c>
      <c r="CK1083" s="47">
        <v>22</v>
      </c>
      <c r="CL1083" s="47">
        <v>0</v>
      </c>
      <c r="CM1083" s="47">
        <v>0</v>
      </c>
      <c r="CN1083" s="47" t="s">
        <v>124</v>
      </c>
      <c r="CO1083" s="47" t="s">
        <v>97</v>
      </c>
      <c r="CP1083" s="47" t="s">
        <v>100</v>
      </c>
      <c r="CQ1083" s="47" t="s">
        <v>126</v>
      </c>
      <c r="CR1083" s="48">
        <v>46267</v>
      </c>
      <c r="CT1083" s="47" t="s">
        <v>778</v>
      </c>
    </row>
    <row r="1084" spans="1:98" s="47" customFormat="1" x14ac:dyDescent="0.35">
      <c r="A1084" s="46" t="s">
        <v>2207</v>
      </c>
      <c r="B1084" s="46" t="s">
        <v>2223</v>
      </c>
      <c r="C1084" s="47" t="s">
        <v>1913</v>
      </c>
      <c r="D1084" s="47">
        <v>2017</v>
      </c>
      <c r="E1084" s="66" t="s">
        <v>2208</v>
      </c>
      <c r="F1084" s="46" t="s">
        <v>2209</v>
      </c>
      <c r="G1084" s="47" t="s">
        <v>78</v>
      </c>
      <c r="H1084" s="47">
        <v>1</v>
      </c>
      <c r="I1084" s="47" t="s">
        <v>290</v>
      </c>
      <c r="J1084" s="47" t="s">
        <v>2210</v>
      </c>
      <c r="K1084" s="47">
        <v>47</v>
      </c>
      <c r="L1084" s="47" t="s">
        <v>104</v>
      </c>
      <c r="M1084" s="47" t="s">
        <v>380</v>
      </c>
      <c r="N1084" s="47">
        <v>-5.7200000000000001E-2</v>
      </c>
      <c r="O1084" s="47">
        <v>3.8300000000000001E-2</v>
      </c>
      <c r="P1084" s="47">
        <f t="shared" si="460"/>
        <v>-1.4934725848563968</v>
      </c>
      <c r="Q1084" s="47" t="s">
        <v>312</v>
      </c>
      <c r="R1084" s="47">
        <f t="shared" si="461"/>
        <v>-0.132268</v>
      </c>
      <c r="S1084" s="47">
        <f t="shared" si="462"/>
        <v>1.7867999999999995E-2</v>
      </c>
      <c r="T1084" s="47">
        <v>1</v>
      </c>
      <c r="U1084" s="47">
        <v>1593247</v>
      </c>
      <c r="V1084" s="47" t="s">
        <v>312</v>
      </c>
      <c r="W1084" s="47" t="s">
        <v>312</v>
      </c>
      <c r="X1084" s="47">
        <f t="shared" si="463"/>
        <v>1593247</v>
      </c>
      <c r="Y1084" s="47">
        <f t="shared" si="464"/>
        <v>-1.1831924673924839E-3</v>
      </c>
      <c r="Z1084" s="47">
        <f t="shared" si="465"/>
        <v>7.9224250876105127E-4</v>
      </c>
      <c r="AA1084" s="47">
        <f t="shared" si="466"/>
        <v>-1.1831924673924839E-3</v>
      </c>
      <c r="AB1084" s="47" t="s">
        <v>81</v>
      </c>
      <c r="AC1084" s="47">
        <f t="shared" si="467"/>
        <v>-0.86200399999999999</v>
      </c>
      <c r="AD1084" s="47" cm="1">
        <f t="array" ref="AD1084">_xlfn.IFS(
AND(L1084="marginal_effect",M1084="level"),N1084*AN1084/BF1084,
AND(L1084="marginal_effect",M1084="sd (Y)"),N1084*BI1084*AN1084/BF1084,
AND(L1084="marginal_effect",M1084="sd (X)"),N1084/AQ1084*AN1084/BF1084,
AND(L1084="semi_elasticity",M1084="level"),N1084*AN1084,
AND(L1084="semi_elasticity",M1084="sd (Y)"),N1084*AN1084*BI1084,
AND(L1084="semi_elasticity",M1084="sd (X)"),N1084*AN1084/AQ1084,
AND(L1084="level-log",M1084="level"),N1084/BF1084,
AND(L1084="level-log",M1084="sd (X)"),N1084/BF1084/AQ1084,
AND(L1084="level-log",M1084="sd (Y)"),N1084/BF1084*BI1084,
AND(L1084="elasticity",M1084="level"),N1084,
AND(L1084="elasticity",M1084="sd (X)"),N1084/AQ1084,
AND(L1084="elasticity",M1084="sd (Y)"),N1084*BI1084,
AND(L1084="marginal_effect",M1084="percent_of_mean"),N1084*AN1084/BF1084/10)</f>
        <v>-0.86200399999999999</v>
      </c>
      <c r="AE1084" s="47">
        <f t="shared" si="468"/>
        <v>1</v>
      </c>
      <c r="AF1084" s="47">
        <f t="shared" si="469"/>
        <v>0.57718100000000006</v>
      </c>
      <c r="AG1084" s="47" cm="1">
        <f t="array" ref="AG1084">_xlfn.IFS(
AND(L1084="marginal_effect",M1084="level"),O1084*AN1084/BF1084,
AND(L1084="marginal_effect",M1084="sd (Y)"),O1084*BI1084*AN1084/BF1084,
AND(L1084="marginal_effect",M1084="sd (X)"),O1084/AQ1084*AN1084/BF1084,
AND(L1084="semi_elasticity",M1084="level"),O1084*AN1084,
AND(L1084="semi_elasticity",M1084="sd (Y)"),O1084*AN1084*BI1084,
AND(L1084="semi_elasticity",M1084="sd (X)"),O1084*AN1084/AQ1084,
AND(L1084="level-log",M1084="level"),O1084/BF1084,
AND(L1084="level-log",M1084="sd (X)"),O1084/BF1084/AQ1084,
AND(L1084="level-log",M1084="sd (Y)"),O1084/BF1084*BI1084,
AND(L1084="elasticity",M1084="level"),O1084,
AND(L1084="elasticity",M1084="sd (X)"),O1084/AQ1084,
AND(L1084="elasticity",M1084="sd (Y)"),O1084*BI1084,
AND(L1084="marginal_effect",M1084="percent_of_mean"),O1084*AN1084/BF1084/10)</f>
        <v>0.57718100000000006</v>
      </c>
      <c r="AH1084" s="47">
        <f t="shared" si="470"/>
        <v>1</v>
      </c>
      <c r="AI1084" s="47">
        <f t="shared" si="445"/>
        <v>-0.86200399999999999</v>
      </c>
      <c r="AJ1084" s="47">
        <v>0</v>
      </c>
      <c r="AK1084" s="47">
        <f t="shared" si="442"/>
        <v>1</v>
      </c>
      <c r="AL1084" s="47" t="s">
        <v>159</v>
      </c>
      <c r="AM1084" s="47" t="s">
        <v>1333</v>
      </c>
      <c r="AN1084" s="47">
        <v>15.07</v>
      </c>
      <c r="AO1084" s="47">
        <v>0</v>
      </c>
      <c r="AP1084" s="47">
        <f t="shared" si="471"/>
        <v>15.07</v>
      </c>
      <c r="AQ1084" s="47">
        <v>10.7</v>
      </c>
      <c r="AR1084" s="47">
        <v>0.04</v>
      </c>
      <c r="AS1084" s="47">
        <v>54.68</v>
      </c>
      <c r="AT1084" s="47" t="s">
        <v>107</v>
      </c>
      <c r="AU1084" s="47" t="s">
        <v>109</v>
      </c>
      <c r="AV1084" s="47" t="s">
        <v>133</v>
      </c>
      <c r="AW1084" s="47" t="s">
        <v>134</v>
      </c>
      <c r="AX1084" s="47" t="s">
        <v>86</v>
      </c>
      <c r="AY1084" s="47">
        <v>0</v>
      </c>
      <c r="AZ1084" s="47">
        <v>0</v>
      </c>
      <c r="BA1084" s="47" t="s">
        <v>391</v>
      </c>
      <c r="BB1084" s="47" t="s">
        <v>134</v>
      </c>
      <c r="BC1084" s="47" t="s">
        <v>134</v>
      </c>
      <c r="BD1084" s="47" t="s">
        <v>134</v>
      </c>
      <c r="BE1084" s="47" t="s">
        <v>2211</v>
      </c>
      <c r="BF1084" s="47">
        <v>88</v>
      </c>
      <c r="BG1084" s="47">
        <v>0</v>
      </c>
      <c r="BH1084" s="47">
        <v>160</v>
      </c>
      <c r="BI1084" s="47">
        <v>0.13</v>
      </c>
      <c r="BJ1084" s="47">
        <v>16.248000000000001</v>
      </c>
      <c r="BK1084" s="47" t="s">
        <v>91</v>
      </c>
      <c r="BL1084" s="47" t="s">
        <v>116</v>
      </c>
      <c r="BM1084" s="47">
        <v>1</v>
      </c>
      <c r="BN1084" s="47" t="s">
        <v>2177</v>
      </c>
      <c r="BO1084" s="47" t="s">
        <v>312</v>
      </c>
      <c r="BP1084" s="47" t="s">
        <v>312</v>
      </c>
      <c r="BQ1084" s="47" t="s">
        <v>117</v>
      </c>
      <c r="BR1084" s="47" t="s">
        <v>134</v>
      </c>
      <c r="BS1084" s="47" t="s">
        <v>312</v>
      </c>
      <c r="BT1084" s="47" t="s">
        <v>312</v>
      </c>
      <c r="BU1084" s="47">
        <v>1998</v>
      </c>
      <c r="BV1084" s="47">
        <v>2007</v>
      </c>
      <c r="BW1084" s="47" t="s">
        <v>901</v>
      </c>
      <c r="BX1084" s="47" t="s">
        <v>95</v>
      </c>
      <c r="BY1084" s="47" t="s">
        <v>748</v>
      </c>
      <c r="BZ1084" s="47">
        <v>1</v>
      </c>
      <c r="CA1084" s="47">
        <v>1</v>
      </c>
      <c r="CB1084" s="47" t="s">
        <v>303</v>
      </c>
      <c r="CC1084" s="47" t="s">
        <v>1375</v>
      </c>
      <c r="CD1084" s="47">
        <v>1</v>
      </c>
      <c r="CE1084" s="47" t="s">
        <v>2212</v>
      </c>
      <c r="CF1084" s="47">
        <v>0</v>
      </c>
      <c r="CG1084" s="47" t="s">
        <v>97</v>
      </c>
      <c r="CH1084" s="47">
        <v>0</v>
      </c>
      <c r="CI1084" s="47" t="s">
        <v>1932</v>
      </c>
      <c r="CJ1084" s="47" t="s">
        <v>98</v>
      </c>
      <c r="CK1084" s="47">
        <v>22</v>
      </c>
      <c r="CL1084" s="47">
        <v>0</v>
      </c>
      <c r="CM1084" s="47">
        <v>0</v>
      </c>
      <c r="CN1084" s="47" t="s">
        <v>124</v>
      </c>
      <c r="CO1084" s="47" t="s">
        <v>97</v>
      </c>
      <c r="CP1084" s="47" t="s">
        <v>100</v>
      </c>
      <c r="CQ1084" s="47" t="s">
        <v>126</v>
      </c>
      <c r="CR1084" s="48">
        <v>46267</v>
      </c>
      <c r="CT1084" s="47" t="s">
        <v>779</v>
      </c>
    </row>
    <row r="1085" spans="1:98" s="47" customFormat="1" x14ac:dyDescent="0.35">
      <c r="A1085" s="46" t="s">
        <v>2207</v>
      </c>
      <c r="B1085" s="46" t="s">
        <v>2224</v>
      </c>
      <c r="C1085" s="47" t="s">
        <v>1913</v>
      </c>
      <c r="D1085" s="47">
        <v>2017</v>
      </c>
      <c r="E1085" s="66" t="s">
        <v>2208</v>
      </c>
      <c r="F1085" s="46" t="s">
        <v>2209</v>
      </c>
      <c r="G1085" s="47" t="s">
        <v>78</v>
      </c>
      <c r="H1085" s="47">
        <v>1</v>
      </c>
      <c r="I1085" s="47" t="s">
        <v>290</v>
      </c>
      <c r="J1085" s="47" t="s">
        <v>2210</v>
      </c>
      <c r="K1085" s="47">
        <v>47</v>
      </c>
      <c r="L1085" s="47" t="s">
        <v>104</v>
      </c>
      <c r="M1085" s="47" t="s">
        <v>380</v>
      </c>
      <c r="N1085" s="47">
        <v>-5.8500000000000003E-2</v>
      </c>
      <c r="O1085" s="47">
        <v>1.14E-2</v>
      </c>
      <c r="P1085" s="47">
        <f t="shared" si="460"/>
        <v>-5.1315789473684212</v>
      </c>
      <c r="Q1085" s="47" t="s">
        <v>312</v>
      </c>
      <c r="R1085" s="47">
        <f t="shared" si="461"/>
        <v>-8.0843999999999999E-2</v>
      </c>
      <c r="S1085" s="47">
        <f t="shared" si="462"/>
        <v>-3.6156000000000008E-2</v>
      </c>
      <c r="T1085" s="47">
        <v>1</v>
      </c>
      <c r="U1085" s="47">
        <v>1746850</v>
      </c>
      <c r="V1085" s="47" t="s">
        <v>312</v>
      </c>
      <c r="W1085" s="47" t="s">
        <v>312</v>
      </c>
      <c r="X1085" s="47">
        <f t="shared" si="463"/>
        <v>1746850</v>
      </c>
      <c r="Y1085" s="47">
        <f t="shared" si="464"/>
        <v>-3.8825757193822899E-3</v>
      </c>
      <c r="Z1085" s="47">
        <f t="shared" si="465"/>
        <v>7.5660449916167697E-4</v>
      </c>
      <c r="AA1085" s="47">
        <f t="shared" si="466"/>
        <v>-3.8825757193822899E-3</v>
      </c>
      <c r="AB1085" s="47" t="s">
        <v>81</v>
      </c>
      <c r="AC1085" s="47">
        <f t="shared" si="467"/>
        <v>-0.88159500000000002</v>
      </c>
      <c r="AD1085" s="47" cm="1">
        <f t="array" ref="AD1085">_xlfn.IFS(
AND(L1085="marginal_effect",M1085="level"),N1085*AN1085/BF1085,
AND(L1085="marginal_effect",M1085="sd (Y)"),N1085*BI1085*AN1085/BF1085,
AND(L1085="marginal_effect",M1085="sd (X)"),N1085/AQ1085*AN1085/BF1085,
AND(L1085="semi_elasticity",M1085="level"),N1085*AN1085,
AND(L1085="semi_elasticity",M1085="sd (Y)"),N1085*AN1085*BI1085,
AND(L1085="semi_elasticity",M1085="sd (X)"),N1085*AN1085/AQ1085,
AND(L1085="level-log",M1085="level"),N1085/BF1085,
AND(L1085="level-log",M1085="sd (X)"),N1085/BF1085/AQ1085,
AND(L1085="level-log",M1085="sd (Y)"),N1085/BF1085*BI1085,
AND(L1085="elasticity",M1085="level"),N1085,
AND(L1085="elasticity",M1085="sd (X)"),N1085/AQ1085,
AND(L1085="elasticity",M1085="sd (Y)"),N1085*BI1085,
AND(L1085="marginal_effect",M1085="percent_of_mean"),N1085*AN1085/BF1085/10)</f>
        <v>-0.88159500000000002</v>
      </c>
      <c r="AE1085" s="47">
        <f t="shared" si="468"/>
        <v>1</v>
      </c>
      <c r="AF1085" s="47">
        <f t="shared" si="469"/>
        <v>0.17179800000000001</v>
      </c>
      <c r="AG1085" s="47" cm="1">
        <f t="array" ref="AG1085">_xlfn.IFS(
AND(L1085="marginal_effect",M1085="level"),O1085*AN1085/BF1085,
AND(L1085="marginal_effect",M1085="sd (Y)"),O1085*BI1085*AN1085/BF1085,
AND(L1085="marginal_effect",M1085="sd (X)"),O1085/AQ1085*AN1085/BF1085,
AND(L1085="semi_elasticity",M1085="level"),O1085*AN1085,
AND(L1085="semi_elasticity",M1085="sd (Y)"),O1085*AN1085*BI1085,
AND(L1085="semi_elasticity",M1085="sd (X)"),O1085*AN1085/AQ1085,
AND(L1085="level-log",M1085="level"),O1085/BF1085,
AND(L1085="level-log",M1085="sd (X)"),O1085/BF1085/AQ1085,
AND(L1085="level-log",M1085="sd (Y)"),O1085/BF1085*BI1085,
AND(L1085="elasticity",M1085="level"),O1085,
AND(L1085="elasticity",M1085="sd (X)"),O1085/AQ1085,
AND(L1085="elasticity",M1085="sd (Y)"),O1085*BI1085,
AND(L1085="marginal_effect",M1085="percent_of_mean"),O1085*AN1085/BF1085/10)</f>
        <v>0.17179800000000001</v>
      </c>
      <c r="AH1085" s="47">
        <f t="shared" si="470"/>
        <v>1</v>
      </c>
      <c r="AI1085" s="47">
        <f t="shared" si="445"/>
        <v>-0.88159500000000002</v>
      </c>
      <c r="AJ1085" s="47">
        <v>0</v>
      </c>
      <c r="AK1085" s="47">
        <f t="shared" si="442"/>
        <v>1</v>
      </c>
      <c r="AL1085" s="47" t="s">
        <v>159</v>
      </c>
      <c r="AM1085" s="47" t="s">
        <v>1333</v>
      </c>
      <c r="AN1085" s="47">
        <v>15.07</v>
      </c>
      <c r="AO1085" s="47">
        <v>0</v>
      </c>
      <c r="AP1085" s="47">
        <f t="shared" si="471"/>
        <v>15.07</v>
      </c>
      <c r="AQ1085" s="47">
        <v>10.7</v>
      </c>
      <c r="AR1085" s="47">
        <v>0.04</v>
      </c>
      <c r="AS1085" s="47">
        <v>54.68</v>
      </c>
      <c r="AT1085" s="47" t="s">
        <v>107</v>
      </c>
      <c r="AU1085" s="47" t="s">
        <v>109</v>
      </c>
      <c r="AV1085" s="47" t="s">
        <v>133</v>
      </c>
      <c r="AW1085" s="47" t="s">
        <v>134</v>
      </c>
      <c r="AX1085" s="47" t="s">
        <v>86</v>
      </c>
      <c r="AY1085" s="47">
        <v>0</v>
      </c>
      <c r="AZ1085" s="47">
        <v>0</v>
      </c>
      <c r="BA1085" s="47" t="s">
        <v>391</v>
      </c>
      <c r="BB1085" s="47" t="s">
        <v>134</v>
      </c>
      <c r="BC1085" s="47" t="s">
        <v>134</v>
      </c>
      <c r="BD1085" s="47" t="s">
        <v>134</v>
      </c>
      <c r="BE1085" s="47" t="s">
        <v>2211</v>
      </c>
      <c r="BF1085" s="47">
        <v>88</v>
      </c>
      <c r="BG1085" s="47">
        <v>0</v>
      </c>
      <c r="BH1085" s="47">
        <v>160</v>
      </c>
      <c r="BI1085" s="47">
        <v>0.13</v>
      </c>
      <c r="BJ1085" s="47">
        <v>16.248000000000001</v>
      </c>
      <c r="BK1085" s="47" t="s">
        <v>91</v>
      </c>
      <c r="BL1085" s="47" t="s">
        <v>116</v>
      </c>
      <c r="BM1085" s="47">
        <v>1</v>
      </c>
      <c r="BN1085" s="47" t="s">
        <v>2177</v>
      </c>
      <c r="BO1085" s="47" t="s">
        <v>312</v>
      </c>
      <c r="BP1085" s="47" t="s">
        <v>312</v>
      </c>
      <c r="BQ1085" s="47" t="s">
        <v>117</v>
      </c>
      <c r="BR1085" s="47" t="s">
        <v>134</v>
      </c>
      <c r="BS1085" s="47" t="s">
        <v>312</v>
      </c>
      <c r="BT1085" s="47" t="s">
        <v>312</v>
      </c>
      <c r="BU1085" s="47">
        <v>1998</v>
      </c>
      <c r="BV1085" s="47">
        <v>2007</v>
      </c>
      <c r="BW1085" s="47" t="s">
        <v>901</v>
      </c>
      <c r="BX1085" s="47" t="s">
        <v>95</v>
      </c>
      <c r="BY1085" s="47" t="s">
        <v>748</v>
      </c>
      <c r="BZ1085" s="47">
        <v>1</v>
      </c>
      <c r="CA1085" s="47">
        <v>1</v>
      </c>
      <c r="CB1085" s="47" t="s">
        <v>303</v>
      </c>
      <c r="CC1085" s="47" t="s">
        <v>1375</v>
      </c>
      <c r="CD1085" s="47">
        <v>1</v>
      </c>
      <c r="CE1085" s="47" t="s">
        <v>2212</v>
      </c>
      <c r="CF1085" s="47">
        <v>0</v>
      </c>
      <c r="CG1085" s="47" t="s">
        <v>97</v>
      </c>
      <c r="CH1085" s="47">
        <v>0</v>
      </c>
      <c r="CI1085" s="47" t="s">
        <v>116</v>
      </c>
      <c r="CJ1085" s="47" t="s">
        <v>98</v>
      </c>
      <c r="CK1085" s="47">
        <v>22</v>
      </c>
      <c r="CL1085" s="47">
        <v>0</v>
      </c>
      <c r="CM1085" s="47">
        <v>0</v>
      </c>
      <c r="CN1085" s="47" t="s">
        <v>124</v>
      </c>
      <c r="CO1085" s="47" t="s">
        <v>97</v>
      </c>
      <c r="CP1085" s="47" t="s">
        <v>100</v>
      </c>
      <c r="CQ1085" s="47" t="s">
        <v>126</v>
      </c>
      <c r="CR1085" s="48">
        <v>46267</v>
      </c>
      <c r="CT1085" s="47" t="s">
        <v>2213</v>
      </c>
    </row>
    <row r="1086" spans="1:98" s="47" customFormat="1" x14ac:dyDescent="0.35">
      <c r="A1086" s="46" t="s">
        <v>2207</v>
      </c>
      <c r="B1086" s="46" t="s">
        <v>2225</v>
      </c>
      <c r="C1086" s="47" t="s">
        <v>1913</v>
      </c>
      <c r="D1086" s="47">
        <v>2017</v>
      </c>
      <c r="E1086" s="66" t="s">
        <v>2208</v>
      </c>
      <c r="F1086" s="46" t="s">
        <v>2209</v>
      </c>
      <c r="G1086" s="47" t="s">
        <v>78</v>
      </c>
      <c r="H1086" s="47">
        <v>1</v>
      </c>
      <c r="I1086" s="47" t="s">
        <v>290</v>
      </c>
      <c r="J1086" s="47" t="s">
        <v>2210</v>
      </c>
      <c r="K1086" s="47">
        <v>47</v>
      </c>
      <c r="L1086" s="47" t="s">
        <v>104</v>
      </c>
      <c r="M1086" s="47" t="s">
        <v>380</v>
      </c>
      <c r="N1086" s="47">
        <v>-5.8900000000000001E-2</v>
      </c>
      <c r="O1086" s="47">
        <v>1.23E-2</v>
      </c>
      <c r="P1086" s="47">
        <f t="shared" si="460"/>
        <v>-4.7886178861788622</v>
      </c>
      <c r="Q1086" s="47" t="s">
        <v>312</v>
      </c>
      <c r="R1086" s="47">
        <f t="shared" si="461"/>
        <v>-8.3007999999999998E-2</v>
      </c>
      <c r="S1086" s="47">
        <f t="shared" si="462"/>
        <v>-3.4792000000000003E-2</v>
      </c>
      <c r="T1086" s="47">
        <v>1</v>
      </c>
      <c r="U1086" s="47">
        <v>1593247</v>
      </c>
      <c r="V1086" s="47" t="s">
        <v>312</v>
      </c>
      <c r="W1086" s="47" t="s">
        <v>312</v>
      </c>
      <c r="X1086" s="47">
        <f t="shared" si="463"/>
        <v>1593247</v>
      </c>
      <c r="Y1086" s="47">
        <f t="shared" si="464"/>
        <v>-3.7937220026265906E-3</v>
      </c>
      <c r="Z1086" s="47">
        <f t="shared" si="465"/>
        <v>7.9223736217838808E-4</v>
      </c>
      <c r="AA1086" s="47">
        <f t="shared" si="466"/>
        <v>-3.7937220026265906E-3</v>
      </c>
      <c r="AB1086" s="47" t="s">
        <v>81</v>
      </c>
      <c r="AC1086" s="47">
        <f t="shared" si="467"/>
        <v>-0.88762300000000005</v>
      </c>
      <c r="AD1086" s="47" cm="1">
        <f t="array" ref="AD1086">_xlfn.IFS(
AND(L1086="marginal_effect",M1086="level"),N1086*AN1086/BF1086,
AND(L1086="marginal_effect",M1086="sd (Y)"),N1086*BI1086*AN1086/BF1086,
AND(L1086="marginal_effect",M1086="sd (X)"),N1086/AQ1086*AN1086/BF1086,
AND(L1086="semi_elasticity",M1086="level"),N1086*AN1086,
AND(L1086="semi_elasticity",M1086="sd (Y)"),N1086*AN1086*BI1086,
AND(L1086="semi_elasticity",M1086="sd (X)"),N1086*AN1086/AQ1086,
AND(L1086="level-log",M1086="level"),N1086/BF1086,
AND(L1086="level-log",M1086="sd (X)"),N1086/BF1086/AQ1086,
AND(L1086="level-log",M1086="sd (Y)"),N1086/BF1086*BI1086,
AND(L1086="elasticity",M1086="level"),N1086,
AND(L1086="elasticity",M1086="sd (X)"),N1086/AQ1086,
AND(L1086="elasticity",M1086="sd (Y)"),N1086*BI1086,
AND(L1086="marginal_effect",M1086="percent_of_mean"),N1086*AN1086/BF1086/10)</f>
        <v>-0.88762300000000005</v>
      </c>
      <c r="AE1086" s="47">
        <f t="shared" si="468"/>
        <v>1</v>
      </c>
      <c r="AF1086" s="47">
        <f t="shared" si="469"/>
        <v>0.185361</v>
      </c>
      <c r="AG1086" s="47" cm="1">
        <f t="array" ref="AG1086">_xlfn.IFS(
AND(L1086="marginal_effect",M1086="level"),O1086*AN1086/BF1086,
AND(L1086="marginal_effect",M1086="sd (Y)"),O1086*BI1086*AN1086/BF1086,
AND(L1086="marginal_effect",M1086="sd (X)"),O1086/AQ1086*AN1086/BF1086,
AND(L1086="semi_elasticity",M1086="level"),O1086*AN1086,
AND(L1086="semi_elasticity",M1086="sd (Y)"),O1086*AN1086*BI1086,
AND(L1086="semi_elasticity",M1086="sd (X)"),O1086*AN1086/AQ1086,
AND(L1086="level-log",M1086="level"),O1086/BF1086,
AND(L1086="level-log",M1086="sd (X)"),O1086/BF1086/AQ1086,
AND(L1086="level-log",M1086="sd (Y)"),O1086/BF1086*BI1086,
AND(L1086="elasticity",M1086="level"),O1086,
AND(L1086="elasticity",M1086="sd (X)"),O1086/AQ1086,
AND(L1086="elasticity",M1086="sd (Y)"),O1086*BI1086,
AND(L1086="marginal_effect",M1086="percent_of_mean"),O1086*AN1086/BF1086/10)</f>
        <v>0.185361</v>
      </c>
      <c r="AH1086" s="47">
        <f t="shared" si="470"/>
        <v>1</v>
      </c>
      <c r="AI1086" s="47">
        <f t="shared" si="445"/>
        <v>-0.88762300000000005</v>
      </c>
      <c r="AJ1086" s="47">
        <v>0</v>
      </c>
      <c r="AK1086" s="47">
        <f t="shared" si="442"/>
        <v>1</v>
      </c>
      <c r="AL1086" s="47" t="s">
        <v>159</v>
      </c>
      <c r="AM1086" s="47" t="s">
        <v>1333</v>
      </c>
      <c r="AN1086" s="47">
        <v>15.07</v>
      </c>
      <c r="AO1086" s="47">
        <v>0</v>
      </c>
      <c r="AP1086" s="47">
        <f t="shared" si="471"/>
        <v>15.07</v>
      </c>
      <c r="AQ1086" s="47">
        <v>10.7</v>
      </c>
      <c r="AR1086" s="47">
        <v>0.04</v>
      </c>
      <c r="AS1086" s="47">
        <v>54.68</v>
      </c>
      <c r="AT1086" s="47" t="s">
        <v>107</v>
      </c>
      <c r="AU1086" s="47" t="s">
        <v>109</v>
      </c>
      <c r="AV1086" s="47" t="s">
        <v>133</v>
      </c>
      <c r="AW1086" s="47" t="s">
        <v>134</v>
      </c>
      <c r="AX1086" s="47" t="s">
        <v>86</v>
      </c>
      <c r="AY1086" s="47">
        <v>0</v>
      </c>
      <c r="AZ1086" s="47">
        <v>0</v>
      </c>
      <c r="BA1086" s="47" t="s">
        <v>391</v>
      </c>
      <c r="BB1086" s="47" t="s">
        <v>134</v>
      </c>
      <c r="BC1086" s="47" t="s">
        <v>134</v>
      </c>
      <c r="BD1086" s="47" t="s">
        <v>134</v>
      </c>
      <c r="BE1086" s="47" t="s">
        <v>2211</v>
      </c>
      <c r="BF1086" s="47">
        <v>88</v>
      </c>
      <c r="BG1086" s="47">
        <v>0</v>
      </c>
      <c r="BH1086" s="47">
        <v>160</v>
      </c>
      <c r="BI1086" s="47">
        <v>0.13</v>
      </c>
      <c r="BJ1086" s="47">
        <v>16.248000000000001</v>
      </c>
      <c r="BK1086" s="47" t="s">
        <v>91</v>
      </c>
      <c r="BL1086" s="47" t="s">
        <v>116</v>
      </c>
      <c r="BM1086" s="47">
        <v>1</v>
      </c>
      <c r="BN1086" s="47" t="s">
        <v>2177</v>
      </c>
      <c r="BO1086" s="47" t="s">
        <v>312</v>
      </c>
      <c r="BP1086" s="47" t="s">
        <v>312</v>
      </c>
      <c r="BQ1086" s="47" t="s">
        <v>117</v>
      </c>
      <c r="BR1086" s="47" t="s">
        <v>134</v>
      </c>
      <c r="BS1086" s="47" t="s">
        <v>312</v>
      </c>
      <c r="BT1086" s="47" t="s">
        <v>312</v>
      </c>
      <c r="BU1086" s="47">
        <v>1998</v>
      </c>
      <c r="BV1086" s="47">
        <v>2007</v>
      </c>
      <c r="BW1086" s="47" t="s">
        <v>901</v>
      </c>
      <c r="BX1086" s="47" t="s">
        <v>95</v>
      </c>
      <c r="BY1086" s="47" t="s">
        <v>748</v>
      </c>
      <c r="BZ1086" s="47">
        <v>1</v>
      </c>
      <c r="CA1086" s="47">
        <v>1</v>
      </c>
      <c r="CB1086" s="47" t="s">
        <v>303</v>
      </c>
      <c r="CC1086" s="47" t="s">
        <v>1375</v>
      </c>
      <c r="CD1086" s="47">
        <v>1</v>
      </c>
      <c r="CE1086" s="47" t="s">
        <v>2212</v>
      </c>
      <c r="CF1086" s="47">
        <v>0</v>
      </c>
      <c r="CG1086" s="47" t="s">
        <v>97</v>
      </c>
      <c r="CH1086" s="47">
        <v>0</v>
      </c>
      <c r="CI1086" s="47" t="s">
        <v>116</v>
      </c>
      <c r="CJ1086" s="47" t="s">
        <v>98</v>
      </c>
      <c r="CK1086" s="47">
        <v>22</v>
      </c>
      <c r="CL1086" s="47">
        <v>0</v>
      </c>
      <c r="CM1086" s="47">
        <v>0</v>
      </c>
      <c r="CN1086" s="47" t="s">
        <v>124</v>
      </c>
      <c r="CO1086" s="47" t="s">
        <v>97</v>
      </c>
      <c r="CP1086" s="47" t="s">
        <v>100</v>
      </c>
      <c r="CQ1086" s="47" t="s">
        <v>126</v>
      </c>
      <c r="CR1086" s="48">
        <v>46267</v>
      </c>
      <c r="CT1086" s="47" t="s">
        <v>1284</v>
      </c>
    </row>
    <row r="1087" spans="1:98" s="47" customFormat="1" x14ac:dyDescent="0.35">
      <c r="A1087" s="46" t="s">
        <v>2207</v>
      </c>
      <c r="B1087" s="46" t="s">
        <v>2226</v>
      </c>
      <c r="C1087" s="47" t="s">
        <v>1913</v>
      </c>
      <c r="D1087" s="47">
        <v>2017</v>
      </c>
      <c r="E1087" s="66" t="s">
        <v>2208</v>
      </c>
      <c r="F1087" s="46" t="s">
        <v>2209</v>
      </c>
      <c r="G1087" s="47" t="s">
        <v>78</v>
      </c>
      <c r="H1087" s="47">
        <v>1</v>
      </c>
      <c r="I1087" s="47" t="s">
        <v>290</v>
      </c>
      <c r="J1087" s="47" t="s">
        <v>2210</v>
      </c>
      <c r="K1087" s="47">
        <v>47</v>
      </c>
      <c r="L1087" s="47" t="s">
        <v>104</v>
      </c>
      <c r="M1087" s="47" t="s">
        <v>380</v>
      </c>
      <c r="N1087" s="47">
        <v>-3.5000000000000001E-3</v>
      </c>
      <c r="O1087" s="47">
        <v>2.2000000000000001E-3</v>
      </c>
      <c r="P1087" s="47">
        <f t="shared" ref="P1087:P1096" si="472">N1087/O1087</f>
        <v>-1.5909090909090908</v>
      </c>
      <c r="Q1087" s="47" t="s">
        <v>312</v>
      </c>
      <c r="R1087" s="47">
        <f t="shared" ref="R1087:R1096" si="473">N1087-1.96*O1087</f>
        <v>-7.8119999999999995E-3</v>
      </c>
      <c r="S1087" s="47">
        <f t="shared" ref="S1087:S1096" si="474">N1087+1.96*O1087</f>
        <v>8.1199999999999979E-4</v>
      </c>
      <c r="T1087" s="47">
        <v>1</v>
      </c>
      <c r="U1087" s="47">
        <v>123526</v>
      </c>
      <c r="V1087" s="47" t="s">
        <v>312</v>
      </c>
      <c r="W1087" s="47" t="s">
        <v>312</v>
      </c>
      <c r="X1087" s="47">
        <f t="shared" ref="X1087:X1096" si="475">U1087</f>
        <v>123526</v>
      </c>
      <c r="Y1087" s="47">
        <f t="shared" ref="Y1087:Y1096" si="476">P1087/(P1087^2 + X1087)^(1/2)</f>
        <v>-4.5264916663016559E-3</v>
      </c>
      <c r="Z1087" s="47">
        <f t="shared" ref="Z1087:Z1096" si="477">((1-Y1087^2)/X1087)^(1/2)</f>
        <v>2.8452233331038982E-3</v>
      </c>
      <c r="AA1087" s="47">
        <f t="shared" ref="AA1087:AA1096" si="478">Y1087</f>
        <v>-4.5264916663016559E-3</v>
      </c>
      <c r="AB1087" s="47" t="s">
        <v>81</v>
      </c>
      <c r="AC1087" s="47">
        <f t="shared" ref="AC1087:AC1094" si="479">N1087*AN1087</f>
        <v>-0.36609999999999998</v>
      </c>
      <c r="AD1087" s="47" cm="1">
        <f t="array" ref="AD1087">_xlfn.IFS(
AND(L1087="marginal_effect",M1087="level"),N1087*AN1087/BF1087,
AND(L1087="marginal_effect",M1087="sd (Y)"),N1087*BI1087*AN1087/BF1087,
AND(L1087="marginal_effect",M1087="sd (X)"),N1087/AQ1087*AN1087/BF1087,
AND(L1087="semi_elasticity",M1087="level"),N1087*AN1087,
AND(L1087="semi_elasticity",M1087="sd (Y)"),N1087*AN1087*BI1087,
AND(L1087="semi_elasticity",M1087="sd (X)"),N1087*AN1087/AQ1087,
AND(L1087="level-log",M1087="level"),N1087/BF1087,
AND(L1087="level-log",M1087="sd (X)"),N1087/BF1087/AQ1087,
AND(L1087="level-log",M1087="sd (Y)"),N1087/BF1087*BI1087,
AND(L1087="elasticity",M1087="level"),N1087,
AND(L1087="elasticity",M1087="sd (X)"),N1087/AQ1087,
AND(L1087="elasticity",M1087="sd (Y)"),N1087*BI1087,
AND(L1087="marginal_effect",M1087="percent_of_mean"),N1087*AN1087/BF1087/10)</f>
        <v>-0.36609999999999998</v>
      </c>
      <c r="AE1087" s="47">
        <f t="shared" ref="AE1087:AE1096" si="480">IF(AC1087=AD1087,1,0)</f>
        <v>1</v>
      </c>
      <c r="AF1087" s="47">
        <f t="shared" ref="AF1087:AF1094" si="481">O1087*AN1087</f>
        <v>0.23011999999999999</v>
      </c>
      <c r="AG1087" s="47" cm="1">
        <f t="array" ref="AG1087">_xlfn.IFS(
AND(L1087="marginal_effect",M1087="level"),O1087*AN1087/BF1087,
AND(L1087="marginal_effect",M1087="sd (Y)"),O1087*BI1087*AN1087/BF1087,
AND(L1087="marginal_effect",M1087="sd (X)"),O1087/AQ1087*AN1087/BF1087,
AND(L1087="semi_elasticity",M1087="level"),O1087*AN1087,
AND(L1087="semi_elasticity",M1087="sd (Y)"),O1087*AN1087*BI1087,
AND(L1087="semi_elasticity",M1087="sd (X)"),O1087*AN1087/AQ1087,
AND(L1087="level-log",M1087="level"),O1087/BF1087,
AND(L1087="level-log",M1087="sd (X)"),O1087/BF1087/AQ1087,
AND(L1087="level-log",M1087="sd (Y)"),O1087/BF1087*BI1087,
AND(L1087="elasticity",M1087="level"),O1087,
AND(L1087="elasticity",M1087="sd (X)"),O1087/AQ1087,
AND(L1087="elasticity",M1087="sd (Y)"),O1087*BI1087,
AND(L1087="marginal_effect",M1087="percent_of_mean"),O1087*AN1087/BF1087/10)</f>
        <v>0.23011999999999999</v>
      </c>
      <c r="AH1087" s="47">
        <f t="shared" ref="AH1087:AH1096" si="482">IF(AF1087=AG1087,1,0)</f>
        <v>1</v>
      </c>
      <c r="AI1087" s="47">
        <f t="shared" ref="AI1087:AI1096" si="483">AC1087</f>
        <v>-0.36609999999999998</v>
      </c>
      <c r="AJ1087" s="47">
        <v>0</v>
      </c>
      <c r="AK1087" s="47">
        <f t="shared" ref="AK1087:AK1096" si="484">IF(P1087=(AC1087/AF1087),1,0)</f>
        <v>1</v>
      </c>
      <c r="AL1087" s="47" t="s">
        <v>106</v>
      </c>
      <c r="AM1087" s="47" t="s">
        <v>1333</v>
      </c>
      <c r="AN1087" s="47">
        <v>104.6</v>
      </c>
      <c r="AO1087" s="47">
        <v>0</v>
      </c>
      <c r="AP1087" s="47">
        <f t="shared" ref="AP1087:AP1094" si="485">AN1087</f>
        <v>104.6</v>
      </c>
      <c r="AQ1087" s="47">
        <v>55.7</v>
      </c>
      <c r="AR1087" s="47">
        <v>10</v>
      </c>
      <c r="AS1087" s="47">
        <v>600</v>
      </c>
      <c r="AT1087" s="47" t="s">
        <v>107</v>
      </c>
      <c r="AU1087" s="47" t="s">
        <v>109</v>
      </c>
      <c r="AV1087" s="47" t="s">
        <v>133</v>
      </c>
      <c r="AW1087" s="47" t="s">
        <v>134</v>
      </c>
      <c r="AX1087" s="47" t="s">
        <v>86</v>
      </c>
      <c r="AY1087" s="47">
        <v>0</v>
      </c>
      <c r="AZ1087" s="47">
        <v>0</v>
      </c>
      <c r="BA1087" s="47" t="s">
        <v>391</v>
      </c>
      <c r="BB1087" s="47" t="s">
        <v>134</v>
      </c>
      <c r="BC1087" s="47" t="s">
        <v>134</v>
      </c>
      <c r="BD1087" s="47" t="s">
        <v>134</v>
      </c>
      <c r="BE1087" s="47" t="s">
        <v>2211</v>
      </c>
      <c r="BF1087" s="47">
        <v>88</v>
      </c>
      <c r="BG1087" s="47">
        <v>0</v>
      </c>
      <c r="BH1087" s="47">
        <v>160</v>
      </c>
      <c r="BI1087" s="47">
        <v>0.13</v>
      </c>
      <c r="BJ1087" s="47">
        <v>16.248000000000001</v>
      </c>
      <c r="BK1087" s="47" t="s">
        <v>91</v>
      </c>
      <c r="BL1087" s="47" t="s">
        <v>116</v>
      </c>
      <c r="BM1087" s="47">
        <v>1</v>
      </c>
      <c r="BN1087" s="47" t="s">
        <v>2177</v>
      </c>
      <c r="BO1087" s="47" t="s">
        <v>312</v>
      </c>
      <c r="BP1087" s="47" t="s">
        <v>312</v>
      </c>
      <c r="BQ1087" s="47" t="s">
        <v>117</v>
      </c>
      <c r="BR1087" s="47" t="s">
        <v>134</v>
      </c>
      <c r="BS1087" s="47" t="s">
        <v>312</v>
      </c>
      <c r="BT1087" s="47" t="s">
        <v>312</v>
      </c>
      <c r="BU1087" s="47">
        <v>1998</v>
      </c>
      <c r="BV1087" s="47">
        <v>2007</v>
      </c>
      <c r="BW1087" s="47" t="s">
        <v>901</v>
      </c>
      <c r="BX1087" s="47" t="s">
        <v>95</v>
      </c>
      <c r="BY1087" s="47" t="s">
        <v>96</v>
      </c>
      <c r="BZ1087" s="47">
        <v>0</v>
      </c>
      <c r="CA1087" s="47">
        <v>0</v>
      </c>
      <c r="CB1087" s="47" t="s">
        <v>97</v>
      </c>
      <c r="CC1087" s="47" t="s">
        <v>1375</v>
      </c>
      <c r="CD1087" s="47">
        <v>1</v>
      </c>
      <c r="CE1087" s="47" t="s">
        <v>2212</v>
      </c>
      <c r="CF1087" s="47">
        <v>0</v>
      </c>
      <c r="CG1087" s="47" t="s">
        <v>97</v>
      </c>
      <c r="CH1087" s="47">
        <v>0</v>
      </c>
      <c r="CI1087" s="47" t="s">
        <v>116</v>
      </c>
      <c r="CJ1087" s="47" t="s">
        <v>98</v>
      </c>
      <c r="CK1087" s="47">
        <v>22</v>
      </c>
      <c r="CL1087" s="47">
        <v>0</v>
      </c>
      <c r="CM1087" s="47">
        <v>0</v>
      </c>
      <c r="CN1087" s="47" t="s">
        <v>124</v>
      </c>
      <c r="CO1087" s="47" t="s">
        <v>97</v>
      </c>
      <c r="CP1087" s="47" t="s">
        <v>100</v>
      </c>
      <c r="CQ1087" s="47" t="s">
        <v>126</v>
      </c>
      <c r="CR1087" s="48">
        <v>46267</v>
      </c>
      <c r="CT1087" s="47" t="s">
        <v>449</v>
      </c>
    </row>
    <row r="1088" spans="1:98" s="47" customFormat="1" x14ac:dyDescent="0.35">
      <c r="A1088" s="46" t="s">
        <v>2207</v>
      </c>
      <c r="B1088" s="46" t="s">
        <v>2227</v>
      </c>
      <c r="C1088" s="47" t="s">
        <v>1913</v>
      </c>
      <c r="D1088" s="47">
        <v>2017</v>
      </c>
      <c r="E1088" s="66" t="s">
        <v>2208</v>
      </c>
      <c r="F1088" s="46" t="s">
        <v>2209</v>
      </c>
      <c r="G1088" s="47" t="s">
        <v>78</v>
      </c>
      <c r="H1088" s="47">
        <v>1</v>
      </c>
      <c r="I1088" s="47" t="s">
        <v>290</v>
      </c>
      <c r="J1088" s="47" t="s">
        <v>2210</v>
      </c>
      <c r="K1088" s="47">
        <v>47</v>
      </c>
      <c r="L1088" s="47" t="s">
        <v>104</v>
      </c>
      <c r="M1088" s="47" t="s">
        <v>380</v>
      </c>
      <c r="N1088" s="47">
        <v>-2.5000000000000001E-3</v>
      </c>
      <c r="O1088" s="47">
        <v>1.2999999999999999E-3</v>
      </c>
      <c r="P1088" s="47">
        <f t="shared" si="472"/>
        <v>-1.9230769230769231</v>
      </c>
      <c r="Q1088" s="47" t="s">
        <v>312</v>
      </c>
      <c r="R1088" s="47">
        <f t="shared" si="473"/>
        <v>-5.0480000000000004E-3</v>
      </c>
      <c r="S1088" s="47">
        <f t="shared" si="474"/>
        <v>4.7999999999999866E-5</v>
      </c>
      <c r="T1088" s="47">
        <v>1</v>
      </c>
      <c r="U1088" s="47">
        <v>199838</v>
      </c>
      <c r="V1088" s="47" t="s">
        <v>312</v>
      </c>
      <c r="W1088" s="47" t="s">
        <v>312</v>
      </c>
      <c r="X1088" s="47">
        <f t="shared" si="475"/>
        <v>199838</v>
      </c>
      <c r="Y1088" s="47">
        <f t="shared" si="476"/>
        <v>-4.3018335326860313E-3</v>
      </c>
      <c r="Z1088" s="47">
        <f t="shared" si="477"/>
        <v>2.2369534369967364E-3</v>
      </c>
      <c r="AA1088" s="47">
        <f t="shared" si="478"/>
        <v>-4.3018335326860313E-3</v>
      </c>
      <c r="AB1088" s="47" t="s">
        <v>81</v>
      </c>
      <c r="AC1088" s="47">
        <f t="shared" si="479"/>
        <v>-0.26150000000000001</v>
      </c>
      <c r="AD1088" s="47" cm="1">
        <f t="array" ref="AD1088">_xlfn.IFS(
AND(L1088="marginal_effect",M1088="level"),N1088*AN1088/BF1088,
AND(L1088="marginal_effect",M1088="sd (Y)"),N1088*BI1088*AN1088/BF1088,
AND(L1088="marginal_effect",M1088="sd (X)"),N1088/AQ1088*AN1088/BF1088,
AND(L1088="semi_elasticity",M1088="level"),N1088*AN1088,
AND(L1088="semi_elasticity",M1088="sd (Y)"),N1088*AN1088*BI1088,
AND(L1088="semi_elasticity",M1088="sd (X)"),N1088*AN1088/AQ1088,
AND(L1088="level-log",M1088="level"),N1088/BF1088,
AND(L1088="level-log",M1088="sd (X)"),N1088/BF1088/AQ1088,
AND(L1088="level-log",M1088="sd (Y)"),N1088/BF1088*BI1088,
AND(L1088="elasticity",M1088="level"),N1088,
AND(L1088="elasticity",M1088="sd (X)"),N1088/AQ1088,
AND(L1088="elasticity",M1088="sd (Y)"),N1088*BI1088,
AND(L1088="marginal_effect",M1088="percent_of_mean"),N1088*AN1088/BF1088/10)</f>
        <v>-0.26150000000000001</v>
      </c>
      <c r="AE1088" s="47">
        <f t="shared" si="480"/>
        <v>1</v>
      </c>
      <c r="AF1088" s="47">
        <f t="shared" si="481"/>
        <v>0.13597999999999999</v>
      </c>
      <c r="AG1088" s="47" cm="1">
        <f t="array" ref="AG1088">_xlfn.IFS(
AND(L1088="marginal_effect",M1088="level"),O1088*AN1088/BF1088,
AND(L1088="marginal_effect",M1088="sd (Y)"),O1088*BI1088*AN1088/BF1088,
AND(L1088="marginal_effect",M1088="sd (X)"),O1088/AQ1088*AN1088/BF1088,
AND(L1088="semi_elasticity",M1088="level"),O1088*AN1088,
AND(L1088="semi_elasticity",M1088="sd (Y)"),O1088*AN1088*BI1088,
AND(L1088="semi_elasticity",M1088="sd (X)"),O1088*AN1088/AQ1088,
AND(L1088="level-log",M1088="level"),O1088/BF1088,
AND(L1088="level-log",M1088="sd (X)"),O1088/BF1088/AQ1088,
AND(L1088="level-log",M1088="sd (Y)"),O1088/BF1088*BI1088,
AND(L1088="elasticity",M1088="level"),O1088,
AND(L1088="elasticity",M1088="sd (X)"),O1088/AQ1088,
AND(L1088="elasticity",M1088="sd (Y)"),O1088*BI1088,
AND(L1088="marginal_effect",M1088="percent_of_mean"),O1088*AN1088/BF1088/10)</f>
        <v>0.13597999999999999</v>
      </c>
      <c r="AH1088" s="47">
        <f t="shared" si="482"/>
        <v>1</v>
      </c>
      <c r="AI1088" s="47">
        <f t="shared" si="483"/>
        <v>-0.26150000000000001</v>
      </c>
      <c r="AJ1088" s="47">
        <v>0</v>
      </c>
      <c r="AK1088" s="47">
        <f t="shared" si="484"/>
        <v>1</v>
      </c>
      <c r="AL1088" s="47" t="s">
        <v>106</v>
      </c>
      <c r="AM1088" s="47" t="s">
        <v>1333</v>
      </c>
      <c r="AN1088" s="47">
        <v>104.6</v>
      </c>
      <c r="AO1088" s="47">
        <v>1</v>
      </c>
      <c r="AP1088" s="47">
        <f t="shared" si="485"/>
        <v>104.6</v>
      </c>
      <c r="AQ1088" s="47">
        <v>55.7</v>
      </c>
      <c r="AR1088" s="47">
        <v>10</v>
      </c>
      <c r="AS1088" s="47">
        <v>600</v>
      </c>
      <c r="AT1088" s="47" t="s">
        <v>107</v>
      </c>
      <c r="AU1088" s="47" t="s">
        <v>109</v>
      </c>
      <c r="AV1088" s="47" t="s">
        <v>133</v>
      </c>
      <c r="AW1088" s="47" t="s">
        <v>134</v>
      </c>
      <c r="AX1088" s="47" t="s">
        <v>86</v>
      </c>
      <c r="AY1088" s="47">
        <v>0</v>
      </c>
      <c r="AZ1088" s="47">
        <v>0</v>
      </c>
      <c r="BA1088" s="47" t="s">
        <v>391</v>
      </c>
      <c r="BB1088" s="47" t="s">
        <v>134</v>
      </c>
      <c r="BC1088" s="47" t="s">
        <v>134</v>
      </c>
      <c r="BD1088" s="47" t="s">
        <v>134</v>
      </c>
      <c r="BE1088" s="47" t="s">
        <v>2211</v>
      </c>
      <c r="BF1088" s="47">
        <v>88</v>
      </c>
      <c r="BG1088" s="47">
        <v>0</v>
      </c>
      <c r="BH1088" s="47">
        <v>160</v>
      </c>
      <c r="BI1088" s="47">
        <v>0.13</v>
      </c>
      <c r="BJ1088" s="47">
        <v>16.248000000000001</v>
      </c>
      <c r="BK1088" s="47" t="s">
        <v>91</v>
      </c>
      <c r="BL1088" s="47" t="s">
        <v>116</v>
      </c>
      <c r="BM1088" s="47">
        <v>1</v>
      </c>
      <c r="BN1088" s="47" t="s">
        <v>2177</v>
      </c>
      <c r="BO1088" s="47" t="s">
        <v>312</v>
      </c>
      <c r="BP1088" s="47" t="s">
        <v>312</v>
      </c>
      <c r="BQ1088" s="47" t="s">
        <v>117</v>
      </c>
      <c r="BR1088" s="47" t="s">
        <v>134</v>
      </c>
      <c r="BS1088" s="47" t="s">
        <v>312</v>
      </c>
      <c r="BT1088" s="47" t="s">
        <v>312</v>
      </c>
      <c r="BU1088" s="47">
        <v>1998</v>
      </c>
      <c r="BV1088" s="47">
        <v>2007</v>
      </c>
      <c r="BW1088" s="47" t="s">
        <v>901</v>
      </c>
      <c r="BX1088" s="47" t="s">
        <v>95</v>
      </c>
      <c r="BY1088" s="47" t="s">
        <v>96</v>
      </c>
      <c r="BZ1088" s="47">
        <v>0</v>
      </c>
      <c r="CA1088" s="47">
        <v>0</v>
      </c>
      <c r="CB1088" s="47" t="s">
        <v>97</v>
      </c>
      <c r="CC1088" s="47" t="s">
        <v>1375</v>
      </c>
      <c r="CD1088" s="47">
        <v>1</v>
      </c>
      <c r="CE1088" s="47" t="s">
        <v>2212</v>
      </c>
      <c r="CF1088" s="47">
        <v>0</v>
      </c>
      <c r="CG1088" s="47" t="s">
        <v>97</v>
      </c>
      <c r="CH1088" s="47">
        <v>0</v>
      </c>
      <c r="CI1088" s="47" t="s">
        <v>116</v>
      </c>
      <c r="CJ1088" s="47" t="s">
        <v>98</v>
      </c>
      <c r="CK1088" s="47">
        <v>22</v>
      </c>
      <c r="CL1088" s="47">
        <v>0</v>
      </c>
      <c r="CM1088" s="47">
        <v>0</v>
      </c>
      <c r="CN1088" s="47" t="s">
        <v>124</v>
      </c>
      <c r="CO1088" s="47" t="s">
        <v>97</v>
      </c>
      <c r="CP1088" s="47" t="s">
        <v>100</v>
      </c>
      <c r="CQ1088" s="47" t="s">
        <v>126</v>
      </c>
      <c r="CR1088" s="48">
        <v>46267</v>
      </c>
      <c r="CT1088" s="47" t="s">
        <v>450</v>
      </c>
    </row>
    <row r="1089" spans="1:98" s="47" customFormat="1" x14ac:dyDescent="0.35">
      <c r="A1089" s="46" t="s">
        <v>2207</v>
      </c>
      <c r="B1089" s="46" t="s">
        <v>2228</v>
      </c>
      <c r="C1089" s="47" t="s">
        <v>1913</v>
      </c>
      <c r="D1089" s="47">
        <v>2017</v>
      </c>
      <c r="E1089" s="66" t="s">
        <v>2208</v>
      </c>
      <c r="F1089" s="46" t="s">
        <v>2209</v>
      </c>
      <c r="G1089" s="47" t="s">
        <v>78</v>
      </c>
      <c r="H1089" s="47">
        <v>1</v>
      </c>
      <c r="I1089" s="47" t="s">
        <v>290</v>
      </c>
      <c r="J1089" s="47" t="s">
        <v>2210</v>
      </c>
      <c r="K1089" s="47">
        <v>47</v>
      </c>
      <c r="L1089" s="47" t="s">
        <v>104</v>
      </c>
      <c r="M1089" s="47" t="s">
        <v>380</v>
      </c>
      <c r="N1089" s="47">
        <v>-2.5000000000000001E-3</v>
      </c>
      <c r="O1089" s="47">
        <v>1.1999999999999999E-3</v>
      </c>
      <c r="P1089" s="47">
        <f t="shared" si="472"/>
        <v>-2.0833333333333335</v>
      </c>
      <c r="Q1089" s="47" t="s">
        <v>312</v>
      </c>
      <c r="R1089" s="47">
        <f t="shared" si="473"/>
        <v>-4.8520000000000004E-3</v>
      </c>
      <c r="S1089" s="47">
        <f t="shared" si="474"/>
        <v>-1.4800000000000013E-4</v>
      </c>
      <c r="T1089" s="47">
        <v>1</v>
      </c>
      <c r="U1089" s="47">
        <v>219305</v>
      </c>
      <c r="V1089" s="47" t="s">
        <v>312</v>
      </c>
      <c r="W1089" s="47" t="s">
        <v>312</v>
      </c>
      <c r="X1089" s="47">
        <f t="shared" si="475"/>
        <v>219305</v>
      </c>
      <c r="Y1089" s="47">
        <f t="shared" si="476"/>
        <v>-4.4486700736195792E-3</v>
      </c>
      <c r="Z1089" s="47">
        <f t="shared" si="477"/>
        <v>2.1353616353373978E-3</v>
      </c>
      <c r="AA1089" s="47">
        <f t="shared" si="478"/>
        <v>-4.4486700736195792E-3</v>
      </c>
      <c r="AB1089" s="47" t="s">
        <v>81</v>
      </c>
      <c r="AC1089" s="47">
        <f t="shared" si="479"/>
        <v>-0.27050000000000002</v>
      </c>
      <c r="AD1089" s="47" cm="1">
        <f t="array" ref="AD1089">_xlfn.IFS(
AND(L1089="marginal_effect",M1089="level"),N1089*AN1089/BF1089,
AND(L1089="marginal_effect",M1089="sd (Y)"),N1089*BI1089*AN1089/BF1089,
AND(L1089="marginal_effect",M1089="sd (X)"),N1089/AQ1089*AN1089/BF1089,
AND(L1089="semi_elasticity",M1089="level"),N1089*AN1089,
AND(L1089="semi_elasticity",M1089="sd (Y)"),N1089*AN1089*BI1089,
AND(L1089="semi_elasticity",M1089="sd (X)"),N1089*AN1089/AQ1089,
AND(L1089="level-log",M1089="level"),N1089/BF1089,
AND(L1089="level-log",M1089="sd (X)"),N1089/BF1089/AQ1089,
AND(L1089="level-log",M1089="sd (Y)"),N1089/BF1089*BI1089,
AND(L1089="elasticity",M1089="level"),N1089,
AND(L1089="elasticity",M1089="sd (X)"),N1089/AQ1089,
AND(L1089="elasticity",M1089="sd (Y)"),N1089*BI1089,
AND(L1089="marginal_effect",M1089="percent_of_mean"),N1089*AN1089/BF1089/10)</f>
        <v>-0.27050000000000002</v>
      </c>
      <c r="AE1089" s="47">
        <f t="shared" si="480"/>
        <v>1</v>
      </c>
      <c r="AF1089" s="47">
        <f t="shared" si="481"/>
        <v>0.12983999999999998</v>
      </c>
      <c r="AG1089" s="47" cm="1">
        <f t="array" ref="AG1089">_xlfn.IFS(
AND(L1089="marginal_effect",M1089="level"),O1089*AN1089/BF1089,
AND(L1089="marginal_effect",M1089="sd (Y)"),O1089*BI1089*AN1089/BF1089,
AND(L1089="marginal_effect",M1089="sd (X)"),O1089/AQ1089*AN1089/BF1089,
AND(L1089="semi_elasticity",M1089="level"),O1089*AN1089,
AND(L1089="semi_elasticity",M1089="sd (Y)"),O1089*AN1089*BI1089,
AND(L1089="semi_elasticity",M1089="sd (X)"),O1089*AN1089/AQ1089,
AND(L1089="level-log",M1089="level"),O1089/BF1089,
AND(L1089="level-log",M1089="sd (X)"),O1089/BF1089/AQ1089,
AND(L1089="level-log",M1089="sd (Y)"),O1089/BF1089*BI1089,
AND(L1089="elasticity",M1089="level"),O1089,
AND(L1089="elasticity",M1089="sd (X)"),O1089/AQ1089,
AND(L1089="elasticity",M1089="sd (Y)"),O1089*BI1089,
AND(L1089="marginal_effect",M1089="percent_of_mean"),O1089*AN1089/BF1089/10)</f>
        <v>0.12983999999999998</v>
      </c>
      <c r="AH1089" s="47">
        <f t="shared" si="482"/>
        <v>1</v>
      </c>
      <c r="AI1089" s="47">
        <f t="shared" si="483"/>
        <v>-0.27050000000000002</v>
      </c>
      <c r="AJ1089" s="47">
        <v>0</v>
      </c>
      <c r="AK1089" s="47">
        <f t="shared" si="484"/>
        <v>1</v>
      </c>
      <c r="AL1089" s="47" t="s">
        <v>106</v>
      </c>
      <c r="AM1089" s="47" t="s">
        <v>1333</v>
      </c>
      <c r="AN1089" s="47">
        <v>108.2</v>
      </c>
      <c r="AO1089" s="47">
        <v>1</v>
      </c>
      <c r="AP1089" s="47">
        <f t="shared" si="485"/>
        <v>108.2</v>
      </c>
      <c r="AQ1089" s="47">
        <v>61.6</v>
      </c>
      <c r="AR1089" s="47">
        <v>10</v>
      </c>
      <c r="AS1089" s="47">
        <v>600</v>
      </c>
      <c r="AT1089" s="47" t="s">
        <v>107</v>
      </c>
      <c r="AU1089" s="47" t="s">
        <v>109</v>
      </c>
      <c r="AV1089" s="47" t="s">
        <v>133</v>
      </c>
      <c r="AW1089" s="47" t="s">
        <v>134</v>
      </c>
      <c r="AX1089" s="47" t="s">
        <v>86</v>
      </c>
      <c r="AY1089" s="47">
        <v>0</v>
      </c>
      <c r="AZ1089" s="47">
        <v>0</v>
      </c>
      <c r="BA1089" s="47" t="s">
        <v>391</v>
      </c>
      <c r="BB1089" s="47" t="s">
        <v>134</v>
      </c>
      <c r="BC1089" s="47" t="s">
        <v>134</v>
      </c>
      <c r="BD1089" s="47" t="s">
        <v>134</v>
      </c>
      <c r="BE1089" s="47" t="s">
        <v>2211</v>
      </c>
      <c r="BF1089" s="47">
        <v>88</v>
      </c>
      <c r="BG1089" s="47">
        <v>0</v>
      </c>
      <c r="BH1089" s="47">
        <v>160</v>
      </c>
      <c r="BI1089" s="47">
        <v>0.13</v>
      </c>
      <c r="BJ1089" s="47">
        <v>16.248000000000001</v>
      </c>
      <c r="BK1089" s="47" t="s">
        <v>91</v>
      </c>
      <c r="BL1089" s="47" t="s">
        <v>116</v>
      </c>
      <c r="BM1089" s="47">
        <v>1</v>
      </c>
      <c r="BN1089" s="47" t="s">
        <v>2177</v>
      </c>
      <c r="BO1089" s="47" t="s">
        <v>312</v>
      </c>
      <c r="BP1089" s="47" t="s">
        <v>312</v>
      </c>
      <c r="BQ1089" s="47" t="s">
        <v>117</v>
      </c>
      <c r="BR1089" s="47" t="s">
        <v>134</v>
      </c>
      <c r="BS1089" s="47" t="s">
        <v>312</v>
      </c>
      <c r="BT1089" s="47" t="s">
        <v>312</v>
      </c>
      <c r="BU1089" s="47">
        <v>1998</v>
      </c>
      <c r="BV1089" s="47">
        <v>2007</v>
      </c>
      <c r="BW1089" s="47" t="s">
        <v>901</v>
      </c>
      <c r="BX1089" s="47" t="s">
        <v>95</v>
      </c>
      <c r="BY1089" s="47" t="s">
        <v>96</v>
      </c>
      <c r="BZ1089" s="47">
        <v>0</v>
      </c>
      <c r="CA1089" s="47">
        <v>0</v>
      </c>
      <c r="CB1089" s="47" t="s">
        <v>97</v>
      </c>
      <c r="CC1089" s="47" t="s">
        <v>1375</v>
      </c>
      <c r="CD1089" s="47">
        <v>1</v>
      </c>
      <c r="CE1089" s="47" t="s">
        <v>2212</v>
      </c>
      <c r="CF1089" s="47">
        <v>0</v>
      </c>
      <c r="CG1089" s="47" t="s">
        <v>97</v>
      </c>
      <c r="CH1089" s="47">
        <v>0</v>
      </c>
      <c r="CI1089" s="47" t="s">
        <v>116</v>
      </c>
      <c r="CJ1089" s="47" t="s">
        <v>98</v>
      </c>
      <c r="CK1089" s="47">
        <v>22</v>
      </c>
      <c r="CL1089" s="47">
        <v>0</v>
      </c>
      <c r="CM1089" s="47">
        <v>0</v>
      </c>
      <c r="CN1089" s="47" t="s">
        <v>124</v>
      </c>
      <c r="CO1089" s="47" t="s">
        <v>97</v>
      </c>
      <c r="CP1089" s="47" t="s">
        <v>100</v>
      </c>
      <c r="CQ1089" s="47" t="s">
        <v>126</v>
      </c>
      <c r="CR1089" s="48">
        <v>46267</v>
      </c>
      <c r="CT1089" s="47" t="s">
        <v>451</v>
      </c>
    </row>
    <row r="1090" spans="1:98" s="47" customFormat="1" x14ac:dyDescent="0.35">
      <c r="A1090" s="46" t="s">
        <v>2207</v>
      </c>
      <c r="B1090" s="46" t="s">
        <v>2229</v>
      </c>
      <c r="C1090" s="47" t="s">
        <v>1913</v>
      </c>
      <c r="D1090" s="47">
        <v>2017</v>
      </c>
      <c r="E1090" s="66" t="s">
        <v>2208</v>
      </c>
      <c r="F1090" s="46" t="s">
        <v>2209</v>
      </c>
      <c r="G1090" s="47" t="s">
        <v>78</v>
      </c>
      <c r="H1090" s="47">
        <v>1</v>
      </c>
      <c r="I1090" s="47" t="s">
        <v>290</v>
      </c>
      <c r="J1090" s="47" t="s">
        <v>2210</v>
      </c>
      <c r="K1090" s="47">
        <v>47</v>
      </c>
      <c r="L1090" s="47" t="s">
        <v>104</v>
      </c>
      <c r="M1090" s="47" t="s">
        <v>380</v>
      </c>
      <c r="N1090" s="47">
        <v>-2.3999999999999998E-3</v>
      </c>
      <c r="O1090" s="47">
        <v>1.1999999999999999E-3</v>
      </c>
      <c r="P1090" s="47">
        <f t="shared" si="472"/>
        <v>-2</v>
      </c>
      <c r="Q1090" s="47" t="s">
        <v>312</v>
      </c>
      <c r="R1090" s="47">
        <f t="shared" si="473"/>
        <v>-4.7519999999999993E-3</v>
      </c>
      <c r="S1090" s="47">
        <f t="shared" si="474"/>
        <v>-4.7999999999999866E-5</v>
      </c>
      <c r="T1090" s="47">
        <v>1</v>
      </c>
      <c r="U1090" s="47">
        <v>229632</v>
      </c>
      <c r="V1090" s="47" t="s">
        <v>312</v>
      </c>
      <c r="W1090" s="47" t="s">
        <v>312</v>
      </c>
      <c r="X1090" s="47">
        <f t="shared" si="475"/>
        <v>229632</v>
      </c>
      <c r="Y1090" s="47">
        <f t="shared" si="476"/>
        <v>-4.1735921704806516E-3</v>
      </c>
      <c r="Z1090" s="47">
        <f t="shared" si="477"/>
        <v>2.0867960852403258E-3</v>
      </c>
      <c r="AA1090" s="47">
        <f t="shared" si="478"/>
        <v>-4.1735921704806516E-3</v>
      </c>
      <c r="AB1090" s="47" t="s">
        <v>81</v>
      </c>
      <c r="AC1090" s="47">
        <f t="shared" si="479"/>
        <v>-0.25967999999999997</v>
      </c>
      <c r="AD1090" s="47" cm="1">
        <f t="array" ref="AD1090">_xlfn.IFS(
AND(L1090="marginal_effect",M1090="level"),N1090*AN1090/BF1090,
AND(L1090="marginal_effect",M1090="sd (Y)"),N1090*BI1090*AN1090/BF1090,
AND(L1090="marginal_effect",M1090="sd (X)"),N1090/AQ1090*AN1090/BF1090,
AND(L1090="semi_elasticity",M1090="level"),N1090*AN1090,
AND(L1090="semi_elasticity",M1090="sd (Y)"),N1090*AN1090*BI1090,
AND(L1090="semi_elasticity",M1090="sd (X)"),N1090*AN1090/AQ1090,
AND(L1090="level-log",M1090="level"),N1090/BF1090,
AND(L1090="level-log",M1090="sd (X)"),N1090/BF1090/AQ1090,
AND(L1090="level-log",M1090="sd (Y)"),N1090/BF1090*BI1090,
AND(L1090="elasticity",M1090="level"),N1090,
AND(L1090="elasticity",M1090="sd (X)"),N1090/AQ1090,
AND(L1090="elasticity",M1090="sd (Y)"),N1090*BI1090,
AND(L1090="marginal_effect",M1090="percent_of_mean"),N1090*AN1090/BF1090/10)</f>
        <v>-0.25967999999999997</v>
      </c>
      <c r="AE1090" s="47">
        <f t="shared" si="480"/>
        <v>1</v>
      </c>
      <c r="AF1090" s="47">
        <f t="shared" si="481"/>
        <v>0.12983999999999998</v>
      </c>
      <c r="AG1090" s="47" cm="1">
        <f t="array" ref="AG1090">_xlfn.IFS(
AND(L1090="marginal_effect",M1090="level"),O1090*AN1090/BF1090,
AND(L1090="marginal_effect",M1090="sd (Y)"),O1090*BI1090*AN1090/BF1090,
AND(L1090="marginal_effect",M1090="sd (X)"),O1090/AQ1090*AN1090/BF1090,
AND(L1090="semi_elasticity",M1090="level"),O1090*AN1090,
AND(L1090="semi_elasticity",M1090="sd (Y)"),O1090*AN1090*BI1090,
AND(L1090="semi_elasticity",M1090="sd (X)"),O1090*AN1090/AQ1090,
AND(L1090="level-log",M1090="level"),O1090/BF1090,
AND(L1090="level-log",M1090="sd (X)"),O1090/BF1090/AQ1090,
AND(L1090="level-log",M1090="sd (Y)"),O1090/BF1090*BI1090,
AND(L1090="elasticity",M1090="level"),O1090,
AND(L1090="elasticity",M1090="sd (X)"),O1090/AQ1090,
AND(L1090="elasticity",M1090="sd (Y)"),O1090*BI1090,
AND(L1090="marginal_effect",M1090="percent_of_mean"),O1090*AN1090/BF1090/10)</f>
        <v>0.12983999999999998</v>
      </c>
      <c r="AH1090" s="47">
        <f t="shared" si="482"/>
        <v>1</v>
      </c>
      <c r="AI1090" s="47">
        <f t="shared" si="483"/>
        <v>-0.25967999999999997</v>
      </c>
      <c r="AJ1090" s="47">
        <v>0</v>
      </c>
      <c r="AK1090" s="47">
        <f t="shared" si="484"/>
        <v>1</v>
      </c>
      <c r="AL1090" s="47" t="s">
        <v>106</v>
      </c>
      <c r="AM1090" s="47" t="s">
        <v>1333</v>
      </c>
      <c r="AN1090" s="47">
        <v>108.2</v>
      </c>
      <c r="AO1090" s="47">
        <v>0</v>
      </c>
      <c r="AP1090" s="47">
        <f t="shared" si="485"/>
        <v>108.2</v>
      </c>
      <c r="AQ1090" s="47">
        <v>61.6</v>
      </c>
      <c r="AR1090" s="47">
        <v>10</v>
      </c>
      <c r="AS1090" s="47">
        <v>600</v>
      </c>
      <c r="AT1090" s="47" t="s">
        <v>107</v>
      </c>
      <c r="AU1090" s="47" t="s">
        <v>109</v>
      </c>
      <c r="AV1090" s="47" t="s">
        <v>133</v>
      </c>
      <c r="AW1090" s="47" t="s">
        <v>134</v>
      </c>
      <c r="AX1090" s="47" t="s">
        <v>86</v>
      </c>
      <c r="AY1090" s="47">
        <v>0</v>
      </c>
      <c r="AZ1090" s="47">
        <v>0</v>
      </c>
      <c r="BA1090" s="47" t="s">
        <v>391</v>
      </c>
      <c r="BB1090" s="47" t="s">
        <v>134</v>
      </c>
      <c r="BC1090" s="47" t="s">
        <v>134</v>
      </c>
      <c r="BD1090" s="47" t="s">
        <v>134</v>
      </c>
      <c r="BE1090" s="47" t="s">
        <v>2211</v>
      </c>
      <c r="BF1090" s="47">
        <v>88</v>
      </c>
      <c r="BG1090" s="47">
        <v>0</v>
      </c>
      <c r="BH1090" s="47">
        <v>160</v>
      </c>
      <c r="BI1090" s="47">
        <v>0.13</v>
      </c>
      <c r="BJ1090" s="47">
        <v>16.248000000000001</v>
      </c>
      <c r="BK1090" s="47" t="s">
        <v>91</v>
      </c>
      <c r="BL1090" s="47" t="s">
        <v>116</v>
      </c>
      <c r="BM1090" s="47">
        <v>1</v>
      </c>
      <c r="BN1090" s="47" t="s">
        <v>2177</v>
      </c>
      <c r="BO1090" s="47" t="s">
        <v>312</v>
      </c>
      <c r="BP1090" s="47" t="s">
        <v>312</v>
      </c>
      <c r="BQ1090" s="47" t="s">
        <v>117</v>
      </c>
      <c r="BR1090" s="47" t="s">
        <v>134</v>
      </c>
      <c r="BS1090" s="47" t="s">
        <v>312</v>
      </c>
      <c r="BT1090" s="47" t="s">
        <v>312</v>
      </c>
      <c r="BU1090" s="47">
        <v>1998</v>
      </c>
      <c r="BV1090" s="47">
        <v>2007</v>
      </c>
      <c r="BW1090" s="47" t="s">
        <v>901</v>
      </c>
      <c r="BX1090" s="47" t="s">
        <v>95</v>
      </c>
      <c r="BY1090" s="47" t="s">
        <v>96</v>
      </c>
      <c r="BZ1090" s="47">
        <v>0</v>
      </c>
      <c r="CA1090" s="47">
        <v>0</v>
      </c>
      <c r="CB1090" s="47" t="s">
        <v>97</v>
      </c>
      <c r="CC1090" s="47" t="s">
        <v>1375</v>
      </c>
      <c r="CD1090" s="47">
        <v>1</v>
      </c>
      <c r="CE1090" s="47" t="s">
        <v>2212</v>
      </c>
      <c r="CF1090" s="47">
        <v>0</v>
      </c>
      <c r="CG1090" s="47" t="s">
        <v>97</v>
      </c>
      <c r="CH1090" s="47">
        <v>0</v>
      </c>
      <c r="CI1090" s="47" t="s">
        <v>116</v>
      </c>
      <c r="CJ1090" s="47" t="s">
        <v>98</v>
      </c>
      <c r="CK1090" s="47">
        <v>22</v>
      </c>
      <c r="CL1090" s="47">
        <v>0</v>
      </c>
      <c r="CM1090" s="47">
        <v>0</v>
      </c>
      <c r="CN1090" s="47" t="s">
        <v>124</v>
      </c>
      <c r="CO1090" s="47" t="s">
        <v>97</v>
      </c>
      <c r="CP1090" s="47" t="s">
        <v>100</v>
      </c>
      <c r="CQ1090" s="47" t="s">
        <v>126</v>
      </c>
      <c r="CR1090" s="48">
        <v>46267</v>
      </c>
      <c r="CT1090" s="47" t="s">
        <v>452</v>
      </c>
    </row>
    <row r="1091" spans="1:98" s="47" customFormat="1" x14ac:dyDescent="0.35">
      <c r="A1091" s="46" t="s">
        <v>2207</v>
      </c>
      <c r="B1091" s="46" t="s">
        <v>2230</v>
      </c>
      <c r="C1091" s="47" t="s">
        <v>1913</v>
      </c>
      <c r="D1091" s="47">
        <v>2017</v>
      </c>
      <c r="E1091" s="66" t="s">
        <v>2208</v>
      </c>
      <c r="F1091" s="46" t="s">
        <v>2209</v>
      </c>
      <c r="G1091" s="47" t="s">
        <v>78</v>
      </c>
      <c r="H1091" s="47">
        <v>1</v>
      </c>
      <c r="I1091" s="47" t="s">
        <v>290</v>
      </c>
      <c r="J1091" s="47" t="s">
        <v>2210</v>
      </c>
      <c r="K1091" s="47">
        <v>47</v>
      </c>
      <c r="L1091" s="47" t="s">
        <v>104</v>
      </c>
      <c r="M1091" s="47" t="s">
        <v>380</v>
      </c>
      <c r="N1091" s="47">
        <v>-4.1000000000000003E-3</v>
      </c>
      <c r="O1091" s="47">
        <v>1.5E-3</v>
      </c>
      <c r="P1091" s="47">
        <f t="shared" si="472"/>
        <v>-2.7333333333333334</v>
      </c>
      <c r="Q1091" s="47" t="s">
        <v>312</v>
      </c>
      <c r="R1091" s="47">
        <f t="shared" si="473"/>
        <v>-7.0400000000000003E-3</v>
      </c>
      <c r="S1091" s="47">
        <f t="shared" si="474"/>
        <v>-1.1600000000000004E-3</v>
      </c>
      <c r="T1091" s="47">
        <v>1</v>
      </c>
      <c r="U1091" s="47">
        <v>123526</v>
      </c>
      <c r="V1091" s="47" t="s">
        <v>312</v>
      </c>
      <c r="W1091" s="47" t="s">
        <v>312</v>
      </c>
      <c r="X1091" s="47">
        <f t="shared" si="475"/>
        <v>123526</v>
      </c>
      <c r="Y1091" s="47">
        <f t="shared" si="476"/>
        <v>-7.7767882751057687E-3</v>
      </c>
      <c r="Z1091" s="47">
        <f t="shared" si="477"/>
        <v>2.8451664421118663E-3</v>
      </c>
      <c r="AA1091" s="47">
        <f t="shared" si="478"/>
        <v>-7.7767882751057687E-3</v>
      </c>
      <c r="AB1091" s="47" t="s">
        <v>81</v>
      </c>
      <c r="AC1091" s="47">
        <f t="shared" si="479"/>
        <v>-0.42886000000000002</v>
      </c>
      <c r="AD1091" s="47" cm="1">
        <f t="array" ref="AD1091">_xlfn.IFS(
AND(L1091="marginal_effect",M1091="level"),N1091*AN1091/BF1091,
AND(L1091="marginal_effect",M1091="sd (Y)"),N1091*BI1091*AN1091/BF1091,
AND(L1091="marginal_effect",M1091="sd (X)"),N1091/AQ1091*AN1091/BF1091,
AND(L1091="semi_elasticity",M1091="level"),N1091*AN1091,
AND(L1091="semi_elasticity",M1091="sd (Y)"),N1091*AN1091*BI1091,
AND(L1091="semi_elasticity",M1091="sd (X)"),N1091*AN1091/AQ1091,
AND(L1091="level-log",M1091="level"),N1091/BF1091,
AND(L1091="level-log",M1091="sd (X)"),N1091/BF1091/AQ1091,
AND(L1091="level-log",M1091="sd (Y)"),N1091/BF1091*BI1091,
AND(L1091="elasticity",M1091="level"),N1091,
AND(L1091="elasticity",M1091="sd (X)"),N1091/AQ1091,
AND(L1091="elasticity",M1091="sd (Y)"),N1091*BI1091,
AND(L1091="marginal_effect",M1091="percent_of_mean"),N1091*AN1091/BF1091/10)</f>
        <v>-0.42886000000000002</v>
      </c>
      <c r="AE1091" s="47">
        <f t="shared" si="480"/>
        <v>1</v>
      </c>
      <c r="AF1091" s="47">
        <f t="shared" si="481"/>
        <v>0.15689999999999998</v>
      </c>
      <c r="AG1091" s="47" cm="1">
        <f t="array" ref="AG1091">_xlfn.IFS(
AND(L1091="marginal_effect",M1091="level"),O1091*AN1091/BF1091,
AND(L1091="marginal_effect",M1091="sd (Y)"),O1091*BI1091*AN1091/BF1091,
AND(L1091="marginal_effect",M1091="sd (X)"),O1091/AQ1091*AN1091/BF1091,
AND(L1091="semi_elasticity",M1091="level"),O1091*AN1091,
AND(L1091="semi_elasticity",M1091="sd (Y)"),O1091*AN1091*BI1091,
AND(L1091="semi_elasticity",M1091="sd (X)"),O1091*AN1091/AQ1091,
AND(L1091="level-log",M1091="level"),O1091/BF1091,
AND(L1091="level-log",M1091="sd (X)"),O1091/BF1091/AQ1091,
AND(L1091="level-log",M1091="sd (Y)"),O1091/BF1091*BI1091,
AND(L1091="elasticity",M1091="level"),O1091,
AND(L1091="elasticity",M1091="sd (X)"),O1091/AQ1091,
AND(L1091="elasticity",M1091="sd (Y)"),O1091*BI1091,
AND(L1091="marginal_effect",M1091="percent_of_mean"),O1091*AN1091/BF1091/10)</f>
        <v>0.15689999999999998</v>
      </c>
      <c r="AH1091" s="47">
        <f t="shared" si="482"/>
        <v>1</v>
      </c>
      <c r="AI1091" s="47">
        <f t="shared" si="483"/>
        <v>-0.42886000000000002</v>
      </c>
      <c r="AJ1091" s="47">
        <v>0</v>
      </c>
      <c r="AK1091" s="47">
        <f t="shared" si="484"/>
        <v>1</v>
      </c>
      <c r="AL1091" s="47" t="s">
        <v>106</v>
      </c>
      <c r="AM1091" s="47" t="s">
        <v>1333</v>
      </c>
      <c r="AN1091" s="47">
        <v>104.6</v>
      </c>
      <c r="AO1091" s="47">
        <v>0</v>
      </c>
      <c r="AP1091" s="47">
        <f t="shared" si="485"/>
        <v>104.6</v>
      </c>
      <c r="AQ1091" s="47">
        <v>55.7</v>
      </c>
      <c r="AR1091" s="47">
        <v>10</v>
      </c>
      <c r="AS1091" s="47">
        <v>600</v>
      </c>
      <c r="AT1091" s="47" t="s">
        <v>107</v>
      </c>
      <c r="AU1091" s="47" t="s">
        <v>109</v>
      </c>
      <c r="AV1091" s="47" t="s">
        <v>133</v>
      </c>
      <c r="AW1091" s="47" t="s">
        <v>134</v>
      </c>
      <c r="AX1091" s="47" t="s">
        <v>86</v>
      </c>
      <c r="AY1091" s="47">
        <v>0</v>
      </c>
      <c r="AZ1091" s="47">
        <v>0</v>
      </c>
      <c r="BA1091" s="47" t="s">
        <v>391</v>
      </c>
      <c r="BB1091" s="47" t="s">
        <v>134</v>
      </c>
      <c r="BC1091" s="47" t="s">
        <v>134</v>
      </c>
      <c r="BD1091" s="47" t="s">
        <v>134</v>
      </c>
      <c r="BE1091" s="47" t="s">
        <v>2211</v>
      </c>
      <c r="BF1091" s="47">
        <v>88</v>
      </c>
      <c r="BG1091" s="47">
        <v>0</v>
      </c>
      <c r="BH1091" s="47">
        <v>160</v>
      </c>
      <c r="BI1091" s="47">
        <v>0.13</v>
      </c>
      <c r="BJ1091" s="47">
        <v>16.248000000000001</v>
      </c>
      <c r="BK1091" s="47" t="s">
        <v>91</v>
      </c>
      <c r="BL1091" s="47" t="s">
        <v>116</v>
      </c>
      <c r="BM1091" s="47">
        <v>1</v>
      </c>
      <c r="BN1091" s="47" t="s">
        <v>2177</v>
      </c>
      <c r="BO1091" s="47" t="s">
        <v>312</v>
      </c>
      <c r="BP1091" s="47" t="s">
        <v>312</v>
      </c>
      <c r="BQ1091" s="47" t="s">
        <v>117</v>
      </c>
      <c r="BR1091" s="47" t="s">
        <v>134</v>
      </c>
      <c r="BS1091" s="47" t="s">
        <v>312</v>
      </c>
      <c r="BT1091" s="47" t="s">
        <v>312</v>
      </c>
      <c r="BU1091" s="47">
        <v>1998</v>
      </c>
      <c r="BV1091" s="47">
        <v>2007</v>
      </c>
      <c r="BW1091" s="47" t="s">
        <v>901</v>
      </c>
      <c r="BX1091" s="47" t="s">
        <v>95</v>
      </c>
      <c r="BY1091" s="47" t="s">
        <v>748</v>
      </c>
      <c r="BZ1091" s="47">
        <v>1</v>
      </c>
      <c r="CA1091" s="47">
        <v>1</v>
      </c>
      <c r="CB1091" s="47" t="s">
        <v>2005</v>
      </c>
      <c r="CC1091" s="47" t="s">
        <v>1375</v>
      </c>
      <c r="CD1091" s="47">
        <v>1</v>
      </c>
      <c r="CE1091" s="47" t="s">
        <v>2212</v>
      </c>
      <c r="CF1091" s="47">
        <v>0</v>
      </c>
      <c r="CG1091" s="47" t="s">
        <v>97</v>
      </c>
      <c r="CH1091" s="47">
        <v>0</v>
      </c>
      <c r="CI1091" s="47" t="s">
        <v>116</v>
      </c>
      <c r="CJ1091" s="47" t="s">
        <v>98</v>
      </c>
      <c r="CK1091" s="47">
        <v>22</v>
      </c>
      <c r="CL1091" s="47">
        <v>0</v>
      </c>
      <c r="CM1091" s="47">
        <v>0</v>
      </c>
      <c r="CN1091" s="47" t="s">
        <v>124</v>
      </c>
      <c r="CO1091" s="47" t="s">
        <v>97</v>
      </c>
      <c r="CP1091" s="47" t="s">
        <v>100</v>
      </c>
      <c r="CQ1091" s="47" t="s">
        <v>126</v>
      </c>
      <c r="CR1091" s="48">
        <v>46267</v>
      </c>
      <c r="CT1091" s="47" t="s">
        <v>449</v>
      </c>
    </row>
    <row r="1092" spans="1:98" s="47" customFormat="1" x14ac:dyDescent="0.35">
      <c r="A1092" s="46" t="s">
        <v>2207</v>
      </c>
      <c r="B1092" s="46" t="s">
        <v>2231</v>
      </c>
      <c r="C1092" s="47" t="s">
        <v>1913</v>
      </c>
      <c r="D1092" s="47">
        <v>2017</v>
      </c>
      <c r="E1092" s="66" t="s">
        <v>2208</v>
      </c>
      <c r="F1092" s="46" t="s">
        <v>2209</v>
      </c>
      <c r="G1092" s="47" t="s">
        <v>78</v>
      </c>
      <c r="H1092" s="47">
        <v>1</v>
      </c>
      <c r="I1092" s="47" t="s">
        <v>290</v>
      </c>
      <c r="J1092" s="47" t="s">
        <v>2210</v>
      </c>
      <c r="K1092" s="47">
        <v>47</v>
      </c>
      <c r="L1092" s="47" t="s">
        <v>104</v>
      </c>
      <c r="M1092" s="47" t="s">
        <v>380</v>
      </c>
      <c r="N1092" s="47">
        <v>-2.8E-3</v>
      </c>
      <c r="O1092" s="47">
        <v>1.5E-3</v>
      </c>
      <c r="P1092" s="47">
        <f t="shared" si="472"/>
        <v>-1.8666666666666667</v>
      </c>
      <c r="Q1092" s="47" t="s">
        <v>312</v>
      </c>
      <c r="R1092" s="47">
        <f t="shared" si="473"/>
        <v>-5.7400000000000003E-3</v>
      </c>
      <c r="S1092" s="47">
        <f t="shared" si="474"/>
        <v>1.3999999999999993E-4</v>
      </c>
      <c r="T1092" s="47">
        <v>1</v>
      </c>
      <c r="U1092" s="47">
        <v>199838</v>
      </c>
      <c r="V1092" s="47" t="s">
        <v>312</v>
      </c>
      <c r="W1092" s="47" t="s">
        <v>312</v>
      </c>
      <c r="X1092" s="47">
        <f t="shared" si="475"/>
        <v>199838</v>
      </c>
      <c r="Y1092" s="47">
        <f t="shared" si="476"/>
        <v>-4.1756486491753078E-3</v>
      </c>
      <c r="Z1092" s="47">
        <f t="shared" si="477"/>
        <v>2.2369546334867719E-3</v>
      </c>
      <c r="AA1092" s="47">
        <f t="shared" si="478"/>
        <v>-4.1756486491753078E-3</v>
      </c>
      <c r="AB1092" s="47" t="s">
        <v>81</v>
      </c>
      <c r="AC1092" s="47">
        <f t="shared" si="479"/>
        <v>-0.29287999999999997</v>
      </c>
      <c r="AD1092" s="47" cm="1">
        <f t="array" ref="AD1092">_xlfn.IFS(
AND(L1092="marginal_effect",M1092="level"),N1092*AN1092/BF1092,
AND(L1092="marginal_effect",M1092="sd (Y)"),N1092*BI1092*AN1092/BF1092,
AND(L1092="marginal_effect",M1092="sd (X)"),N1092/AQ1092*AN1092/BF1092,
AND(L1092="semi_elasticity",M1092="level"),N1092*AN1092,
AND(L1092="semi_elasticity",M1092="sd (Y)"),N1092*AN1092*BI1092,
AND(L1092="semi_elasticity",M1092="sd (X)"),N1092*AN1092/AQ1092,
AND(L1092="level-log",M1092="level"),N1092/BF1092,
AND(L1092="level-log",M1092="sd (X)"),N1092/BF1092/AQ1092,
AND(L1092="level-log",M1092="sd (Y)"),N1092/BF1092*BI1092,
AND(L1092="elasticity",M1092="level"),N1092,
AND(L1092="elasticity",M1092="sd (X)"),N1092/AQ1092,
AND(L1092="elasticity",M1092="sd (Y)"),N1092*BI1092,
AND(L1092="marginal_effect",M1092="percent_of_mean"),N1092*AN1092/BF1092/10)</f>
        <v>-0.29287999999999997</v>
      </c>
      <c r="AE1092" s="47">
        <f t="shared" si="480"/>
        <v>1</v>
      </c>
      <c r="AF1092" s="47">
        <f t="shared" si="481"/>
        <v>0.15689999999999998</v>
      </c>
      <c r="AG1092" s="47" cm="1">
        <f t="array" ref="AG1092">_xlfn.IFS(
AND(L1092="marginal_effect",M1092="level"),O1092*AN1092/BF1092,
AND(L1092="marginal_effect",M1092="sd (Y)"),O1092*BI1092*AN1092/BF1092,
AND(L1092="marginal_effect",M1092="sd (X)"),O1092/AQ1092*AN1092/BF1092,
AND(L1092="semi_elasticity",M1092="level"),O1092*AN1092,
AND(L1092="semi_elasticity",M1092="sd (Y)"),O1092*AN1092*BI1092,
AND(L1092="semi_elasticity",M1092="sd (X)"),O1092*AN1092/AQ1092,
AND(L1092="level-log",M1092="level"),O1092/BF1092,
AND(L1092="level-log",M1092="sd (X)"),O1092/BF1092/AQ1092,
AND(L1092="level-log",M1092="sd (Y)"),O1092/BF1092*BI1092,
AND(L1092="elasticity",M1092="level"),O1092,
AND(L1092="elasticity",M1092="sd (X)"),O1092/AQ1092,
AND(L1092="elasticity",M1092="sd (Y)"),O1092*BI1092,
AND(L1092="marginal_effect",M1092="percent_of_mean"),O1092*AN1092/BF1092/10)</f>
        <v>0.15689999999999998</v>
      </c>
      <c r="AH1092" s="47">
        <f t="shared" si="482"/>
        <v>1</v>
      </c>
      <c r="AI1092" s="47">
        <f t="shared" si="483"/>
        <v>-0.29287999999999997</v>
      </c>
      <c r="AJ1092" s="47">
        <v>0</v>
      </c>
      <c r="AK1092" s="47">
        <f t="shared" si="484"/>
        <v>1</v>
      </c>
      <c r="AL1092" s="47" t="s">
        <v>106</v>
      </c>
      <c r="AM1092" s="47" t="s">
        <v>1333</v>
      </c>
      <c r="AN1092" s="47">
        <v>104.6</v>
      </c>
      <c r="AO1092" s="47">
        <v>1</v>
      </c>
      <c r="AP1092" s="47">
        <f t="shared" si="485"/>
        <v>104.6</v>
      </c>
      <c r="AQ1092" s="47">
        <v>55.7</v>
      </c>
      <c r="AR1092" s="47">
        <v>10</v>
      </c>
      <c r="AS1092" s="47">
        <v>600</v>
      </c>
      <c r="AT1092" s="47" t="s">
        <v>107</v>
      </c>
      <c r="AU1092" s="47" t="s">
        <v>109</v>
      </c>
      <c r="AV1092" s="47" t="s">
        <v>133</v>
      </c>
      <c r="AW1092" s="47" t="s">
        <v>134</v>
      </c>
      <c r="AX1092" s="47" t="s">
        <v>86</v>
      </c>
      <c r="AY1092" s="47">
        <v>0</v>
      </c>
      <c r="AZ1092" s="47">
        <v>0</v>
      </c>
      <c r="BA1092" s="47" t="s">
        <v>391</v>
      </c>
      <c r="BB1092" s="47" t="s">
        <v>134</v>
      </c>
      <c r="BC1092" s="47" t="s">
        <v>134</v>
      </c>
      <c r="BD1092" s="47" t="s">
        <v>134</v>
      </c>
      <c r="BE1092" s="47" t="s">
        <v>2211</v>
      </c>
      <c r="BF1092" s="47">
        <v>88</v>
      </c>
      <c r="BG1092" s="47">
        <v>0</v>
      </c>
      <c r="BH1092" s="47">
        <v>160</v>
      </c>
      <c r="BI1092" s="47">
        <v>0.13</v>
      </c>
      <c r="BJ1092" s="47">
        <v>16.248000000000001</v>
      </c>
      <c r="BK1092" s="47" t="s">
        <v>91</v>
      </c>
      <c r="BL1092" s="47" t="s">
        <v>116</v>
      </c>
      <c r="BM1092" s="47">
        <v>1</v>
      </c>
      <c r="BN1092" s="47" t="s">
        <v>2177</v>
      </c>
      <c r="BO1092" s="47" t="s">
        <v>312</v>
      </c>
      <c r="BP1092" s="47" t="s">
        <v>312</v>
      </c>
      <c r="BQ1092" s="47" t="s">
        <v>117</v>
      </c>
      <c r="BR1092" s="47" t="s">
        <v>134</v>
      </c>
      <c r="BS1092" s="47" t="s">
        <v>312</v>
      </c>
      <c r="BT1092" s="47" t="s">
        <v>312</v>
      </c>
      <c r="BU1092" s="47">
        <v>1998</v>
      </c>
      <c r="BV1092" s="47">
        <v>2007</v>
      </c>
      <c r="BW1092" s="47" t="s">
        <v>901</v>
      </c>
      <c r="BX1092" s="47" t="s">
        <v>95</v>
      </c>
      <c r="BY1092" s="47" t="s">
        <v>748</v>
      </c>
      <c r="BZ1092" s="47">
        <v>1</v>
      </c>
      <c r="CA1092" s="47">
        <v>1</v>
      </c>
      <c r="CB1092" s="47" t="s">
        <v>2005</v>
      </c>
      <c r="CC1092" s="47" t="s">
        <v>1375</v>
      </c>
      <c r="CD1092" s="47">
        <v>1</v>
      </c>
      <c r="CE1092" s="47" t="s">
        <v>2212</v>
      </c>
      <c r="CF1092" s="47">
        <v>0</v>
      </c>
      <c r="CG1092" s="47" t="s">
        <v>97</v>
      </c>
      <c r="CH1092" s="47">
        <v>0</v>
      </c>
      <c r="CI1092" s="47" t="s">
        <v>116</v>
      </c>
      <c r="CJ1092" s="47" t="s">
        <v>98</v>
      </c>
      <c r="CK1092" s="47">
        <v>22</v>
      </c>
      <c r="CL1092" s="47">
        <v>0</v>
      </c>
      <c r="CM1092" s="47">
        <v>0</v>
      </c>
      <c r="CN1092" s="47" t="s">
        <v>124</v>
      </c>
      <c r="CO1092" s="47" t="s">
        <v>97</v>
      </c>
      <c r="CP1092" s="47" t="s">
        <v>100</v>
      </c>
      <c r="CQ1092" s="47" t="s">
        <v>126</v>
      </c>
      <c r="CR1092" s="48">
        <v>46267</v>
      </c>
      <c r="CT1092" s="47" t="s">
        <v>450</v>
      </c>
    </row>
    <row r="1093" spans="1:98" s="47" customFormat="1" x14ac:dyDescent="0.35">
      <c r="A1093" s="46" t="s">
        <v>2207</v>
      </c>
      <c r="B1093" s="46" t="s">
        <v>2232</v>
      </c>
      <c r="C1093" s="47" t="s">
        <v>1913</v>
      </c>
      <c r="D1093" s="47">
        <v>2017</v>
      </c>
      <c r="E1093" s="66" t="s">
        <v>2208</v>
      </c>
      <c r="F1093" s="46" t="s">
        <v>2209</v>
      </c>
      <c r="G1093" s="47" t="s">
        <v>78</v>
      </c>
      <c r="H1093" s="47">
        <v>1</v>
      </c>
      <c r="I1093" s="47" t="s">
        <v>290</v>
      </c>
      <c r="J1093" s="47" t="s">
        <v>2210</v>
      </c>
      <c r="K1093" s="47">
        <v>47</v>
      </c>
      <c r="L1093" s="47" t="s">
        <v>104</v>
      </c>
      <c r="M1093" s="47" t="s">
        <v>380</v>
      </c>
      <c r="N1093" s="47">
        <v>-2.5999999999999999E-3</v>
      </c>
      <c r="O1093" s="47">
        <v>1.4E-3</v>
      </c>
      <c r="P1093" s="47">
        <f t="shared" si="472"/>
        <v>-1.857142857142857</v>
      </c>
      <c r="Q1093" s="47" t="s">
        <v>312</v>
      </c>
      <c r="R1093" s="47">
        <f t="shared" si="473"/>
        <v>-5.3439999999999998E-3</v>
      </c>
      <c r="S1093" s="47">
        <f t="shared" si="474"/>
        <v>1.4400000000000003E-4</v>
      </c>
      <c r="T1093" s="47">
        <v>1</v>
      </c>
      <c r="U1093" s="47">
        <v>219305</v>
      </c>
      <c r="V1093" s="47" t="s">
        <v>312</v>
      </c>
      <c r="W1093" s="47" t="s">
        <v>312</v>
      </c>
      <c r="X1093" s="47">
        <f t="shared" si="475"/>
        <v>219305</v>
      </c>
      <c r="Y1093" s="47">
        <f t="shared" si="476"/>
        <v>-3.9656796669792858E-3</v>
      </c>
      <c r="Z1093" s="47">
        <f t="shared" si="477"/>
        <v>2.1353659745273084E-3</v>
      </c>
      <c r="AA1093" s="47">
        <f t="shared" si="478"/>
        <v>-3.9656796669792858E-3</v>
      </c>
      <c r="AB1093" s="47" t="s">
        <v>81</v>
      </c>
      <c r="AC1093" s="47">
        <f t="shared" si="479"/>
        <v>-0.28132000000000001</v>
      </c>
      <c r="AD1093" s="47" cm="1">
        <f t="array" ref="AD1093">_xlfn.IFS(
AND(L1093="marginal_effect",M1093="level"),N1093*AN1093/BF1093,
AND(L1093="marginal_effect",M1093="sd (Y)"),N1093*BI1093*AN1093/BF1093,
AND(L1093="marginal_effect",M1093="sd (X)"),N1093/AQ1093*AN1093/BF1093,
AND(L1093="semi_elasticity",M1093="level"),N1093*AN1093,
AND(L1093="semi_elasticity",M1093="sd (Y)"),N1093*AN1093*BI1093,
AND(L1093="semi_elasticity",M1093="sd (X)"),N1093*AN1093/AQ1093,
AND(L1093="level-log",M1093="level"),N1093/BF1093,
AND(L1093="level-log",M1093="sd (X)"),N1093/BF1093/AQ1093,
AND(L1093="level-log",M1093="sd (Y)"),N1093/BF1093*BI1093,
AND(L1093="elasticity",M1093="level"),N1093,
AND(L1093="elasticity",M1093="sd (X)"),N1093/AQ1093,
AND(L1093="elasticity",M1093="sd (Y)"),N1093*BI1093,
AND(L1093="marginal_effect",M1093="percent_of_mean"),N1093*AN1093/BF1093/10)</f>
        <v>-0.28132000000000001</v>
      </c>
      <c r="AE1093" s="47">
        <f t="shared" si="480"/>
        <v>1</v>
      </c>
      <c r="AF1093" s="47">
        <f t="shared" si="481"/>
        <v>0.15148</v>
      </c>
      <c r="AG1093" s="47" cm="1">
        <f t="array" ref="AG1093">_xlfn.IFS(
AND(L1093="marginal_effect",M1093="level"),O1093*AN1093/BF1093,
AND(L1093="marginal_effect",M1093="sd (Y)"),O1093*BI1093*AN1093/BF1093,
AND(L1093="marginal_effect",M1093="sd (X)"),O1093/AQ1093*AN1093/BF1093,
AND(L1093="semi_elasticity",M1093="level"),O1093*AN1093,
AND(L1093="semi_elasticity",M1093="sd (Y)"),O1093*AN1093*BI1093,
AND(L1093="semi_elasticity",M1093="sd (X)"),O1093*AN1093/AQ1093,
AND(L1093="level-log",M1093="level"),O1093/BF1093,
AND(L1093="level-log",M1093="sd (X)"),O1093/BF1093/AQ1093,
AND(L1093="level-log",M1093="sd (Y)"),O1093/BF1093*BI1093,
AND(L1093="elasticity",M1093="level"),O1093,
AND(L1093="elasticity",M1093="sd (X)"),O1093/AQ1093,
AND(L1093="elasticity",M1093="sd (Y)"),O1093*BI1093,
AND(L1093="marginal_effect",M1093="percent_of_mean"),O1093*AN1093/BF1093/10)</f>
        <v>0.15148</v>
      </c>
      <c r="AH1093" s="47">
        <f t="shared" si="482"/>
        <v>1</v>
      </c>
      <c r="AI1093" s="47">
        <f t="shared" si="483"/>
        <v>-0.28132000000000001</v>
      </c>
      <c r="AJ1093" s="47">
        <v>0</v>
      </c>
      <c r="AK1093" s="47">
        <f t="shared" si="484"/>
        <v>1</v>
      </c>
      <c r="AL1093" s="47" t="s">
        <v>106</v>
      </c>
      <c r="AM1093" s="47" t="s">
        <v>1333</v>
      </c>
      <c r="AN1093" s="47">
        <v>108.2</v>
      </c>
      <c r="AO1093" s="47">
        <v>1</v>
      </c>
      <c r="AP1093" s="47">
        <f t="shared" si="485"/>
        <v>108.2</v>
      </c>
      <c r="AQ1093" s="47">
        <v>61.6</v>
      </c>
      <c r="AR1093" s="47">
        <v>10</v>
      </c>
      <c r="AS1093" s="47">
        <v>600</v>
      </c>
      <c r="AT1093" s="47" t="s">
        <v>107</v>
      </c>
      <c r="AU1093" s="47" t="s">
        <v>109</v>
      </c>
      <c r="AV1093" s="47" t="s">
        <v>133</v>
      </c>
      <c r="AW1093" s="47" t="s">
        <v>134</v>
      </c>
      <c r="AX1093" s="47" t="s">
        <v>86</v>
      </c>
      <c r="AY1093" s="47">
        <v>0</v>
      </c>
      <c r="AZ1093" s="47">
        <v>0</v>
      </c>
      <c r="BA1093" s="47" t="s">
        <v>391</v>
      </c>
      <c r="BB1093" s="47" t="s">
        <v>134</v>
      </c>
      <c r="BC1093" s="47" t="s">
        <v>134</v>
      </c>
      <c r="BD1093" s="47" t="s">
        <v>134</v>
      </c>
      <c r="BE1093" s="47" t="s">
        <v>2211</v>
      </c>
      <c r="BF1093" s="47">
        <v>88</v>
      </c>
      <c r="BG1093" s="47">
        <v>0</v>
      </c>
      <c r="BH1093" s="47">
        <v>160</v>
      </c>
      <c r="BI1093" s="47">
        <v>0.13</v>
      </c>
      <c r="BJ1093" s="47">
        <v>16.248000000000001</v>
      </c>
      <c r="BK1093" s="47" t="s">
        <v>91</v>
      </c>
      <c r="BL1093" s="47" t="s">
        <v>116</v>
      </c>
      <c r="BM1093" s="47">
        <v>1</v>
      </c>
      <c r="BN1093" s="47" t="s">
        <v>2177</v>
      </c>
      <c r="BO1093" s="47" t="s">
        <v>312</v>
      </c>
      <c r="BP1093" s="47" t="s">
        <v>312</v>
      </c>
      <c r="BQ1093" s="47" t="s">
        <v>117</v>
      </c>
      <c r="BR1093" s="47" t="s">
        <v>134</v>
      </c>
      <c r="BS1093" s="47" t="s">
        <v>312</v>
      </c>
      <c r="BT1093" s="47" t="s">
        <v>312</v>
      </c>
      <c r="BU1093" s="47">
        <v>1998</v>
      </c>
      <c r="BV1093" s="47">
        <v>2007</v>
      </c>
      <c r="BW1093" s="47" t="s">
        <v>901</v>
      </c>
      <c r="BX1093" s="47" t="s">
        <v>95</v>
      </c>
      <c r="BY1093" s="47" t="s">
        <v>748</v>
      </c>
      <c r="BZ1093" s="47">
        <v>1</v>
      </c>
      <c r="CA1093" s="47">
        <v>1</v>
      </c>
      <c r="CB1093" s="47" t="s">
        <v>2005</v>
      </c>
      <c r="CC1093" s="47" t="s">
        <v>1375</v>
      </c>
      <c r="CD1093" s="47">
        <v>1</v>
      </c>
      <c r="CE1093" s="47" t="s">
        <v>2212</v>
      </c>
      <c r="CF1093" s="47">
        <v>0</v>
      </c>
      <c r="CG1093" s="47" t="s">
        <v>97</v>
      </c>
      <c r="CH1093" s="47">
        <v>0</v>
      </c>
      <c r="CI1093" s="47" t="s">
        <v>116</v>
      </c>
      <c r="CJ1093" s="47" t="s">
        <v>98</v>
      </c>
      <c r="CK1093" s="47">
        <v>22</v>
      </c>
      <c r="CL1093" s="47">
        <v>0</v>
      </c>
      <c r="CM1093" s="47">
        <v>0</v>
      </c>
      <c r="CN1093" s="47" t="s">
        <v>124</v>
      </c>
      <c r="CO1093" s="47" t="s">
        <v>97</v>
      </c>
      <c r="CP1093" s="47" t="s">
        <v>100</v>
      </c>
      <c r="CQ1093" s="47" t="s">
        <v>126</v>
      </c>
      <c r="CR1093" s="48">
        <v>46267</v>
      </c>
      <c r="CT1093" s="47" t="s">
        <v>451</v>
      </c>
    </row>
    <row r="1094" spans="1:98" s="47" customFormat="1" x14ac:dyDescent="0.35">
      <c r="A1094" s="46" t="s">
        <v>2207</v>
      </c>
      <c r="B1094" s="46" t="s">
        <v>2233</v>
      </c>
      <c r="C1094" s="47" t="s">
        <v>1913</v>
      </c>
      <c r="D1094" s="47">
        <v>2017</v>
      </c>
      <c r="E1094" s="66" t="s">
        <v>2208</v>
      </c>
      <c r="F1094" s="46" t="s">
        <v>2209</v>
      </c>
      <c r="G1094" s="47" t="s">
        <v>78</v>
      </c>
      <c r="H1094" s="47">
        <v>1</v>
      </c>
      <c r="I1094" s="47" t="s">
        <v>290</v>
      </c>
      <c r="J1094" s="47" t="s">
        <v>2210</v>
      </c>
      <c r="K1094" s="47">
        <v>47</v>
      </c>
      <c r="L1094" s="47" t="s">
        <v>104</v>
      </c>
      <c r="M1094" s="47" t="s">
        <v>380</v>
      </c>
      <c r="N1094" s="47">
        <v>-2.3999999999999998E-3</v>
      </c>
      <c r="O1094" s="47">
        <v>1.4E-3</v>
      </c>
      <c r="P1094" s="47">
        <f t="shared" si="472"/>
        <v>-1.7142857142857142</v>
      </c>
      <c r="Q1094" s="47" t="s">
        <v>312</v>
      </c>
      <c r="R1094" s="47">
        <f t="shared" si="473"/>
        <v>-5.1439999999999993E-3</v>
      </c>
      <c r="S1094" s="47">
        <f t="shared" si="474"/>
        <v>3.4400000000000012E-4</v>
      </c>
      <c r="T1094" s="47">
        <v>1</v>
      </c>
      <c r="U1094" s="47">
        <v>229632</v>
      </c>
      <c r="V1094" s="47" t="s">
        <v>312</v>
      </c>
      <c r="W1094" s="47" t="s">
        <v>312</v>
      </c>
      <c r="X1094" s="47">
        <f t="shared" si="475"/>
        <v>229632</v>
      </c>
      <c r="Y1094" s="47">
        <f t="shared" si="476"/>
        <v>-3.5773729836808118E-3</v>
      </c>
      <c r="Z1094" s="47">
        <f t="shared" si="477"/>
        <v>2.0868009071471406E-3</v>
      </c>
      <c r="AA1094" s="47">
        <f t="shared" si="478"/>
        <v>-3.5773729836808118E-3</v>
      </c>
      <c r="AB1094" s="47" t="s">
        <v>81</v>
      </c>
      <c r="AC1094" s="47">
        <f t="shared" si="479"/>
        <v>-0.25967999999999997</v>
      </c>
      <c r="AD1094" s="47" cm="1">
        <f t="array" ref="AD1094">_xlfn.IFS(
AND(L1094="marginal_effect",M1094="level"),N1094*AN1094/BF1094,
AND(L1094="marginal_effect",M1094="sd (Y)"),N1094*BI1094*AN1094/BF1094,
AND(L1094="marginal_effect",M1094="sd (X)"),N1094/AQ1094*AN1094/BF1094,
AND(L1094="semi_elasticity",M1094="level"),N1094*AN1094,
AND(L1094="semi_elasticity",M1094="sd (Y)"),N1094*AN1094*BI1094,
AND(L1094="semi_elasticity",M1094="sd (X)"),N1094*AN1094/AQ1094,
AND(L1094="level-log",M1094="level"),N1094/BF1094,
AND(L1094="level-log",M1094="sd (X)"),N1094/BF1094/AQ1094,
AND(L1094="level-log",M1094="sd (Y)"),N1094/BF1094*BI1094,
AND(L1094="elasticity",M1094="level"),N1094,
AND(L1094="elasticity",M1094="sd (X)"),N1094/AQ1094,
AND(L1094="elasticity",M1094="sd (Y)"),N1094*BI1094,
AND(L1094="marginal_effect",M1094="percent_of_mean"),N1094*AN1094/BF1094/10)</f>
        <v>-0.25967999999999997</v>
      </c>
      <c r="AE1094" s="47">
        <f t="shared" si="480"/>
        <v>1</v>
      </c>
      <c r="AF1094" s="47">
        <f t="shared" si="481"/>
        <v>0.15148</v>
      </c>
      <c r="AG1094" s="47" cm="1">
        <f t="array" ref="AG1094">_xlfn.IFS(
AND(L1094="marginal_effect",M1094="level"),O1094*AN1094/BF1094,
AND(L1094="marginal_effect",M1094="sd (Y)"),O1094*BI1094*AN1094/BF1094,
AND(L1094="marginal_effect",M1094="sd (X)"),O1094/AQ1094*AN1094/BF1094,
AND(L1094="semi_elasticity",M1094="level"),O1094*AN1094,
AND(L1094="semi_elasticity",M1094="sd (Y)"),O1094*AN1094*BI1094,
AND(L1094="semi_elasticity",M1094="sd (X)"),O1094*AN1094/AQ1094,
AND(L1094="level-log",M1094="level"),O1094/BF1094,
AND(L1094="level-log",M1094="sd (X)"),O1094/BF1094/AQ1094,
AND(L1094="level-log",M1094="sd (Y)"),O1094/BF1094*BI1094,
AND(L1094="elasticity",M1094="level"),O1094,
AND(L1094="elasticity",M1094="sd (X)"),O1094/AQ1094,
AND(L1094="elasticity",M1094="sd (Y)"),O1094*BI1094,
AND(L1094="marginal_effect",M1094="percent_of_mean"),O1094*AN1094/BF1094/10)</f>
        <v>0.15148</v>
      </c>
      <c r="AH1094" s="47">
        <f t="shared" si="482"/>
        <v>1</v>
      </c>
      <c r="AI1094" s="47">
        <f t="shared" si="483"/>
        <v>-0.25967999999999997</v>
      </c>
      <c r="AJ1094" s="47">
        <v>0</v>
      </c>
      <c r="AK1094" s="47">
        <f t="shared" si="484"/>
        <v>1</v>
      </c>
      <c r="AL1094" s="47" t="s">
        <v>106</v>
      </c>
      <c r="AM1094" s="47" t="s">
        <v>1333</v>
      </c>
      <c r="AN1094" s="47">
        <v>108.2</v>
      </c>
      <c r="AO1094" s="47">
        <v>0</v>
      </c>
      <c r="AP1094" s="47">
        <f t="shared" si="485"/>
        <v>108.2</v>
      </c>
      <c r="AQ1094" s="47">
        <v>61.6</v>
      </c>
      <c r="AR1094" s="47">
        <v>10</v>
      </c>
      <c r="AS1094" s="47">
        <v>600</v>
      </c>
      <c r="AT1094" s="47" t="s">
        <v>107</v>
      </c>
      <c r="AU1094" s="47" t="s">
        <v>109</v>
      </c>
      <c r="AV1094" s="47" t="s">
        <v>133</v>
      </c>
      <c r="AW1094" s="47" t="s">
        <v>134</v>
      </c>
      <c r="AX1094" s="47" t="s">
        <v>86</v>
      </c>
      <c r="AY1094" s="47">
        <v>0</v>
      </c>
      <c r="AZ1094" s="47">
        <v>0</v>
      </c>
      <c r="BA1094" s="47" t="s">
        <v>391</v>
      </c>
      <c r="BB1094" s="47" t="s">
        <v>134</v>
      </c>
      <c r="BC1094" s="47" t="s">
        <v>134</v>
      </c>
      <c r="BD1094" s="47" t="s">
        <v>134</v>
      </c>
      <c r="BE1094" s="47" t="s">
        <v>2211</v>
      </c>
      <c r="BF1094" s="47">
        <v>88</v>
      </c>
      <c r="BG1094" s="47">
        <v>0</v>
      </c>
      <c r="BH1094" s="47">
        <v>160</v>
      </c>
      <c r="BI1094" s="47">
        <v>0.13</v>
      </c>
      <c r="BJ1094" s="47">
        <v>16.248000000000001</v>
      </c>
      <c r="BK1094" s="47" t="s">
        <v>91</v>
      </c>
      <c r="BL1094" s="47" t="s">
        <v>116</v>
      </c>
      <c r="BM1094" s="47">
        <v>1</v>
      </c>
      <c r="BN1094" s="47" t="s">
        <v>2177</v>
      </c>
      <c r="BO1094" s="47" t="s">
        <v>312</v>
      </c>
      <c r="BP1094" s="47" t="s">
        <v>312</v>
      </c>
      <c r="BQ1094" s="47" t="s">
        <v>117</v>
      </c>
      <c r="BR1094" s="47" t="s">
        <v>134</v>
      </c>
      <c r="BS1094" s="47" t="s">
        <v>312</v>
      </c>
      <c r="BT1094" s="47" t="s">
        <v>312</v>
      </c>
      <c r="BU1094" s="47">
        <v>1998</v>
      </c>
      <c r="BV1094" s="47">
        <v>2007</v>
      </c>
      <c r="BW1094" s="47" t="s">
        <v>901</v>
      </c>
      <c r="BX1094" s="47" t="s">
        <v>95</v>
      </c>
      <c r="BY1094" s="47" t="s">
        <v>748</v>
      </c>
      <c r="BZ1094" s="47">
        <v>1</v>
      </c>
      <c r="CA1094" s="47">
        <v>1</v>
      </c>
      <c r="CB1094" s="47" t="s">
        <v>2005</v>
      </c>
      <c r="CC1094" s="47" t="s">
        <v>1375</v>
      </c>
      <c r="CD1094" s="47">
        <v>1</v>
      </c>
      <c r="CE1094" s="47" t="s">
        <v>2212</v>
      </c>
      <c r="CF1094" s="47">
        <v>0</v>
      </c>
      <c r="CG1094" s="47" t="s">
        <v>97</v>
      </c>
      <c r="CH1094" s="47">
        <v>0</v>
      </c>
      <c r="CI1094" s="47" t="s">
        <v>116</v>
      </c>
      <c r="CJ1094" s="47" t="s">
        <v>98</v>
      </c>
      <c r="CK1094" s="47">
        <v>22</v>
      </c>
      <c r="CL1094" s="47">
        <v>0</v>
      </c>
      <c r="CM1094" s="47">
        <v>0</v>
      </c>
      <c r="CN1094" s="47" t="s">
        <v>124</v>
      </c>
      <c r="CO1094" s="47" t="s">
        <v>97</v>
      </c>
      <c r="CP1094" s="47" t="s">
        <v>100</v>
      </c>
      <c r="CQ1094" s="47" t="s">
        <v>126</v>
      </c>
      <c r="CR1094" s="48">
        <v>46267</v>
      </c>
      <c r="CT1094" s="47" t="s">
        <v>452</v>
      </c>
    </row>
    <row r="1095" spans="1:98" s="47" customFormat="1" x14ac:dyDescent="0.35">
      <c r="A1095" s="46" t="s">
        <v>2207</v>
      </c>
      <c r="B1095" s="46" t="s">
        <v>2234</v>
      </c>
      <c r="C1095" s="47" t="s">
        <v>1913</v>
      </c>
      <c r="D1095" s="47">
        <v>2017</v>
      </c>
      <c r="E1095" s="66" t="s">
        <v>2208</v>
      </c>
      <c r="F1095" s="46" t="s">
        <v>2209</v>
      </c>
      <c r="G1095" s="47" t="s">
        <v>78</v>
      </c>
      <c r="H1095" s="47">
        <v>1</v>
      </c>
      <c r="I1095" s="47" t="s">
        <v>290</v>
      </c>
      <c r="J1095" s="47" t="s">
        <v>2210</v>
      </c>
      <c r="K1095" s="47">
        <v>47</v>
      </c>
      <c r="L1095" s="47" t="s">
        <v>80</v>
      </c>
      <c r="M1095" s="47" t="s">
        <v>380</v>
      </c>
      <c r="N1095" s="47">
        <v>-0.96109999999999995</v>
      </c>
      <c r="O1095" s="47">
        <v>0.1018</v>
      </c>
      <c r="P1095" s="47">
        <f t="shared" si="472"/>
        <v>-9.4410609037328097</v>
      </c>
      <c r="Q1095" s="47" t="s">
        <v>312</v>
      </c>
      <c r="R1095" s="47">
        <f t="shared" si="473"/>
        <v>-1.160628</v>
      </c>
      <c r="S1095" s="47">
        <f t="shared" si="474"/>
        <v>-0.76157199999999992</v>
      </c>
      <c r="T1095" s="47">
        <v>1</v>
      </c>
      <c r="U1095" s="47">
        <v>1592626</v>
      </c>
      <c r="V1095" s="47" t="s">
        <v>312</v>
      </c>
      <c r="W1095" s="47" t="s">
        <v>312</v>
      </c>
      <c r="X1095" s="47">
        <f t="shared" si="475"/>
        <v>1592626</v>
      </c>
      <c r="Y1095" s="47">
        <f t="shared" si="476"/>
        <v>-7.4808637667804897E-3</v>
      </c>
      <c r="Z1095" s="47">
        <f t="shared" si="477"/>
        <v>7.9237533186791564E-4</v>
      </c>
      <c r="AA1095" s="47">
        <f t="shared" si="478"/>
        <v>-7.4808637667804897E-3</v>
      </c>
      <c r="AB1095" s="47" t="s">
        <v>81</v>
      </c>
      <c r="AC1095" s="47">
        <f>N1095</f>
        <v>-0.96109999999999995</v>
      </c>
      <c r="AD1095" s="47" cm="1">
        <f t="array" ref="AD1095">_xlfn.IFS(
AND(L1095="marginal_effect",M1095="level"),N1095*AN1095/BF1095,
AND(L1095="marginal_effect",M1095="sd (Y)"),N1095*BI1095*AN1095/BF1095,
AND(L1095="marginal_effect",M1095="sd (X)"),N1095/AQ1095*AN1095/BF1095,
AND(L1095="semi_elasticity",M1095="level"),N1095*AN1095,
AND(L1095="semi_elasticity",M1095="sd (Y)"),N1095*AN1095*BI1095,
AND(L1095="semi_elasticity",M1095="sd (X)"),N1095*AN1095/AQ1095,
AND(L1095="level-log",M1095="level"),N1095/BF1095,
AND(L1095="level-log",M1095="sd (X)"),N1095/BF1095/AQ1095,
AND(L1095="level-log",M1095="sd (Y)"),N1095/BF1095*BI1095,
AND(L1095="elasticity",M1095="level"),N1095,
AND(L1095="elasticity",M1095="sd (X)"),N1095/AQ1095,
AND(L1095="elasticity",M1095="sd (Y)"),N1095*BI1095,
AND(L1095="marginal_effect",M1095="percent_of_mean"),N1095*AN1095/BF1095/10)</f>
        <v>-0.96109999999999995</v>
      </c>
      <c r="AE1095" s="47">
        <f t="shared" si="480"/>
        <v>1</v>
      </c>
      <c r="AF1095" s="47">
        <f>O1095</f>
        <v>0.1018</v>
      </c>
      <c r="AG1095" s="47" cm="1">
        <f t="array" ref="AG1095">_xlfn.IFS(
AND(L1095="marginal_effect",M1095="level"),O1095*AN1095/BF1095,
AND(L1095="marginal_effect",M1095="sd (Y)"),O1095*BI1095*AN1095/BF1095,
AND(L1095="marginal_effect",M1095="sd (X)"),O1095/AQ1095*AN1095/BF1095,
AND(L1095="semi_elasticity",M1095="level"),O1095*AN1095,
AND(L1095="semi_elasticity",M1095="sd (Y)"),O1095*AN1095*BI1095,
AND(L1095="semi_elasticity",M1095="sd (X)"),O1095*AN1095/AQ1095,
AND(L1095="level-log",M1095="level"),O1095/BF1095,
AND(L1095="level-log",M1095="sd (X)"),O1095/BF1095/AQ1095,
AND(L1095="level-log",M1095="sd (Y)"),O1095/BF1095*BI1095,
AND(L1095="elasticity",M1095="level"),O1095,
AND(L1095="elasticity",M1095="sd (X)"),O1095/AQ1095,
AND(L1095="elasticity",M1095="sd (Y)"),O1095*BI1095,
AND(L1095="marginal_effect",M1095="percent_of_mean"),O1095*AN1095/BF1095/10)</f>
        <v>0.1018</v>
      </c>
      <c r="AH1095" s="47">
        <f t="shared" si="482"/>
        <v>1</v>
      </c>
      <c r="AI1095" s="47">
        <f t="shared" si="483"/>
        <v>-0.96109999999999995</v>
      </c>
      <c r="AJ1095" s="47">
        <v>0</v>
      </c>
      <c r="AK1095" s="47">
        <f t="shared" si="484"/>
        <v>1</v>
      </c>
      <c r="AL1095" s="47" t="s">
        <v>82</v>
      </c>
      <c r="AM1095" s="47" t="s">
        <v>1333</v>
      </c>
      <c r="AN1095" s="47">
        <v>53.52</v>
      </c>
      <c r="AO1095" s="47">
        <v>0</v>
      </c>
      <c r="AP1095" s="47">
        <f t="shared" ref="AP1095:AP1097" si="486">AN1095</f>
        <v>53.52</v>
      </c>
      <c r="AQ1095" s="47">
        <v>25.46</v>
      </c>
      <c r="AR1095" s="47">
        <v>2.62</v>
      </c>
      <c r="AS1095" s="47">
        <v>134.84</v>
      </c>
      <c r="AT1095" s="47" t="s">
        <v>107</v>
      </c>
      <c r="AU1095" s="47" t="s">
        <v>109</v>
      </c>
      <c r="AV1095" s="47" t="s">
        <v>133</v>
      </c>
      <c r="AW1095" s="47" t="s">
        <v>134</v>
      </c>
      <c r="AX1095" s="47" t="s">
        <v>86</v>
      </c>
      <c r="AY1095" s="47">
        <v>0</v>
      </c>
      <c r="AZ1095" s="47">
        <v>0</v>
      </c>
      <c r="BA1095" s="47" t="s">
        <v>391</v>
      </c>
      <c r="BB1095" s="47" t="s">
        <v>134</v>
      </c>
      <c r="BC1095" s="47" t="s">
        <v>134</v>
      </c>
      <c r="BD1095" s="47" t="s">
        <v>134</v>
      </c>
      <c r="BE1095" s="47" t="s">
        <v>2211</v>
      </c>
      <c r="BF1095" s="47">
        <v>88</v>
      </c>
      <c r="BG1095" s="47">
        <v>0</v>
      </c>
      <c r="BH1095" s="47">
        <v>160</v>
      </c>
      <c r="BI1095" s="47">
        <v>0.13</v>
      </c>
      <c r="BJ1095" s="47">
        <v>16.248000000000001</v>
      </c>
      <c r="BK1095" s="47" t="s">
        <v>91</v>
      </c>
      <c r="BL1095" s="47" t="s">
        <v>116</v>
      </c>
      <c r="BM1095" s="47">
        <v>1</v>
      </c>
      <c r="BN1095" s="47" t="s">
        <v>2177</v>
      </c>
      <c r="BO1095" s="47" t="s">
        <v>312</v>
      </c>
      <c r="BP1095" s="47" t="s">
        <v>312</v>
      </c>
      <c r="BQ1095" s="47" t="s">
        <v>117</v>
      </c>
      <c r="BR1095" s="47" t="s">
        <v>134</v>
      </c>
      <c r="BS1095" s="47" t="s">
        <v>312</v>
      </c>
      <c r="BT1095" s="47" t="s">
        <v>312</v>
      </c>
      <c r="BU1095" s="47">
        <v>1998</v>
      </c>
      <c r="BV1095" s="47">
        <v>2007</v>
      </c>
      <c r="BW1095" s="47" t="s">
        <v>901</v>
      </c>
      <c r="BX1095" s="47" t="s">
        <v>95</v>
      </c>
      <c r="BY1095" s="47" t="s">
        <v>748</v>
      </c>
      <c r="BZ1095" s="47">
        <v>1</v>
      </c>
      <c r="CA1095" s="47">
        <v>1</v>
      </c>
      <c r="CB1095" s="47" t="s">
        <v>303</v>
      </c>
      <c r="CC1095" s="47" t="s">
        <v>1375</v>
      </c>
      <c r="CD1095" s="47">
        <v>1</v>
      </c>
      <c r="CE1095" s="47" t="s">
        <v>2212</v>
      </c>
      <c r="CF1095" s="47">
        <v>0</v>
      </c>
      <c r="CG1095" s="47" t="s">
        <v>97</v>
      </c>
      <c r="CH1095" s="47">
        <v>0</v>
      </c>
      <c r="CI1095" s="47" t="s">
        <v>116</v>
      </c>
      <c r="CJ1095" s="47" t="s">
        <v>98</v>
      </c>
      <c r="CK1095" s="47">
        <v>22</v>
      </c>
      <c r="CL1095" s="47">
        <v>0</v>
      </c>
      <c r="CM1095" s="47">
        <v>0</v>
      </c>
      <c r="CN1095" s="47" t="s">
        <v>99</v>
      </c>
      <c r="CO1095" s="47" t="s">
        <v>97</v>
      </c>
      <c r="CP1095" s="47" t="s">
        <v>100</v>
      </c>
      <c r="CQ1095" s="47" t="s">
        <v>126</v>
      </c>
      <c r="CR1095" s="48">
        <v>46267</v>
      </c>
      <c r="CT1095" s="47" t="s">
        <v>2236</v>
      </c>
    </row>
    <row r="1096" spans="1:98" s="47" customFormat="1" x14ac:dyDescent="0.35">
      <c r="A1096" s="46" t="s">
        <v>2207</v>
      </c>
      <c r="B1096" s="46" t="s">
        <v>2235</v>
      </c>
      <c r="C1096" s="47" t="s">
        <v>1913</v>
      </c>
      <c r="D1096" s="47">
        <v>2017</v>
      </c>
      <c r="E1096" s="66" t="s">
        <v>2208</v>
      </c>
      <c r="F1096" s="46" t="s">
        <v>2209</v>
      </c>
      <c r="G1096" s="47" t="s">
        <v>78</v>
      </c>
      <c r="H1096" s="47">
        <v>1</v>
      </c>
      <c r="I1096" s="47" t="s">
        <v>290</v>
      </c>
      <c r="J1096" s="47" t="s">
        <v>2210</v>
      </c>
      <c r="K1096" s="47">
        <v>47</v>
      </c>
      <c r="L1096" s="47" t="s">
        <v>80</v>
      </c>
      <c r="M1096" s="47" t="s">
        <v>380</v>
      </c>
      <c r="N1096" s="47">
        <v>-0.99870000000000003</v>
      </c>
      <c r="O1096" s="47">
        <v>0.10979999999999999</v>
      </c>
      <c r="P1096" s="47">
        <f t="shared" si="472"/>
        <v>-9.0956284153005473</v>
      </c>
      <c r="Q1096" s="47" t="s">
        <v>312</v>
      </c>
      <c r="R1096" s="47">
        <f t="shared" si="473"/>
        <v>-1.213908</v>
      </c>
      <c r="S1096" s="47">
        <f t="shared" si="474"/>
        <v>-0.78349200000000008</v>
      </c>
      <c r="T1096" s="47">
        <v>1</v>
      </c>
      <c r="U1096" s="47">
        <v>1592626</v>
      </c>
      <c r="V1096" s="47" t="s">
        <v>312</v>
      </c>
      <c r="W1096" s="47" t="s">
        <v>312</v>
      </c>
      <c r="X1096" s="47">
        <f t="shared" si="475"/>
        <v>1592626</v>
      </c>
      <c r="Y1096" s="47">
        <f t="shared" si="476"/>
        <v>-7.207166071579881E-3</v>
      </c>
      <c r="Z1096" s="47">
        <f t="shared" si="477"/>
        <v>7.9237692466153085E-4</v>
      </c>
      <c r="AA1096" s="47">
        <f t="shared" si="478"/>
        <v>-7.207166071579881E-3</v>
      </c>
      <c r="AB1096" s="47" t="s">
        <v>81</v>
      </c>
      <c r="AC1096" s="47">
        <f>N1096</f>
        <v>-0.99870000000000003</v>
      </c>
      <c r="AD1096" s="47" cm="1">
        <f t="array" ref="AD1096">_xlfn.IFS(
AND(L1096="marginal_effect",M1096="level"),N1096*AN1096/BF1096,
AND(L1096="marginal_effect",M1096="sd (Y)"),N1096*BI1096*AN1096/BF1096,
AND(L1096="marginal_effect",M1096="sd (X)"),N1096/AQ1096*AN1096/BF1096,
AND(L1096="semi_elasticity",M1096="level"),N1096*AN1096,
AND(L1096="semi_elasticity",M1096="sd (Y)"),N1096*AN1096*BI1096,
AND(L1096="semi_elasticity",M1096="sd (X)"),N1096*AN1096/AQ1096,
AND(L1096="level-log",M1096="level"),N1096/BF1096,
AND(L1096="level-log",M1096="sd (X)"),N1096/BF1096/AQ1096,
AND(L1096="level-log",M1096="sd (Y)"),N1096/BF1096*BI1096,
AND(L1096="elasticity",M1096="level"),N1096,
AND(L1096="elasticity",M1096="sd (X)"),N1096/AQ1096,
AND(L1096="elasticity",M1096="sd (Y)"),N1096*BI1096,
AND(L1096="marginal_effect",M1096="percent_of_mean"),N1096*AN1096/BF1096/10)</f>
        <v>-0.99870000000000003</v>
      </c>
      <c r="AE1096" s="47">
        <f t="shared" si="480"/>
        <v>1</v>
      </c>
      <c r="AF1096" s="47">
        <f>O1096</f>
        <v>0.10979999999999999</v>
      </c>
      <c r="AG1096" s="47" cm="1">
        <f t="array" ref="AG1096">_xlfn.IFS(
AND(L1096="marginal_effect",M1096="level"),O1096*AN1096/BF1096,
AND(L1096="marginal_effect",M1096="sd (Y)"),O1096*BI1096*AN1096/BF1096,
AND(L1096="marginal_effect",M1096="sd (X)"),O1096/AQ1096*AN1096/BF1096,
AND(L1096="semi_elasticity",M1096="level"),O1096*AN1096,
AND(L1096="semi_elasticity",M1096="sd (Y)"),O1096*AN1096*BI1096,
AND(L1096="semi_elasticity",M1096="sd (X)"),O1096*AN1096/AQ1096,
AND(L1096="level-log",M1096="level"),O1096/BF1096,
AND(L1096="level-log",M1096="sd (X)"),O1096/BF1096/AQ1096,
AND(L1096="level-log",M1096="sd (Y)"),O1096/BF1096*BI1096,
AND(L1096="elasticity",M1096="level"),O1096,
AND(L1096="elasticity",M1096="sd (X)"),O1096/AQ1096,
AND(L1096="elasticity",M1096="sd (Y)"),O1096*BI1096,
AND(L1096="marginal_effect",M1096="percent_of_mean"),O1096*AN1096/BF1096/10)</f>
        <v>0.10979999999999999</v>
      </c>
      <c r="AH1096" s="47">
        <f t="shared" si="482"/>
        <v>1</v>
      </c>
      <c r="AI1096" s="47">
        <f t="shared" si="483"/>
        <v>-0.99870000000000003</v>
      </c>
      <c r="AJ1096" s="47">
        <v>0</v>
      </c>
      <c r="AK1096" s="47">
        <f t="shared" si="484"/>
        <v>1</v>
      </c>
      <c r="AL1096" s="47" t="s">
        <v>159</v>
      </c>
      <c r="AM1096" s="47" t="s">
        <v>1333</v>
      </c>
      <c r="AN1096" s="47">
        <v>15.07</v>
      </c>
      <c r="AO1096" s="47">
        <v>0</v>
      </c>
      <c r="AP1096" s="47">
        <f t="shared" si="486"/>
        <v>15.07</v>
      </c>
      <c r="AQ1096" s="47">
        <v>10.7</v>
      </c>
      <c r="AR1096" s="47">
        <v>0.04</v>
      </c>
      <c r="AS1096" s="47">
        <v>54.68</v>
      </c>
      <c r="AT1096" s="47" t="s">
        <v>107</v>
      </c>
      <c r="AU1096" s="47" t="s">
        <v>109</v>
      </c>
      <c r="AV1096" s="47" t="s">
        <v>133</v>
      </c>
      <c r="AW1096" s="47" t="s">
        <v>134</v>
      </c>
      <c r="AX1096" s="47" t="s">
        <v>86</v>
      </c>
      <c r="AY1096" s="47">
        <v>0</v>
      </c>
      <c r="AZ1096" s="47">
        <v>0</v>
      </c>
      <c r="BA1096" s="47" t="s">
        <v>391</v>
      </c>
      <c r="BB1096" s="47" t="s">
        <v>134</v>
      </c>
      <c r="BC1096" s="47" t="s">
        <v>134</v>
      </c>
      <c r="BD1096" s="47" t="s">
        <v>134</v>
      </c>
      <c r="BE1096" s="47" t="s">
        <v>2211</v>
      </c>
      <c r="BF1096" s="47">
        <v>88</v>
      </c>
      <c r="BG1096" s="47">
        <v>0</v>
      </c>
      <c r="BH1096" s="47">
        <v>160</v>
      </c>
      <c r="BI1096" s="47">
        <v>0.13</v>
      </c>
      <c r="BJ1096" s="47">
        <v>16.248000000000001</v>
      </c>
      <c r="BK1096" s="47" t="s">
        <v>91</v>
      </c>
      <c r="BL1096" s="47" t="s">
        <v>116</v>
      </c>
      <c r="BM1096" s="47">
        <v>1</v>
      </c>
      <c r="BN1096" s="47" t="s">
        <v>2177</v>
      </c>
      <c r="BO1096" s="47" t="s">
        <v>312</v>
      </c>
      <c r="BP1096" s="47" t="s">
        <v>312</v>
      </c>
      <c r="BQ1096" s="47" t="s">
        <v>117</v>
      </c>
      <c r="BR1096" s="47" t="s">
        <v>134</v>
      </c>
      <c r="BS1096" s="47" t="s">
        <v>312</v>
      </c>
      <c r="BT1096" s="47" t="s">
        <v>312</v>
      </c>
      <c r="BU1096" s="47">
        <v>1998</v>
      </c>
      <c r="BV1096" s="47">
        <v>2007</v>
      </c>
      <c r="BW1096" s="47" t="s">
        <v>901</v>
      </c>
      <c r="BX1096" s="47" t="s">
        <v>95</v>
      </c>
      <c r="BY1096" s="47" t="s">
        <v>748</v>
      </c>
      <c r="BZ1096" s="47">
        <v>1</v>
      </c>
      <c r="CA1096" s="47">
        <v>1</v>
      </c>
      <c r="CB1096" s="47" t="s">
        <v>303</v>
      </c>
      <c r="CC1096" s="47" t="s">
        <v>1375</v>
      </c>
      <c r="CD1096" s="47">
        <v>1</v>
      </c>
      <c r="CE1096" s="47" t="s">
        <v>2212</v>
      </c>
      <c r="CF1096" s="47">
        <v>0</v>
      </c>
      <c r="CG1096" s="47" t="s">
        <v>97</v>
      </c>
      <c r="CH1096" s="47">
        <v>0</v>
      </c>
      <c r="CI1096" s="47" t="s">
        <v>116</v>
      </c>
      <c r="CJ1096" s="47" t="s">
        <v>98</v>
      </c>
      <c r="CK1096" s="47">
        <v>22</v>
      </c>
      <c r="CL1096" s="47">
        <v>0</v>
      </c>
      <c r="CM1096" s="47">
        <v>0</v>
      </c>
      <c r="CN1096" s="47" t="s">
        <v>99</v>
      </c>
      <c r="CO1096" s="47" t="s">
        <v>97</v>
      </c>
      <c r="CP1096" s="47" t="s">
        <v>100</v>
      </c>
      <c r="CQ1096" s="47" t="s">
        <v>126</v>
      </c>
      <c r="CR1096" s="48">
        <v>46267</v>
      </c>
      <c r="CT1096" s="47" t="s">
        <v>2236</v>
      </c>
    </row>
    <row r="1097" spans="1:98" s="55" customFormat="1" x14ac:dyDescent="0.35">
      <c r="A1097" s="54" t="s">
        <v>2237</v>
      </c>
      <c r="B1097" s="54" t="s">
        <v>2248</v>
      </c>
      <c r="C1097" s="55" t="s">
        <v>2238</v>
      </c>
      <c r="D1097" s="55">
        <v>2020</v>
      </c>
      <c r="E1097" s="60" t="s">
        <v>2239</v>
      </c>
      <c r="F1097" s="54" t="s">
        <v>2240</v>
      </c>
      <c r="G1097" s="55" t="s">
        <v>78</v>
      </c>
      <c r="H1097" s="55">
        <v>1</v>
      </c>
      <c r="I1097" s="55" t="s">
        <v>290</v>
      </c>
      <c r="J1097" s="55" t="s">
        <v>2210</v>
      </c>
      <c r="K1097" s="55">
        <v>302</v>
      </c>
      <c r="L1097" s="55" t="s">
        <v>129</v>
      </c>
      <c r="M1097" s="55" t="s">
        <v>380</v>
      </c>
      <c r="N1097" s="55">
        <v>-1.1000000000000001E-3</v>
      </c>
      <c r="O1097" s="55">
        <f>N1097/P1097</f>
        <v>3.5369774919614152E-4</v>
      </c>
      <c r="P1097" s="55">
        <v>-3.11</v>
      </c>
      <c r="Q1097" s="55" t="s">
        <v>312</v>
      </c>
      <c r="R1097" s="55">
        <f t="shared" ref="R1097:R1100" si="487">N1097-1.96*O1097</f>
        <v>-1.7932475884244374E-3</v>
      </c>
      <c r="S1097" s="55">
        <f t="shared" ref="S1097:S1100" si="488">N1097+1.96*O1097</f>
        <v>-4.0675241157556272E-4</v>
      </c>
      <c r="T1097" s="55">
        <v>1</v>
      </c>
      <c r="U1097" s="55">
        <v>4097221</v>
      </c>
      <c r="V1097" s="55" t="s">
        <v>312</v>
      </c>
      <c r="W1097" s="55" t="s">
        <v>312</v>
      </c>
      <c r="X1097" s="55">
        <f t="shared" ref="X1097:X1100" si="489">U1097</f>
        <v>4097221</v>
      </c>
      <c r="Y1097" s="55">
        <f t="shared" ref="Y1097:Y1100" si="490">P1097/(P1097^2 + X1097)^(1/2)</f>
        <v>-1.5364385009290096E-3</v>
      </c>
      <c r="Z1097" s="55">
        <f t="shared" ref="Z1097:Z1100" si="491">((1-Y1097^2)/X1097)^(1/2)</f>
        <v>4.9403167232444051E-4</v>
      </c>
      <c r="AA1097" s="55">
        <f t="shared" ref="AA1097:AA1100" si="492">Y1097</f>
        <v>-1.5364385009290096E-3</v>
      </c>
      <c r="AB1097" s="55" t="s">
        <v>81</v>
      </c>
      <c r="AC1097" s="55">
        <f>N1097*AN1097/BF1097</f>
        <v>0.31572091254752854</v>
      </c>
      <c r="AD1097" s="55" cm="1">
        <f t="array" ref="AD1097">_xlfn.IFS(
AND(L1097="marginal_effect",M1097="level"),N1097*AN1097/BF1097,
AND(L1097="marginal_effect",M1097="sd (Y)"),N1097*BI1097*AN1097/BF1097,
AND(L1097="marginal_effect",M1097="sd (X)"),N1097/AQ1097*AN1097/BF1097,
AND(L1097="semi_elasticity",M1097="level"),N1097*AN1097,
AND(L1097="semi_elasticity",M1097="sd (Y)"),N1097*AN1097*BI1097,
AND(L1097="semi_elasticity",M1097="sd (X)"),N1097*AN1097/AQ1097,
AND(L1097="level-log",M1097="level"),N1097/BF1097,
AND(L1097="level-log",M1097="sd (X)"),N1097/BF1097/AQ1097,
AND(L1097="level-log",M1097="sd (Y)"),N1097/BF1097*BI1097,
AND(L1097="elasticity",M1097="level"),N1097,
AND(L1097="elasticity",M1097="sd (X)"),N1097/AQ1097,
AND(L1097="elasticity",M1097="sd (Y)"),N1097*BI1097,
AND(L1097="marginal_effect",M1097="percent_of_mean"),N1097*AN1097/BF1097/10)</f>
        <v>0.31572091254752854</v>
      </c>
      <c r="AE1097" s="55">
        <f t="shared" ref="AE1097:AE1100" si="493">IF(AC1097=AD1097,1,0)</f>
        <v>1</v>
      </c>
      <c r="AF1097" s="55">
        <f>O1097*AN1097/BF1097</f>
        <v>-0.10151797831110243</v>
      </c>
      <c r="AG1097" s="55" cm="1">
        <f t="array" ref="AG1097">_xlfn.IFS(
AND(L1097="marginal_effect",M1097="level"),O1097*AN1097/BF1097,
AND(L1097="marginal_effect",M1097="sd (Y)"),O1097*BI1097*AN1097/BF1097,
AND(L1097="marginal_effect",M1097="sd (X)"),O1097/AQ1097*AN1097/BF1097,
AND(L1097="semi_elasticity",M1097="level"),O1097*AN1097,
AND(L1097="semi_elasticity",M1097="sd (Y)"),O1097*AN1097*BI1097,
AND(L1097="semi_elasticity",M1097="sd (X)"),O1097*AN1097/AQ1097,
AND(L1097="level-log",M1097="level"),O1097/BF1097,
AND(L1097="level-log",M1097="sd (X)"),O1097/BF1097/AQ1097,
AND(L1097="level-log",M1097="sd (Y)"),O1097/BF1097*BI1097,
AND(L1097="elasticity",M1097="level"),O1097,
AND(L1097="elasticity",M1097="sd (X)"),O1097/AQ1097,
AND(L1097="elasticity",M1097="sd (Y)"),O1097*BI1097,
AND(L1097="marginal_effect",M1097="percent_of_mean"),O1097*AN1097/BF1097/10)</f>
        <v>-0.10151797831110243</v>
      </c>
      <c r="AH1097" s="55">
        <f t="shared" ref="AH1097:AH1100" si="494">IF(AF1097=AG1097,1,0)</f>
        <v>1</v>
      </c>
      <c r="AI1097" s="55">
        <f>-AC1097</f>
        <v>-0.31572091254752854</v>
      </c>
      <c r="AJ1097" s="55">
        <v>0</v>
      </c>
      <c r="AK1097" s="55">
        <f t="shared" ref="AK1097:AK1100" si="495">IF(P1097=(AC1097/AF1097),1,0)</f>
        <v>1</v>
      </c>
      <c r="AL1097" s="55" t="s">
        <v>735</v>
      </c>
      <c r="AM1097" s="55" t="s">
        <v>737</v>
      </c>
      <c r="AN1097" s="55">
        <v>75.486000000000004</v>
      </c>
      <c r="AO1097" s="55">
        <v>0</v>
      </c>
      <c r="AP1097" s="55">
        <f t="shared" si="486"/>
        <v>75.486000000000004</v>
      </c>
      <c r="AQ1097" s="55">
        <v>41.317999999999998</v>
      </c>
      <c r="AR1097" s="55" t="s">
        <v>312</v>
      </c>
      <c r="AS1097" s="55" t="s">
        <v>312</v>
      </c>
      <c r="AT1097" s="55" t="s">
        <v>83</v>
      </c>
      <c r="AU1097" s="55" t="s">
        <v>109</v>
      </c>
      <c r="AV1097" s="55" t="s">
        <v>133</v>
      </c>
      <c r="AW1097" s="55" t="s">
        <v>85</v>
      </c>
      <c r="AX1097" s="55" t="s">
        <v>86</v>
      </c>
      <c r="AY1097" s="55">
        <v>0</v>
      </c>
      <c r="AZ1097" s="55">
        <v>0</v>
      </c>
      <c r="BA1097" s="55" t="s">
        <v>391</v>
      </c>
      <c r="BB1097" s="55" t="s">
        <v>88</v>
      </c>
      <c r="BC1097" s="55" t="s">
        <v>113</v>
      </c>
      <c r="BD1097" s="55" t="s">
        <v>114</v>
      </c>
      <c r="BE1097" s="55" t="s">
        <v>2241</v>
      </c>
      <c r="BF1097" s="55">
        <v>-0.26300000000000001</v>
      </c>
      <c r="BG1097" s="55">
        <v>0</v>
      </c>
      <c r="BH1097" s="55">
        <v>16.152999999999999</v>
      </c>
      <c r="BI1097" s="55" t="s">
        <v>312</v>
      </c>
      <c r="BJ1097" s="55" t="s">
        <v>312</v>
      </c>
      <c r="BK1097" s="55" t="s">
        <v>91</v>
      </c>
      <c r="BL1097" s="55" t="s">
        <v>509</v>
      </c>
      <c r="BM1097" s="76" t="s">
        <v>1411</v>
      </c>
      <c r="BN1097" s="55" t="s">
        <v>428</v>
      </c>
      <c r="BO1097" s="55" t="s">
        <v>1297</v>
      </c>
      <c r="BP1097" s="55" t="s">
        <v>1296</v>
      </c>
      <c r="BQ1097" s="55" t="s">
        <v>117</v>
      </c>
      <c r="BR1097" s="55" t="s">
        <v>93</v>
      </c>
      <c r="BS1097" s="55">
        <v>42.360999999999997</v>
      </c>
      <c r="BT1097" s="55">
        <v>0.46400000000000002</v>
      </c>
      <c r="BU1097" s="107">
        <v>39083</v>
      </c>
      <c r="BV1097" s="107">
        <v>41974</v>
      </c>
      <c r="BW1097" s="55" t="s">
        <v>94</v>
      </c>
      <c r="BX1097" s="55" t="s">
        <v>95</v>
      </c>
      <c r="BY1097" s="55" t="s">
        <v>96</v>
      </c>
      <c r="BZ1097" s="55">
        <v>0</v>
      </c>
      <c r="CA1097" s="55">
        <v>0</v>
      </c>
      <c r="CB1097" s="55" t="s">
        <v>97</v>
      </c>
      <c r="CC1097" s="55" t="s">
        <v>314</v>
      </c>
      <c r="CD1097" s="55">
        <v>0</v>
      </c>
      <c r="CE1097" s="55" t="s">
        <v>97</v>
      </c>
      <c r="CF1097" s="55">
        <v>0</v>
      </c>
      <c r="CG1097" s="55" t="s">
        <v>97</v>
      </c>
      <c r="CH1097" s="55">
        <v>0</v>
      </c>
      <c r="CI1097" s="55" t="s">
        <v>2243</v>
      </c>
      <c r="CJ1097" s="55" t="s">
        <v>98</v>
      </c>
      <c r="CK1097" s="55">
        <v>14</v>
      </c>
      <c r="CL1097" s="55">
        <v>0</v>
      </c>
      <c r="CM1097" s="55">
        <v>0</v>
      </c>
      <c r="CN1097" s="55" t="s">
        <v>99</v>
      </c>
      <c r="CO1097" s="55" t="s">
        <v>97</v>
      </c>
      <c r="CP1097" s="55" t="s">
        <v>717</v>
      </c>
      <c r="CQ1097" s="55" t="s">
        <v>126</v>
      </c>
      <c r="CR1097" s="57">
        <v>46267</v>
      </c>
      <c r="CT1097" s="55" t="s">
        <v>2244</v>
      </c>
    </row>
    <row r="1098" spans="1:98" s="55" customFormat="1" x14ac:dyDescent="0.35">
      <c r="A1098" s="54" t="s">
        <v>2237</v>
      </c>
      <c r="B1098" s="54" t="s">
        <v>2249</v>
      </c>
      <c r="C1098" s="55" t="s">
        <v>2238</v>
      </c>
      <c r="D1098" s="55">
        <v>2020</v>
      </c>
      <c r="E1098" s="60" t="s">
        <v>2239</v>
      </c>
      <c r="F1098" s="54" t="s">
        <v>2240</v>
      </c>
      <c r="G1098" s="55" t="s">
        <v>78</v>
      </c>
      <c r="H1098" s="55">
        <v>1</v>
      </c>
      <c r="I1098" s="55" t="s">
        <v>290</v>
      </c>
      <c r="J1098" s="55" t="s">
        <v>2210</v>
      </c>
      <c r="K1098" s="55">
        <v>302</v>
      </c>
      <c r="L1098" s="55" t="s">
        <v>129</v>
      </c>
      <c r="M1098" s="55" t="s">
        <v>380</v>
      </c>
      <c r="N1098" s="55">
        <v>-1.4E-3</v>
      </c>
      <c r="O1098" s="55">
        <f t="shared" ref="O1098:O1110" si="496">N1098/P1098</f>
        <v>3.1674208144796378E-4</v>
      </c>
      <c r="P1098" s="55">
        <v>-4.42</v>
      </c>
      <c r="Q1098" s="55" t="s">
        <v>312</v>
      </c>
      <c r="R1098" s="55">
        <f t="shared" si="487"/>
        <v>-2.0208144796380091E-3</v>
      </c>
      <c r="S1098" s="55">
        <f t="shared" si="488"/>
        <v>-7.7918552036199097E-4</v>
      </c>
      <c r="T1098" s="55">
        <v>1</v>
      </c>
      <c r="U1098" s="55">
        <v>4097221</v>
      </c>
      <c r="V1098" s="55" t="s">
        <v>312</v>
      </c>
      <c r="W1098" s="55" t="s">
        <v>312</v>
      </c>
      <c r="X1098" s="55">
        <f t="shared" si="489"/>
        <v>4097221</v>
      </c>
      <c r="Y1098" s="55">
        <f t="shared" si="490"/>
        <v>-2.1836173630883412E-3</v>
      </c>
      <c r="Z1098" s="55">
        <f t="shared" si="491"/>
        <v>4.9403107762179671E-4</v>
      </c>
      <c r="AA1098" s="55">
        <f t="shared" si="492"/>
        <v>-2.1836173630883412E-3</v>
      </c>
      <c r="AB1098" s="55" t="s">
        <v>81</v>
      </c>
      <c r="AC1098" s="55">
        <f t="shared" ref="AC1098:AC1100" si="497">N1098*AN1098/BF1098</f>
        <v>0.35945714285714292</v>
      </c>
      <c r="AD1098" s="55" cm="1">
        <f t="array" ref="AD1098">_xlfn.IFS(
AND(L1098="marginal_effect",M1098="level"),N1098*AN1098/BF1098,
AND(L1098="marginal_effect",M1098="sd (Y)"),N1098*BI1098*AN1098/BF1098,
AND(L1098="marginal_effect",M1098="sd (X)"),N1098/AQ1098*AN1098/BF1098,
AND(L1098="semi_elasticity",M1098="level"),N1098*AN1098,
AND(L1098="semi_elasticity",M1098="sd (Y)"),N1098*AN1098*BI1098,
AND(L1098="semi_elasticity",M1098="sd (X)"),N1098*AN1098/AQ1098,
AND(L1098="level-log",M1098="level"),N1098/BF1098,
AND(L1098="level-log",M1098="sd (X)"),N1098/BF1098/AQ1098,
AND(L1098="level-log",M1098="sd (Y)"),N1098/BF1098*BI1098,
AND(L1098="elasticity",M1098="level"),N1098,
AND(L1098="elasticity",M1098="sd (X)"),N1098/AQ1098,
AND(L1098="elasticity",M1098="sd (Y)"),N1098*BI1098,
AND(L1098="marginal_effect",M1098="percent_of_mean"),N1098*AN1098/BF1098/10)</f>
        <v>0.35945714285714292</v>
      </c>
      <c r="AE1098" s="55">
        <f t="shared" si="493"/>
        <v>1</v>
      </c>
      <c r="AF1098" s="55">
        <f t="shared" ref="AF1098:AF1100" si="498">O1098*AN1098/BF1098</f>
        <v>-8.1325145442792499E-2</v>
      </c>
      <c r="AG1098" s="55" cm="1">
        <f t="array" ref="AG1098">_xlfn.IFS(
AND(L1098="marginal_effect",M1098="level"),O1098*AN1098/BF1098,
AND(L1098="marginal_effect",M1098="sd (Y)"),O1098*BI1098*AN1098/BF1098,
AND(L1098="marginal_effect",M1098="sd (X)"),O1098/AQ1098*AN1098/BF1098,
AND(L1098="semi_elasticity",M1098="level"),O1098*AN1098,
AND(L1098="semi_elasticity",M1098="sd (Y)"),O1098*AN1098*BI1098,
AND(L1098="semi_elasticity",M1098="sd (X)"),O1098*AN1098/AQ1098,
AND(L1098="level-log",M1098="level"),O1098/BF1098,
AND(L1098="level-log",M1098="sd (X)"),O1098/BF1098/AQ1098,
AND(L1098="level-log",M1098="sd (Y)"),O1098/BF1098*BI1098,
AND(L1098="elasticity",M1098="level"),O1098,
AND(L1098="elasticity",M1098="sd (X)"),O1098/AQ1098,
AND(L1098="elasticity",M1098="sd (Y)"),O1098*BI1098,
AND(L1098="marginal_effect",M1098="percent_of_mean"),O1098*AN1098/BF1098/10)</f>
        <v>-8.1325145442792499E-2</v>
      </c>
      <c r="AH1098" s="55">
        <f t="shared" si="494"/>
        <v>1</v>
      </c>
      <c r="AI1098" s="55">
        <f t="shared" ref="AI1098:AI1100" si="499">-AC1098</f>
        <v>-0.35945714285714292</v>
      </c>
      <c r="AJ1098" s="55">
        <v>0</v>
      </c>
      <c r="AK1098" s="55">
        <f t="shared" si="495"/>
        <v>1</v>
      </c>
      <c r="AL1098" s="55" t="s">
        <v>735</v>
      </c>
      <c r="AM1098" s="55" t="s">
        <v>737</v>
      </c>
      <c r="AN1098" s="55">
        <v>75.486000000000004</v>
      </c>
      <c r="AO1098" s="55">
        <v>0</v>
      </c>
      <c r="AP1098" s="55">
        <f t="shared" ref="AP1098:AP1101" si="500">AN1098</f>
        <v>75.486000000000004</v>
      </c>
      <c r="AQ1098" s="55">
        <v>41.317999999999998</v>
      </c>
      <c r="AR1098" s="55" t="s">
        <v>312</v>
      </c>
      <c r="AS1098" s="55" t="s">
        <v>312</v>
      </c>
      <c r="AT1098" s="55" t="s">
        <v>83</v>
      </c>
      <c r="AU1098" s="55" t="s">
        <v>109</v>
      </c>
      <c r="AV1098" s="55" t="s">
        <v>133</v>
      </c>
      <c r="AW1098" s="55" t="s">
        <v>85</v>
      </c>
      <c r="AX1098" s="55" t="s">
        <v>86</v>
      </c>
      <c r="AY1098" s="55">
        <v>0</v>
      </c>
      <c r="AZ1098" s="55">
        <v>0</v>
      </c>
      <c r="BA1098" s="55" t="s">
        <v>391</v>
      </c>
      <c r="BB1098" s="55" t="s">
        <v>88</v>
      </c>
      <c r="BC1098" s="55" t="s">
        <v>113</v>
      </c>
      <c r="BD1098" s="55" t="s">
        <v>114</v>
      </c>
      <c r="BE1098" s="55" t="s">
        <v>2241</v>
      </c>
      <c r="BF1098" s="55">
        <v>-0.29399999999999998</v>
      </c>
      <c r="BG1098" s="55">
        <v>0</v>
      </c>
      <c r="BH1098" s="55">
        <v>22.718</v>
      </c>
      <c r="BI1098" s="55" t="s">
        <v>312</v>
      </c>
      <c r="BJ1098" s="55" t="s">
        <v>312</v>
      </c>
      <c r="BK1098" s="55" t="s">
        <v>91</v>
      </c>
      <c r="BL1098" s="55" t="s">
        <v>509</v>
      </c>
      <c r="BM1098" s="76" t="s">
        <v>1411</v>
      </c>
      <c r="BN1098" s="55" t="s">
        <v>428</v>
      </c>
      <c r="BO1098" s="55" t="s">
        <v>1297</v>
      </c>
      <c r="BP1098" s="55" t="s">
        <v>1296</v>
      </c>
      <c r="BQ1098" s="55" t="s">
        <v>117</v>
      </c>
      <c r="BR1098" s="55" t="s">
        <v>93</v>
      </c>
      <c r="BS1098" s="55">
        <v>42.360999999999997</v>
      </c>
      <c r="BT1098" s="55">
        <v>0.46400000000000002</v>
      </c>
      <c r="BU1098" s="107">
        <v>39083</v>
      </c>
      <c r="BV1098" s="107">
        <v>41974</v>
      </c>
      <c r="BW1098" s="55" t="s">
        <v>94</v>
      </c>
      <c r="BX1098" s="55" t="s">
        <v>95</v>
      </c>
      <c r="BY1098" s="55" t="s">
        <v>96</v>
      </c>
      <c r="BZ1098" s="55">
        <v>0</v>
      </c>
      <c r="CA1098" s="55">
        <v>0</v>
      </c>
      <c r="CB1098" s="55" t="s">
        <v>97</v>
      </c>
      <c r="CC1098" s="55" t="s">
        <v>314</v>
      </c>
      <c r="CD1098" s="55">
        <v>0</v>
      </c>
      <c r="CE1098" s="55" t="s">
        <v>97</v>
      </c>
      <c r="CF1098" s="55">
        <v>0</v>
      </c>
      <c r="CG1098" s="55" t="s">
        <v>97</v>
      </c>
      <c r="CH1098" s="55">
        <v>0</v>
      </c>
      <c r="CI1098" s="55" t="s">
        <v>2243</v>
      </c>
      <c r="CJ1098" s="55" t="s">
        <v>98</v>
      </c>
      <c r="CK1098" s="55">
        <v>14</v>
      </c>
      <c r="CL1098" s="55">
        <v>0</v>
      </c>
      <c r="CM1098" s="55">
        <v>0</v>
      </c>
      <c r="CN1098" s="55" t="s">
        <v>99</v>
      </c>
      <c r="CO1098" s="55" t="s">
        <v>97</v>
      </c>
      <c r="CP1098" s="55" t="s">
        <v>717</v>
      </c>
      <c r="CQ1098" s="55" t="s">
        <v>126</v>
      </c>
      <c r="CR1098" s="57">
        <v>46267</v>
      </c>
      <c r="CT1098" s="55" t="s">
        <v>2245</v>
      </c>
    </row>
    <row r="1099" spans="1:98" s="55" customFormat="1" x14ac:dyDescent="0.35">
      <c r="A1099" s="54" t="s">
        <v>2237</v>
      </c>
      <c r="B1099" s="54" t="s">
        <v>2250</v>
      </c>
      <c r="C1099" s="55" t="s">
        <v>2238</v>
      </c>
      <c r="D1099" s="55">
        <v>2020</v>
      </c>
      <c r="E1099" s="60" t="s">
        <v>2239</v>
      </c>
      <c r="F1099" s="54" t="s">
        <v>2240</v>
      </c>
      <c r="G1099" s="55" t="s">
        <v>78</v>
      </c>
      <c r="H1099" s="55">
        <v>1</v>
      </c>
      <c r="I1099" s="55" t="s">
        <v>290</v>
      </c>
      <c r="J1099" s="55" t="s">
        <v>2210</v>
      </c>
      <c r="K1099" s="55">
        <v>302</v>
      </c>
      <c r="L1099" s="55" t="s">
        <v>129</v>
      </c>
      <c r="M1099" s="55" t="s">
        <v>380</v>
      </c>
      <c r="N1099" s="55">
        <v>-1.1999999999999999E-3</v>
      </c>
      <c r="O1099" s="55">
        <f t="shared" si="496"/>
        <v>3.1007751937984492E-4</v>
      </c>
      <c r="P1099" s="55">
        <v>-3.87</v>
      </c>
      <c r="Q1099" s="55" t="s">
        <v>312</v>
      </c>
      <c r="R1099" s="55">
        <f t="shared" si="487"/>
        <v>-1.8077519379844959E-3</v>
      </c>
      <c r="S1099" s="55">
        <f t="shared" si="488"/>
        <v>-5.9224806201550381E-4</v>
      </c>
      <c r="T1099" s="55">
        <v>1</v>
      </c>
      <c r="U1099" s="55">
        <v>4097221</v>
      </c>
      <c r="V1099" s="55" t="s">
        <v>312</v>
      </c>
      <c r="W1099" s="55" t="s">
        <v>312</v>
      </c>
      <c r="X1099" s="55">
        <f t="shared" si="489"/>
        <v>4097221</v>
      </c>
      <c r="Y1099" s="55">
        <f t="shared" si="490"/>
        <v>-1.9119013341997203E-3</v>
      </c>
      <c r="Z1099" s="55">
        <f t="shared" si="491"/>
        <v>4.9403135250638771E-4</v>
      </c>
      <c r="AA1099" s="55">
        <f t="shared" si="492"/>
        <v>-1.9119013341997203E-3</v>
      </c>
      <c r="AB1099" s="55" t="s">
        <v>81</v>
      </c>
      <c r="AC1099" s="55">
        <f t="shared" si="497"/>
        <v>0.25955071633237825</v>
      </c>
      <c r="AD1099" s="55" cm="1">
        <f t="array" ref="AD1099">_xlfn.IFS(
AND(L1099="marginal_effect",M1099="level"),N1099*AN1099/BF1099,
AND(L1099="marginal_effect",M1099="sd (Y)"),N1099*BI1099*AN1099/BF1099,
AND(L1099="marginal_effect",M1099="sd (X)"),N1099/AQ1099*AN1099/BF1099,
AND(L1099="semi_elasticity",M1099="level"),N1099*AN1099,
AND(L1099="semi_elasticity",M1099="sd (Y)"),N1099*AN1099*BI1099,
AND(L1099="semi_elasticity",M1099="sd (X)"),N1099*AN1099/AQ1099,
AND(L1099="level-log",M1099="level"),N1099/BF1099,
AND(L1099="level-log",M1099="sd (X)"),N1099/BF1099/AQ1099,
AND(L1099="level-log",M1099="sd (Y)"),N1099/BF1099*BI1099,
AND(L1099="elasticity",M1099="level"),N1099,
AND(L1099="elasticity",M1099="sd (X)"),N1099/AQ1099,
AND(L1099="elasticity",M1099="sd (Y)"),N1099*BI1099,
AND(L1099="marginal_effect",M1099="percent_of_mean"),N1099*AN1099/BF1099/10)</f>
        <v>0.25955071633237825</v>
      </c>
      <c r="AE1099" s="55">
        <f t="shared" si="493"/>
        <v>1</v>
      </c>
      <c r="AF1099" s="55">
        <f t="shared" si="498"/>
        <v>-6.7067368561338034E-2</v>
      </c>
      <c r="AG1099" s="55" cm="1">
        <f t="array" ref="AG1099">_xlfn.IFS(
AND(L1099="marginal_effect",M1099="level"),O1099*AN1099/BF1099,
AND(L1099="marginal_effect",M1099="sd (Y)"),O1099*BI1099*AN1099/BF1099,
AND(L1099="marginal_effect",M1099="sd (X)"),O1099/AQ1099*AN1099/BF1099,
AND(L1099="semi_elasticity",M1099="level"),O1099*AN1099,
AND(L1099="semi_elasticity",M1099="sd (Y)"),O1099*AN1099*BI1099,
AND(L1099="semi_elasticity",M1099="sd (X)"),O1099*AN1099/AQ1099,
AND(L1099="level-log",M1099="level"),O1099/BF1099,
AND(L1099="level-log",M1099="sd (X)"),O1099/BF1099/AQ1099,
AND(L1099="level-log",M1099="sd (Y)"),O1099/BF1099*BI1099,
AND(L1099="elasticity",M1099="level"),O1099,
AND(L1099="elasticity",M1099="sd (X)"),O1099/AQ1099,
AND(L1099="elasticity",M1099="sd (Y)"),O1099*BI1099,
AND(L1099="marginal_effect",M1099="percent_of_mean"),O1099*AN1099/BF1099/10)</f>
        <v>-6.7067368561338034E-2</v>
      </c>
      <c r="AH1099" s="55">
        <f t="shared" si="494"/>
        <v>1</v>
      </c>
      <c r="AI1099" s="55">
        <f t="shared" si="499"/>
        <v>-0.25955071633237825</v>
      </c>
      <c r="AJ1099" s="55">
        <v>0</v>
      </c>
      <c r="AK1099" s="55">
        <f t="shared" si="495"/>
        <v>1</v>
      </c>
      <c r="AL1099" s="55" t="s">
        <v>735</v>
      </c>
      <c r="AM1099" s="55" t="s">
        <v>737</v>
      </c>
      <c r="AN1099" s="55">
        <v>75.486000000000004</v>
      </c>
      <c r="AO1099" s="55">
        <v>0</v>
      </c>
      <c r="AP1099" s="55">
        <f t="shared" si="500"/>
        <v>75.486000000000004</v>
      </c>
      <c r="AQ1099" s="55">
        <v>41.317999999999998</v>
      </c>
      <c r="AR1099" s="55" t="s">
        <v>312</v>
      </c>
      <c r="AS1099" s="55" t="s">
        <v>312</v>
      </c>
      <c r="AT1099" s="55" t="s">
        <v>83</v>
      </c>
      <c r="AU1099" s="55" t="s">
        <v>109</v>
      </c>
      <c r="AV1099" s="55" t="s">
        <v>133</v>
      </c>
      <c r="AW1099" s="55" t="s">
        <v>85</v>
      </c>
      <c r="AX1099" s="55" t="s">
        <v>86</v>
      </c>
      <c r="AY1099" s="55">
        <v>0</v>
      </c>
      <c r="AZ1099" s="55">
        <v>0</v>
      </c>
      <c r="BA1099" s="55" t="s">
        <v>391</v>
      </c>
      <c r="BB1099" s="55" t="s">
        <v>88</v>
      </c>
      <c r="BC1099" s="55" t="s">
        <v>113</v>
      </c>
      <c r="BD1099" s="55" t="s">
        <v>114</v>
      </c>
      <c r="BE1099" s="55" t="s">
        <v>2241</v>
      </c>
      <c r="BF1099" s="55">
        <v>-0.34899999999999998</v>
      </c>
      <c r="BG1099" s="55">
        <v>0</v>
      </c>
      <c r="BH1099" s="55">
        <v>28.363</v>
      </c>
      <c r="BI1099" s="55" t="s">
        <v>312</v>
      </c>
      <c r="BJ1099" s="55" t="s">
        <v>312</v>
      </c>
      <c r="BK1099" s="55" t="s">
        <v>91</v>
      </c>
      <c r="BL1099" s="55" t="s">
        <v>509</v>
      </c>
      <c r="BM1099" s="76" t="s">
        <v>1411</v>
      </c>
      <c r="BN1099" s="55" t="s">
        <v>428</v>
      </c>
      <c r="BO1099" s="55" t="s">
        <v>1297</v>
      </c>
      <c r="BP1099" s="55" t="s">
        <v>1296</v>
      </c>
      <c r="BQ1099" s="55" t="s">
        <v>117</v>
      </c>
      <c r="BR1099" s="55" t="s">
        <v>93</v>
      </c>
      <c r="BS1099" s="55">
        <v>42.360999999999997</v>
      </c>
      <c r="BT1099" s="55">
        <v>0.46400000000000002</v>
      </c>
      <c r="BU1099" s="107">
        <v>39083</v>
      </c>
      <c r="BV1099" s="107">
        <v>41974</v>
      </c>
      <c r="BW1099" s="55" t="s">
        <v>94</v>
      </c>
      <c r="BX1099" s="55" t="s">
        <v>95</v>
      </c>
      <c r="BY1099" s="55" t="s">
        <v>96</v>
      </c>
      <c r="BZ1099" s="55">
        <v>0</v>
      </c>
      <c r="CA1099" s="55">
        <v>0</v>
      </c>
      <c r="CB1099" s="55" t="s">
        <v>97</v>
      </c>
      <c r="CC1099" s="55" t="s">
        <v>314</v>
      </c>
      <c r="CD1099" s="55">
        <v>0</v>
      </c>
      <c r="CE1099" s="55" t="s">
        <v>97</v>
      </c>
      <c r="CF1099" s="55">
        <v>0</v>
      </c>
      <c r="CG1099" s="55" t="s">
        <v>97</v>
      </c>
      <c r="CH1099" s="55">
        <v>0</v>
      </c>
      <c r="CI1099" s="55" t="s">
        <v>2243</v>
      </c>
      <c r="CJ1099" s="55" t="s">
        <v>98</v>
      </c>
      <c r="CK1099" s="55">
        <v>14</v>
      </c>
      <c r="CL1099" s="55">
        <v>0</v>
      </c>
      <c r="CM1099" s="55">
        <v>0</v>
      </c>
      <c r="CN1099" s="55" t="s">
        <v>99</v>
      </c>
      <c r="CO1099" s="55" t="s">
        <v>97</v>
      </c>
      <c r="CP1099" s="55" t="s">
        <v>717</v>
      </c>
      <c r="CQ1099" s="55" t="s">
        <v>126</v>
      </c>
      <c r="CR1099" s="57">
        <v>46267</v>
      </c>
      <c r="CT1099" s="55" t="s">
        <v>2246</v>
      </c>
    </row>
    <row r="1100" spans="1:98" s="55" customFormat="1" x14ac:dyDescent="0.35">
      <c r="A1100" s="54" t="s">
        <v>2237</v>
      </c>
      <c r="B1100" s="54" t="s">
        <v>2251</v>
      </c>
      <c r="C1100" s="55" t="s">
        <v>2238</v>
      </c>
      <c r="D1100" s="55">
        <v>2020</v>
      </c>
      <c r="E1100" s="60" t="s">
        <v>2239</v>
      </c>
      <c r="F1100" s="54" t="s">
        <v>2240</v>
      </c>
      <c r="G1100" s="55" t="s">
        <v>78</v>
      </c>
      <c r="H1100" s="55">
        <v>1</v>
      </c>
      <c r="I1100" s="55" t="s">
        <v>290</v>
      </c>
      <c r="J1100" s="55" t="s">
        <v>2210</v>
      </c>
      <c r="K1100" s="55">
        <v>302</v>
      </c>
      <c r="L1100" s="55" t="s">
        <v>129</v>
      </c>
      <c r="M1100" s="55" t="s">
        <v>380</v>
      </c>
      <c r="N1100" s="55">
        <v>-1.6999999999999999E-3</v>
      </c>
      <c r="O1100" s="55">
        <f t="shared" si="496"/>
        <v>5.4838709677419348E-4</v>
      </c>
      <c r="P1100" s="55">
        <v>-3.1</v>
      </c>
      <c r="Q1100" s="55" t="s">
        <v>312</v>
      </c>
      <c r="R1100" s="55">
        <f t="shared" si="487"/>
        <v>-2.7748387096774192E-3</v>
      </c>
      <c r="S1100" s="55">
        <f t="shared" si="488"/>
        <v>-6.2516129032258059E-4</v>
      </c>
      <c r="T1100" s="55">
        <v>1</v>
      </c>
      <c r="U1100" s="55">
        <v>4097221</v>
      </c>
      <c r="V1100" s="55" t="s">
        <v>312</v>
      </c>
      <c r="W1100" s="55" t="s">
        <v>312</v>
      </c>
      <c r="X1100" s="55">
        <f t="shared" si="489"/>
        <v>4097221</v>
      </c>
      <c r="Y1100" s="55">
        <f t="shared" si="490"/>
        <v>-1.5314981958119021E-3</v>
      </c>
      <c r="Z1100" s="55">
        <f t="shared" si="491"/>
        <v>4.9403167606835551E-4</v>
      </c>
      <c r="AA1100" s="55">
        <f t="shared" si="492"/>
        <v>-1.5314981958119021E-3</v>
      </c>
      <c r="AB1100" s="55" t="s">
        <v>81</v>
      </c>
      <c r="AC1100" s="55">
        <f t="shared" si="497"/>
        <v>0.30626778042959429</v>
      </c>
      <c r="AD1100" s="55" cm="1">
        <f t="array" ref="AD1100">_xlfn.IFS(
AND(L1100="marginal_effect",M1100="level"),N1100*AN1100/BF1100,
AND(L1100="marginal_effect",M1100="sd (Y)"),N1100*BI1100*AN1100/BF1100,
AND(L1100="marginal_effect",M1100="sd (X)"),N1100/AQ1100*AN1100/BF1100,
AND(L1100="semi_elasticity",M1100="level"),N1100*AN1100,
AND(L1100="semi_elasticity",M1100="sd (Y)"),N1100*AN1100*BI1100,
AND(L1100="semi_elasticity",M1100="sd (X)"),N1100*AN1100/AQ1100,
AND(L1100="level-log",M1100="level"),N1100/BF1100,
AND(L1100="level-log",M1100="sd (X)"),N1100/BF1100/AQ1100,
AND(L1100="level-log",M1100="sd (Y)"),N1100/BF1100*BI1100,
AND(L1100="elasticity",M1100="level"),N1100,
AND(L1100="elasticity",M1100="sd (X)"),N1100/AQ1100,
AND(L1100="elasticity",M1100="sd (Y)"),N1100*BI1100,
AND(L1100="marginal_effect",M1100="percent_of_mean"),N1100*AN1100/BF1100/10)</f>
        <v>0.30626778042959429</v>
      </c>
      <c r="AE1100" s="55">
        <f t="shared" si="493"/>
        <v>1</v>
      </c>
      <c r="AF1100" s="55">
        <f t="shared" si="498"/>
        <v>-9.8796058203094922E-2</v>
      </c>
      <c r="AG1100" s="55" cm="1">
        <f t="array" ref="AG1100">_xlfn.IFS(
AND(L1100="marginal_effect",M1100="level"),O1100*AN1100/BF1100,
AND(L1100="marginal_effect",M1100="sd (Y)"),O1100*BI1100*AN1100/BF1100,
AND(L1100="marginal_effect",M1100="sd (X)"),O1100/AQ1100*AN1100/BF1100,
AND(L1100="semi_elasticity",M1100="level"),O1100*AN1100,
AND(L1100="semi_elasticity",M1100="sd (Y)"),O1100*AN1100*BI1100,
AND(L1100="semi_elasticity",M1100="sd (X)"),O1100*AN1100/AQ1100,
AND(L1100="level-log",M1100="level"),O1100/BF1100,
AND(L1100="level-log",M1100="sd (X)"),O1100/BF1100/AQ1100,
AND(L1100="level-log",M1100="sd (Y)"),O1100/BF1100*BI1100,
AND(L1100="elasticity",M1100="level"),O1100,
AND(L1100="elasticity",M1100="sd (X)"),O1100/AQ1100,
AND(L1100="elasticity",M1100="sd (Y)"),O1100*BI1100,
AND(L1100="marginal_effect",M1100="percent_of_mean"),O1100*AN1100/BF1100/10)</f>
        <v>-9.8796058203094922E-2</v>
      </c>
      <c r="AH1100" s="55">
        <f t="shared" si="494"/>
        <v>1</v>
      </c>
      <c r="AI1100" s="55">
        <f t="shared" si="499"/>
        <v>-0.30626778042959429</v>
      </c>
      <c r="AJ1100" s="55">
        <v>0</v>
      </c>
      <c r="AK1100" s="55">
        <f t="shared" si="495"/>
        <v>1</v>
      </c>
      <c r="AL1100" s="55" t="s">
        <v>735</v>
      </c>
      <c r="AM1100" s="55" t="s">
        <v>737</v>
      </c>
      <c r="AN1100" s="55">
        <v>75.486000000000004</v>
      </c>
      <c r="AO1100" s="55">
        <v>0</v>
      </c>
      <c r="AP1100" s="55">
        <f t="shared" si="500"/>
        <v>75.486000000000004</v>
      </c>
      <c r="AQ1100" s="55">
        <v>41.317999999999998</v>
      </c>
      <c r="AR1100" s="55" t="s">
        <v>312</v>
      </c>
      <c r="AS1100" s="55" t="s">
        <v>312</v>
      </c>
      <c r="AT1100" s="55" t="s">
        <v>83</v>
      </c>
      <c r="AU1100" s="55" t="s">
        <v>109</v>
      </c>
      <c r="AV1100" s="55" t="s">
        <v>133</v>
      </c>
      <c r="AW1100" s="55" t="s">
        <v>85</v>
      </c>
      <c r="AX1100" s="55" t="s">
        <v>86</v>
      </c>
      <c r="AY1100" s="55">
        <v>0</v>
      </c>
      <c r="AZ1100" s="55">
        <v>0</v>
      </c>
      <c r="BA1100" s="55" t="s">
        <v>391</v>
      </c>
      <c r="BB1100" s="55" t="s">
        <v>88</v>
      </c>
      <c r="BC1100" s="55" t="s">
        <v>113</v>
      </c>
      <c r="BD1100" s="55" t="s">
        <v>114</v>
      </c>
      <c r="BE1100" s="55" t="s">
        <v>2241</v>
      </c>
      <c r="BF1100" s="55">
        <v>-0.41899999999999998</v>
      </c>
      <c r="BG1100" s="55">
        <v>0</v>
      </c>
      <c r="BH1100" s="55">
        <v>33.308999999999997</v>
      </c>
      <c r="BI1100" s="55" t="s">
        <v>312</v>
      </c>
      <c r="BJ1100" s="55" t="s">
        <v>312</v>
      </c>
      <c r="BK1100" s="55" t="s">
        <v>91</v>
      </c>
      <c r="BL1100" s="55" t="s">
        <v>509</v>
      </c>
      <c r="BM1100" s="76" t="s">
        <v>1411</v>
      </c>
      <c r="BN1100" s="55" t="s">
        <v>428</v>
      </c>
      <c r="BO1100" s="55" t="s">
        <v>1297</v>
      </c>
      <c r="BP1100" s="55" t="s">
        <v>1296</v>
      </c>
      <c r="BQ1100" s="55" t="s">
        <v>117</v>
      </c>
      <c r="BR1100" s="55" t="s">
        <v>93</v>
      </c>
      <c r="BS1100" s="55">
        <v>42.360999999999997</v>
      </c>
      <c r="BT1100" s="55">
        <v>0.46400000000000002</v>
      </c>
      <c r="BU1100" s="107">
        <v>39083</v>
      </c>
      <c r="BV1100" s="107">
        <v>41974</v>
      </c>
      <c r="BW1100" s="55" t="s">
        <v>94</v>
      </c>
      <c r="BX1100" s="55" t="s">
        <v>95</v>
      </c>
      <c r="BY1100" s="55" t="s">
        <v>96</v>
      </c>
      <c r="BZ1100" s="55">
        <v>0</v>
      </c>
      <c r="CA1100" s="55">
        <v>0</v>
      </c>
      <c r="CB1100" s="55" t="s">
        <v>97</v>
      </c>
      <c r="CC1100" s="55" t="s">
        <v>314</v>
      </c>
      <c r="CD1100" s="55">
        <v>0</v>
      </c>
      <c r="CE1100" s="55" t="s">
        <v>97</v>
      </c>
      <c r="CF1100" s="55">
        <v>0</v>
      </c>
      <c r="CG1100" s="55" t="s">
        <v>97</v>
      </c>
      <c r="CH1100" s="55">
        <v>0</v>
      </c>
      <c r="CI1100" s="55" t="s">
        <v>2243</v>
      </c>
      <c r="CJ1100" s="55" t="s">
        <v>98</v>
      </c>
      <c r="CK1100" s="55">
        <v>14</v>
      </c>
      <c r="CL1100" s="55">
        <v>0</v>
      </c>
      <c r="CM1100" s="55">
        <v>0</v>
      </c>
      <c r="CN1100" s="55" t="s">
        <v>99</v>
      </c>
      <c r="CO1100" s="55" t="s">
        <v>97</v>
      </c>
      <c r="CP1100" s="55" t="s">
        <v>717</v>
      </c>
      <c r="CQ1100" s="55" t="s">
        <v>126</v>
      </c>
      <c r="CR1100" s="57">
        <v>46267</v>
      </c>
      <c r="CT1100" s="55" t="s">
        <v>2247</v>
      </c>
    </row>
    <row r="1101" spans="1:98" s="55" customFormat="1" x14ac:dyDescent="0.35">
      <c r="A1101" s="54" t="s">
        <v>2237</v>
      </c>
      <c r="B1101" s="54" t="s">
        <v>2256</v>
      </c>
      <c r="C1101" s="55" t="s">
        <v>2238</v>
      </c>
      <c r="D1101" s="55">
        <v>2020</v>
      </c>
      <c r="E1101" s="60" t="s">
        <v>2239</v>
      </c>
      <c r="F1101" s="54" t="s">
        <v>2240</v>
      </c>
      <c r="G1101" s="55" t="s">
        <v>78</v>
      </c>
      <c r="H1101" s="55">
        <v>1</v>
      </c>
      <c r="I1101" s="55" t="s">
        <v>290</v>
      </c>
      <c r="J1101" s="55" t="s">
        <v>2210</v>
      </c>
      <c r="K1101" s="55">
        <v>302</v>
      </c>
      <c r="L1101" s="55" t="s">
        <v>129</v>
      </c>
      <c r="M1101" s="55" t="s">
        <v>380</v>
      </c>
      <c r="N1101" s="55">
        <v>-1E-3</v>
      </c>
      <c r="O1101" s="55">
        <f>N1101/P1101</f>
        <v>-3.6764705882352941E-4</v>
      </c>
      <c r="P1101" s="55">
        <v>2.72</v>
      </c>
      <c r="Q1101" s="55" t="s">
        <v>312</v>
      </c>
      <c r="R1101" s="55">
        <f t="shared" ref="R1101:R1104" si="501">N1101-1.96*O1101</f>
        <v>-2.7941176470588241E-4</v>
      </c>
      <c r="S1101" s="55">
        <f t="shared" ref="S1101:S1104" si="502">N1101+1.96*O1101</f>
        <v>-1.7205882352941176E-3</v>
      </c>
      <c r="T1101" s="55">
        <v>1</v>
      </c>
      <c r="U1101" s="55">
        <v>4097221</v>
      </c>
      <c r="V1101" s="55" t="s">
        <v>312</v>
      </c>
      <c r="W1101" s="55" t="s">
        <v>312</v>
      </c>
      <c r="X1101" s="55">
        <f t="shared" ref="X1101:X1104" si="503">U1101</f>
        <v>4097221</v>
      </c>
      <c r="Y1101" s="55">
        <f t="shared" ref="Y1101:Y1104" si="504">P1101/(P1101^2 + X1101)^(1/2)</f>
        <v>1.3437665215746079E-3</v>
      </c>
      <c r="Z1101" s="55">
        <f t="shared" ref="Z1101:Z1104" si="505">((1-Y1101^2)/X1101)^(1/2)</f>
        <v>4.9403180940242933E-4</v>
      </c>
      <c r="AA1101" s="55">
        <f t="shared" ref="AA1101:AA1104" si="506">Y1101</f>
        <v>1.3437665215746079E-3</v>
      </c>
      <c r="AB1101" s="55" t="s">
        <v>81</v>
      </c>
      <c r="AC1101" s="55">
        <f>N1101*AN1101/BF1101</f>
        <v>0.28701901140684416</v>
      </c>
      <c r="AD1101" s="55" cm="1">
        <f t="array" ref="AD1101">_xlfn.IFS(
AND(L1101="marginal_effect",M1101="level"),N1101*AN1101/BF1101,
AND(L1101="marginal_effect",M1101="sd (Y)"),N1101*BI1101*AN1101/BF1101,
AND(L1101="marginal_effect",M1101="sd (X)"),N1101/AQ1101*AN1101/BF1101,
AND(L1101="semi_elasticity",M1101="level"),N1101*AN1101,
AND(L1101="semi_elasticity",M1101="sd (Y)"),N1101*AN1101*BI1101,
AND(L1101="semi_elasticity",M1101="sd (X)"),N1101*AN1101/AQ1101,
AND(L1101="level-log",M1101="level"),N1101/BF1101,
AND(L1101="level-log",M1101="sd (X)"),N1101/BF1101/AQ1101,
AND(L1101="level-log",M1101="sd (Y)"),N1101/BF1101*BI1101,
AND(L1101="elasticity",M1101="level"),N1101,
AND(L1101="elasticity",M1101="sd (X)"),N1101/AQ1101,
AND(L1101="elasticity",M1101="sd (Y)"),N1101*BI1101,
AND(L1101="marginal_effect",M1101="percent_of_mean"),N1101*AN1101/BF1101/10)</f>
        <v>0.28701901140684416</v>
      </c>
      <c r="AE1101" s="55">
        <f t="shared" ref="AE1101:AE1104" si="507">IF(AC1101=AD1101,1,0)</f>
        <v>1</v>
      </c>
      <c r="AF1101" s="55">
        <f>O1101*AN1101/BF1101</f>
        <v>0.10552169537016327</v>
      </c>
      <c r="AG1101" s="55" cm="1">
        <f t="array" ref="AG1101">_xlfn.IFS(
AND(L1101="marginal_effect",M1101="level"),O1101*AN1101/BF1101,
AND(L1101="marginal_effect",M1101="sd (Y)"),O1101*BI1101*AN1101/BF1101,
AND(L1101="marginal_effect",M1101="sd (X)"),O1101/AQ1101*AN1101/BF1101,
AND(L1101="semi_elasticity",M1101="level"),O1101*AN1101,
AND(L1101="semi_elasticity",M1101="sd (Y)"),O1101*AN1101*BI1101,
AND(L1101="semi_elasticity",M1101="sd (X)"),O1101*AN1101/AQ1101,
AND(L1101="level-log",M1101="level"),O1101/BF1101,
AND(L1101="level-log",M1101="sd (X)"),O1101/BF1101/AQ1101,
AND(L1101="level-log",M1101="sd (Y)"),O1101/BF1101*BI1101,
AND(L1101="elasticity",M1101="level"),O1101,
AND(L1101="elasticity",M1101="sd (X)"),O1101/AQ1101,
AND(L1101="elasticity",M1101="sd (Y)"),O1101*BI1101,
AND(L1101="marginal_effect",M1101="percent_of_mean"),O1101*AN1101/BF1101/10)</f>
        <v>0.10552169537016327</v>
      </c>
      <c r="AH1101" s="55">
        <f t="shared" ref="AH1101:AH1104" si="508">IF(AF1101=AG1101,1,0)</f>
        <v>1</v>
      </c>
      <c r="AI1101" s="55">
        <f>-AC1101</f>
        <v>-0.28701901140684416</v>
      </c>
      <c r="AJ1101" s="55">
        <v>0</v>
      </c>
      <c r="AK1101" s="55">
        <f t="shared" ref="AK1101:AK1104" si="509">IF(P1101=(AC1101/AF1101),1,0)</f>
        <v>1</v>
      </c>
      <c r="AL1101" s="55" t="s">
        <v>735</v>
      </c>
      <c r="AM1101" s="55" t="s">
        <v>737</v>
      </c>
      <c r="AN1101" s="55">
        <v>75.486000000000004</v>
      </c>
      <c r="AO1101" s="55">
        <v>0</v>
      </c>
      <c r="AP1101" s="55">
        <f t="shared" si="500"/>
        <v>75.486000000000004</v>
      </c>
      <c r="AQ1101" s="55">
        <v>41.317999999999998</v>
      </c>
      <c r="AR1101" s="55" t="s">
        <v>312</v>
      </c>
      <c r="AS1101" s="55" t="s">
        <v>312</v>
      </c>
      <c r="AT1101" s="55" t="s">
        <v>83</v>
      </c>
      <c r="AU1101" s="55" t="s">
        <v>109</v>
      </c>
      <c r="AV1101" s="55" t="s">
        <v>133</v>
      </c>
      <c r="AW1101" s="55" t="s">
        <v>85</v>
      </c>
      <c r="AX1101" s="55" t="s">
        <v>86</v>
      </c>
      <c r="AY1101" s="55">
        <v>0</v>
      </c>
      <c r="AZ1101" s="55">
        <v>0</v>
      </c>
      <c r="BA1101" s="55" t="s">
        <v>391</v>
      </c>
      <c r="BB1101" s="55" t="s">
        <v>88</v>
      </c>
      <c r="BC1101" s="55" t="s">
        <v>113</v>
      </c>
      <c r="BD1101" s="55" t="s">
        <v>114</v>
      </c>
      <c r="BE1101" s="55" t="s">
        <v>2241</v>
      </c>
      <c r="BF1101" s="55">
        <v>-0.26300000000000001</v>
      </c>
      <c r="BG1101" s="55">
        <v>0</v>
      </c>
      <c r="BH1101" s="55">
        <v>16.152999999999999</v>
      </c>
      <c r="BI1101" s="55" t="s">
        <v>312</v>
      </c>
      <c r="BJ1101" s="55" t="s">
        <v>312</v>
      </c>
      <c r="BK1101" s="55" t="s">
        <v>91</v>
      </c>
      <c r="BL1101" s="55" t="s">
        <v>509</v>
      </c>
      <c r="BM1101" s="76" t="s">
        <v>1411</v>
      </c>
      <c r="BN1101" s="55" t="s">
        <v>428</v>
      </c>
      <c r="BO1101" s="55" t="s">
        <v>1297</v>
      </c>
      <c r="BP1101" s="55" t="s">
        <v>1296</v>
      </c>
      <c r="BQ1101" s="55" t="s">
        <v>117</v>
      </c>
      <c r="BR1101" s="55" t="s">
        <v>93</v>
      </c>
      <c r="BS1101" s="55">
        <v>42.360999999999997</v>
      </c>
      <c r="BT1101" s="55">
        <v>0.46400000000000002</v>
      </c>
      <c r="BU1101" s="107">
        <v>39083</v>
      </c>
      <c r="BV1101" s="107">
        <v>41974</v>
      </c>
      <c r="BW1101" s="55" t="s">
        <v>94</v>
      </c>
      <c r="BX1101" s="55" t="s">
        <v>95</v>
      </c>
      <c r="BY1101" s="55" t="s">
        <v>96</v>
      </c>
      <c r="BZ1101" s="55">
        <v>0</v>
      </c>
      <c r="CA1101" s="55">
        <v>0</v>
      </c>
      <c r="CB1101" s="55" t="s">
        <v>97</v>
      </c>
      <c r="CC1101" s="55" t="s">
        <v>314</v>
      </c>
      <c r="CD1101" s="55">
        <v>1</v>
      </c>
      <c r="CE1101" s="55" t="s">
        <v>2242</v>
      </c>
      <c r="CF1101" s="55">
        <v>0</v>
      </c>
      <c r="CG1101" s="55" t="s">
        <v>97</v>
      </c>
      <c r="CH1101" s="55">
        <v>0</v>
      </c>
      <c r="CI1101" s="55" t="s">
        <v>2243</v>
      </c>
      <c r="CJ1101" s="55" t="s">
        <v>98</v>
      </c>
      <c r="CK1101" s="55">
        <v>14</v>
      </c>
      <c r="CL1101" s="55">
        <v>0</v>
      </c>
      <c r="CM1101" s="55">
        <v>0</v>
      </c>
      <c r="CN1101" s="55" t="s">
        <v>99</v>
      </c>
      <c r="CO1101" s="55" t="s">
        <v>97</v>
      </c>
      <c r="CP1101" s="55" t="s">
        <v>717</v>
      </c>
      <c r="CQ1101" s="55" t="s">
        <v>126</v>
      </c>
      <c r="CR1101" s="57">
        <v>46267</v>
      </c>
      <c r="CT1101" s="55" t="s">
        <v>2252</v>
      </c>
    </row>
    <row r="1102" spans="1:98" s="55" customFormat="1" x14ac:dyDescent="0.35">
      <c r="A1102" s="54" t="s">
        <v>2237</v>
      </c>
      <c r="B1102" s="54" t="s">
        <v>2257</v>
      </c>
      <c r="C1102" s="55" t="s">
        <v>2238</v>
      </c>
      <c r="D1102" s="55">
        <v>2020</v>
      </c>
      <c r="E1102" s="60" t="s">
        <v>2239</v>
      </c>
      <c r="F1102" s="54" t="s">
        <v>2240</v>
      </c>
      <c r="G1102" s="55" t="s">
        <v>78</v>
      </c>
      <c r="H1102" s="55">
        <v>1</v>
      </c>
      <c r="I1102" s="55" t="s">
        <v>290</v>
      </c>
      <c r="J1102" s="55" t="s">
        <v>2210</v>
      </c>
      <c r="K1102" s="55">
        <v>302</v>
      </c>
      <c r="L1102" s="55" t="s">
        <v>129</v>
      </c>
      <c r="M1102" s="55" t="s">
        <v>380</v>
      </c>
      <c r="N1102" s="55">
        <v>-1.1999999999999999E-3</v>
      </c>
      <c r="O1102" s="55">
        <f t="shared" si="496"/>
        <v>-3.2520325203252032E-4</v>
      </c>
      <c r="P1102" s="55">
        <v>3.69</v>
      </c>
      <c r="Q1102" s="55" t="s">
        <v>312</v>
      </c>
      <c r="R1102" s="55">
        <f t="shared" si="501"/>
        <v>-5.6260162601626002E-4</v>
      </c>
      <c r="S1102" s="55">
        <f t="shared" si="502"/>
        <v>-1.8373983739837399E-3</v>
      </c>
      <c r="T1102" s="55">
        <v>1</v>
      </c>
      <c r="U1102" s="55">
        <v>4097221</v>
      </c>
      <c r="V1102" s="55" t="s">
        <v>312</v>
      </c>
      <c r="W1102" s="55" t="s">
        <v>312</v>
      </c>
      <c r="X1102" s="55">
        <f t="shared" si="503"/>
        <v>4097221</v>
      </c>
      <c r="Y1102" s="55">
        <f t="shared" si="504"/>
        <v>1.8229759934777704E-3</v>
      </c>
      <c r="Z1102" s="55">
        <f t="shared" si="505"/>
        <v>4.9403143454682119E-4</v>
      </c>
      <c r="AA1102" s="55">
        <f t="shared" si="506"/>
        <v>1.8229759934777704E-3</v>
      </c>
      <c r="AB1102" s="55" t="s">
        <v>81</v>
      </c>
      <c r="AC1102" s="55">
        <f t="shared" ref="AC1102:AC1104" si="510">N1102*AN1102/BF1102</f>
        <v>0.30810612244897961</v>
      </c>
      <c r="AD1102" s="55" cm="1">
        <f t="array" ref="AD1102">_xlfn.IFS(
AND(L1102="marginal_effect",M1102="level"),N1102*AN1102/BF1102,
AND(L1102="marginal_effect",M1102="sd (Y)"),N1102*BI1102*AN1102/BF1102,
AND(L1102="marginal_effect",M1102="sd (X)"),N1102/AQ1102*AN1102/BF1102,
AND(L1102="semi_elasticity",M1102="level"),N1102*AN1102,
AND(L1102="semi_elasticity",M1102="sd (Y)"),N1102*AN1102*BI1102,
AND(L1102="semi_elasticity",M1102="sd (X)"),N1102*AN1102/AQ1102,
AND(L1102="level-log",M1102="level"),N1102/BF1102,
AND(L1102="level-log",M1102="sd (X)"),N1102/BF1102/AQ1102,
AND(L1102="level-log",M1102="sd (Y)"),N1102/BF1102*BI1102,
AND(L1102="elasticity",M1102="level"),N1102,
AND(L1102="elasticity",M1102="sd (X)"),N1102/AQ1102,
AND(L1102="elasticity",M1102="sd (Y)"),N1102*BI1102,
AND(L1102="marginal_effect",M1102="percent_of_mean"),N1102*AN1102/BF1102/10)</f>
        <v>0.30810612244897961</v>
      </c>
      <c r="AE1102" s="55">
        <f t="shared" si="507"/>
        <v>1</v>
      </c>
      <c r="AF1102" s="55">
        <f t="shared" ref="AF1102:AF1104" si="511">O1102*AN1102/BF1102</f>
        <v>8.3497594159615066E-2</v>
      </c>
      <c r="AG1102" s="55" cm="1">
        <f t="array" ref="AG1102">_xlfn.IFS(
AND(L1102="marginal_effect",M1102="level"),O1102*AN1102/BF1102,
AND(L1102="marginal_effect",M1102="sd (Y)"),O1102*BI1102*AN1102/BF1102,
AND(L1102="marginal_effect",M1102="sd (X)"),O1102/AQ1102*AN1102/BF1102,
AND(L1102="semi_elasticity",M1102="level"),O1102*AN1102,
AND(L1102="semi_elasticity",M1102="sd (Y)"),O1102*AN1102*BI1102,
AND(L1102="semi_elasticity",M1102="sd (X)"),O1102*AN1102/AQ1102,
AND(L1102="level-log",M1102="level"),O1102/BF1102,
AND(L1102="level-log",M1102="sd (X)"),O1102/BF1102/AQ1102,
AND(L1102="level-log",M1102="sd (Y)"),O1102/BF1102*BI1102,
AND(L1102="elasticity",M1102="level"),O1102,
AND(L1102="elasticity",M1102="sd (X)"),O1102/AQ1102,
AND(L1102="elasticity",M1102="sd (Y)"),O1102*BI1102,
AND(L1102="marginal_effect",M1102="percent_of_mean"),O1102*AN1102/BF1102/10)</f>
        <v>8.3497594159615066E-2</v>
      </c>
      <c r="AH1102" s="55">
        <f t="shared" si="508"/>
        <v>1</v>
      </c>
      <c r="AI1102" s="55">
        <f t="shared" ref="AI1102:AI1104" si="512">-AC1102</f>
        <v>-0.30810612244897961</v>
      </c>
      <c r="AJ1102" s="55">
        <v>0</v>
      </c>
      <c r="AK1102" s="55">
        <f t="shared" si="509"/>
        <v>1</v>
      </c>
      <c r="AL1102" s="55" t="s">
        <v>735</v>
      </c>
      <c r="AM1102" s="55" t="s">
        <v>737</v>
      </c>
      <c r="AN1102" s="55">
        <v>75.486000000000004</v>
      </c>
      <c r="AO1102" s="55">
        <v>0</v>
      </c>
      <c r="AP1102" s="55">
        <f t="shared" ref="AP1102:AP1105" si="513">AN1102</f>
        <v>75.486000000000004</v>
      </c>
      <c r="AQ1102" s="55">
        <v>41.317999999999998</v>
      </c>
      <c r="AR1102" s="55" t="s">
        <v>312</v>
      </c>
      <c r="AS1102" s="55" t="s">
        <v>312</v>
      </c>
      <c r="AT1102" s="55" t="s">
        <v>83</v>
      </c>
      <c r="AU1102" s="55" t="s">
        <v>109</v>
      </c>
      <c r="AV1102" s="55" t="s">
        <v>133</v>
      </c>
      <c r="AW1102" s="55" t="s">
        <v>85</v>
      </c>
      <c r="AX1102" s="55" t="s">
        <v>86</v>
      </c>
      <c r="AY1102" s="55">
        <v>0</v>
      </c>
      <c r="AZ1102" s="55">
        <v>0</v>
      </c>
      <c r="BA1102" s="55" t="s">
        <v>391</v>
      </c>
      <c r="BB1102" s="55" t="s">
        <v>88</v>
      </c>
      <c r="BC1102" s="55" t="s">
        <v>113</v>
      </c>
      <c r="BD1102" s="55" t="s">
        <v>114</v>
      </c>
      <c r="BE1102" s="55" t="s">
        <v>2241</v>
      </c>
      <c r="BF1102" s="55">
        <v>-0.29399999999999998</v>
      </c>
      <c r="BG1102" s="55">
        <v>0</v>
      </c>
      <c r="BH1102" s="55">
        <v>22.718</v>
      </c>
      <c r="BI1102" s="55" t="s">
        <v>312</v>
      </c>
      <c r="BJ1102" s="55" t="s">
        <v>312</v>
      </c>
      <c r="BK1102" s="55" t="s">
        <v>91</v>
      </c>
      <c r="BL1102" s="55" t="s">
        <v>509</v>
      </c>
      <c r="BM1102" s="76" t="s">
        <v>1411</v>
      </c>
      <c r="BN1102" s="55" t="s">
        <v>428</v>
      </c>
      <c r="BO1102" s="55" t="s">
        <v>1297</v>
      </c>
      <c r="BP1102" s="55" t="s">
        <v>1296</v>
      </c>
      <c r="BQ1102" s="55" t="s">
        <v>117</v>
      </c>
      <c r="BR1102" s="55" t="s">
        <v>93</v>
      </c>
      <c r="BS1102" s="55">
        <v>42.360999999999997</v>
      </c>
      <c r="BT1102" s="55">
        <v>0.46400000000000002</v>
      </c>
      <c r="BU1102" s="107">
        <v>39083</v>
      </c>
      <c r="BV1102" s="107">
        <v>41974</v>
      </c>
      <c r="BW1102" s="55" t="s">
        <v>94</v>
      </c>
      <c r="BX1102" s="55" t="s">
        <v>95</v>
      </c>
      <c r="BY1102" s="55" t="s">
        <v>96</v>
      </c>
      <c r="BZ1102" s="55">
        <v>0</v>
      </c>
      <c r="CA1102" s="55">
        <v>0</v>
      </c>
      <c r="CB1102" s="55" t="s">
        <v>97</v>
      </c>
      <c r="CC1102" s="55" t="s">
        <v>314</v>
      </c>
      <c r="CD1102" s="55">
        <v>1</v>
      </c>
      <c r="CE1102" s="55" t="s">
        <v>2242</v>
      </c>
      <c r="CF1102" s="55">
        <v>0</v>
      </c>
      <c r="CG1102" s="55" t="s">
        <v>97</v>
      </c>
      <c r="CH1102" s="55">
        <v>0</v>
      </c>
      <c r="CI1102" s="55" t="s">
        <v>2243</v>
      </c>
      <c r="CJ1102" s="55" t="s">
        <v>98</v>
      </c>
      <c r="CK1102" s="55">
        <v>14</v>
      </c>
      <c r="CL1102" s="55">
        <v>1</v>
      </c>
      <c r="CM1102" s="55">
        <v>1</v>
      </c>
      <c r="CN1102" s="55" t="s">
        <v>99</v>
      </c>
      <c r="CO1102" s="55" t="s">
        <v>97</v>
      </c>
      <c r="CP1102" s="55" t="s">
        <v>717</v>
      </c>
      <c r="CQ1102" s="55" t="s">
        <v>126</v>
      </c>
      <c r="CR1102" s="57">
        <v>46267</v>
      </c>
      <c r="CT1102" s="55" t="s">
        <v>2253</v>
      </c>
    </row>
    <row r="1103" spans="1:98" s="55" customFormat="1" x14ac:dyDescent="0.35">
      <c r="A1103" s="54" t="s">
        <v>2237</v>
      </c>
      <c r="B1103" s="54" t="s">
        <v>2258</v>
      </c>
      <c r="C1103" s="55" t="s">
        <v>2238</v>
      </c>
      <c r="D1103" s="55">
        <v>2020</v>
      </c>
      <c r="E1103" s="60" t="s">
        <v>2239</v>
      </c>
      <c r="F1103" s="54" t="s">
        <v>2240</v>
      </c>
      <c r="G1103" s="55" t="s">
        <v>78</v>
      </c>
      <c r="H1103" s="55">
        <v>1</v>
      </c>
      <c r="I1103" s="55" t="s">
        <v>290</v>
      </c>
      <c r="J1103" s="55" t="s">
        <v>2210</v>
      </c>
      <c r="K1103" s="55">
        <v>302</v>
      </c>
      <c r="L1103" s="55" t="s">
        <v>129</v>
      </c>
      <c r="M1103" s="55" t="s">
        <v>380</v>
      </c>
      <c r="N1103" s="55">
        <v>-1.1000000000000001E-3</v>
      </c>
      <c r="O1103" s="55">
        <f t="shared" si="496"/>
        <v>-3.3434650455927052E-4</v>
      </c>
      <c r="P1103" s="55">
        <v>3.29</v>
      </c>
      <c r="Q1103" s="55" t="s">
        <v>312</v>
      </c>
      <c r="R1103" s="55">
        <f t="shared" si="501"/>
        <v>-4.446808510638299E-4</v>
      </c>
      <c r="S1103" s="55">
        <f t="shared" si="502"/>
        <v>-1.7553191489361702E-3</v>
      </c>
      <c r="T1103" s="55">
        <v>1</v>
      </c>
      <c r="U1103" s="55">
        <v>4097221</v>
      </c>
      <c r="V1103" s="55" t="s">
        <v>312</v>
      </c>
      <c r="W1103" s="55" t="s">
        <v>312</v>
      </c>
      <c r="X1103" s="55">
        <f t="shared" si="503"/>
        <v>4097221</v>
      </c>
      <c r="Y1103" s="55">
        <f t="shared" si="504"/>
        <v>1.6253639734492703E-3</v>
      </c>
      <c r="Z1103" s="55">
        <f t="shared" si="505"/>
        <v>4.9403160287211857E-4</v>
      </c>
      <c r="AA1103" s="55">
        <f t="shared" si="506"/>
        <v>1.6253639734492703E-3</v>
      </c>
      <c r="AB1103" s="55" t="s">
        <v>81</v>
      </c>
      <c r="AC1103" s="55">
        <f t="shared" si="510"/>
        <v>0.23792148997134677</v>
      </c>
      <c r="AD1103" s="55" cm="1">
        <f t="array" ref="AD1103">_xlfn.IFS(
AND(L1103="marginal_effect",M1103="level"),N1103*AN1103/BF1103,
AND(L1103="marginal_effect",M1103="sd (Y)"),N1103*BI1103*AN1103/BF1103,
AND(L1103="marginal_effect",M1103="sd (X)"),N1103/AQ1103*AN1103/BF1103,
AND(L1103="semi_elasticity",M1103="level"),N1103*AN1103,
AND(L1103="semi_elasticity",M1103="sd (Y)"),N1103*AN1103*BI1103,
AND(L1103="semi_elasticity",M1103="sd (X)"),N1103*AN1103/AQ1103,
AND(L1103="level-log",M1103="level"),N1103/BF1103,
AND(L1103="level-log",M1103="sd (X)"),N1103/BF1103/AQ1103,
AND(L1103="level-log",M1103="sd (Y)"),N1103/BF1103*BI1103,
AND(L1103="elasticity",M1103="level"),N1103,
AND(L1103="elasticity",M1103="sd (X)"),N1103/AQ1103,
AND(L1103="elasticity",M1103="sd (Y)"),N1103*BI1103,
AND(L1103="marginal_effect",M1103="percent_of_mean"),N1103*AN1103/BF1103/10)</f>
        <v>0.23792148997134677</v>
      </c>
      <c r="AE1103" s="55">
        <f t="shared" si="507"/>
        <v>1</v>
      </c>
      <c r="AF1103" s="55">
        <f t="shared" si="511"/>
        <v>7.2316562301321191E-2</v>
      </c>
      <c r="AG1103" s="55" cm="1">
        <f t="array" ref="AG1103">_xlfn.IFS(
AND(L1103="marginal_effect",M1103="level"),O1103*AN1103/BF1103,
AND(L1103="marginal_effect",M1103="sd (Y)"),O1103*BI1103*AN1103/BF1103,
AND(L1103="marginal_effect",M1103="sd (X)"),O1103/AQ1103*AN1103/BF1103,
AND(L1103="semi_elasticity",M1103="level"),O1103*AN1103,
AND(L1103="semi_elasticity",M1103="sd (Y)"),O1103*AN1103*BI1103,
AND(L1103="semi_elasticity",M1103="sd (X)"),O1103*AN1103/AQ1103,
AND(L1103="level-log",M1103="level"),O1103/BF1103,
AND(L1103="level-log",M1103="sd (X)"),O1103/BF1103/AQ1103,
AND(L1103="level-log",M1103="sd (Y)"),O1103/BF1103*BI1103,
AND(L1103="elasticity",M1103="level"),O1103,
AND(L1103="elasticity",M1103="sd (X)"),O1103/AQ1103,
AND(L1103="elasticity",M1103="sd (Y)"),O1103*BI1103,
AND(L1103="marginal_effect",M1103="percent_of_mean"),O1103*AN1103/BF1103/10)</f>
        <v>7.2316562301321191E-2</v>
      </c>
      <c r="AH1103" s="55">
        <f t="shared" si="508"/>
        <v>1</v>
      </c>
      <c r="AI1103" s="55">
        <f t="shared" si="512"/>
        <v>-0.23792148997134677</v>
      </c>
      <c r="AJ1103" s="55">
        <v>0</v>
      </c>
      <c r="AK1103" s="55">
        <f t="shared" si="509"/>
        <v>1</v>
      </c>
      <c r="AL1103" s="55" t="s">
        <v>735</v>
      </c>
      <c r="AM1103" s="55" t="s">
        <v>737</v>
      </c>
      <c r="AN1103" s="55">
        <v>75.486000000000004</v>
      </c>
      <c r="AO1103" s="55">
        <v>0</v>
      </c>
      <c r="AP1103" s="55">
        <f t="shared" si="513"/>
        <v>75.486000000000004</v>
      </c>
      <c r="AQ1103" s="55">
        <v>41.317999999999998</v>
      </c>
      <c r="AR1103" s="55" t="s">
        <v>312</v>
      </c>
      <c r="AS1103" s="55" t="s">
        <v>312</v>
      </c>
      <c r="AT1103" s="55" t="s">
        <v>83</v>
      </c>
      <c r="AU1103" s="55" t="s">
        <v>109</v>
      </c>
      <c r="AV1103" s="55" t="s">
        <v>133</v>
      </c>
      <c r="AW1103" s="55" t="s">
        <v>85</v>
      </c>
      <c r="AX1103" s="55" t="s">
        <v>86</v>
      </c>
      <c r="AY1103" s="55">
        <v>0</v>
      </c>
      <c r="AZ1103" s="55">
        <v>0</v>
      </c>
      <c r="BA1103" s="55" t="s">
        <v>391</v>
      </c>
      <c r="BB1103" s="55" t="s">
        <v>88</v>
      </c>
      <c r="BC1103" s="55" t="s">
        <v>113</v>
      </c>
      <c r="BD1103" s="55" t="s">
        <v>114</v>
      </c>
      <c r="BE1103" s="55" t="s">
        <v>2241</v>
      </c>
      <c r="BF1103" s="55">
        <v>-0.34899999999999998</v>
      </c>
      <c r="BG1103" s="55">
        <v>0</v>
      </c>
      <c r="BH1103" s="55">
        <v>28.363</v>
      </c>
      <c r="BI1103" s="55" t="s">
        <v>312</v>
      </c>
      <c r="BJ1103" s="55" t="s">
        <v>312</v>
      </c>
      <c r="BK1103" s="55" t="s">
        <v>91</v>
      </c>
      <c r="BL1103" s="55" t="s">
        <v>509</v>
      </c>
      <c r="BM1103" s="76" t="s">
        <v>1411</v>
      </c>
      <c r="BN1103" s="55" t="s">
        <v>428</v>
      </c>
      <c r="BO1103" s="55" t="s">
        <v>1297</v>
      </c>
      <c r="BP1103" s="55" t="s">
        <v>1296</v>
      </c>
      <c r="BQ1103" s="55" t="s">
        <v>117</v>
      </c>
      <c r="BR1103" s="55" t="s">
        <v>93</v>
      </c>
      <c r="BS1103" s="55">
        <v>42.360999999999997</v>
      </c>
      <c r="BT1103" s="55">
        <v>0.46400000000000002</v>
      </c>
      <c r="BU1103" s="107">
        <v>39083</v>
      </c>
      <c r="BV1103" s="107">
        <v>41974</v>
      </c>
      <c r="BW1103" s="55" t="s">
        <v>94</v>
      </c>
      <c r="BX1103" s="55" t="s">
        <v>95</v>
      </c>
      <c r="BY1103" s="55" t="s">
        <v>96</v>
      </c>
      <c r="BZ1103" s="55">
        <v>0</v>
      </c>
      <c r="CA1103" s="55">
        <v>0</v>
      </c>
      <c r="CB1103" s="55" t="s">
        <v>97</v>
      </c>
      <c r="CC1103" s="55" t="s">
        <v>314</v>
      </c>
      <c r="CD1103" s="55">
        <v>1</v>
      </c>
      <c r="CE1103" s="55" t="s">
        <v>2242</v>
      </c>
      <c r="CF1103" s="55">
        <v>0</v>
      </c>
      <c r="CG1103" s="55" t="s">
        <v>97</v>
      </c>
      <c r="CH1103" s="55">
        <v>0</v>
      </c>
      <c r="CI1103" s="55" t="s">
        <v>2243</v>
      </c>
      <c r="CJ1103" s="55" t="s">
        <v>98</v>
      </c>
      <c r="CK1103" s="55">
        <v>14</v>
      </c>
      <c r="CL1103" s="55">
        <v>0</v>
      </c>
      <c r="CM1103" s="55">
        <v>0</v>
      </c>
      <c r="CN1103" s="55" t="s">
        <v>99</v>
      </c>
      <c r="CO1103" s="55" t="s">
        <v>97</v>
      </c>
      <c r="CP1103" s="55" t="s">
        <v>717</v>
      </c>
      <c r="CQ1103" s="55" t="s">
        <v>126</v>
      </c>
      <c r="CR1103" s="57">
        <v>46267</v>
      </c>
      <c r="CT1103" s="55" t="s">
        <v>2254</v>
      </c>
    </row>
    <row r="1104" spans="1:98" s="55" customFormat="1" x14ac:dyDescent="0.35">
      <c r="A1104" s="54" t="s">
        <v>2237</v>
      </c>
      <c r="B1104" s="54" t="s">
        <v>2259</v>
      </c>
      <c r="C1104" s="55" t="s">
        <v>2238</v>
      </c>
      <c r="D1104" s="55">
        <v>2020</v>
      </c>
      <c r="E1104" s="60" t="s">
        <v>2239</v>
      </c>
      <c r="F1104" s="54" t="s">
        <v>2240</v>
      </c>
      <c r="G1104" s="55" t="s">
        <v>78</v>
      </c>
      <c r="H1104" s="55">
        <v>1</v>
      </c>
      <c r="I1104" s="55" t="s">
        <v>290</v>
      </c>
      <c r="J1104" s="55" t="s">
        <v>2210</v>
      </c>
      <c r="K1104" s="55">
        <v>302</v>
      </c>
      <c r="L1104" s="55" t="s">
        <v>129</v>
      </c>
      <c r="M1104" s="55" t="s">
        <v>380</v>
      </c>
      <c r="N1104" s="55">
        <v>-1.5E-3</v>
      </c>
      <c r="O1104" s="55">
        <f t="shared" si="496"/>
        <v>-5.7251908396946567E-4</v>
      </c>
      <c r="P1104" s="55">
        <v>2.62</v>
      </c>
      <c r="Q1104" s="55" t="s">
        <v>312</v>
      </c>
      <c r="R1104" s="55">
        <f t="shared" si="501"/>
        <v>-3.778625954198474E-4</v>
      </c>
      <c r="S1104" s="55">
        <f t="shared" si="502"/>
        <v>-2.6221374045801524E-3</v>
      </c>
      <c r="T1104" s="55">
        <v>1</v>
      </c>
      <c r="U1104" s="55">
        <v>4097221</v>
      </c>
      <c r="V1104" s="55" t="s">
        <v>312</v>
      </c>
      <c r="W1104" s="55" t="s">
        <v>312</v>
      </c>
      <c r="X1104" s="55">
        <f t="shared" si="503"/>
        <v>4097221</v>
      </c>
      <c r="Y1104" s="55">
        <f t="shared" si="504"/>
        <v>1.294363424982859E-3</v>
      </c>
      <c r="Z1104" s="55">
        <f t="shared" si="505"/>
        <v>4.9403184159651104E-4</v>
      </c>
      <c r="AA1104" s="55">
        <f t="shared" si="506"/>
        <v>1.294363424982859E-3</v>
      </c>
      <c r="AB1104" s="55" t="s">
        <v>81</v>
      </c>
      <c r="AC1104" s="55">
        <f t="shared" si="510"/>
        <v>0.27023627684964202</v>
      </c>
      <c r="AD1104" s="55" cm="1">
        <f t="array" ref="AD1104">_xlfn.IFS(
AND(L1104="marginal_effect",M1104="level"),N1104*AN1104/BF1104,
AND(L1104="marginal_effect",M1104="sd (Y)"),N1104*BI1104*AN1104/BF1104,
AND(L1104="marginal_effect",M1104="sd (X)"),N1104/AQ1104*AN1104/BF1104,
AND(L1104="semi_elasticity",M1104="level"),N1104*AN1104,
AND(L1104="semi_elasticity",M1104="sd (Y)"),N1104*AN1104*BI1104,
AND(L1104="semi_elasticity",M1104="sd (X)"),N1104*AN1104/AQ1104,
AND(L1104="level-log",M1104="level"),N1104/BF1104,
AND(L1104="level-log",M1104="sd (X)"),N1104/BF1104/AQ1104,
AND(L1104="level-log",M1104="sd (Y)"),N1104/BF1104*BI1104,
AND(L1104="elasticity",M1104="level"),N1104,
AND(L1104="elasticity",M1104="sd (X)"),N1104/AQ1104,
AND(L1104="elasticity",M1104="sd (Y)"),N1104*BI1104,
AND(L1104="marginal_effect",M1104="percent_of_mean"),N1104*AN1104/BF1104/10)</f>
        <v>0.27023627684964202</v>
      </c>
      <c r="AE1104" s="55">
        <f t="shared" si="507"/>
        <v>1</v>
      </c>
      <c r="AF1104" s="55">
        <f t="shared" si="511"/>
        <v>0.103143617118184</v>
      </c>
      <c r="AG1104" s="55" cm="1">
        <f t="array" ref="AG1104">_xlfn.IFS(
AND(L1104="marginal_effect",M1104="level"),O1104*AN1104/BF1104,
AND(L1104="marginal_effect",M1104="sd (Y)"),O1104*BI1104*AN1104/BF1104,
AND(L1104="marginal_effect",M1104="sd (X)"),O1104/AQ1104*AN1104/BF1104,
AND(L1104="semi_elasticity",M1104="level"),O1104*AN1104,
AND(L1104="semi_elasticity",M1104="sd (Y)"),O1104*AN1104*BI1104,
AND(L1104="semi_elasticity",M1104="sd (X)"),O1104*AN1104/AQ1104,
AND(L1104="level-log",M1104="level"),O1104/BF1104,
AND(L1104="level-log",M1104="sd (X)"),O1104/BF1104/AQ1104,
AND(L1104="level-log",M1104="sd (Y)"),O1104/BF1104*BI1104,
AND(L1104="elasticity",M1104="level"),O1104,
AND(L1104="elasticity",M1104="sd (X)"),O1104/AQ1104,
AND(L1104="elasticity",M1104="sd (Y)"),O1104*BI1104,
AND(L1104="marginal_effect",M1104="percent_of_mean"),O1104*AN1104/BF1104/10)</f>
        <v>0.103143617118184</v>
      </c>
      <c r="AH1104" s="55">
        <f t="shared" si="508"/>
        <v>1</v>
      </c>
      <c r="AI1104" s="55">
        <f t="shared" si="512"/>
        <v>-0.27023627684964202</v>
      </c>
      <c r="AJ1104" s="55">
        <v>0</v>
      </c>
      <c r="AK1104" s="55">
        <f t="shared" si="509"/>
        <v>1</v>
      </c>
      <c r="AL1104" s="55" t="s">
        <v>735</v>
      </c>
      <c r="AM1104" s="55" t="s">
        <v>737</v>
      </c>
      <c r="AN1104" s="55">
        <v>75.486000000000004</v>
      </c>
      <c r="AO1104" s="55">
        <v>0</v>
      </c>
      <c r="AP1104" s="55">
        <f t="shared" si="513"/>
        <v>75.486000000000004</v>
      </c>
      <c r="AQ1104" s="55">
        <v>41.317999999999998</v>
      </c>
      <c r="AR1104" s="55" t="s">
        <v>312</v>
      </c>
      <c r="AS1104" s="55" t="s">
        <v>312</v>
      </c>
      <c r="AT1104" s="55" t="s">
        <v>83</v>
      </c>
      <c r="AU1104" s="55" t="s">
        <v>109</v>
      </c>
      <c r="AV1104" s="55" t="s">
        <v>133</v>
      </c>
      <c r="AW1104" s="55" t="s">
        <v>85</v>
      </c>
      <c r="AX1104" s="55" t="s">
        <v>86</v>
      </c>
      <c r="AY1104" s="55">
        <v>0</v>
      </c>
      <c r="AZ1104" s="55">
        <v>0</v>
      </c>
      <c r="BA1104" s="55" t="s">
        <v>391</v>
      </c>
      <c r="BB1104" s="55" t="s">
        <v>88</v>
      </c>
      <c r="BC1104" s="55" t="s">
        <v>113</v>
      </c>
      <c r="BD1104" s="55" t="s">
        <v>114</v>
      </c>
      <c r="BE1104" s="55" t="s">
        <v>2241</v>
      </c>
      <c r="BF1104" s="55">
        <v>-0.41899999999999998</v>
      </c>
      <c r="BG1104" s="55">
        <v>0</v>
      </c>
      <c r="BH1104" s="55">
        <v>33.308999999999997</v>
      </c>
      <c r="BI1104" s="55" t="s">
        <v>312</v>
      </c>
      <c r="BJ1104" s="55" t="s">
        <v>312</v>
      </c>
      <c r="BK1104" s="55" t="s">
        <v>91</v>
      </c>
      <c r="BL1104" s="55" t="s">
        <v>509</v>
      </c>
      <c r="BM1104" s="76" t="s">
        <v>1411</v>
      </c>
      <c r="BN1104" s="55" t="s">
        <v>428</v>
      </c>
      <c r="BO1104" s="55" t="s">
        <v>1297</v>
      </c>
      <c r="BP1104" s="55" t="s">
        <v>1296</v>
      </c>
      <c r="BQ1104" s="55" t="s">
        <v>117</v>
      </c>
      <c r="BR1104" s="55" t="s">
        <v>93</v>
      </c>
      <c r="BS1104" s="55">
        <v>42.360999999999997</v>
      </c>
      <c r="BT1104" s="55">
        <v>0.46400000000000002</v>
      </c>
      <c r="BU1104" s="107">
        <v>39083</v>
      </c>
      <c r="BV1104" s="107">
        <v>41974</v>
      </c>
      <c r="BW1104" s="55" t="s">
        <v>94</v>
      </c>
      <c r="BX1104" s="55" t="s">
        <v>95</v>
      </c>
      <c r="BY1104" s="55" t="s">
        <v>96</v>
      </c>
      <c r="BZ1104" s="55">
        <v>0</v>
      </c>
      <c r="CA1104" s="55">
        <v>0</v>
      </c>
      <c r="CB1104" s="55" t="s">
        <v>97</v>
      </c>
      <c r="CC1104" s="55" t="s">
        <v>314</v>
      </c>
      <c r="CD1104" s="55">
        <v>1</v>
      </c>
      <c r="CE1104" s="55" t="s">
        <v>2242</v>
      </c>
      <c r="CF1104" s="55">
        <v>0</v>
      </c>
      <c r="CG1104" s="55" t="s">
        <v>97</v>
      </c>
      <c r="CH1104" s="55">
        <v>0</v>
      </c>
      <c r="CI1104" s="55" t="s">
        <v>2243</v>
      </c>
      <c r="CJ1104" s="55" t="s">
        <v>98</v>
      </c>
      <c r="CK1104" s="55">
        <v>14</v>
      </c>
      <c r="CL1104" s="55">
        <v>0</v>
      </c>
      <c r="CM1104" s="55">
        <v>0</v>
      </c>
      <c r="CN1104" s="55" t="s">
        <v>99</v>
      </c>
      <c r="CO1104" s="55" t="s">
        <v>97</v>
      </c>
      <c r="CP1104" s="55" t="s">
        <v>717</v>
      </c>
      <c r="CQ1104" s="55" t="s">
        <v>126</v>
      </c>
      <c r="CR1104" s="57">
        <v>46267</v>
      </c>
      <c r="CT1104" s="55" t="s">
        <v>2255</v>
      </c>
    </row>
    <row r="1105" spans="1:98" s="55" customFormat="1" x14ac:dyDescent="0.35">
      <c r="A1105" s="54" t="s">
        <v>2237</v>
      </c>
      <c r="B1105" s="54" t="s">
        <v>2260</v>
      </c>
      <c r="C1105" s="55" t="s">
        <v>2238</v>
      </c>
      <c r="D1105" s="55">
        <v>2020</v>
      </c>
      <c r="E1105" s="60" t="s">
        <v>2239</v>
      </c>
      <c r="F1105" s="54" t="s">
        <v>2240</v>
      </c>
      <c r="G1105" s="55" t="s">
        <v>78</v>
      </c>
      <c r="H1105" s="55">
        <v>1</v>
      </c>
      <c r="I1105" s="55" t="s">
        <v>290</v>
      </c>
      <c r="J1105" s="55" t="s">
        <v>2210</v>
      </c>
      <c r="K1105" s="55">
        <v>302</v>
      </c>
      <c r="L1105" s="55" t="s">
        <v>129</v>
      </c>
      <c r="M1105" s="55" t="s">
        <v>380</v>
      </c>
      <c r="N1105" s="55">
        <v>-1.6000000000000001E-3</v>
      </c>
      <c r="O1105" s="55">
        <f>N1105/P1105</f>
        <v>-5.0955414012738849E-4</v>
      </c>
      <c r="P1105" s="55">
        <v>3.14</v>
      </c>
      <c r="Q1105" s="55" t="s">
        <v>312</v>
      </c>
      <c r="R1105" s="55">
        <f t="shared" ref="R1105:R1113" si="514">N1105-1.96*O1105</f>
        <v>-6.0127388535031871E-4</v>
      </c>
      <c r="S1105" s="55">
        <f t="shared" ref="S1105:S1113" si="515">N1105+1.96*O1105</f>
        <v>-2.5987261146496812E-3</v>
      </c>
      <c r="T1105" s="55">
        <v>1</v>
      </c>
      <c r="U1105" s="55">
        <v>2151122</v>
      </c>
      <c r="V1105" s="55" t="s">
        <v>312</v>
      </c>
      <c r="W1105" s="55" t="s">
        <v>312</v>
      </c>
      <c r="X1105" s="55">
        <f t="shared" ref="X1105:X1113" si="516">U1105</f>
        <v>2151122</v>
      </c>
      <c r="Y1105" s="55">
        <f t="shared" ref="Y1105:Y1113" si="517">P1105/(P1105^2 + X1105)^(1/2)</f>
        <v>2.1408987659410047E-3</v>
      </c>
      <c r="Z1105" s="55">
        <f t="shared" ref="Z1105:Z1113" si="518">((1-Y1105^2)/X1105)^(1/2)</f>
        <v>6.8181489361178493E-4</v>
      </c>
      <c r="AA1105" s="55">
        <f t="shared" ref="AA1105:AA1113" si="519">Y1105</f>
        <v>2.1408987659410047E-3</v>
      </c>
      <c r="AB1105" s="55" t="s">
        <v>81</v>
      </c>
      <c r="AC1105" s="55">
        <f>N1105*AN1105/BF1105</f>
        <v>0.45923041825095062</v>
      </c>
      <c r="AD1105" s="55" cm="1">
        <f t="array" ref="AD1105">_xlfn.IFS(
AND(L1105="marginal_effect",M1105="level"),N1105*AN1105/BF1105,
AND(L1105="marginal_effect",M1105="sd (Y)"),N1105*BI1105*AN1105/BF1105,
AND(L1105="marginal_effect",M1105="sd (X)"),N1105/AQ1105*AN1105/BF1105,
AND(L1105="semi_elasticity",M1105="level"),N1105*AN1105,
AND(L1105="semi_elasticity",M1105="sd (Y)"),N1105*AN1105*BI1105,
AND(L1105="semi_elasticity",M1105="sd (X)"),N1105*AN1105/AQ1105,
AND(L1105="level-log",M1105="level"),N1105/BF1105,
AND(L1105="level-log",M1105="sd (X)"),N1105/BF1105/AQ1105,
AND(L1105="level-log",M1105="sd (Y)"),N1105/BF1105*BI1105,
AND(L1105="elasticity",M1105="level"),N1105,
AND(L1105="elasticity",M1105="sd (X)"),N1105/AQ1105,
AND(L1105="elasticity",M1105="sd (Y)"),N1105*BI1105,
AND(L1105="marginal_effect",M1105="percent_of_mean"),N1105*AN1105/BF1105/10)</f>
        <v>0.45923041825095062</v>
      </c>
      <c r="AE1105" s="55">
        <f t="shared" ref="AE1105:AE1113" si="520">IF(AC1105=AD1105,1,0)</f>
        <v>1</v>
      </c>
      <c r="AF1105" s="55">
        <f>O1105*AN1105/BF1105</f>
        <v>0.14625172555762755</v>
      </c>
      <c r="AG1105" s="55" cm="1">
        <f t="array" ref="AG1105">_xlfn.IFS(
AND(L1105="marginal_effect",M1105="level"),O1105*AN1105/BF1105,
AND(L1105="marginal_effect",M1105="sd (Y)"),O1105*BI1105*AN1105/BF1105,
AND(L1105="marginal_effect",M1105="sd (X)"),O1105/AQ1105*AN1105/BF1105,
AND(L1105="semi_elasticity",M1105="level"),O1105*AN1105,
AND(L1105="semi_elasticity",M1105="sd (Y)"),O1105*AN1105*BI1105,
AND(L1105="semi_elasticity",M1105="sd (X)"),O1105*AN1105/AQ1105,
AND(L1105="level-log",M1105="level"),O1105/BF1105,
AND(L1105="level-log",M1105="sd (X)"),O1105/BF1105/AQ1105,
AND(L1105="level-log",M1105="sd (Y)"),O1105/BF1105*BI1105,
AND(L1105="elasticity",M1105="level"),O1105,
AND(L1105="elasticity",M1105="sd (X)"),O1105/AQ1105,
AND(L1105="elasticity",M1105="sd (Y)"),O1105*BI1105,
AND(L1105="marginal_effect",M1105="percent_of_mean"),O1105*AN1105/BF1105/10)</f>
        <v>0.14625172555762755</v>
      </c>
      <c r="AH1105" s="55">
        <f t="shared" ref="AH1105:AH1113" si="521">IF(AF1105=AG1105,1,0)</f>
        <v>1</v>
      </c>
      <c r="AI1105" s="55">
        <f>-AC1105</f>
        <v>-0.45923041825095062</v>
      </c>
      <c r="AJ1105" s="55">
        <v>0</v>
      </c>
      <c r="AK1105" s="55">
        <f t="shared" ref="AK1105:AK1113" si="522">IF(P1105=(AC1105/AF1105),1,0)</f>
        <v>1</v>
      </c>
      <c r="AL1105" s="55" t="s">
        <v>735</v>
      </c>
      <c r="AM1105" s="55" t="s">
        <v>737</v>
      </c>
      <c r="AN1105" s="55">
        <v>75.486000000000004</v>
      </c>
      <c r="AO1105" s="55">
        <v>0</v>
      </c>
      <c r="AP1105" s="55">
        <f t="shared" si="513"/>
        <v>75.486000000000004</v>
      </c>
      <c r="AQ1105" s="55">
        <v>41.317999999999998</v>
      </c>
      <c r="AR1105" s="55" t="s">
        <v>312</v>
      </c>
      <c r="AS1105" s="55" t="s">
        <v>312</v>
      </c>
      <c r="AT1105" s="55" t="s">
        <v>83</v>
      </c>
      <c r="AU1105" s="55" t="s">
        <v>109</v>
      </c>
      <c r="AV1105" s="55" t="s">
        <v>133</v>
      </c>
      <c r="AW1105" s="55" t="s">
        <v>85</v>
      </c>
      <c r="AX1105" s="55" t="s">
        <v>86</v>
      </c>
      <c r="AY1105" s="55">
        <v>0</v>
      </c>
      <c r="AZ1105" s="55">
        <v>0</v>
      </c>
      <c r="BA1105" s="55" t="s">
        <v>391</v>
      </c>
      <c r="BB1105" s="55" t="s">
        <v>88</v>
      </c>
      <c r="BC1105" s="55" t="s">
        <v>113</v>
      </c>
      <c r="BD1105" s="55" t="s">
        <v>114</v>
      </c>
      <c r="BE1105" s="55" t="s">
        <v>2241</v>
      </c>
      <c r="BF1105" s="55">
        <v>-0.26300000000000001</v>
      </c>
      <c r="BG1105" s="55">
        <v>0</v>
      </c>
      <c r="BH1105" s="55">
        <v>16.152999999999999</v>
      </c>
      <c r="BI1105" s="55" t="s">
        <v>312</v>
      </c>
      <c r="BJ1105" s="55" t="s">
        <v>312</v>
      </c>
      <c r="BK1105" s="55" t="s">
        <v>91</v>
      </c>
      <c r="BL1105" s="55" t="s">
        <v>509</v>
      </c>
      <c r="BM1105" s="76" t="s">
        <v>1411</v>
      </c>
      <c r="BN1105" s="55" t="s">
        <v>428</v>
      </c>
      <c r="BO1105" s="55" t="s">
        <v>1297</v>
      </c>
      <c r="BP1105" s="55" t="s">
        <v>1296</v>
      </c>
      <c r="BQ1105" s="55" t="s">
        <v>117</v>
      </c>
      <c r="BR1105" s="55" t="s">
        <v>93</v>
      </c>
      <c r="BS1105" s="55">
        <v>42.360999999999997</v>
      </c>
      <c r="BT1105" s="55">
        <v>0.46400000000000002</v>
      </c>
      <c r="BU1105" s="107">
        <v>39083</v>
      </c>
      <c r="BV1105" s="107">
        <v>41974</v>
      </c>
      <c r="BW1105" s="55" t="s">
        <v>94</v>
      </c>
      <c r="BX1105" s="55" t="s">
        <v>95</v>
      </c>
      <c r="BY1105" s="55" t="s">
        <v>96</v>
      </c>
      <c r="BZ1105" s="55">
        <v>0</v>
      </c>
      <c r="CA1105" s="55">
        <v>0</v>
      </c>
      <c r="CB1105" s="55" t="s">
        <v>97</v>
      </c>
      <c r="CC1105" s="55" t="s">
        <v>314</v>
      </c>
      <c r="CD1105" s="55">
        <v>1</v>
      </c>
      <c r="CE1105" s="55" t="s">
        <v>2242</v>
      </c>
      <c r="CF1105" s="55">
        <v>0</v>
      </c>
      <c r="CG1105" s="55" t="s">
        <v>97</v>
      </c>
      <c r="CH1105" s="55">
        <v>0</v>
      </c>
      <c r="CI1105" s="55" t="s">
        <v>2243</v>
      </c>
      <c r="CJ1105" s="55" t="s">
        <v>98</v>
      </c>
      <c r="CK1105" s="55">
        <v>14</v>
      </c>
      <c r="CL1105" s="55">
        <v>0</v>
      </c>
      <c r="CM1105" s="55">
        <v>0</v>
      </c>
      <c r="CN1105" s="55" t="s">
        <v>124</v>
      </c>
      <c r="CO1105" s="55" t="s">
        <v>97</v>
      </c>
      <c r="CP1105" s="55" t="s">
        <v>717</v>
      </c>
      <c r="CQ1105" s="55" t="s">
        <v>126</v>
      </c>
      <c r="CR1105" s="57">
        <v>46267</v>
      </c>
      <c r="CT1105" s="55" t="s">
        <v>449</v>
      </c>
    </row>
    <row r="1106" spans="1:98" s="55" customFormat="1" x14ac:dyDescent="0.35">
      <c r="A1106" s="54" t="s">
        <v>2237</v>
      </c>
      <c r="B1106" s="54" t="s">
        <v>2261</v>
      </c>
      <c r="C1106" s="55" t="s">
        <v>2238</v>
      </c>
      <c r="D1106" s="55">
        <v>2020</v>
      </c>
      <c r="E1106" s="60" t="s">
        <v>2239</v>
      </c>
      <c r="F1106" s="54" t="s">
        <v>2240</v>
      </c>
      <c r="G1106" s="55" t="s">
        <v>78</v>
      </c>
      <c r="H1106" s="55">
        <v>1</v>
      </c>
      <c r="I1106" s="55" t="s">
        <v>290</v>
      </c>
      <c r="J1106" s="55" t="s">
        <v>2210</v>
      </c>
      <c r="K1106" s="55">
        <v>302</v>
      </c>
      <c r="L1106" s="55" t="s">
        <v>129</v>
      </c>
      <c r="M1106" s="55" t="s">
        <v>380</v>
      </c>
      <c r="N1106" s="55">
        <v>-1.6999999999999999E-3</v>
      </c>
      <c r="O1106" s="55">
        <f t="shared" si="496"/>
        <v>-6.7460317460317455E-4</v>
      </c>
      <c r="P1106" s="55">
        <v>2.52</v>
      </c>
      <c r="Q1106" s="55" t="s">
        <v>312</v>
      </c>
      <c r="R1106" s="55">
        <f t="shared" si="514"/>
        <v>-3.7777777777777788E-4</v>
      </c>
      <c r="S1106" s="55">
        <f t="shared" si="515"/>
        <v>-3.0222222222222222E-3</v>
      </c>
      <c r="T1106" s="55">
        <v>1</v>
      </c>
      <c r="U1106" s="55">
        <v>2151122</v>
      </c>
      <c r="V1106" s="55" t="s">
        <v>312</v>
      </c>
      <c r="W1106" s="55" t="s">
        <v>312</v>
      </c>
      <c r="X1106" s="55">
        <f t="shared" si="516"/>
        <v>2151122</v>
      </c>
      <c r="Y1106" s="55">
        <f t="shared" si="517"/>
        <v>1.7181749333550561E-3</v>
      </c>
      <c r="Z1106" s="55">
        <f t="shared" si="518"/>
        <v>6.8181544974406979E-4</v>
      </c>
      <c r="AA1106" s="55">
        <f t="shared" si="519"/>
        <v>1.7181749333550561E-3</v>
      </c>
      <c r="AB1106" s="55" t="s">
        <v>81</v>
      </c>
      <c r="AC1106" s="55">
        <f t="shared" ref="AC1106:AC1110" si="523">N1106*AN1106/BF1106</f>
        <v>0.43648367346938777</v>
      </c>
      <c r="AD1106" s="55" cm="1">
        <f t="array" ref="AD1106">_xlfn.IFS(
AND(L1106="marginal_effect",M1106="level"),N1106*AN1106/BF1106,
AND(L1106="marginal_effect",M1106="sd (Y)"),N1106*BI1106*AN1106/BF1106,
AND(L1106="marginal_effect",M1106="sd (X)"),N1106/AQ1106*AN1106/BF1106,
AND(L1106="semi_elasticity",M1106="level"),N1106*AN1106,
AND(L1106="semi_elasticity",M1106="sd (Y)"),N1106*AN1106*BI1106,
AND(L1106="semi_elasticity",M1106="sd (X)"),N1106*AN1106/AQ1106,
AND(L1106="level-log",M1106="level"),N1106/BF1106,
AND(L1106="level-log",M1106="sd (X)"),N1106/BF1106/AQ1106,
AND(L1106="level-log",M1106="sd (Y)"),N1106/BF1106*BI1106,
AND(L1106="elasticity",M1106="level"),N1106,
AND(L1106="elasticity",M1106="sd (X)"),N1106/AQ1106,
AND(L1106="elasticity",M1106="sd (Y)"),N1106*BI1106,
AND(L1106="marginal_effect",M1106="percent_of_mean"),N1106*AN1106/BF1106/10)</f>
        <v>0.43648367346938777</v>
      </c>
      <c r="AE1106" s="55">
        <f t="shared" si="520"/>
        <v>1</v>
      </c>
      <c r="AF1106" s="55">
        <f t="shared" ref="AF1106:AF1110" si="524">O1106*AN1106/BF1106</f>
        <v>0.17320780693229673</v>
      </c>
      <c r="AG1106" s="55" cm="1">
        <f t="array" ref="AG1106">_xlfn.IFS(
AND(L1106="marginal_effect",M1106="level"),O1106*AN1106/BF1106,
AND(L1106="marginal_effect",M1106="sd (Y)"),O1106*BI1106*AN1106/BF1106,
AND(L1106="marginal_effect",M1106="sd (X)"),O1106/AQ1106*AN1106/BF1106,
AND(L1106="semi_elasticity",M1106="level"),O1106*AN1106,
AND(L1106="semi_elasticity",M1106="sd (Y)"),O1106*AN1106*BI1106,
AND(L1106="semi_elasticity",M1106="sd (X)"),O1106*AN1106/AQ1106,
AND(L1106="level-log",M1106="level"),O1106/BF1106,
AND(L1106="level-log",M1106="sd (X)"),O1106/BF1106/AQ1106,
AND(L1106="level-log",M1106="sd (Y)"),O1106/BF1106*BI1106,
AND(L1106="elasticity",M1106="level"),O1106,
AND(L1106="elasticity",M1106="sd (X)"),O1106/AQ1106,
AND(L1106="elasticity",M1106="sd (Y)"),O1106*BI1106,
AND(L1106="marginal_effect",M1106="percent_of_mean"),O1106*AN1106/BF1106/10)</f>
        <v>0.17320780693229673</v>
      </c>
      <c r="AH1106" s="55">
        <f t="shared" si="521"/>
        <v>1</v>
      </c>
      <c r="AI1106" s="55">
        <f t="shared" ref="AI1106:AI1110" si="525">-AC1106</f>
        <v>-0.43648367346938777</v>
      </c>
      <c r="AJ1106" s="55">
        <v>0</v>
      </c>
      <c r="AK1106" s="55">
        <f t="shared" si="522"/>
        <v>1</v>
      </c>
      <c r="AL1106" s="55" t="s">
        <v>735</v>
      </c>
      <c r="AM1106" s="55" t="s">
        <v>737</v>
      </c>
      <c r="AN1106" s="55">
        <v>75.486000000000004</v>
      </c>
      <c r="AO1106" s="55">
        <v>0</v>
      </c>
      <c r="AP1106" s="55">
        <f t="shared" ref="AP1106:AP1110" si="526">AN1106</f>
        <v>75.486000000000004</v>
      </c>
      <c r="AQ1106" s="55">
        <v>41.317999999999998</v>
      </c>
      <c r="AR1106" s="55" t="s">
        <v>312</v>
      </c>
      <c r="AS1106" s="55" t="s">
        <v>312</v>
      </c>
      <c r="AT1106" s="55" t="s">
        <v>83</v>
      </c>
      <c r="AU1106" s="55" t="s">
        <v>109</v>
      </c>
      <c r="AV1106" s="55" t="s">
        <v>133</v>
      </c>
      <c r="AW1106" s="55" t="s">
        <v>85</v>
      </c>
      <c r="AX1106" s="55" t="s">
        <v>86</v>
      </c>
      <c r="AY1106" s="55">
        <v>0</v>
      </c>
      <c r="AZ1106" s="55">
        <v>0</v>
      </c>
      <c r="BA1106" s="55" t="s">
        <v>391</v>
      </c>
      <c r="BB1106" s="55" t="s">
        <v>88</v>
      </c>
      <c r="BC1106" s="55" t="s">
        <v>113</v>
      </c>
      <c r="BD1106" s="55" t="s">
        <v>114</v>
      </c>
      <c r="BE1106" s="55" t="s">
        <v>2241</v>
      </c>
      <c r="BF1106" s="55">
        <v>-0.29399999999999998</v>
      </c>
      <c r="BG1106" s="55">
        <v>0</v>
      </c>
      <c r="BH1106" s="55">
        <v>22.718</v>
      </c>
      <c r="BI1106" s="55" t="s">
        <v>312</v>
      </c>
      <c r="BJ1106" s="55" t="s">
        <v>312</v>
      </c>
      <c r="BK1106" s="55" t="s">
        <v>91</v>
      </c>
      <c r="BL1106" s="55" t="s">
        <v>509</v>
      </c>
      <c r="BM1106" s="76" t="s">
        <v>1411</v>
      </c>
      <c r="BN1106" s="55" t="s">
        <v>428</v>
      </c>
      <c r="BO1106" s="55" t="s">
        <v>1297</v>
      </c>
      <c r="BP1106" s="55" t="s">
        <v>1296</v>
      </c>
      <c r="BQ1106" s="55" t="s">
        <v>117</v>
      </c>
      <c r="BR1106" s="55" t="s">
        <v>93</v>
      </c>
      <c r="BS1106" s="55">
        <v>42.360999999999997</v>
      </c>
      <c r="BT1106" s="55">
        <v>0.46400000000000002</v>
      </c>
      <c r="BU1106" s="107">
        <v>39083</v>
      </c>
      <c r="BV1106" s="107">
        <v>41974</v>
      </c>
      <c r="BW1106" s="55" t="s">
        <v>94</v>
      </c>
      <c r="BX1106" s="55" t="s">
        <v>95</v>
      </c>
      <c r="BY1106" s="55" t="s">
        <v>96</v>
      </c>
      <c r="BZ1106" s="55">
        <v>0</v>
      </c>
      <c r="CA1106" s="55">
        <v>0</v>
      </c>
      <c r="CB1106" s="55" t="s">
        <v>97</v>
      </c>
      <c r="CC1106" s="55" t="s">
        <v>314</v>
      </c>
      <c r="CD1106" s="55">
        <v>1</v>
      </c>
      <c r="CE1106" s="55" t="s">
        <v>2242</v>
      </c>
      <c r="CF1106" s="55">
        <v>0</v>
      </c>
      <c r="CG1106" s="55" t="s">
        <v>97</v>
      </c>
      <c r="CH1106" s="55">
        <v>0</v>
      </c>
      <c r="CI1106" s="55" t="s">
        <v>2243</v>
      </c>
      <c r="CJ1106" s="55" t="s">
        <v>98</v>
      </c>
      <c r="CK1106" s="55">
        <v>14</v>
      </c>
      <c r="CL1106" s="55">
        <v>0</v>
      </c>
      <c r="CM1106" s="55">
        <v>0</v>
      </c>
      <c r="CN1106" s="55" t="s">
        <v>124</v>
      </c>
      <c r="CO1106" s="55" t="s">
        <v>97</v>
      </c>
      <c r="CP1106" s="55" t="s">
        <v>717</v>
      </c>
      <c r="CQ1106" s="55" t="s">
        <v>126</v>
      </c>
      <c r="CR1106" s="57">
        <v>46267</v>
      </c>
      <c r="CT1106" s="55" t="s">
        <v>450</v>
      </c>
    </row>
    <row r="1107" spans="1:98" s="55" customFormat="1" x14ac:dyDescent="0.35">
      <c r="A1107" s="54" t="s">
        <v>2237</v>
      </c>
      <c r="B1107" s="54" t="s">
        <v>2262</v>
      </c>
      <c r="C1107" s="55" t="s">
        <v>2238</v>
      </c>
      <c r="D1107" s="55">
        <v>2020</v>
      </c>
      <c r="E1107" s="60" t="s">
        <v>2239</v>
      </c>
      <c r="F1107" s="54" t="s">
        <v>2240</v>
      </c>
      <c r="G1107" s="55" t="s">
        <v>78</v>
      </c>
      <c r="H1107" s="55">
        <v>1</v>
      </c>
      <c r="I1107" s="55" t="s">
        <v>290</v>
      </c>
      <c r="J1107" s="55" t="s">
        <v>2210</v>
      </c>
      <c r="K1107" s="55">
        <v>302</v>
      </c>
      <c r="L1107" s="55" t="s">
        <v>129</v>
      </c>
      <c r="M1107" s="55" t="s">
        <v>380</v>
      </c>
      <c r="N1107" s="55">
        <v>-1.8E-3</v>
      </c>
      <c r="O1107" s="55">
        <f t="shared" si="496"/>
        <v>-7.7922077922077922E-4</v>
      </c>
      <c r="P1107" s="55">
        <v>2.31</v>
      </c>
      <c r="Q1107" s="55" t="s">
        <v>312</v>
      </c>
      <c r="R1107" s="55">
        <f t="shared" si="514"/>
        <v>-2.7272727272727279E-4</v>
      </c>
      <c r="S1107" s="55">
        <f t="shared" si="515"/>
        <v>-3.3272727272727273E-3</v>
      </c>
      <c r="T1107" s="55">
        <v>1</v>
      </c>
      <c r="U1107" s="55">
        <v>2151122</v>
      </c>
      <c r="V1107" s="55" t="s">
        <v>312</v>
      </c>
      <c r="W1107" s="55" t="s">
        <v>312</v>
      </c>
      <c r="X1107" s="55">
        <f t="shared" si="516"/>
        <v>2151122</v>
      </c>
      <c r="Y1107" s="55">
        <f t="shared" si="517"/>
        <v>1.5749940602294301E-3</v>
      </c>
      <c r="Z1107" s="55">
        <f t="shared" si="518"/>
        <v>6.8181561048893079E-4</v>
      </c>
      <c r="AA1107" s="55">
        <f t="shared" si="519"/>
        <v>1.5749940602294301E-3</v>
      </c>
      <c r="AB1107" s="55" t="s">
        <v>81</v>
      </c>
      <c r="AC1107" s="55">
        <f t="shared" si="523"/>
        <v>0.38932607449856732</v>
      </c>
      <c r="AD1107" s="55" cm="1">
        <f t="array" ref="AD1107">_xlfn.IFS(
AND(L1107="marginal_effect",M1107="level"),N1107*AN1107/BF1107,
AND(L1107="marginal_effect",M1107="sd (Y)"),N1107*BI1107*AN1107/BF1107,
AND(L1107="marginal_effect",M1107="sd (X)"),N1107/AQ1107*AN1107/BF1107,
AND(L1107="semi_elasticity",M1107="level"),N1107*AN1107,
AND(L1107="semi_elasticity",M1107="sd (Y)"),N1107*AN1107*BI1107,
AND(L1107="semi_elasticity",M1107="sd (X)"),N1107*AN1107/AQ1107,
AND(L1107="level-log",M1107="level"),N1107/BF1107,
AND(L1107="level-log",M1107="sd (X)"),N1107/BF1107/AQ1107,
AND(L1107="level-log",M1107="sd (Y)"),N1107/BF1107*BI1107,
AND(L1107="elasticity",M1107="level"),N1107,
AND(L1107="elasticity",M1107="sd (X)"),N1107/AQ1107,
AND(L1107="elasticity",M1107="sd (Y)"),N1107*BI1107,
AND(L1107="marginal_effect",M1107="percent_of_mean"),N1107*AN1107/BF1107/10)</f>
        <v>0.38932607449856732</v>
      </c>
      <c r="AE1107" s="55">
        <f t="shared" si="520"/>
        <v>1</v>
      </c>
      <c r="AF1107" s="55">
        <f t="shared" si="524"/>
        <v>0.16853942618985601</v>
      </c>
      <c r="AG1107" s="55" cm="1">
        <f t="array" ref="AG1107">_xlfn.IFS(
AND(L1107="marginal_effect",M1107="level"),O1107*AN1107/BF1107,
AND(L1107="marginal_effect",M1107="sd (Y)"),O1107*BI1107*AN1107/BF1107,
AND(L1107="marginal_effect",M1107="sd (X)"),O1107/AQ1107*AN1107/BF1107,
AND(L1107="semi_elasticity",M1107="level"),O1107*AN1107,
AND(L1107="semi_elasticity",M1107="sd (Y)"),O1107*AN1107*BI1107,
AND(L1107="semi_elasticity",M1107="sd (X)"),O1107*AN1107/AQ1107,
AND(L1107="level-log",M1107="level"),O1107/BF1107,
AND(L1107="level-log",M1107="sd (X)"),O1107/BF1107/AQ1107,
AND(L1107="level-log",M1107="sd (Y)"),O1107/BF1107*BI1107,
AND(L1107="elasticity",M1107="level"),O1107,
AND(L1107="elasticity",M1107="sd (X)"),O1107/AQ1107,
AND(L1107="elasticity",M1107="sd (Y)"),O1107*BI1107,
AND(L1107="marginal_effect",M1107="percent_of_mean"),O1107*AN1107/BF1107/10)</f>
        <v>0.16853942618985601</v>
      </c>
      <c r="AH1107" s="55">
        <f t="shared" si="521"/>
        <v>1</v>
      </c>
      <c r="AI1107" s="55">
        <f t="shared" si="525"/>
        <v>-0.38932607449856732</v>
      </c>
      <c r="AJ1107" s="55">
        <v>0</v>
      </c>
      <c r="AK1107" s="55">
        <f t="shared" si="522"/>
        <v>1</v>
      </c>
      <c r="AL1107" s="55" t="s">
        <v>735</v>
      </c>
      <c r="AM1107" s="55" t="s">
        <v>737</v>
      </c>
      <c r="AN1107" s="55">
        <v>75.486000000000004</v>
      </c>
      <c r="AO1107" s="55">
        <v>0</v>
      </c>
      <c r="AP1107" s="55">
        <f t="shared" si="526"/>
        <v>75.486000000000004</v>
      </c>
      <c r="AQ1107" s="55">
        <v>41.317999999999998</v>
      </c>
      <c r="AR1107" s="55" t="s">
        <v>312</v>
      </c>
      <c r="AS1107" s="55" t="s">
        <v>312</v>
      </c>
      <c r="AT1107" s="55" t="s">
        <v>83</v>
      </c>
      <c r="AU1107" s="55" t="s">
        <v>109</v>
      </c>
      <c r="AV1107" s="55" t="s">
        <v>133</v>
      </c>
      <c r="AW1107" s="55" t="s">
        <v>85</v>
      </c>
      <c r="AX1107" s="55" t="s">
        <v>86</v>
      </c>
      <c r="AY1107" s="55">
        <v>0</v>
      </c>
      <c r="AZ1107" s="55">
        <v>0</v>
      </c>
      <c r="BA1107" s="55" t="s">
        <v>391</v>
      </c>
      <c r="BB1107" s="55" t="s">
        <v>88</v>
      </c>
      <c r="BC1107" s="55" t="s">
        <v>113</v>
      </c>
      <c r="BD1107" s="55" t="s">
        <v>114</v>
      </c>
      <c r="BE1107" s="55" t="s">
        <v>2241</v>
      </c>
      <c r="BF1107" s="55">
        <v>-0.34899999999999998</v>
      </c>
      <c r="BG1107" s="55">
        <v>0</v>
      </c>
      <c r="BH1107" s="55">
        <v>28.363</v>
      </c>
      <c r="BI1107" s="55" t="s">
        <v>312</v>
      </c>
      <c r="BJ1107" s="55" t="s">
        <v>312</v>
      </c>
      <c r="BK1107" s="55" t="s">
        <v>91</v>
      </c>
      <c r="BL1107" s="55" t="s">
        <v>509</v>
      </c>
      <c r="BM1107" s="76" t="s">
        <v>1411</v>
      </c>
      <c r="BN1107" s="55" t="s">
        <v>428</v>
      </c>
      <c r="BO1107" s="55" t="s">
        <v>1297</v>
      </c>
      <c r="BP1107" s="55" t="s">
        <v>1296</v>
      </c>
      <c r="BQ1107" s="55" t="s">
        <v>117</v>
      </c>
      <c r="BR1107" s="55" t="s">
        <v>93</v>
      </c>
      <c r="BS1107" s="55">
        <v>42.360999999999997</v>
      </c>
      <c r="BT1107" s="55">
        <v>0.46400000000000002</v>
      </c>
      <c r="BU1107" s="107">
        <v>39083</v>
      </c>
      <c r="BV1107" s="107">
        <v>41974</v>
      </c>
      <c r="BW1107" s="55" t="s">
        <v>94</v>
      </c>
      <c r="BX1107" s="55" t="s">
        <v>95</v>
      </c>
      <c r="BY1107" s="55" t="s">
        <v>96</v>
      </c>
      <c r="BZ1107" s="55">
        <v>0</v>
      </c>
      <c r="CA1107" s="55">
        <v>0</v>
      </c>
      <c r="CB1107" s="55" t="s">
        <v>97</v>
      </c>
      <c r="CC1107" s="55" t="s">
        <v>314</v>
      </c>
      <c r="CD1107" s="55">
        <v>1</v>
      </c>
      <c r="CE1107" s="55" t="s">
        <v>2242</v>
      </c>
      <c r="CF1107" s="55">
        <v>0</v>
      </c>
      <c r="CG1107" s="55" t="s">
        <v>97</v>
      </c>
      <c r="CH1107" s="55">
        <v>0</v>
      </c>
      <c r="CI1107" s="55" t="s">
        <v>2243</v>
      </c>
      <c r="CJ1107" s="55" t="s">
        <v>98</v>
      </c>
      <c r="CK1107" s="55">
        <v>14</v>
      </c>
      <c r="CL1107" s="55">
        <v>0</v>
      </c>
      <c r="CM1107" s="55">
        <v>0</v>
      </c>
      <c r="CN1107" s="55" t="s">
        <v>124</v>
      </c>
      <c r="CO1107" s="55" t="s">
        <v>97</v>
      </c>
      <c r="CP1107" s="55" t="s">
        <v>717</v>
      </c>
      <c r="CQ1107" s="55" t="s">
        <v>126</v>
      </c>
      <c r="CR1107" s="57">
        <v>46267</v>
      </c>
      <c r="CT1107" s="55" t="s">
        <v>451</v>
      </c>
    </row>
    <row r="1108" spans="1:98" s="55" customFormat="1" x14ac:dyDescent="0.35">
      <c r="A1108" s="54" t="s">
        <v>2237</v>
      </c>
      <c r="B1108" s="54" t="s">
        <v>2263</v>
      </c>
      <c r="C1108" s="55" t="s">
        <v>2238</v>
      </c>
      <c r="D1108" s="55">
        <v>2020</v>
      </c>
      <c r="E1108" s="60" t="s">
        <v>2239</v>
      </c>
      <c r="F1108" s="54" t="s">
        <v>2240</v>
      </c>
      <c r="G1108" s="55" t="s">
        <v>78</v>
      </c>
      <c r="H1108" s="55">
        <v>1</v>
      </c>
      <c r="I1108" s="55" t="s">
        <v>290</v>
      </c>
      <c r="J1108" s="55" t="s">
        <v>2210</v>
      </c>
      <c r="K1108" s="55">
        <v>302</v>
      </c>
      <c r="L1108" s="55" t="s">
        <v>129</v>
      </c>
      <c r="M1108" s="55" t="s">
        <v>380</v>
      </c>
      <c r="N1108" s="55">
        <v>-2.3E-3</v>
      </c>
      <c r="O1108" s="55">
        <f t="shared" si="496"/>
        <v>-1.1219512195121953E-3</v>
      </c>
      <c r="P1108" s="55">
        <v>2.0499999999999998</v>
      </c>
      <c r="Q1108" s="55" t="s">
        <v>312</v>
      </c>
      <c r="R1108" s="55">
        <f t="shared" si="514"/>
        <v>-1.0097560975609729E-4</v>
      </c>
      <c r="S1108" s="55">
        <f t="shared" si="515"/>
        <v>-4.4990243902439022E-3</v>
      </c>
      <c r="T1108" s="55">
        <v>1</v>
      </c>
      <c r="U1108" s="55">
        <v>2151122</v>
      </c>
      <c r="V1108" s="55" t="s">
        <v>312</v>
      </c>
      <c r="W1108" s="55" t="s">
        <v>312</v>
      </c>
      <c r="X1108" s="55">
        <f t="shared" si="516"/>
        <v>2151122</v>
      </c>
      <c r="Y1108" s="55">
        <f t="shared" si="517"/>
        <v>1.3977223697878717E-3</v>
      </c>
      <c r="Z1108" s="55">
        <f t="shared" si="518"/>
        <v>6.8181579014042531E-4</v>
      </c>
      <c r="AA1108" s="55">
        <f t="shared" si="519"/>
        <v>1.3977223697878717E-3</v>
      </c>
      <c r="AB1108" s="55" t="s">
        <v>81</v>
      </c>
      <c r="AC1108" s="55">
        <f t="shared" si="523"/>
        <v>0.41436229116945111</v>
      </c>
      <c r="AD1108" s="55" cm="1">
        <f t="array" ref="AD1108">_xlfn.IFS(
AND(L1108="marginal_effect",M1108="level"),N1108*AN1108/BF1108,
AND(L1108="marginal_effect",M1108="sd (Y)"),N1108*BI1108*AN1108/BF1108,
AND(L1108="marginal_effect",M1108="sd (X)"),N1108/AQ1108*AN1108/BF1108,
AND(L1108="semi_elasticity",M1108="level"),N1108*AN1108,
AND(L1108="semi_elasticity",M1108="sd (Y)"),N1108*AN1108*BI1108,
AND(L1108="semi_elasticity",M1108="sd (X)"),N1108*AN1108/AQ1108,
AND(L1108="level-log",M1108="level"),N1108/BF1108,
AND(L1108="level-log",M1108="sd (X)"),N1108/BF1108/AQ1108,
AND(L1108="level-log",M1108="sd (Y)"),N1108/BF1108*BI1108,
AND(L1108="elasticity",M1108="level"),N1108,
AND(L1108="elasticity",M1108="sd (X)"),N1108/AQ1108,
AND(L1108="elasticity",M1108="sd (Y)"),N1108*BI1108,
AND(L1108="marginal_effect",M1108="percent_of_mean"),N1108*AN1108/BF1108/10)</f>
        <v>0.41436229116945111</v>
      </c>
      <c r="AE1108" s="55">
        <f t="shared" si="520"/>
        <v>1</v>
      </c>
      <c r="AF1108" s="55">
        <f t="shared" si="524"/>
        <v>0.2021279469119274</v>
      </c>
      <c r="AG1108" s="55" cm="1">
        <f t="array" ref="AG1108">_xlfn.IFS(
AND(L1108="marginal_effect",M1108="level"),O1108*AN1108/BF1108,
AND(L1108="marginal_effect",M1108="sd (Y)"),O1108*BI1108*AN1108/BF1108,
AND(L1108="marginal_effect",M1108="sd (X)"),O1108/AQ1108*AN1108/BF1108,
AND(L1108="semi_elasticity",M1108="level"),O1108*AN1108,
AND(L1108="semi_elasticity",M1108="sd (Y)"),O1108*AN1108*BI1108,
AND(L1108="semi_elasticity",M1108="sd (X)"),O1108*AN1108/AQ1108,
AND(L1108="level-log",M1108="level"),O1108/BF1108,
AND(L1108="level-log",M1108="sd (X)"),O1108/BF1108/AQ1108,
AND(L1108="level-log",M1108="sd (Y)"),O1108/BF1108*BI1108,
AND(L1108="elasticity",M1108="level"),O1108,
AND(L1108="elasticity",M1108="sd (X)"),O1108/AQ1108,
AND(L1108="elasticity",M1108="sd (Y)"),O1108*BI1108,
AND(L1108="marginal_effect",M1108="percent_of_mean"),O1108*AN1108/BF1108/10)</f>
        <v>0.2021279469119274</v>
      </c>
      <c r="AH1108" s="55">
        <f t="shared" si="521"/>
        <v>1</v>
      </c>
      <c r="AI1108" s="55">
        <f t="shared" si="525"/>
        <v>-0.41436229116945111</v>
      </c>
      <c r="AJ1108" s="55">
        <v>0</v>
      </c>
      <c r="AK1108" s="55">
        <f t="shared" si="522"/>
        <v>1</v>
      </c>
      <c r="AL1108" s="55" t="s">
        <v>735</v>
      </c>
      <c r="AM1108" s="55" t="s">
        <v>737</v>
      </c>
      <c r="AN1108" s="55">
        <v>75.486000000000004</v>
      </c>
      <c r="AO1108" s="55">
        <v>0</v>
      </c>
      <c r="AP1108" s="55">
        <f t="shared" si="526"/>
        <v>75.486000000000004</v>
      </c>
      <c r="AQ1108" s="55">
        <v>41.317999999999998</v>
      </c>
      <c r="AR1108" s="55" t="s">
        <v>312</v>
      </c>
      <c r="AS1108" s="55" t="s">
        <v>312</v>
      </c>
      <c r="AT1108" s="55" t="s">
        <v>83</v>
      </c>
      <c r="AU1108" s="55" t="s">
        <v>109</v>
      </c>
      <c r="AV1108" s="55" t="s">
        <v>133</v>
      </c>
      <c r="AW1108" s="55" t="s">
        <v>85</v>
      </c>
      <c r="AX1108" s="55" t="s">
        <v>86</v>
      </c>
      <c r="AY1108" s="55">
        <v>0</v>
      </c>
      <c r="AZ1108" s="55">
        <v>0</v>
      </c>
      <c r="BA1108" s="55" t="s">
        <v>391</v>
      </c>
      <c r="BB1108" s="55" t="s">
        <v>88</v>
      </c>
      <c r="BC1108" s="55" t="s">
        <v>113</v>
      </c>
      <c r="BD1108" s="55" t="s">
        <v>114</v>
      </c>
      <c r="BE1108" s="55" t="s">
        <v>2241</v>
      </c>
      <c r="BF1108" s="55">
        <v>-0.41899999999999998</v>
      </c>
      <c r="BG1108" s="55">
        <v>0</v>
      </c>
      <c r="BH1108" s="55">
        <v>33.308999999999997</v>
      </c>
      <c r="BI1108" s="55" t="s">
        <v>312</v>
      </c>
      <c r="BJ1108" s="55" t="s">
        <v>312</v>
      </c>
      <c r="BK1108" s="55" t="s">
        <v>91</v>
      </c>
      <c r="BL1108" s="55" t="s">
        <v>509</v>
      </c>
      <c r="BM1108" s="76" t="s">
        <v>1411</v>
      </c>
      <c r="BN1108" s="55" t="s">
        <v>428</v>
      </c>
      <c r="BO1108" s="55" t="s">
        <v>1297</v>
      </c>
      <c r="BP1108" s="55" t="s">
        <v>1296</v>
      </c>
      <c r="BQ1108" s="55" t="s">
        <v>117</v>
      </c>
      <c r="BR1108" s="55" t="s">
        <v>93</v>
      </c>
      <c r="BS1108" s="55">
        <v>42.360999999999997</v>
      </c>
      <c r="BT1108" s="55">
        <v>0.46400000000000002</v>
      </c>
      <c r="BU1108" s="107">
        <v>39083</v>
      </c>
      <c r="BV1108" s="107">
        <v>41974</v>
      </c>
      <c r="BW1108" s="55" t="s">
        <v>94</v>
      </c>
      <c r="BX1108" s="55" t="s">
        <v>95</v>
      </c>
      <c r="BY1108" s="55" t="s">
        <v>96</v>
      </c>
      <c r="BZ1108" s="55">
        <v>0</v>
      </c>
      <c r="CA1108" s="55">
        <v>0</v>
      </c>
      <c r="CB1108" s="55" t="s">
        <v>97</v>
      </c>
      <c r="CC1108" s="55" t="s">
        <v>314</v>
      </c>
      <c r="CD1108" s="55">
        <v>1</v>
      </c>
      <c r="CE1108" s="55" t="s">
        <v>2242</v>
      </c>
      <c r="CF1108" s="55">
        <v>0</v>
      </c>
      <c r="CG1108" s="55" t="s">
        <v>97</v>
      </c>
      <c r="CH1108" s="55">
        <v>0</v>
      </c>
      <c r="CI1108" s="55" t="s">
        <v>2243</v>
      </c>
      <c r="CJ1108" s="55" t="s">
        <v>98</v>
      </c>
      <c r="CK1108" s="55">
        <v>14</v>
      </c>
      <c r="CL1108" s="55">
        <v>0</v>
      </c>
      <c r="CM1108" s="55">
        <v>0</v>
      </c>
      <c r="CN1108" s="55" t="s">
        <v>124</v>
      </c>
      <c r="CO1108" s="55" t="s">
        <v>97</v>
      </c>
      <c r="CP1108" s="55" t="s">
        <v>717</v>
      </c>
      <c r="CQ1108" s="55" t="s">
        <v>126</v>
      </c>
      <c r="CR1108" s="57">
        <v>46267</v>
      </c>
      <c r="CT1108" s="55" t="s">
        <v>452</v>
      </c>
    </row>
    <row r="1109" spans="1:98" s="55" customFormat="1" x14ac:dyDescent="0.35">
      <c r="A1109" s="54" t="s">
        <v>2237</v>
      </c>
      <c r="B1109" s="54" t="s">
        <v>2265</v>
      </c>
      <c r="C1109" s="55" t="s">
        <v>2238</v>
      </c>
      <c r="D1109" s="55">
        <v>2020</v>
      </c>
      <c r="E1109" s="60" t="s">
        <v>2239</v>
      </c>
      <c r="F1109" s="54" t="s">
        <v>2240</v>
      </c>
      <c r="G1109" s="55" t="s">
        <v>78</v>
      </c>
      <c r="H1109" s="55">
        <v>1</v>
      </c>
      <c r="I1109" s="55" t="s">
        <v>290</v>
      </c>
      <c r="J1109" s="55" t="s">
        <v>2210</v>
      </c>
      <c r="K1109" s="55">
        <v>302</v>
      </c>
      <c r="L1109" s="55" t="s">
        <v>129</v>
      </c>
      <c r="M1109" s="55" t="s">
        <v>380</v>
      </c>
      <c r="N1109" s="55">
        <v>-1E-3</v>
      </c>
      <c r="O1109" s="55">
        <f t="shared" si="496"/>
        <v>-3.5087719298245611E-4</v>
      </c>
      <c r="P1109" s="55">
        <v>2.85</v>
      </c>
      <c r="Q1109" s="55" t="s">
        <v>312</v>
      </c>
      <c r="R1109" s="55">
        <f t="shared" si="514"/>
        <v>-3.12280701754386E-4</v>
      </c>
      <c r="S1109" s="55">
        <f t="shared" si="515"/>
        <v>-1.687719298245614E-3</v>
      </c>
      <c r="T1109" s="55">
        <v>1</v>
      </c>
      <c r="U1109" s="55">
        <v>4097221</v>
      </c>
      <c r="V1109" s="55" t="s">
        <v>312</v>
      </c>
      <c r="W1109" s="55" t="s">
        <v>312</v>
      </c>
      <c r="X1109" s="55">
        <f t="shared" si="516"/>
        <v>4097221</v>
      </c>
      <c r="Y1109" s="55">
        <f t="shared" si="517"/>
        <v>1.4079905323803911E-3</v>
      </c>
      <c r="Z1109" s="55">
        <f t="shared" si="518"/>
        <v>4.9403176574750569E-4</v>
      </c>
      <c r="AA1109" s="55">
        <f t="shared" si="519"/>
        <v>1.4079905323803911E-3</v>
      </c>
      <c r="AB1109" s="55" t="s">
        <v>81</v>
      </c>
      <c r="AC1109" s="55">
        <f t="shared" si="523"/>
        <v>0.25675510204081636</v>
      </c>
      <c r="AD1109" s="55" cm="1">
        <f t="array" ref="AD1109">_xlfn.IFS(
AND(L1109="marginal_effect",M1109="level"),N1109*AN1109/BF1109,
AND(L1109="marginal_effect",M1109="sd (Y)"),N1109*BI1109*AN1109/BF1109,
AND(L1109="marginal_effect",M1109="sd (X)"),N1109/AQ1109*AN1109/BF1109,
AND(L1109="semi_elasticity",M1109="level"),N1109*AN1109,
AND(L1109="semi_elasticity",M1109="sd (Y)"),N1109*AN1109*BI1109,
AND(L1109="semi_elasticity",M1109="sd (X)"),N1109*AN1109/AQ1109,
AND(L1109="level-log",M1109="level"),N1109/BF1109,
AND(L1109="level-log",M1109="sd (X)"),N1109/BF1109/AQ1109,
AND(L1109="level-log",M1109="sd (Y)"),N1109/BF1109*BI1109,
AND(L1109="elasticity",M1109="level"),N1109,
AND(L1109="elasticity",M1109="sd (X)"),N1109/AQ1109,
AND(L1109="elasticity",M1109="sd (Y)"),N1109*BI1109,
AND(L1109="marginal_effect",M1109="percent_of_mean"),N1109*AN1109/BF1109/10)</f>
        <v>0.25675510204081636</v>
      </c>
      <c r="AE1109" s="55">
        <f t="shared" si="520"/>
        <v>1</v>
      </c>
      <c r="AF1109" s="55">
        <f t="shared" si="524"/>
        <v>9.0089509488005731E-2</v>
      </c>
      <c r="AG1109" s="55" cm="1">
        <f t="array" ref="AG1109">_xlfn.IFS(
AND(L1109="marginal_effect",M1109="level"),O1109*AN1109/BF1109,
AND(L1109="marginal_effect",M1109="sd (Y)"),O1109*BI1109*AN1109/BF1109,
AND(L1109="marginal_effect",M1109="sd (X)"),O1109/AQ1109*AN1109/BF1109,
AND(L1109="semi_elasticity",M1109="level"),O1109*AN1109,
AND(L1109="semi_elasticity",M1109="sd (Y)"),O1109*AN1109*BI1109,
AND(L1109="semi_elasticity",M1109="sd (X)"),O1109*AN1109/AQ1109,
AND(L1109="level-log",M1109="level"),O1109/BF1109,
AND(L1109="level-log",M1109="sd (X)"),O1109/BF1109/AQ1109,
AND(L1109="level-log",M1109="sd (Y)"),O1109/BF1109*BI1109,
AND(L1109="elasticity",M1109="level"),O1109,
AND(L1109="elasticity",M1109="sd (X)"),O1109/AQ1109,
AND(L1109="elasticity",M1109="sd (Y)"),O1109*BI1109,
AND(L1109="marginal_effect",M1109="percent_of_mean"),O1109*AN1109/BF1109/10)</f>
        <v>9.0089509488005731E-2</v>
      </c>
      <c r="AH1109" s="55">
        <f t="shared" si="521"/>
        <v>1</v>
      </c>
      <c r="AI1109" s="55">
        <f t="shared" si="525"/>
        <v>-0.25675510204081636</v>
      </c>
      <c r="AJ1109" s="55">
        <v>0</v>
      </c>
      <c r="AK1109" s="55">
        <f t="shared" si="522"/>
        <v>1</v>
      </c>
      <c r="AL1109" s="55" t="s">
        <v>735</v>
      </c>
      <c r="AM1109" s="55" t="s">
        <v>737</v>
      </c>
      <c r="AN1109" s="55">
        <v>75.486000000000004</v>
      </c>
      <c r="AO1109" s="55">
        <v>0</v>
      </c>
      <c r="AP1109" s="55">
        <f t="shared" si="526"/>
        <v>75.486000000000004</v>
      </c>
      <c r="AQ1109" s="55">
        <v>41.317999999999998</v>
      </c>
      <c r="AR1109" s="55" t="s">
        <v>312</v>
      </c>
      <c r="AS1109" s="55" t="s">
        <v>312</v>
      </c>
      <c r="AT1109" s="55" t="s">
        <v>83</v>
      </c>
      <c r="AU1109" s="55" t="s">
        <v>109</v>
      </c>
      <c r="AV1109" s="55" t="s">
        <v>133</v>
      </c>
      <c r="AW1109" s="55" t="s">
        <v>85</v>
      </c>
      <c r="AX1109" s="55" t="s">
        <v>86</v>
      </c>
      <c r="AY1109" s="55">
        <v>0</v>
      </c>
      <c r="AZ1109" s="55">
        <v>0</v>
      </c>
      <c r="BA1109" s="55" t="s">
        <v>391</v>
      </c>
      <c r="BB1109" s="55" t="s">
        <v>88</v>
      </c>
      <c r="BC1109" s="55" t="s">
        <v>113</v>
      </c>
      <c r="BD1109" s="55" t="s">
        <v>114</v>
      </c>
      <c r="BE1109" s="55" t="s">
        <v>2241</v>
      </c>
      <c r="BF1109" s="55">
        <v>-0.29399999999999998</v>
      </c>
      <c r="BG1109" s="55">
        <v>0</v>
      </c>
      <c r="BH1109" s="55">
        <v>22.718</v>
      </c>
      <c r="BI1109" s="55" t="s">
        <v>312</v>
      </c>
      <c r="BJ1109" s="55" t="s">
        <v>312</v>
      </c>
      <c r="BK1109" s="55" t="s">
        <v>91</v>
      </c>
      <c r="BL1109" s="55" t="s">
        <v>509</v>
      </c>
      <c r="BM1109" s="76" t="s">
        <v>1411</v>
      </c>
      <c r="BN1109" s="55" t="s">
        <v>428</v>
      </c>
      <c r="BO1109" s="55" t="s">
        <v>1297</v>
      </c>
      <c r="BP1109" s="55" t="s">
        <v>1296</v>
      </c>
      <c r="BQ1109" s="55" t="s">
        <v>117</v>
      </c>
      <c r="BR1109" s="55" t="s">
        <v>93</v>
      </c>
      <c r="BS1109" s="55">
        <v>42.360999999999997</v>
      </c>
      <c r="BT1109" s="55">
        <v>0.46400000000000002</v>
      </c>
      <c r="BU1109" s="107">
        <v>39083</v>
      </c>
      <c r="BV1109" s="107">
        <v>41974</v>
      </c>
      <c r="BW1109" s="55" t="s">
        <v>94</v>
      </c>
      <c r="BX1109" s="55" t="s">
        <v>95</v>
      </c>
      <c r="BY1109" s="55" t="s">
        <v>96</v>
      </c>
      <c r="BZ1109" s="55">
        <v>0</v>
      </c>
      <c r="CA1109" s="55">
        <v>0</v>
      </c>
      <c r="CB1109" s="55" t="s">
        <v>97</v>
      </c>
      <c r="CC1109" s="55" t="s">
        <v>314</v>
      </c>
      <c r="CD1109" s="55">
        <v>1</v>
      </c>
      <c r="CE1109" s="55" t="s">
        <v>2242</v>
      </c>
      <c r="CF1109" s="55">
        <v>0</v>
      </c>
      <c r="CG1109" s="55" t="s">
        <v>97</v>
      </c>
      <c r="CH1109" s="55">
        <v>0</v>
      </c>
      <c r="CI1109" s="55" t="s">
        <v>2243</v>
      </c>
      <c r="CJ1109" s="55" t="s">
        <v>98</v>
      </c>
      <c r="CK1109" s="55">
        <v>14</v>
      </c>
      <c r="CL1109" s="55">
        <v>0</v>
      </c>
      <c r="CM1109" s="55">
        <v>0</v>
      </c>
      <c r="CN1109" s="55" t="s">
        <v>124</v>
      </c>
      <c r="CO1109" s="55" t="s">
        <v>1065</v>
      </c>
      <c r="CP1109" s="55" t="s">
        <v>717</v>
      </c>
      <c r="CQ1109" s="55" t="s">
        <v>126</v>
      </c>
      <c r="CR1109" s="57">
        <v>46267</v>
      </c>
      <c r="CT1109" s="55" t="s">
        <v>780</v>
      </c>
    </row>
    <row r="1110" spans="1:98" s="55" customFormat="1" x14ac:dyDescent="0.35">
      <c r="A1110" s="54" t="s">
        <v>2237</v>
      </c>
      <c r="B1110" s="54" t="s">
        <v>2264</v>
      </c>
      <c r="C1110" s="55" t="s">
        <v>2238</v>
      </c>
      <c r="D1110" s="55">
        <v>2020</v>
      </c>
      <c r="E1110" s="60" t="s">
        <v>2239</v>
      </c>
      <c r="F1110" s="54" t="s">
        <v>2240</v>
      </c>
      <c r="G1110" s="55" t="s">
        <v>78</v>
      </c>
      <c r="H1110" s="55">
        <v>1</v>
      </c>
      <c r="I1110" s="55" t="s">
        <v>290</v>
      </c>
      <c r="J1110" s="55" t="s">
        <v>2210</v>
      </c>
      <c r="K1110" s="55">
        <v>302</v>
      </c>
      <c r="L1110" s="55" t="s">
        <v>129</v>
      </c>
      <c r="M1110" s="55" t="s">
        <v>380</v>
      </c>
      <c r="N1110" s="55">
        <v>-6.7999999999999996E-3</v>
      </c>
      <c r="O1110" s="55">
        <f t="shared" si="496"/>
        <v>-2.6562499999999998E-3</v>
      </c>
      <c r="P1110" s="55">
        <v>2.56</v>
      </c>
      <c r="Q1110" s="55" t="s">
        <v>312</v>
      </c>
      <c r="R1110" s="55">
        <f t="shared" si="514"/>
        <v>-1.5937500000000005E-3</v>
      </c>
      <c r="S1110" s="55">
        <f t="shared" si="515"/>
        <v>-1.200625E-2</v>
      </c>
      <c r="T1110" s="55">
        <v>1</v>
      </c>
      <c r="U1110" s="55">
        <v>4097221</v>
      </c>
      <c r="V1110" s="55" t="s">
        <v>312</v>
      </c>
      <c r="W1110" s="55" t="s">
        <v>312</v>
      </c>
      <c r="X1110" s="55">
        <f t="shared" si="516"/>
        <v>4097221</v>
      </c>
      <c r="Y1110" s="55">
        <f t="shared" si="517"/>
        <v>1.2647215624555341E-3</v>
      </c>
      <c r="Z1110" s="55">
        <f t="shared" si="518"/>
        <v>4.9403186033419302E-4</v>
      </c>
      <c r="AA1110" s="55">
        <f t="shared" si="519"/>
        <v>1.2647215624555341E-3</v>
      </c>
      <c r="AB1110" s="55" t="s">
        <v>81</v>
      </c>
      <c r="AC1110" s="55">
        <f t="shared" si="523"/>
        <v>1.7459346938775511</v>
      </c>
      <c r="AD1110" s="55" cm="1">
        <f t="array" ref="AD1110">_xlfn.IFS(
AND(L1110="marginal_effect",M1110="level"),N1110*AN1110/BF1110,
AND(L1110="marginal_effect",M1110="sd (Y)"),N1110*BI1110*AN1110/BF1110,
AND(L1110="marginal_effect",M1110="sd (X)"),N1110/AQ1110*AN1110/BF1110,
AND(L1110="semi_elasticity",M1110="level"),N1110*AN1110,
AND(L1110="semi_elasticity",M1110="sd (Y)"),N1110*AN1110*BI1110,
AND(L1110="semi_elasticity",M1110="sd (X)"),N1110*AN1110/AQ1110,
AND(L1110="level-log",M1110="level"),N1110/BF1110,
AND(L1110="level-log",M1110="sd (X)"),N1110/BF1110/AQ1110,
AND(L1110="level-log",M1110="sd (Y)"),N1110/BF1110*BI1110,
AND(L1110="elasticity",M1110="level"),N1110,
AND(L1110="elasticity",M1110="sd (X)"),N1110/AQ1110,
AND(L1110="elasticity",M1110="sd (Y)"),N1110*BI1110,
AND(L1110="marginal_effect",M1110="percent_of_mean"),N1110*AN1110/BF1110/10)</f>
        <v>1.7459346938775511</v>
      </c>
      <c r="AE1110" s="55">
        <f t="shared" si="520"/>
        <v>1</v>
      </c>
      <c r="AF1110" s="55">
        <f t="shared" si="524"/>
        <v>0.68200573979591839</v>
      </c>
      <c r="AG1110" s="55" cm="1">
        <f t="array" ref="AG1110">_xlfn.IFS(
AND(L1110="marginal_effect",M1110="level"),O1110*AN1110/BF1110,
AND(L1110="marginal_effect",M1110="sd (Y)"),O1110*BI1110*AN1110/BF1110,
AND(L1110="marginal_effect",M1110="sd (X)"),O1110/AQ1110*AN1110/BF1110,
AND(L1110="semi_elasticity",M1110="level"),O1110*AN1110,
AND(L1110="semi_elasticity",M1110="sd (Y)"),O1110*AN1110*BI1110,
AND(L1110="semi_elasticity",M1110="sd (X)"),O1110*AN1110/AQ1110,
AND(L1110="level-log",M1110="level"),O1110/BF1110,
AND(L1110="level-log",M1110="sd (X)"),O1110/BF1110/AQ1110,
AND(L1110="level-log",M1110="sd (Y)"),O1110/BF1110*BI1110,
AND(L1110="elasticity",M1110="level"),O1110,
AND(L1110="elasticity",M1110="sd (X)"),O1110/AQ1110,
AND(L1110="elasticity",M1110="sd (Y)"),O1110*BI1110,
AND(L1110="marginal_effect",M1110="percent_of_mean"),O1110*AN1110/BF1110/10)</f>
        <v>0.68200573979591839</v>
      </c>
      <c r="AH1110" s="55">
        <f t="shared" si="521"/>
        <v>1</v>
      </c>
      <c r="AI1110" s="55">
        <f t="shared" si="525"/>
        <v>-1.7459346938775511</v>
      </c>
      <c r="AJ1110" s="55">
        <v>0</v>
      </c>
      <c r="AK1110" s="55">
        <f t="shared" si="522"/>
        <v>1</v>
      </c>
      <c r="AL1110" s="55" t="s">
        <v>735</v>
      </c>
      <c r="AM1110" s="55" t="s">
        <v>737</v>
      </c>
      <c r="AN1110" s="55">
        <v>75.486000000000004</v>
      </c>
      <c r="AO1110" s="55">
        <v>0</v>
      </c>
      <c r="AP1110" s="55">
        <f t="shared" si="526"/>
        <v>75.486000000000004</v>
      </c>
      <c r="AQ1110" s="55">
        <v>41.317999999999998</v>
      </c>
      <c r="AR1110" s="55" t="s">
        <v>312</v>
      </c>
      <c r="AS1110" s="55" t="s">
        <v>312</v>
      </c>
      <c r="AT1110" s="55" t="s">
        <v>83</v>
      </c>
      <c r="AU1110" s="55" t="s">
        <v>109</v>
      </c>
      <c r="AV1110" s="55" t="s">
        <v>133</v>
      </c>
      <c r="AW1110" s="55" t="s">
        <v>85</v>
      </c>
      <c r="AX1110" s="55" t="s">
        <v>86</v>
      </c>
      <c r="AY1110" s="55">
        <v>0</v>
      </c>
      <c r="AZ1110" s="55">
        <v>0</v>
      </c>
      <c r="BA1110" s="55" t="s">
        <v>391</v>
      </c>
      <c r="BB1110" s="55" t="s">
        <v>88</v>
      </c>
      <c r="BC1110" s="55" t="s">
        <v>113</v>
      </c>
      <c r="BD1110" s="55" t="s">
        <v>114</v>
      </c>
      <c r="BE1110" s="55" t="s">
        <v>2241</v>
      </c>
      <c r="BF1110" s="55">
        <v>-0.29399999999999998</v>
      </c>
      <c r="BG1110" s="55">
        <v>0</v>
      </c>
      <c r="BH1110" s="55">
        <v>22.718</v>
      </c>
      <c r="BI1110" s="55" t="s">
        <v>312</v>
      </c>
      <c r="BJ1110" s="55" t="s">
        <v>312</v>
      </c>
      <c r="BK1110" s="55" t="s">
        <v>91</v>
      </c>
      <c r="BL1110" s="55" t="s">
        <v>509</v>
      </c>
      <c r="BM1110" s="76" t="s">
        <v>1411</v>
      </c>
      <c r="BN1110" s="55" t="s">
        <v>428</v>
      </c>
      <c r="BO1110" s="55" t="s">
        <v>1297</v>
      </c>
      <c r="BP1110" s="55" t="s">
        <v>1296</v>
      </c>
      <c r="BQ1110" s="55" t="s">
        <v>117</v>
      </c>
      <c r="BR1110" s="55" t="s">
        <v>93</v>
      </c>
      <c r="BS1110" s="55">
        <v>42.360999999999997</v>
      </c>
      <c r="BT1110" s="55">
        <v>0.46400000000000002</v>
      </c>
      <c r="BU1110" s="107">
        <v>39083</v>
      </c>
      <c r="BV1110" s="107">
        <v>41974</v>
      </c>
      <c r="BW1110" s="55" t="s">
        <v>94</v>
      </c>
      <c r="BX1110" s="55" t="s">
        <v>95</v>
      </c>
      <c r="BY1110" s="55" t="s">
        <v>96</v>
      </c>
      <c r="BZ1110" s="55">
        <v>0</v>
      </c>
      <c r="CA1110" s="55">
        <v>0</v>
      </c>
      <c r="CB1110" s="55" t="s">
        <v>97</v>
      </c>
      <c r="CC1110" s="55" t="s">
        <v>314</v>
      </c>
      <c r="CD1110" s="55">
        <v>1</v>
      </c>
      <c r="CE1110" s="55" t="s">
        <v>2242</v>
      </c>
      <c r="CF1110" s="55">
        <v>0</v>
      </c>
      <c r="CG1110" s="55" t="s">
        <v>97</v>
      </c>
      <c r="CH1110" s="55">
        <v>0</v>
      </c>
      <c r="CI1110" s="55" t="s">
        <v>2243</v>
      </c>
      <c r="CJ1110" s="55" t="s">
        <v>98</v>
      </c>
      <c r="CK1110" s="55">
        <v>14</v>
      </c>
      <c r="CL1110" s="55">
        <v>0</v>
      </c>
      <c r="CM1110" s="55">
        <v>0</v>
      </c>
      <c r="CN1110" s="55" t="s">
        <v>124</v>
      </c>
      <c r="CO1110" s="55" t="s">
        <v>1065</v>
      </c>
      <c r="CP1110" s="55" t="s">
        <v>717</v>
      </c>
      <c r="CQ1110" s="55" t="s">
        <v>126</v>
      </c>
      <c r="CR1110" s="57">
        <v>46267</v>
      </c>
      <c r="CT1110" s="55" t="s">
        <v>673</v>
      </c>
    </row>
    <row r="1111" spans="1:98" s="35" customFormat="1" x14ac:dyDescent="0.35">
      <c r="A1111" s="34" t="s">
        <v>2267</v>
      </c>
      <c r="B1111" s="34" t="s">
        <v>2275</v>
      </c>
      <c r="C1111" s="35" t="s">
        <v>2266</v>
      </c>
      <c r="D1111" s="35">
        <v>2020</v>
      </c>
      <c r="E1111" s="37" t="s">
        <v>2268</v>
      </c>
      <c r="F1111" s="34" t="s">
        <v>1406</v>
      </c>
      <c r="G1111" s="35" t="s">
        <v>78</v>
      </c>
      <c r="H1111" s="35">
        <v>1</v>
      </c>
      <c r="I1111" s="35" t="s">
        <v>2269</v>
      </c>
      <c r="J1111" s="35" t="s">
        <v>2210</v>
      </c>
      <c r="K1111" s="35">
        <v>3</v>
      </c>
      <c r="L1111" s="35" t="s">
        <v>80</v>
      </c>
      <c r="M1111" s="35" t="s">
        <v>380</v>
      </c>
      <c r="N1111" s="35">
        <v>-3.5999999999999997E-2</v>
      </c>
      <c r="O1111" s="35">
        <v>1.4999999999999999E-2</v>
      </c>
      <c r="P1111" s="35">
        <f t="shared" ref="P1111:P1113" si="527">N1111/O1111</f>
        <v>-2.4</v>
      </c>
      <c r="Q1111" s="35" t="s">
        <v>312</v>
      </c>
      <c r="R1111" s="35">
        <f t="shared" si="514"/>
        <v>-6.54E-2</v>
      </c>
      <c r="S1111" s="35">
        <f t="shared" si="515"/>
        <v>-6.5999999999999982E-3</v>
      </c>
      <c r="T1111" s="35">
        <v>1</v>
      </c>
      <c r="U1111" s="35">
        <v>51840</v>
      </c>
      <c r="V1111" s="35" t="s">
        <v>312</v>
      </c>
      <c r="W1111" s="35" t="s">
        <v>312</v>
      </c>
      <c r="X1111" s="35">
        <f t="shared" si="516"/>
        <v>51840</v>
      </c>
      <c r="Y1111" s="35">
        <f t="shared" si="517"/>
        <v>-1.0540339975716555E-2</v>
      </c>
      <c r="Z1111" s="35">
        <f t="shared" si="518"/>
        <v>4.3918083232152311E-3</v>
      </c>
      <c r="AA1111" s="35">
        <f t="shared" si="519"/>
        <v>-1.0540339975716555E-2</v>
      </c>
      <c r="AB1111" s="35" t="s">
        <v>81</v>
      </c>
      <c r="AC1111" s="35">
        <f t="shared" ref="AC1111:AC1113" si="528">N1111</f>
        <v>-3.5999999999999997E-2</v>
      </c>
      <c r="AD1111" s="35" cm="1">
        <f t="array" ref="AD1111">_xlfn.IFS(
AND(L1111="marginal_effect",M1111="level"),N1111*#REF!/BF1111,
AND(L1111="marginal_effect",M1111="sd (Y)"),N1111*BI1111*#REF!/BF1111,
AND(L1111="marginal_effect",M1111="sd (X)"),N1111/AQ1111*#REF!/BF1111,
AND(L1111="semi_elasticity",M1111="level"),N1111*#REF!,
AND(L1111="semi_elasticity",M1111="sd (Y)"),N1111*#REF!*BI1111,
AND(L1111="semi_elasticity",M1111="sd (X)"),N1111*#REF!/AQ1111,
AND(L1111="level-log",M1111="level"),N1111/BF1111,
AND(L1111="level-log",M1111="sd (X)"),N1111/BF1111/AQ1111,
AND(L1111="level-log",M1111="sd (Y)"),N1111/BF1111*BI1111,
AND(L1111="elasticity",M1111="level"),N1111,
AND(L1111="elasticity",M1111="sd (X)"),N1111/AQ1111,
AND(L1111="elasticity",M1111="sd (Y)"),N1111*BI1111,
AND(L1111="marginal_effect",M1111="percent_of_mean"),N1111*#REF!/BF1111/10)</f>
        <v>-3.5999999999999997E-2</v>
      </c>
      <c r="AE1111" s="35">
        <f t="shared" si="520"/>
        <v>1</v>
      </c>
      <c r="AF1111" s="35">
        <f t="shared" ref="AF1111:AF1113" si="529">O1111</f>
        <v>1.4999999999999999E-2</v>
      </c>
      <c r="AG1111" s="35" cm="1">
        <f t="array" ref="AG1111">_xlfn.IFS(
AND(L1111="marginal_effect",M1111="level"),O1111*#REF!/BF1111,
AND(L1111="marginal_effect",M1111="sd (Y)"),O1111*BI1111*#REF!/BF1111,
AND(L1111="marginal_effect",M1111="sd (X)"),O1111/AQ1111*#REF!/BF1111,
AND(L1111="semi_elasticity",M1111="level"),O1111*#REF!,
AND(L1111="semi_elasticity",M1111="sd (Y)"),O1111*#REF!*BI1111,
AND(L1111="semi_elasticity",M1111="sd (X)"),O1111*#REF!/AQ1111,
AND(L1111="level-log",M1111="level"),O1111/BF1111,
AND(L1111="level-log",M1111="sd (X)"),O1111/BF1111/AQ1111,
AND(L1111="level-log",M1111="sd (Y)"),O1111/BF1111*BI1111,
AND(L1111="elasticity",M1111="level"),O1111,
AND(L1111="elasticity",M1111="sd (X)"),O1111/AQ1111,
AND(L1111="elasticity",M1111="sd (Y)"),O1111*BI1111,
AND(L1111="marginal_effect",M1111="percent_of_mean"),O1111*#REF!/BF1111/10)</f>
        <v>1.4999999999999999E-2</v>
      </c>
      <c r="AH1111" s="35">
        <f t="shared" si="521"/>
        <v>1</v>
      </c>
      <c r="AI1111" s="35">
        <f t="shared" ref="AI1111:AI1113" si="530">AC1111</f>
        <v>-3.5999999999999997E-2</v>
      </c>
      <c r="AJ1111" s="35">
        <v>0</v>
      </c>
      <c r="AK1111" s="35">
        <f t="shared" si="522"/>
        <v>1</v>
      </c>
      <c r="AL1111" s="35" t="s">
        <v>82</v>
      </c>
      <c r="AM1111" s="35" t="s">
        <v>1333</v>
      </c>
      <c r="AN1111" s="35">
        <v>15.59</v>
      </c>
      <c r="AO1111" s="35">
        <v>0</v>
      </c>
      <c r="AP1111" s="35">
        <f>AN1111</f>
        <v>15.59</v>
      </c>
      <c r="AQ1111" s="35">
        <v>9.3699999999999992</v>
      </c>
      <c r="AR1111" s="35" t="s">
        <v>312</v>
      </c>
      <c r="AS1111" s="35" t="s">
        <v>312</v>
      </c>
      <c r="AT1111" s="35" t="s">
        <v>83</v>
      </c>
      <c r="AU1111" s="35" t="s">
        <v>109</v>
      </c>
      <c r="AV1111" s="35" t="s">
        <v>133</v>
      </c>
      <c r="AW1111" s="35" t="s">
        <v>85</v>
      </c>
      <c r="AX1111" s="35" t="s">
        <v>86</v>
      </c>
      <c r="AY1111" s="35">
        <v>0</v>
      </c>
      <c r="AZ1111" s="35">
        <v>0</v>
      </c>
      <c r="BA1111" s="35" t="s">
        <v>87</v>
      </c>
      <c r="BB1111" s="35" t="s">
        <v>134</v>
      </c>
      <c r="BC1111" s="35" t="s">
        <v>113</v>
      </c>
      <c r="BD1111" s="35" t="s">
        <v>134</v>
      </c>
      <c r="BE1111" s="35" t="s">
        <v>2270</v>
      </c>
      <c r="BF1111" s="35">
        <v>14.19</v>
      </c>
      <c r="BG1111" s="35">
        <v>0</v>
      </c>
      <c r="BH1111" s="35">
        <v>16.89</v>
      </c>
      <c r="BI1111" s="35" t="s">
        <v>312</v>
      </c>
      <c r="BJ1111" s="35" t="s">
        <v>312</v>
      </c>
      <c r="BK1111" s="35" t="s">
        <v>91</v>
      </c>
      <c r="BL1111" s="35" t="s">
        <v>116</v>
      </c>
      <c r="BM1111" s="76" t="s">
        <v>1411</v>
      </c>
      <c r="BN1111" s="35" t="s">
        <v>428</v>
      </c>
      <c r="BO1111" s="35" t="s">
        <v>2271</v>
      </c>
      <c r="BP1111" s="35" t="s">
        <v>312</v>
      </c>
      <c r="BQ1111" s="35" t="s">
        <v>92</v>
      </c>
      <c r="BR1111" s="35" t="s">
        <v>134</v>
      </c>
      <c r="BS1111" s="35" t="s">
        <v>312</v>
      </c>
      <c r="BT1111" s="35" t="s">
        <v>312</v>
      </c>
      <c r="BU1111" s="35">
        <v>2013</v>
      </c>
      <c r="BV1111" s="35">
        <v>2017</v>
      </c>
      <c r="BW1111" s="35" t="s">
        <v>94</v>
      </c>
      <c r="BX1111" s="35" t="s">
        <v>95</v>
      </c>
      <c r="BY1111" s="35" t="s">
        <v>96</v>
      </c>
      <c r="BZ1111" s="35">
        <v>0</v>
      </c>
      <c r="CA1111" s="35">
        <v>0</v>
      </c>
      <c r="CB1111" s="35" t="s">
        <v>97</v>
      </c>
      <c r="CC1111" s="35" t="s">
        <v>1375</v>
      </c>
      <c r="CD1111" s="35">
        <v>0</v>
      </c>
      <c r="CE1111" s="35" t="s">
        <v>97</v>
      </c>
      <c r="CF1111" s="35">
        <v>0</v>
      </c>
      <c r="CG1111" s="35" t="s">
        <v>97</v>
      </c>
      <c r="CH1111" s="35">
        <v>0</v>
      </c>
      <c r="CI1111" s="35" t="s">
        <v>2313</v>
      </c>
      <c r="CJ1111" s="35" t="s">
        <v>98</v>
      </c>
      <c r="CK1111" s="35">
        <v>14</v>
      </c>
      <c r="CL1111" s="35">
        <v>0</v>
      </c>
      <c r="CM1111" s="35">
        <v>0</v>
      </c>
      <c r="CN1111" s="35" t="s">
        <v>99</v>
      </c>
      <c r="CO1111" s="35" t="s">
        <v>97</v>
      </c>
      <c r="CP1111" s="35" t="s">
        <v>100</v>
      </c>
      <c r="CQ1111" s="35" t="s">
        <v>126</v>
      </c>
      <c r="CR1111" s="36">
        <v>46267</v>
      </c>
      <c r="CT1111" s="35" t="s">
        <v>1980</v>
      </c>
    </row>
    <row r="1112" spans="1:98" s="35" customFormat="1" x14ac:dyDescent="0.35">
      <c r="A1112" s="34" t="s">
        <v>2267</v>
      </c>
      <c r="B1112" s="34" t="s">
        <v>2276</v>
      </c>
      <c r="C1112" s="35" t="s">
        <v>2266</v>
      </c>
      <c r="D1112" s="35">
        <v>2020</v>
      </c>
      <c r="E1112" s="37" t="s">
        <v>2268</v>
      </c>
      <c r="F1112" s="34" t="s">
        <v>1406</v>
      </c>
      <c r="G1112" s="35" t="s">
        <v>78</v>
      </c>
      <c r="H1112" s="35">
        <v>1</v>
      </c>
      <c r="I1112" s="35" t="s">
        <v>2269</v>
      </c>
      <c r="J1112" s="35" t="s">
        <v>2210</v>
      </c>
      <c r="K1112" s="35">
        <v>3</v>
      </c>
      <c r="L1112" s="35" t="s">
        <v>80</v>
      </c>
      <c r="M1112" s="35" t="s">
        <v>380</v>
      </c>
      <c r="N1112" s="35">
        <v>-4.4999999999999998E-2</v>
      </c>
      <c r="O1112" s="35">
        <v>1.6E-2</v>
      </c>
      <c r="P1112" s="35">
        <f t="shared" si="527"/>
        <v>-2.8125</v>
      </c>
      <c r="Q1112" s="35" t="s">
        <v>312</v>
      </c>
      <c r="R1112" s="35">
        <f t="shared" si="514"/>
        <v>-7.6359999999999997E-2</v>
      </c>
      <c r="S1112" s="35">
        <f t="shared" si="515"/>
        <v>-1.3639999999999999E-2</v>
      </c>
      <c r="T1112" s="35">
        <v>1</v>
      </c>
      <c r="U1112" s="35">
        <v>51840</v>
      </c>
      <c r="V1112" s="35" t="s">
        <v>312</v>
      </c>
      <c r="W1112" s="35" t="s">
        <v>312</v>
      </c>
      <c r="X1112" s="35">
        <f t="shared" si="516"/>
        <v>51840</v>
      </c>
      <c r="Y1112" s="35">
        <f t="shared" si="517"/>
        <v>-1.2351704785688747E-2</v>
      </c>
      <c r="Z1112" s="35">
        <f t="shared" si="518"/>
        <v>4.3917172571337768E-3</v>
      </c>
      <c r="AA1112" s="35">
        <f t="shared" si="519"/>
        <v>-1.2351704785688747E-2</v>
      </c>
      <c r="AB1112" s="35" t="s">
        <v>81</v>
      </c>
      <c r="AC1112" s="35">
        <f t="shared" si="528"/>
        <v>-4.4999999999999998E-2</v>
      </c>
      <c r="AD1112" s="35" cm="1">
        <f t="array" ref="AD1112">_xlfn.IFS(
AND(L1112="marginal_effect",M1112="level"),N1112*AN1112/BF1112,
AND(L1112="marginal_effect",M1112="sd (Y)"),N1112*BI1112*AN1112/BF1112,
AND(L1112="marginal_effect",M1112="sd (X)"),N1112/AQ1112*AN1112/BF1112,
AND(L1112="semi_elasticity",M1112="level"),N1112*AN1112,
AND(L1112="semi_elasticity",M1112="sd (Y)"),N1112*AN1112*BI1112,
AND(L1112="semi_elasticity",M1112="sd (X)"),N1112*AN1112/AQ1112,
AND(L1112="level-log",M1112="level"),N1112/BF1112,
AND(L1112="level-log",M1112="sd (X)"),N1112/BF1112/AQ1112,
AND(L1112="level-log",M1112="sd (Y)"),N1112/BF1112*BI1112,
AND(L1112="elasticity",M1112="level"),N1112,
AND(L1112="elasticity",M1112="sd (X)"),N1112/AQ1112,
AND(L1112="elasticity",M1112="sd (Y)"),N1112*BI1112,
AND(L1112="marginal_effect",M1112="percent_of_mean"),N1112*AN1112/BF1112/10)</f>
        <v>-4.4999999999999998E-2</v>
      </c>
      <c r="AE1112" s="35">
        <f>IF(AC1112=AD1112,1,0)</f>
        <v>1</v>
      </c>
      <c r="AF1112" s="35">
        <f t="shared" si="529"/>
        <v>1.6E-2</v>
      </c>
      <c r="AG1112" s="35" cm="1">
        <f t="array" ref="AG1112">_xlfn.IFS(
AND(L1112="marginal_effect",M1112="level"),O1112*AN1112/BF1112,
AND(L1112="marginal_effect",M1112="sd (Y)"),O1112*BI1112*AN1112/BF1112,
AND(L1112="marginal_effect",M1112="sd (X)"),O1112/AQ1112*AN1112/BF1112,
AND(L1112="semi_elasticity",M1112="level"),O1112*AN1112,
AND(L1112="semi_elasticity",M1112="sd (Y)"),O1112*AN1112*BI1112,
AND(L1112="semi_elasticity",M1112="sd (X)"),O1112*AN1112/AQ1112,
AND(L1112="level-log",M1112="level"),O1112/BF1112,
AND(L1112="level-log",M1112="sd (X)"),O1112/BF1112/AQ1112,
AND(L1112="level-log",M1112="sd (Y)"),O1112/BF1112*BI1112,
AND(L1112="elasticity",M1112="level"),O1112,
AND(L1112="elasticity",M1112="sd (X)"),O1112/AQ1112,
AND(L1112="elasticity",M1112="sd (Y)"),O1112*BI1112,
AND(L1112="marginal_effect",M1112="percent_of_mean"),O1112*AN1112/BF1112/10)</f>
        <v>1.6E-2</v>
      </c>
      <c r="AH1112" s="35">
        <f t="shared" si="521"/>
        <v>1</v>
      </c>
      <c r="AI1112" s="35">
        <f t="shared" si="530"/>
        <v>-4.4999999999999998E-2</v>
      </c>
      <c r="AJ1112" s="35">
        <v>0</v>
      </c>
      <c r="AK1112" s="35">
        <f t="shared" si="522"/>
        <v>1</v>
      </c>
      <c r="AL1112" s="35" t="s">
        <v>82</v>
      </c>
      <c r="AM1112" s="35" t="s">
        <v>1333</v>
      </c>
      <c r="AN1112" s="35">
        <v>15.59</v>
      </c>
      <c r="AO1112" s="35">
        <v>0</v>
      </c>
      <c r="AP1112" s="35">
        <f t="shared" ref="AP1112:AP1113" si="531">AN1112</f>
        <v>15.59</v>
      </c>
      <c r="AQ1112" s="35">
        <v>9.3699999999999992</v>
      </c>
      <c r="AR1112" s="35" t="s">
        <v>312</v>
      </c>
      <c r="AS1112" s="35" t="s">
        <v>312</v>
      </c>
      <c r="AT1112" s="35" t="s">
        <v>83</v>
      </c>
      <c r="AU1112" s="35" t="s">
        <v>109</v>
      </c>
      <c r="AV1112" s="35" t="s">
        <v>133</v>
      </c>
      <c r="AW1112" s="35" t="s">
        <v>85</v>
      </c>
      <c r="AX1112" s="35" t="s">
        <v>86</v>
      </c>
      <c r="AY1112" s="35">
        <v>0</v>
      </c>
      <c r="AZ1112" s="35">
        <v>0</v>
      </c>
      <c r="BA1112" s="35" t="s">
        <v>87</v>
      </c>
      <c r="BB1112" s="35" t="s">
        <v>134</v>
      </c>
      <c r="BC1112" s="35" t="s">
        <v>113</v>
      </c>
      <c r="BD1112" s="35" t="s">
        <v>134</v>
      </c>
      <c r="BE1112" s="35" t="s">
        <v>2270</v>
      </c>
      <c r="BF1112" s="35">
        <v>14.19</v>
      </c>
      <c r="BG1112" s="35">
        <v>0</v>
      </c>
      <c r="BH1112" s="35">
        <v>16.89</v>
      </c>
      <c r="BI1112" s="35" t="s">
        <v>312</v>
      </c>
      <c r="BJ1112" s="35" t="s">
        <v>312</v>
      </c>
      <c r="BK1112" s="35" t="s">
        <v>91</v>
      </c>
      <c r="BL1112" s="35" t="s">
        <v>116</v>
      </c>
      <c r="BM1112" s="76" t="s">
        <v>1411</v>
      </c>
      <c r="BN1112" s="35" t="s">
        <v>428</v>
      </c>
      <c r="BO1112" s="35" t="s">
        <v>2271</v>
      </c>
      <c r="BP1112" s="35" t="s">
        <v>312</v>
      </c>
      <c r="BQ1112" s="35" t="s">
        <v>92</v>
      </c>
      <c r="BR1112" s="35" t="s">
        <v>134</v>
      </c>
      <c r="BS1112" s="35" t="s">
        <v>312</v>
      </c>
      <c r="BT1112" s="35" t="s">
        <v>312</v>
      </c>
      <c r="BU1112" s="35">
        <v>2013</v>
      </c>
      <c r="BV1112" s="35">
        <v>2017</v>
      </c>
      <c r="BW1112" s="35" t="s">
        <v>94</v>
      </c>
      <c r="BX1112" s="35" t="s">
        <v>95</v>
      </c>
      <c r="BY1112" s="35" t="s">
        <v>96</v>
      </c>
      <c r="BZ1112" s="35">
        <v>0</v>
      </c>
      <c r="CA1112" s="35">
        <v>0</v>
      </c>
      <c r="CB1112" s="35" t="s">
        <v>97</v>
      </c>
      <c r="CC1112" s="35" t="s">
        <v>1375</v>
      </c>
      <c r="CD1112" s="35">
        <v>1</v>
      </c>
      <c r="CE1112" s="35" t="s">
        <v>2274</v>
      </c>
      <c r="CF1112" s="35">
        <v>0</v>
      </c>
      <c r="CG1112" s="35" t="s">
        <v>97</v>
      </c>
      <c r="CH1112" s="35">
        <v>0</v>
      </c>
      <c r="CI1112" s="35" t="s">
        <v>2313</v>
      </c>
      <c r="CJ1112" s="35" t="s">
        <v>98</v>
      </c>
      <c r="CK1112" s="35">
        <v>14</v>
      </c>
      <c r="CL1112" s="35">
        <v>0</v>
      </c>
      <c r="CM1112" s="35">
        <v>0</v>
      </c>
      <c r="CN1112" s="35" t="s">
        <v>99</v>
      </c>
      <c r="CO1112" s="35" t="s">
        <v>97</v>
      </c>
      <c r="CP1112" s="35" t="s">
        <v>100</v>
      </c>
      <c r="CQ1112" s="35" t="s">
        <v>126</v>
      </c>
      <c r="CR1112" s="36">
        <v>46267</v>
      </c>
      <c r="CT1112" s="35" t="s">
        <v>2272</v>
      </c>
    </row>
    <row r="1113" spans="1:98" s="35" customFormat="1" x14ac:dyDescent="0.35">
      <c r="A1113" s="34" t="s">
        <v>2267</v>
      </c>
      <c r="B1113" s="34" t="s">
        <v>2277</v>
      </c>
      <c r="C1113" s="35" t="s">
        <v>2266</v>
      </c>
      <c r="D1113" s="35">
        <v>2020</v>
      </c>
      <c r="E1113" s="37" t="s">
        <v>2268</v>
      </c>
      <c r="F1113" s="34" t="s">
        <v>1406</v>
      </c>
      <c r="G1113" s="35" t="s">
        <v>78</v>
      </c>
      <c r="H1113" s="35">
        <v>1</v>
      </c>
      <c r="I1113" s="35" t="s">
        <v>2269</v>
      </c>
      <c r="J1113" s="35" t="s">
        <v>2210</v>
      </c>
      <c r="K1113" s="35">
        <v>3</v>
      </c>
      <c r="L1113" s="35" t="s">
        <v>80</v>
      </c>
      <c r="M1113" s="35" t="s">
        <v>380</v>
      </c>
      <c r="N1113" s="35">
        <v>-4.2000000000000003E-2</v>
      </c>
      <c r="O1113" s="35">
        <v>1.6E-2</v>
      </c>
      <c r="P1113" s="35">
        <f t="shared" si="527"/>
        <v>-2.625</v>
      </c>
      <c r="Q1113" s="35" t="s">
        <v>312</v>
      </c>
      <c r="R1113" s="35">
        <f t="shared" si="514"/>
        <v>-7.3360000000000009E-2</v>
      </c>
      <c r="S1113" s="35">
        <f t="shared" si="515"/>
        <v>-1.0640000000000004E-2</v>
      </c>
      <c r="T1113" s="35">
        <v>1</v>
      </c>
      <c r="U1113" s="35">
        <v>51840</v>
      </c>
      <c r="V1113" s="35" t="s">
        <v>312</v>
      </c>
      <c r="W1113" s="35" t="s">
        <v>312</v>
      </c>
      <c r="X1113" s="35">
        <f t="shared" si="516"/>
        <v>51840</v>
      </c>
      <c r="Y1113" s="35">
        <f t="shared" si="517"/>
        <v>-1.1528371146805293E-2</v>
      </c>
      <c r="Z1113" s="35">
        <f t="shared" si="518"/>
        <v>4.391760436878207E-3</v>
      </c>
      <c r="AA1113" s="35">
        <f t="shared" si="519"/>
        <v>-1.1528371146805293E-2</v>
      </c>
      <c r="AB1113" s="35" t="s">
        <v>81</v>
      </c>
      <c r="AC1113" s="35">
        <f t="shared" si="528"/>
        <v>-4.2000000000000003E-2</v>
      </c>
      <c r="AD1113" s="35" cm="1">
        <f t="array" ref="AD1113">_xlfn.IFS(
AND(L1113="marginal_effect",M1113="level"),N1113*AN1113/BF1113,
AND(L1113="marginal_effect",M1113="sd (Y)"),N1113*BI1113*AN1113/BF1113,
AND(L1113="marginal_effect",M1113="sd (X)"),N1113/AQ1113*AN1113/BF1113,
AND(L1113="semi_elasticity",M1113="level"),N1113*AN1113,
AND(L1113="semi_elasticity",M1113="sd (Y)"),N1113*AN1113*BI1113,
AND(L1113="semi_elasticity",M1113="sd (X)"),N1113*AN1113/AQ1113,
AND(L1113="level-log",M1113="level"),N1113/BF1113,
AND(L1113="level-log",M1113="sd (X)"),N1113/BF1113/AQ1113,
AND(L1113="level-log",M1113="sd (Y)"),N1113/BF1113*BI1113,
AND(L1113="elasticity",M1113="level"),N1113,
AND(L1113="elasticity",M1113="sd (X)"),N1113/AQ1113,
AND(L1113="elasticity",M1113="sd (Y)"),N1113*BI1113,
AND(L1113="marginal_effect",M1113="percent_of_mean"),N1113*AN1113/BF1113/10)</f>
        <v>-4.2000000000000003E-2</v>
      </c>
      <c r="AE1113" s="35">
        <f t="shared" si="520"/>
        <v>1</v>
      </c>
      <c r="AF1113" s="35">
        <f t="shared" si="529"/>
        <v>1.6E-2</v>
      </c>
      <c r="AG1113" s="35" cm="1">
        <f t="array" ref="AG1113">_xlfn.IFS(
AND(L1113="marginal_effect",M1113="level"),O1113*AN1113/BF1113,
AND(L1113="marginal_effect",M1113="sd (Y)"),O1113*BI1113*AN1113/BF1113,
AND(L1113="marginal_effect",M1113="sd (X)"),O1113/AQ1113*AN1113/BF1113,
AND(L1113="semi_elasticity",M1113="level"),O1113*AN1113,
AND(L1113="semi_elasticity",M1113="sd (Y)"),O1113*AN1113*BI1113,
AND(L1113="semi_elasticity",M1113="sd (X)"),O1113*AN1113/AQ1113,
AND(L1113="level-log",M1113="level"),O1113/BF1113,
AND(L1113="level-log",M1113="sd (X)"),O1113/BF1113/AQ1113,
AND(L1113="level-log",M1113="sd (Y)"),O1113/BF1113*BI1113,
AND(L1113="elasticity",M1113="level"),O1113,
AND(L1113="elasticity",M1113="sd (X)"),O1113/AQ1113,
AND(L1113="elasticity",M1113="sd (Y)"),O1113*BI1113,
AND(L1113="marginal_effect",M1113="percent_of_mean"),O1113*AN1113/BF1113/10)</f>
        <v>1.6E-2</v>
      </c>
      <c r="AH1113" s="35">
        <f t="shared" si="521"/>
        <v>1</v>
      </c>
      <c r="AI1113" s="35">
        <f t="shared" si="530"/>
        <v>-4.2000000000000003E-2</v>
      </c>
      <c r="AJ1113" s="35">
        <v>0</v>
      </c>
      <c r="AK1113" s="35">
        <f t="shared" si="522"/>
        <v>1</v>
      </c>
      <c r="AL1113" s="35" t="s">
        <v>82</v>
      </c>
      <c r="AM1113" s="35" t="s">
        <v>1333</v>
      </c>
      <c r="AN1113" s="35">
        <v>15.59</v>
      </c>
      <c r="AO1113" s="35">
        <v>0</v>
      </c>
      <c r="AP1113" s="35">
        <f t="shared" si="531"/>
        <v>15.59</v>
      </c>
      <c r="AQ1113" s="35">
        <v>9.3699999999999992</v>
      </c>
      <c r="AR1113" s="35" t="s">
        <v>312</v>
      </c>
      <c r="AS1113" s="35" t="s">
        <v>312</v>
      </c>
      <c r="AT1113" s="35" t="s">
        <v>83</v>
      </c>
      <c r="AU1113" s="35" t="s">
        <v>109</v>
      </c>
      <c r="AV1113" s="35" t="s">
        <v>133</v>
      </c>
      <c r="AW1113" s="35" t="s">
        <v>85</v>
      </c>
      <c r="AX1113" s="35" t="s">
        <v>86</v>
      </c>
      <c r="AY1113" s="35">
        <v>0</v>
      </c>
      <c r="AZ1113" s="35">
        <v>0</v>
      </c>
      <c r="BA1113" s="35" t="s">
        <v>87</v>
      </c>
      <c r="BB1113" s="35" t="s">
        <v>134</v>
      </c>
      <c r="BC1113" s="35" t="s">
        <v>113</v>
      </c>
      <c r="BD1113" s="35" t="s">
        <v>134</v>
      </c>
      <c r="BE1113" s="35" t="s">
        <v>2270</v>
      </c>
      <c r="BF1113" s="35">
        <v>14.19</v>
      </c>
      <c r="BG1113" s="35">
        <v>0</v>
      </c>
      <c r="BH1113" s="35">
        <v>16.89</v>
      </c>
      <c r="BI1113" s="35" t="s">
        <v>312</v>
      </c>
      <c r="BJ1113" s="35" t="s">
        <v>312</v>
      </c>
      <c r="BK1113" s="35" t="s">
        <v>91</v>
      </c>
      <c r="BL1113" s="35" t="s">
        <v>116</v>
      </c>
      <c r="BM1113" s="76" t="s">
        <v>1411</v>
      </c>
      <c r="BN1113" s="35" t="s">
        <v>428</v>
      </c>
      <c r="BO1113" s="35" t="s">
        <v>2271</v>
      </c>
      <c r="BP1113" s="35" t="s">
        <v>312</v>
      </c>
      <c r="BQ1113" s="35" t="s">
        <v>92</v>
      </c>
      <c r="BR1113" s="35" t="s">
        <v>134</v>
      </c>
      <c r="BS1113" s="35" t="s">
        <v>312</v>
      </c>
      <c r="BT1113" s="35" t="s">
        <v>312</v>
      </c>
      <c r="BU1113" s="35">
        <v>2013</v>
      </c>
      <c r="BV1113" s="35">
        <v>2017</v>
      </c>
      <c r="BW1113" s="35" t="s">
        <v>94</v>
      </c>
      <c r="BX1113" s="35" t="s">
        <v>95</v>
      </c>
      <c r="BY1113" s="35" t="s">
        <v>96</v>
      </c>
      <c r="BZ1113" s="35">
        <v>0</v>
      </c>
      <c r="CA1113" s="35">
        <v>0</v>
      </c>
      <c r="CB1113" s="35" t="s">
        <v>97</v>
      </c>
      <c r="CC1113" s="35" t="s">
        <v>1375</v>
      </c>
      <c r="CD1113" s="35">
        <v>1</v>
      </c>
      <c r="CE1113" s="35" t="s">
        <v>2274</v>
      </c>
      <c r="CF1113" s="35">
        <v>0</v>
      </c>
      <c r="CG1113" s="35" t="s">
        <v>97</v>
      </c>
      <c r="CH1113" s="35">
        <v>0</v>
      </c>
      <c r="CI1113" s="35" t="s">
        <v>2313</v>
      </c>
      <c r="CJ1113" s="35" t="s">
        <v>98</v>
      </c>
      <c r="CK1113" s="35">
        <v>14</v>
      </c>
      <c r="CL1113" s="35">
        <v>0</v>
      </c>
      <c r="CM1113" s="35">
        <v>0</v>
      </c>
      <c r="CN1113" s="35" t="s">
        <v>99</v>
      </c>
      <c r="CO1113" s="35" t="s">
        <v>97</v>
      </c>
      <c r="CP1113" s="35" t="s">
        <v>100</v>
      </c>
      <c r="CQ1113" s="35" t="s">
        <v>126</v>
      </c>
      <c r="CR1113" s="36">
        <v>46267</v>
      </c>
      <c r="CT1113" s="35" t="s">
        <v>2273</v>
      </c>
    </row>
    <row r="1114" spans="1:98" s="35" customFormat="1" x14ac:dyDescent="0.35">
      <c r="A1114" s="34" t="s">
        <v>2267</v>
      </c>
      <c r="B1114" s="34" t="s">
        <v>2278</v>
      </c>
      <c r="C1114" s="35" t="s">
        <v>2266</v>
      </c>
      <c r="D1114" s="35">
        <v>2020</v>
      </c>
      <c r="E1114" s="37" t="s">
        <v>2268</v>
      </c>
      <c r="F1114" s="34" t="s">
        <v>1406</v>
      </c>
      <c r="G1114" s="35" t="s">
        <v>78</v>
      </c>
      <c r="H1114" s="35">
        <v>1</v>
      </c>
      <c r="I1114" s="35" t="s">
        <v>2269</v>
      </c>
      <c r="J1114" s="35" t="s">
        <v>2210</v>
      </c>
      <c r="K1114" s="35">
        <v>3</v>
      </c>
      <c r="L1114" s="35" t="s">
        <v>80</v>
      </c>
      <c r="M1114" s="35" t="s">
        <v>380</v>
      </c>
      <c r="N1114" s="35">
        <v>-0.17799999999999999</v>
      </c>
      <c r="O1114" s="35">
        <v>7.3999999999999996E-2</v>
      </c>
      <c r="P1114" s="35">
        <f t="shared" ref="P1114:P1115" si="532">N1114/O1114</f>
        <v>-2.4054054054054053</v>
      </c>
      <c r="Q1114" s="35" t="s">
        <v>312</v>
      </c>
      <c r="R1114" s="35">
        <f t="shared" ref="R1114:R1115" si="533">N1114-1.96*O1114</f>
        <v>-0.32303999999999999</v>
      </c>
      <c r="S1114" s="35">
        <f t="shared" ref="S1114:S1115" si="534">N1114+1.96*O1114</f>
        <v>-3.2959999999999989E-2</v>
      </c>
      <c r="T1114" s="35">
        <v>1</v>
      </c>
      <c r="U1114" s="35">
        <v>51840</v>
      </c>
      <c r="V1114" s="35" t="s">
        <v>312</v>
      </c>
      <c r="W1114" s="35" t="s">
        <v>312</v>
      </c>
      <c r="X1114" s="35">
        <f t="shared" ref="X1114:X1116" si="535">U1114</f>
        <v>51840</v>
      </c>
      <c r="Y1114" s="35">
        <f t="shared" ref="Y1114:Y1116" si="536">P1114/(P1114^2 + X1114)^(1/2)</f>
        <v>-1.0564076833820768E-2</v>
      </c>
      <c r="Z1114" s="35">
        <f t="shared" ref="Z1114:Z1116" si="537">((1-Y1114^2)/X1114)^(1/2)</f>
        <v>4.3918072230490837E-3</v>
      </c>
      <c r="AA1114" s="35">
        <f t="shared" ref="AA1114:AA1116" si="538">Y1114</f>
        <v>-1.0564076833820768E-2</v>
      </c>
      <c r="AB1114" s="35" t="s">
        <v>81</v>
      </c>
      <c r="AC1114" s="35">
        <f t="shared" ref="AC1114:AC1116" si="539">N1114</f>
        <v>-0.17799999999999999</v>
      </c>
      <c r="AD1114" s="35" cm="1">
        <f t="array" ref="AD1114">_xlfn.IFS(
AND(L1114="marginal_effect",M1114="level"),N1114*#REF!/BF1114,
AND(L1114="marginal_effect",M1114="sd (Y)"),N1114*BI1114*#REF!/BF1114,
AND(L1114="marginal_effect",M1114="sd (X)"),N1114/AQ1114*#REF!/BF1114,
AND(L1114="semi_elasticity",M1114="level"),N1114*#REF!,
AND(L1114="semi_elasticity",M1114="sd (Y)"),N1114*#REF!*BI1114,
AND(L1114="semi_elasticity",M1114="sd (X)"),N1114*#REF!/AQ1114,
AND(L1114="level-log",M1114="level"),N1114/BF1114,
AND(L1114="level-log",M1114="sd (X)"),N1114/BF1114/AQ1114,
AND(L1114="level-log",M1114="sd (Y)"),N1114/BF1114*BI1114,
AND(L1114="elasticity",M1114="level"),N1114,
AND(L1114="elasticity",M1114="sd (X)"),N1114/AQ1114,
AND(L1114="elasticity",M1114="sd (Y)"),N1114*BI1114,
AND(L1114="marginal_effect",M1114="percent_of_mean"),N1114*#REF!/BF1114/10)</f>
        <v>-0.17799999999999999</v>
      </c>
      <c r="AE1114" s="35">
        <f t="shared" ref="AE1114" si="540">IF(AC1114=AD1114,1,0)</f>
        <v>1</v>
      </c>
      <c r="AF1114" s="35">
        <f t="shared" ref="AF1114:AF1115" si="541">O1114</f>
        <v>7.3999999999999996E-2</v>
      </c>
      <c r="AG1114" s="35" cm="1">
        <f t="array" ref="AG1114">_xlfn.IFS(
AND(L1114="marginal_effect",M1114="level"),O1114*#REF!/BF1114,
AND(L1114="marginal_effect",M1114="sd (Y)"),O1114*BI1114*#REF!/BF1114,
AND(L1114="marginal_effect",M1114="sd (X)"),O1114/AQ1114*#REF!/BF1114,
AND(L1114="semi_elasticity",M1114="level"),O1114*#REF!,
AND(L1114="semi_elasticity",M1114="sd (Y)"),O1114*#REF!*BI1114,
AND(L1114="semi_elasticity",M1114="sd (X)"),O1114*#REF!/AQ1114,
AND(L1114="level-log",M1114="level"),O1114/BF1114,
AND(L1114="level-log",M1114="sd (X)"),O1114/BF1114/AQ1114,
AND(L1114="level-log",M1114="sd (Y)"),O1114/BF1114*BI1114,
AND(L1114="elasticity",M1114="level"),O1114,
AND(L1114="elasticity",M1114="sd (X)"),O1114/AQ1114,
AND(L1114="elasticity",M1114="sd (Y)"),O1114*BI1114,
AND(L1114="marginal_effect",M1114="percent_of_mean"),O1114*#REF!/BF1114/10)</f>
        <v>7.3999999999999996E-2</v>
      </c>
      <c r="AH1114" s="35">
        <f t="shared" ref="AH1114:AH1116" si="542">IF(AF1114=AG1114,1,0)</f>
        <v>1</v>
      </c>
      <c r="AI1114" s="35">
        <f t="shared" ref="AI1114:AI1116" si="543">AC1114</f>
        <v>-0.17799999999999999</v>
      </c>
      <c r="AJ1114" s="35">
        <v>0</v>
      </c>
      <c r="AK1114" s="35">
        <f t="shared" ref="AK1114:AK1116" si="544">IF(P1114=(AC1114/AF1114),1,0)</f>
        <v>1</v>
      </c>
      <c r="AL1114" s="35" t="s">
        <v>82</v>
      </c>
      <c r="AM1114" s="35" t="s">
        <v>1333</v>
      </c>
      <c r="AN1114" s="35">
        <v>15.59</v>
      </c>
      <c r="AO1114" s="35">
        <v>0</v>
      </c>
      <c r="AP1114" s="35">
        <f>AN1114</f>
        <v>15.59</v>
      </c>
      <c r="AQ1114" s="35">
        <v>9.3699999999999992</v>
      </c>
      <c r="AR1114" s="35" t="s">
        <v>312</v>
      </c>
      <c r="AS1114" s="35" t="s">
        <v>312</v>
      </c>
      <c r="AT1114" s="35" t="s">
        <v>83</v>
      </c>
      <c r="AU1114" s="35" t="s">
        <v>109</v>
      </c>
      <c r="AV1114" s="35" t="s">
        <v>133</v>
      </c>
      <c r="AW1114" s="35" t="s">
        <v>85</v>
      </c>
      <c r="AX1114" s="35" t="s">
        <v>86</v>
      </c>
      <c r="AY1114" s="35">
        <v>0</v>
      </c>
      <c r="AZ1114" s="35">
        <v>0</v>
      </c>
      <c r="BA1114" s="35" t="s">
        <v>87</v>
      </c>
      <c r="BB1114" s="35" t="s">
        <v>134</v>
      </c>
      <c r="BC1114" s="35" t="s">
        <v>113</v>
      </c>
      <c r="BD1114" s="35" t="s">
        <v>134</v>
      </c>
      <c r="BE1114" s="35" t="s">
        <v>2270</v>
      </c>
      <c r="BF1114" s="35">
        <v>14.19</v>
      </c>
      <c r="BG1114" s="35">
        <v>0</v>
      </c>
      <c r="BH1114" s="35">
        <v>16.89</v>
      </c>
      <c r="BI1114" s="35" t="s">
        <v>312</v>
      </c>
      <c r="BJ1114" s="35" t="s">
        <v>312</v>
      </c>
      <c r="BK1114" s="35" t="s">
        <v>91</v>
      </c>
      <c r="BL1114" s="35" t="s">
        <v>116</v>
      </c>
      <c r="BM1114" s="76" t="s">
        <v>1411</v>
      </c>
      <c r="BN1114" s="35" t="s">
        <v>428</v>
      </c>
      <c r="BO1114" s="35" t="s">
        <v>2271</v>
      </c>
      <c r="BP1114" s="35" t="s">
        <v>312</v>
      </c>
      <c r="BQ1114" s="35" t="s">
        <v>92</v>
      </c>
      <c r="BR1114" s="35" t="s">
        <v>134</v>
      </c>
      <c r="BS1114" s="35" t="s">
        <v>312</v>
      </c>
      <c r="BT1114" s="35" t="s">
        <v>312</v>
      </c>
      <c r="BU1114" s="35">
        <v>2013</v>
      </c>
      <c r="BV1114" s="35">
        <v>2017</v>
      </c>
      <c r="BW1114" s="35" t="s">
        <v>94</v>
      </c>
      <c r="BX1114" s="35" t="s">
        <v>95</v>
      </c>
      <c r="BY1114" s="35" t="s">
        <v>748</v>
      </c>
      <c r="BZ1114" s="35">
        <v>1</v>
      </c>
      <c r="CA1114" s="35">
        <v>1</v>
      </c>
      <c r="CB1114" s="35" t="s">
        <v>2281</v>
      </c>
      <c r="CC1114" s="35" t="s">
        <v>1375</v>
      </c>
      <c r="CD1114" s="35">
        <v>0</v>
      </c>
      <c r="CE1114" s="35" t="s">
        <v>97</v>
      </c>
      <c r="CF1114" s="35">
        <v>0</v>
      </c>
      <c r="CG1114" s="35" t="s">
        <v>97</v>
      </c>
      <c r="CH1114" s="35">
        <v>0</v>
      </c>
      <c r="CI1114" s="35" t="s">
        <v>2313</v>
      </c>
      <c r="CJ1114" s="35" t="s">
        <v>98</v>
      </c>
      <c r="CK1114" s="35">
        <v>14</v>
      </c>
      <c r="CL1114" s="35">
        <v>0</v>
      </c>
      <c r="CM1114" s="35">
        <v>0</v>
      </c>
      <c r="CN1114" s="35" t="s">
        <v>99</v>
      </c>
      <c r="CO1114" s="35" t="s">
        <v>97</v>
      </c>
      <c r="CP1114" s="35" t="s">
        <v>100</v>
      </c>
      <c r="CQ1114" s="35" t="s">
        <v>126</v>
      </c>
      <c r="CR1114" s="36">
        <v>46267</v>
      </c>
      <c r="CT1114" s="35" t="s">
        <v>543</v>
      </c>
    </row>
    <row r="1115" spans="1:98" s="35" customFormat="1" x14ac:dyDescent="0.35">
      <c r="A1115" s="34" t="s">
        <v>2267</v>
      </c>
      <c r="B1115" s="34" t="s">
        <v>2279</v>
      </c>
      <c r="C1115" s="35" t="s">
        <v>2266</v>
      </c>
      <c r="D1115" s="35">
        <v>2020</v>
      </c>
      <c r="E1115" s="37" t="s">
        <v>2268</v>
      </c>
      <c r="F1115" s="34" t="s">
        <v>1406</v>
      </c>
      <c r="G1115" s="35" t="s">
        <v>78</v>
      </c>
      <c r="H1115" s="35">
        <v>1</v>
      </c>
      <c r="I1115" s="35" t="s">
        <v>2269</v>
      </c>
      <c r="J1115" s="35" t="s">
        <v>2210</v>
      </c>
      <c r="K1115" s="35">
        <v>3</v>
      </c>
      <c r="L1115" s="35" t="s">
        <v>80</v>
      </c>
      <c r="M1115" s="35" t="s">
        <v>380</v>
      </c>
      <c r="N1115" s="35">
        <v>-0.26900000000000002</v>
      </c>
      <c r="O1115" s="35">
        <v>0.109</v>
      </c>
      <c r="P1115" s="35">
        <f t="shared" si="532"/>
        <v>-2.4678899082568808</v>
      </c>
      <c r="Q1115" s="35" t="s">
        <v>312</v>
      </c>
      <c r="R1115" s="35">
        <f t="shared" si="533"/>
        <v>-0.48264000000000001</v>
      </c>
      <c r="S1115" s="35">
        <f t="shared" si="534"/>
        <v>-5.536000000000002E-2</v>
      </c>
      <c r="T1115" s="35">
        <v>1</v>
      </c>
      <c r="U1115" s="35">
        <v>51840</v>
      </c>
      <c r="V1115" s="35" t="s">
        <v>312</v>
      </c>
      <c r="W1115" s="35" t="s">
        <v>312</v>
      </c>
      <c r="X1115" s="35">
        <f t="shared" si="535"/>
        <v>51840</v>
      </c>
      <c r="Y1115" s="35">
        <f t="shared" si="536"/>
        <v>-1.0838464896085191E-2</v>
      </c>
      <c r="Z1115" s="35">
        <f t="shared" si="537"/>
        <v>4.3917943259229961E-3</v>
      </c>
      <c r="AA1115" s="35">
        <f t="shared" si="538"/>
        <v>-1.0838464896085191E-2</v>
      </c>
      <c r="AB1115" s="35" t="s">
        <v>81</v>
      </c>
      <c r="AC1115" s="35">
        <f t="shared" si="539"/>
        <v>-0.26900000000000002</v>
      </c>
      <c r="AD1115" s="35" cm="1">
        <f t="array" ref="AD1115">_xlfn.IFS(
AND(L1115="marginal_effect",M1115="level"),N1115*AN1115/BF1115,
AND(L1115="marginal_effect",M1115="sd (Y)"),N1115*BI1115*AN1115/BF1115,
AND(L1115="marginal_effect",M1115="sd (X)"),N1115/AQ1115*AN1115/BF1115,
AND(L1115="semi_elasticity",M1115="level"),N1115*AN1115,
AND(L1115="semi_elasticity",M1115="sd (Y)"),N1115*AN1115*BI1115,
AND(L1115="semi_elasticity",M1115="sd (X)"),N1115*AN1115/AQ1115,
AND(L1115="level-log",M1115="level"),N1115/BF1115,
AND(L1115="level-log",M1115="sd (X)"),N1115/BF1115/AQ1115,
AND(L1115="level-log",M1115="sd (Y)"),N1115/BF1115*BI1115,
AND(L1115="elasticity",M1115="level"),N1115,
AND(L1115="elasticity",M1115="sd (X)"),N1115/AQ1115,
AND(L1115="elasticity",M1115="sd (Y)"),N1115*BI1115,
AND(L1115="marginal_effect",M1115="percent_of_mean"),N1115*AN1115/BF1115/10)</f>
        <v>-0.26900000000000002</v>
      </c>
      <c r="AE1115" s="35">
        <f>IF(AC1115=AD1115,1,0)</f>
        <v>1</v>
      </c>
      <c r="AF1115" s="35">
        <f t="shared" si="541"/>
        <v>0.109</v>
      </c>
      <c r="AG1115" s="35" cm="1">
        <f t="array" ref="AG1115">_xlfn.IFS(
AND(L1115="marginal_effect",M1115="level"),O1115*AN1115/BF1115,
AND(L1115="marginal_effect",M1115="sd (Y)"),O1115*BI1115*AN1115/BF1115,
AND(L1115="marginal_effect",M1115="sd (X)"),O1115/AQ1115*AN1115/BF1115,
AND(L1115="semi_elasticity",M1115="level"),O1115*AN1115,
AND(L1115="semi_elasticity",M1115="sd (Y)"),O1115*AN1115*BI1115,
AND(L1115="semi_elasticity",M1115="sd (X)"),O1115*AN1115/AQ1115,
AND(L1115="level-log",M1115="level"),O1115/BF1115,
AND(L1115="level-log",M1115="sd (X)"),O1115/BF1115/AQ1115,
AND(L1115="level-log",M1115="sd (Y)"),O1115/BF1115*BI1115,
AND(L1115="elasticity",M1115="level"),O1115,
AND(L1115="elasticity",M1115="sd (X)"),O1115/AQ1115,
AND(L1115="elasticity",M1115="sd (Y)"),O1115*BI1115,
AND(L1115="marginal_effect",M1115="percent_of_mean"),O1115*AN1115/BF1115/10)</f>
        <v>0.109</v>
      </c>
      <c r="AH1115" s="35">
        <f t="shared" si="542"/>
        <v>1</v>
      </c>
      <c r="AI1115" s="35">
        <f t="shared" si="543"/>
        <v>-0.26900000000000002</v>
      </c>
      <c r="AJ1115" s="35">
        <v>0</v>
      </c>
      <c r="AK1115" s="35">
        <f t="shared" si="544"/>
        <v>1</v>
      </c>
      <c r="AL1115" s="35" t="s">
        <v>82</v>
      </c>
      <c r="AM1115" s="35" t="s">
        <v>1333</v>
      </c>
      <c r="AN1115" s="35">
        <v>15.59</v>
      </c>
      <c r="AO1115" s="35">
        <v>0</v>
      </c>
      <c r="AP1115" s="35">
        <f t="shared" ref="AP1115:AP1116" si="545">AN1115</f>
        <v>15.59</v>
      </c>
      <c r="AQ1115" s="35">
        <v>9.3699999999999992</v>
      </c>
      <c r="AR1115" s="35" t="s">
        <v>312</v>
      </c>
      <c r="AS1115" s="35" t="s">
        <v>312</v>
      </c>
      <c r="AT1115" s="35" t="s">
        <v>83</v>
      </c>
      <c r="AU1115" s="35" t="s">
        <v>109</v>
      </c>
      <c r="AV1115" s="35" t="s">
        <v>133</v>
      </c>
      <c r="AW1115" s="35" t="s">
        <v>85</v>
      </c>
      <c r="AX1115" s="35" t="s">
        <v>86</v>
      </c>
      <c r="AY1115" s="35">
        <v>0</v>
      </c>
      <c r="AZ1115" s="35">
        <v>0</v>
      </c>
      <c r="BA1115" s="35" t="s">
        <v>87</v>
      </c>
      <c r="BB1115" s="35" t="s">
        <v>134</v>
      </c>
      <c r="BC1115" s="35" t="s">
        <v>113</v>
      </c>
      <c r="BD1115" s="35" t="s">
        <v>134</v>
      </c>
      <c r="BE1115" s="35" t="s">
        <v>2270</v>
      </c>
      <c r="BF1115" s="35">
        <v>14.19</v>
      </c>
      <c r="BG1115" s="35">
        <v>0</v>
      </c>
      <c r="BH1115" s="35">
        <v>16.89</v>
      </c>
      <c r="BI1115" s="35" t="s">
        <v>312</v>
      </c>
      <c r="BJ1115" s="35" t="s">
        <v>312</v>
      </c>
      <c r="BK1115" s="35" t="s">
        <v>91</v>
      </c>
      <c r="BL1115" s="35" t="s">
        <v>116</v>
      </c>
      <c r="BM1115" s="76" t="s">
        <v>1411</v>
      </c>
      <c r="BN1115" s="35" t="s">
        <v>428</v>
      </c>
      <c r="BO1115" s="35" t="s">
        <v>2271</v>
      </c>
      <c r="BP1115" s="35" t="s">
        <v>312</v>
      </c>
      <c r="BQ1115" s="35" t="s">
        <v>92</v>
      </c>
      <c r="BR1115" s="35" t="s">
        <v>134</v>
      </c>
      <c r="BS1115" s="35" t="s">
        <v>312</v>
      </c>
      <c r="BT1115" s="35" t="s">
        <v>312</v>
      </c>
      <c r="BU1115" s="35">
        <v>2013</v>
      </c>
      <c r="BV1115" s="35">
        <v>2017</v>
      </c>
      <c r="BW1115" s="35" t="s">
        <v>94</v>
      </c>
      <c r="BX1115" s="35" t="s">
        <v>95</v>
      </c>
      <c r="BY1115" s="35" t="s">
        <v>748</v>
      </c>
      <c r="BZ1115" s="35">
        <v>1</v>
      </c>
      <c r="CA1115" s="35">
        <v>1</v>
      </c>
      <c r="CB1115" s="35" t="s">
        <v>2281</v>
      </c>
      <c r="CC1115" s="35" t="s">
        <v>1375</v>
      </c>
      <c r="CD1115" s="35">
        <v>1</v>
      </c>
      <c r="CE1115" s="35" t="s">
        <v>2274</v>
      </c>
      <c r="CF1115" s="35">
        <v>0</v>
      </c>
      <c r="CG1115" s="35" t="s">
        <v>97</v>
      </c>
      <c r="CH1115" s="35">
        <v>0</v>
      </c>
      <c r="CI1115" s="35" t="s">
        <v>2313</v>
      </c>
      <c r="CJ1115" s="35" t="s">
        <v>98</v>
      </c>
      <c r="CK1115" s="35">
        <v>14</v>
      </c>
      <c r="CL1115" s="35">
        <v>0</v>
      </c>
      <c r="CM1115" s="35">
        <v>0</v>
      </c>
      <c r="CN1115" s="35" t="s">
        <v>99</v>
      </c>
      <c r="CO1115" s="35" t="s">
        <v>97</v>
      </c>
      <c r="CP1115" s="35" t="s">
        <v>100</v>
      </c>
      <c r="CQ1115" s="35" t="s">
        <v>126</v>
      </c>
      <c r="CR1115" s="36">
        <v>46267</v>
      </c>
      <c r="CT1115" s="35" t="s">
        <v>549</v>
      </c>
    </row>
    <row r="1116" spans="1:98" s="35" customFormat="1" x14ac:dyDescent="0.35">
      <c r="A1116" s="34" t="s">
        <v>2267</v>
      </c>
      <c r="B1116" s="34" t="s">
        <v>2280</v>
      </c>
      <c r="C1116" s="35" t="s">
        <v>2266</v>
      </c>
      <c r="D1116" s="35">
        <v>2020</v>
      </c>
      <c r="E1116" s="37" t="s">
        <v>2268</v>
      </c>
      <c r="F1116" s="34" t="s">
        <v>1406</v>
      </c>
      <c r="G1116" s="35" t="s">
        <v>78</v>
      </c>
      <c r="H1116" s="35">
        <v>1</v>
      </c>
      <c r="I1116" s="35" t="s">
        <v>2269</v>
      </c>
      <c r="J1116" s="35" t="s">
        <v>2210</v>
      </c>
      <c r="K1116" s="35">
        <v>3</v>
      </c>
      <c r="L1116" s="35" t="s">
        <v>80</v>
      </c>
      <c r="M1116" s="35" t="s">
        <v>380</v>
      </c>
      <c r="N1116" s="35">
        <v>-0.245</v>
      </c>
      <c r="O1116" s="35">
        <v>0.109</v>
      </c>
      <c r="P1116" s="35">
        <f t="shared" ref="P1116:P1150" si="546">N1116/O1116</f>
        <v>-2.2477064220183487</v>
      </c>
      <c r="Q1116" s="35" t="s">
        <v>312</v>
      </c>
      <c r="R1116" s="35">
        <f t="shared" ref="R1116:R1150" si="547">N1116-1.96*O1116</f>
        <v>-0.45863999999999999</v>
      </c>
      <c r="S1116" s="35">
        <f t="shared" ref="S1116:S1150" si="548">N1116+1.96*O1116</f>
        <v>-3.1359999999999999E-2</v>
      </c>
      <c r="T1116" s="35">
        <v>1</v>
      </c>
      <c r="U1116" s="35">
        <v>51840</v>
      </c>
      <c r="V1116" s="35" t="s">
        <v>312</v>
      </c>
      <c r="W1116" s="35" t="s">
        <v>312</v>
      </c>
      <c r="X1116" s="35">
        <f t="shared" si="535"/>
        <v>51840</v>
      </c>
      <c r="Y1116" s="35">
        <f t="shared" si="536"/>
        <v>-9.8715631575530087E-3</v>
      </c>
      <c r="Z1116" s="35">
        <f t="shared" si="537"/>
        <v>4.3918383027480735E-3</v>
      </c>
      <c r="AA1116" s="35">
        <f t="shared" si="538"/>
        <v>-9.8715631575530087E-3</v>
      </c>
      <c r="AB1116" s="35" t="s">
        <v>81</v>
      </c>
      <c r="AC1116" s="35">
        <f t="shared" si="539"/>
        <v>-0.245</v>
      </c>
      <c r="AD1116" s="35" cm="1">
        <f t="array" ref="AD1116">_xlfn.IFS(
AND(L1116="marginal_effect",M1116="level"),N1116*AN1116/BF1116,
AND(L1116="marginal_effect",M1116="sd (Y)"),N1116*BI1116*AN1116/BF1116,
AND(L1116="marginal_effect",M1116="sd (X)"),N1116/AQ1116*AN1116/BF1116,
AND(L1116="semi_elasticity",M1116="level"),N1116*AN1116,
AND(L1116="semi_elasticity",M1116="sd (Y)"),N1116*AN1116*BI1116,
AND(L1116="semi_elasticity",M1116="sd (X)"),N1116*AN1116/AQ1116,
AND(L1116="level-log",M1116="level"),N1116/BF1116,
AND(L1116="level-log",M1116="sd (X)"),N1116/BF1116/AQ1116,
AND(L1116="level-log",M1116="sd (Y)"),N1116/BF1116*BI1116,
AND(L1116="elasticity",M1116="level"),N1116,
AND(L1116="elasticity",M1116="sd (X)"),N1116/AQ1116,
AND(L1116="elasticity",M1116="sd (Y)"),N1116*BI1116,
AND(L1116="marginal_effect",M1116="percent_of_mean"),N1116*AN1116/BF1116/10)</f>
        <v>-0.245</v>
      </c>
      <c r="AE1116" s="35">
        <f t="shared" ref="AE1116" si="549">IF(AC1116=AD1116,1,0)</f>
        <v>1</v>
      </c>
      <c r="AF1116" s="35">
        <f t="shared" ref="AF1116:AF1124" si="550">O1116</f>
        <v>0.109</v>
      </c>
      <c r="AG1116" s="35" cm="1">
        <f t="array" ref="AG1116">_xlfn.IFS(
AND(L1116="marginal_effect",M1116="level"),O1116*AN1116/BF1116,
AND(L1116="marginal_effect",M1116="sd (Y)"),O1116*BI1116*AN1116/BF1116,
AND(L1116="marginal_effect",M1116="sd (X)"),O1116/AQ1116*AN1116/BF1116,
AND(L1116="semi_elasticity",M1116="level"),O1116*AN1116,
AND(L1116="semi_elasticity",M1116="sd (Y)"),O1116*AN1116*BI1116,
AND(L1116="semi_elasticity",M1116="sd (X)"),O1116*AN1116/AQ1116,
AND(L1116="level-log",M1116="level"),O1116/BF1116,
AND(L1116="level-log",M1116="sd (X)"),O1116/BF1116/AQ1116,
AND(L1116="level-log",M1116="sd (Y)"),O1116/BF1116*BI1116,
AND(L1116="elasticity",M1116="level"),O1116,
AND(L1116="elasticity",M1116="sd (X)"),O1116/AQ1116,
AND(L1116="elasticity",M1116="sd (Y)"),O1116*BI1116,
AND(L1116="marginal_effect",M1116="percent_of_mean"),O1116*AN1116/BF1116/10)</f>
        <v>0.109</v>
      </c>
      <c r="AH1116" s="35">
        <f t="shared" si="542"/>
        <v>1</v>
      </c>
      <c r="AI1116" s="35">
        <f t="shared" si="543"/>
        <v>-0.245</v>
      </c>
      <c r="AJ1116" s="35">
        <v>0</v>
      </c>
      <c r="AK1116" s="35">
        <f t="shared" si="544"/>
        <v>1</v>
      </c>
      <c r="AL1116" s="35" t="s">
        <v>82</v>
      </c>
      <c r="AM1116" s="35" t="s">
        <v>1333</v>
      </c>
      <c r="AN1116" s="35">
        <v>15.59</v>
      </c>
      <c r="AO1116" s="35">
        <v>0</v>
      </c>
      <c r="AP1116" s="35">
        <f t="shared" si="545"/>
        <v>15.59</v>
      </c>
      <c r="AQ1116" s="35">
        <v>9.3699999999999992</v>
      </c>
      <c r="AR1116" s="35" t="s">
        <v>312</v>
      </c>
      <c r="AS1116" s="35" t="s">
        <v>312</v>
      </c>
      <c r="AT1116" s="35" t="s">
        <v>83</v>
      </c>
      <c r="AU1116" s="35" t="s">
        <v>109</v>
      </c>
      <c r="AV1116" s="35" t="s">
        <v>133</v>
      </c>
      <c r="AW1116" s="35" t="s">
        <v>85</v>
      </c>
      <c r="AX1116" s="35" t="s">
        <v>86</v>
      </c>
      <c r="AY1116" s="35">
        <v>0</v>
      </c>
      <c r="AZ1116" s="35">
        <v>0</v>
      </c>
      <c r="BA1116" s="35" t="s">
        <v>87</v>
      </c>
      <c r="BB1116" s="35" t="s">
        <v>134</v>
      </c>
      <c r="BC1116" s="35" t="s">
        <v>113</v>
      </c>
      <c r="BD1116" s="35" t="s">
        <v>134</v>
      </c>
      <c r="BE1116" s="35" t="s">
        <v>2270</v>
      </c>
      <c r="BF1116" s="35">
        <v>14.19</v>
      </c>
      <c r="BG1116" s="35">
        <v>0</v>
      </c>
      <c r="BH1116" s="35">
        <v>16.89</v>
      </c>
      <c r="BI1116" s="35" t="s">
        <v>312</v>
      </c>
      <c r="BJ1116" s="35" t="s">
        <v>312</v>
      </c>
      <c r="BK1116" s="35" t="s">
        <v>91</v>
      </c>
      <c r="BL1116" s="35" t="s">
        <v>116</v>
      </c>
      <c r="BM1116" s="76" t="s">
        <v>1411</v>
      </c>
      <c r="BN1116" s="35" t="s">
        <v>428</v>
      </c>
      <c r="BO1116" s="35" t="s">
        <v>2271</v>
      </c>
      <c r="BP1116" s="35" t="s">
        <v>312</v>
      </c>
      <c r="BQ1116" s="35" t="s">
        <v>92</v>
      </c>
      <c r="BR1116" s="35" t="s">
        <v>134</v>
      </c>
      <c r="BS1116" s="35" t="s">
        <v>312</v>
      </c>
      <c r="BT1116" s="35" t="s">
        <v>312</v>
      </c>
      <c r="BU1116" s="35">
        <v>2013</v>
      </c>
      <c r="BV1116" s="35">
        <v>2017</v>
      </c>
      <c r="BW1116" s="35" t="s">
        <v>94</v>
      </c>
      <c r="BX1116" s="35" t="s">
        <v>95</v>
      </c>
      <c r="BY1116" s="35" t="s">
        <v>748</v>
      </c>
      <c r="BZ1116" s="35">
        <v>1</v>
      </c>
      <c r="CA1116" s="35">
        <v>1</v>
      </c>
      <c r="CB1116" s="35" t="s">
        <v>2281</v>
      </c>
      <c r="CC1116" s="35" t="s">
        <v>1375</v>
      </c>
      <c r="CD1116" s="35">
        <v>1</v>
      </c>
      <c r="CE1116" s="35" t="s">
        <v>2274</v>
      </c>
      <c r="CF1116" s="35">
        <v>0</v>
      </c>
      <c r="CG1116" s="35" t="s">
        <v>97</v>
      </c>
      <c r="CH1116" s="35">
        <v>0</v>
      </c>
      <c r="CI1116" s="35" t="s">
        <v>2313</v>
      </c>
      <c r="CJ1116" s="35" t="s">
        <v>98</v>
      </c>
      <c r="CK1116" s="35">
        <v>14</v>
      </c>
      <c r="CL1116" s="35">
        <v>1</v>
      </c>
      <c r="CM1116" s="35">
        <v>1</v>
      </c>
      <c r="CN1116" s="35" t="s">
        <v>99</v>
      </c>
      <c r="CO1116" s="35" t="s">
        <v>97</v>
      </c>
      <c r="CP1116" s="35" t="s">
        <v>100</v>
      </c>
      <c r="CQ1116" s="35" t="s">
        <v>126</v>
      </c>
      <c r="CR1116" s="36">
        <v>46267</v>
      </c>
      <c r="CT1116" s="35" t="s">
        <v>550</v>
      </c>
    </row>
    <row r="1117" spans="1:98" s="35" customFormat="1" x14ac:dyDescent="0.35">
      <c r="A1117" s="34" t="s">
        <v>2267</v>
      </c>
      <c r="B1117" s="34" t="s">
        <v>2282</v>
      </c>
      <c r="C1117" s="35" t="s">
        <v>2266</v>
      </c>
      <c r="D1117" s="35">
        <v>2020</v>
      </c>
      <c r="E1117" s="37" t="s">
        <v>2268</v>
      </c>
      <c r="F1117" s="34" t="s">
        <v>1406</v>
      </c>
      <c r="G1117" s="35" t="s">
        <v>78</v>
      </c>
      <c r="H1117" s="35">
        <v>1</v>
      </c>
      <c r="I1117" s="35" t="s">
        <v>2269</v>
      </c>
      <c r="J1117" s="35" t="s">
        <v>2210</v>
      </c>
      <c r="K1117" s="35">
        <v>3</v>
      </c>
      <c r="L1117" s="35" t="s">
        <v>80</v>
      </c>
      <c r="M1117" s="35" t="s">
        <v>380</v>
      </c>
      <c r="N1117" s="35">
        <v>-0.246</v>
      </c>
      <c r="O1117" s="35">
        <v>0.11</v>
      </c>
      <c r="P1117" s="35">
        <f t="shared" si="546"/>
        <v>-2.2363636363636363</v>
      </c>
      <c r="Q1117" s="35" t="s">
        <v>312</v>
      </c>
      <c r="R1117" s="35">
        <f t="shared" si="547"/>
        <v>-0.46160000000000001</v>
      </c>
      <c r="S1117" s="35">
        <f t="shared" si="548"/>
        <v>-3.040000000000001E-2</v>
      </c>
      <c r="T1117" s="35">
        <v>1</v>
      </c>
      <c r="U1117" s="35">
        <v>51840</v>
      </c>
      <c r="V1117" s="35" t="s">
        <v>312</v>
      </c>
      <c r="W1117" s="35" t="s">
        <v>312</v>
      </c>
      <c r="X1117" s="35">
        <f t="shared" ref="X1117:X1125" si="551">U1117</f>
        <v>51840</v>
      </c>
      <c r="Y1117" s="35">
        <f t="shared" ref="Y1117:Y1125" si="552">P1117/(P1117^2 + X1117)^(1/2)</f>
        <v>-9.8217522948006383E-3</v>
      </c>
      <c r="Z1117" s="35">
        <f t="shared" ref="Z1117:Z1125" si="553">((1-Y1117^2)/X1117)^(1/2)</f>
        <v>4.3918404570246752E-3</v>
      </c>
      <c r="AA1117" s="35">
        <f t="shared" ref="AA1117:AA1125" si="554">Y1117</f>
        <v>-9.8217522948006383E-3</v>
      </c>
      <c r="AB1117" s="35" t="s">
        <v>81</v>
      </c>
      <c r="AC1117" s="35">
        <f t="shared" ref="AC1117:AC1130" si="555">N1117</f>
        <v>-0.246</v>
      </c>
      <c r="AD1117" s="35" cm="1">
        <f t="array" ref="AD1117">_xlfn.IFS(
AND(L1117="marginal_effect",M1117="level"),N1117*AN1117/BF1117,
AND(L1117="marginal_effect",M1117="sd (Y)"),N1117*BI1117*AN1117/BF1117,
AND(L1117="marginal_effect",M1117="sd (X)"),N1117/AQ1117*AN1117/BF1117,
AND(L1117="semi_elasticity",M1117="level"),N1117*AN1117,
AND(L1117="semi_elasticity",M1117="sd (Y)"),N1117*AN1117*BI1117,
AND(L1117="semi_elasticity",M1117="sd (X)"),N1117*AN1117/AQ1117,
AND(L1117="level-log",M1117="level"),N1117/BF1117,
AND(L1117="level-log",M1117="sd (X)"),N1117/BF1117/AQ1117,
AND(L1117="level-log",M1117="sd (Y)"),N1117/BF1117*BI1117,
AND(L1117="elasticity",M1117="level"),N1117,
AND(L1117="elasticity",M1117="sd (X)"),N1117/AQ1117,
AND(L1117="elasticity",M1117="sd (Y)"),N1117*BI1117,
AND(L1117="marginal_effect",M1117="percent_of_mean"),N1117*AN1117/BF1117/10)</f>
        <v>-0.246</v>
      </c>
      <c r="AE1117" s="35">
        <f t="shared" ref="AE1117:AE1124" si="556">IF(AC1117=AD1117,1,0)</f>
        <v>1</v>
      </c>
      <c r="AF1117" s="35">
        <f t="shared" si="550"/>
        <v>0.11</v>
      </c>
      <c r="AG1117" s="35" cm="1">
        <f t="array" ref="AG1117">_xlfn.IFS(
AND(L1117="marginal_effect",M1117="level"),O1117*AN1117/BF1117,
AND(L1117="marginal_effect",M1117="sd (Y)"),O1117*BI1117*AN1117/BF1117,
AND(L1117="marginal_effect",M1117="sd (X)"),O1117/AQ1117*AN1117/BF1117,
AND(L1117="semi_elasticity",M1117="level"),O1117*AN1117,
AND(L1117="semi_elasticity",M1117="sd (Y)"),O1117*AN1117*BI1117,
AND(L1117="semi_elasticity",M1117="sd (X)"),O1117*AN1117/AQ1117,
AND(L1117="level-log",M1117="level"),O1117/BF1117,
AND(L1117="level-log",M1117="sd (X)"),O1117/BF1117/AQ1117,
AND(L1117="level-log",M1117="sd (Y)"),O1117/BF1117*BI1117,
AND(L1117="elasticity",M1117="level"),O1117,
AND(L1117="elasticity",M1117="sd (X)"),O1117/AQ1117,
AND(L1117="elasticity",M1117="sd (Y)"),O1117*BI1117,
AND(L1117="marginal_effect",M1117="percent_of_mean"),O1117*AN1117/BF1117/10)</f>
        <v>0.11</v>
      </c>
      <c r="AH1117" s="35">
        <f t="shared" ref="AH1117:AH1124" si="557">IF(AF1117=AG1117,1,0)</f>
        <v>1</v>
      </c>
      <c r="AI1117" s="35">
        <f t="shared" ref="AI1117:AI1124" si="558">AC1117</f>
        <v>-0.246</v>
      </c>
      <c r="AJ1117" s="35">
        <v>0</v>
      </c>
      <c r="AK1117" s="35">
        <f t="shared" ref="AK1117:AK1124" si="559">IF(P1117=(AC1117/AF1117),1,0)</f>
        <v>1</v>
      </c>
      <c r="AL1117" s="35" t="s">
        <v>82</v>
      </c>
      <c r="AM1117" s="35" t="s">
        <v>1333</v>
      </c>
      <c r="AN1117" s="35">
        <v>15.59</v>
      </c>
      <c r="AO1117" s="35">
        <v>0</v>
      </c>
      <c r="AP1117" s="35">
        <f t="shared" ref="AP1117:AP1125" si="560">AN1117</f>
        <v>15.59</v>
      </c>
      <c r="AQ1117" s="35">
        <v>9.3699999999999992</v>
      </c>
      <c r="AR1117" s="35" t="s">
        <v>312</v>
      </c>
      <c r="AS1117" s="35" t="s">
        <v>312</v>
      </c>
      <c r="AT1117" s="35" t="s">
        <v>83</v>
      </c>
      <c r="AU1117" s="35" t="s">
        <v>109</v>
      </c>
      <c r="AV1117" s="35" t="s">
        <v>133</v>
      </c>
      <c r="AW1117" s="35" t="s">
        <v>85</v>
      </c>
      <c r="AX1117" s="35" t="s">
        <v>86</v>
      </c>
      <c r="AY1117" s="35">
        <v>0</v>
      </c>
      <c r="AZ1117" s="35">
        <v>0</v>
      </c>
      <c r="BA1117" s="35" t="s">
        <v>87</v>
      </c>
      <c r="BB1117" s="35" t="s">
        <v>134</v>
      </c>
      <c r="BC1117" s="35" t="s">
        <v>113</v>
      </c>
      <c r="BD1117" s="35" t="s">
        <v>134</v>
      </c>
      <c r="BE1117" s="35" t="s">
        <v>2270</v>
      </c>
      <c r="BF1117" s="35">
        <v>14.19</v>
      </c>
      <c r="BG1117" s="35">
        <v>0</v>
      </c>
      <c r="BH1117" s="35">
        <v>16.89</v>
      </c>
      <c r="BI1117" s="35" t="s">
        <v>312</v>
      </c>
      <c r="BJ1117" s="35" t="s">
        <v>312</v>
      </c>
      <c r="BK1117" s="35" t="s">
        <v>91</v>
      </c>
      <c r="BL1117" s="35" t="s">
        <v>116</v>
      </c>
      <c r="BM1117" s="76" t="s">
        <v>1411</v>
      </c>
      <c r="BN1117" s="35" t="s">
        <v>428</v>
      </c>
      <c r="BO1117" s="35" t="s">
        <v>2271</v>
      </c>
      <c r="BP1117" s="35" t="s">
        <v>312</v>
      </c>
      <c r="BQ1117" s="35" t="s">
        <v>92</v>
      </c>
      <c r="BR1117" s="35" t="s">
        <v>134</v>
      </c>
      <c r="BS1117" s="35" t="s">
        <v>312</v>
      </c>
      <c r="BT1117" s="35" t="s">
        <v>312</v>
      </c>
      <c r="BU1117" s="35">
        <v>2013</v>
      </c>
      <c r="BV1117" s="35">
        <v>2017</v>
      </c>
      <c r="BW1117" s="35" t="s">
        <v>94</v>
      </c>
      <c r="BX1117" s="35" t="s">
        <v>95</v>
      </c>
      <c r="BY1117" s="35" t="s">
        <v>748</v>
      </c>
      <c r="BZ1117" s="35">
        <v>1</v>
      </c>
      <c r="CA1117" s="35">
        <v>1</v>
      </c>
      <c r="CB1117" s="35" t="s">
        <v>2281</v>
      </c>
      <c r="CC1117" s="35" t="s">
        <v>1375</v>
      </c>
      <c r="CD1117" s="35">
        <v>1</v>
      </c>
      <c r="CE1117" s="35" t="s">
        <v>2274</v>
      </c>
      <c r="CF1117" s="35">
        <v>0</v>
      </c>
      <c r="CG1117" s="35" t="s">
        <v>97</v>
      </c>
      <c r="CH1117" s="35">
        <v>0</v>
      </c>
      <c r="CI1117" s="35" t="s">
        <v>2313</v>
      </c>
      <c r="CJ1117" s="35" t="s">
        <v>98</v>
      </c>
      <c r="CK1117" s="35">
        <v>14</v>
      </c>
      <c r="CL1117" s="35">
        <v>0</v>
      </c>
      <c r="CM1117" s="35">
        <v>0</v>
      </c>
      <c r="CN1117" s="35" t="s">
        <v>124</v>
      </c>
      <c r="CO1117" s="35" t="s">
        <v>97</v>
      </c>
      <c r="CP1117" s="35" t="s">
        <v>100</v>
      </c>
      <c r="CQ1117" s="35" t="s">
        <v>126</v>
      </c>
      <c r="CR1117" s="36">
        <v>46267</v>
      </c>
      <c r="CT1117" s="35" t="s">
        <v>550</v>
      </c>
    </row>
    <row r="1118" spans="1:98" s="35" customFormat="1" x14ac:dyDescent="0.35">
      <c r="A1118" s="34" t="s">
        <v>2267</v>
      </c>
      <c r="B1118" s="34" t="s">
        <v>2284</v>
      </c>
      <c r="C1118" s="35" t="s">
        <v>2266</v>
      </c>
      <c r="D1118" s="35">
        <v>2020</v>
      </c>
      <c r="E1118" s="37" t="s">
        <v>2268</v>
      </c>
      <c r="F1118" s="34" t="s">
        <v>1406</v>
      </c>
      <c r="G1118" s="35" t="s">
        <v>78</v>
      </c>
      <c r="H1118" s="35">
        <v>1</v>
      </c>
      <c r="I1118" s="35" t="s">
        <v>2269</v>
      </c>
      <c r="J1118" s="35" t="s">
        <v>2210</v>
      </c>
      <c r="K1118" s="35">
        <v>3</v>
      </c>
      <c r="L1118" s="35" t="s">
        <v>80</v>
      </c>
      <c r="M1118" s="35" t="s">
        <v>380</v>
      </c>
      <c r="N1118" s="35">
        <v>-0.26800000000000002</v>
      </c>
      <c r="O1118" s="35">
        <v>0.107</v>
      </c>
      <c r="P1118" s="35">
        <f t="shared" si="546"/>
        <v>-2.504672897196262</v>
      </c>
      <c r="Q1118" s="35" t="s">
        <v>312</v>
      </c>
      <c r="R1118" s="35">
        <f t="shared" si="547"/>
        <v>-0.47772000000000003</v>
      </c>
      <c r="S1118" s="35">
        <f t="shared" si="548"/>
        <v>-5.8280000000000026E-2</v>
      </c>
      <c r="T1118" s="35">
        <v>1</v>
      </c>
      <c r="U1118" s="35">
        <v>51840</v>
      </c>
      <c r="V1118" s="35" t="s">
        <v>312</v>
      </c>
      <c r="W1118" s="35" t="s">
        <v>312</v>
      </c>
      <c r="X1118" s="35">
        <f t="shared" si="551"/>
        <v>51840</v>
      </c>
      <c r="Y1118" s="35">
        <f t="shared" si="552"/>
        <v>-1.0999988815009265E-2</v>
      </c>
      <c r="Z1118" s="35">
        <f t="shared" si="553"/>
        <v>4.3917865791268324E-3</v>
      </c>
      <c r="AA1118" s="35">
        <f t="shared" si="554"/>
        <v>-1.0999988815009265E-2</v>
      </c>
      <c r="AB1118" s="35" t="s">
        <v>81</v>
      </c>
      <c r="AC1118" s="35">
        <f t="shared" si="555"/>
        <v>-0.26800000000000002</v>
      </c>
      <c r="AD1118" s="35" cm="1">
        <f t="array" ref="AD1118">_xlfn.IFS(
AND(L1118="marginal_effect",M1118="level"),N1118*AN1118/BF1118,
AND(L1118="marginal_effect",M1118="sd (Y)"),N1118*BI1118*AN1118/BF1118,
AND(L1118="marginal_effect",M1118="sd (X)"),N1118/AQ1118*AN1118/BF1118,
AND(L1118="semi_elasticity",M1118="level"),N1118*AN1118,
AND(L1118="semi_elasticity",M1118="sd (Y)"),N1118*AN1118*BI1118,
AND(L1118="semi_elasticity",M1118="sd (X)"),N1118*AN1118/AQ1118,
AND(L1118="level-log",M1118="level"),N1118/BF1118,
AND(L1118="level-log",M1118="sd (X)"),N1118/BF1118/AQ1118,
AND(L1118="level-log",M1118="sd (Y)"),N1118/BF1118*BI1118,
AND(L1118="elasticity",M1118="level"),N1118,
AND(L1118="elasticity",M1118="sd (X)"),N1118/AQ1118,
AND(L1118="elasticity",M1118="sd (Y)"),N1118*BI1118,
AND(L1118="marginal_effect",M1118="percent_of_mean"),N1118*AN1118/BF1118/10)</f>
        <v>-0.26800000000000002</v>
      </c>
      <c r="AE1118" s="35">
        <f t="shared" si="556"/>
        <v>1</v>
      </c>
      <c r="AF1118" s="35">
        <f t="shared" si="550"/>
        <v>0.107</v>
      </c>
      <c r="AG1118" s="35" cm="1">
        <f t="array" ref="AG1118">_xlfn.IFS(
AND(L1118="marginal_effect",M1118="level"),O1118*AN1118/BF1118,
AND(L1118="marginal_effect",M1118="sd (Y)"),O1118*BI1118*AN1118/BF1118,
AND(L1118="marginal_effect",M1118="sd (X)"),O1118/AQ1118*AN1118/BF1118,
AND(L1118="semi_elasticity",M1118="level"),O1118*AN1118,
AND(L1118="semi_elasticity",M1118="sd (Y)"),O1118*AN1118*BI1118,
AND(L1118="semi_elasticity",M1118="sd (X)"),O1118*AN1118/AQ1118,
AND(L1118="level-log",M1118="level"),O1118/BF1118,
AND(L1118="level-log",M1118="sd (X)"),O1118/BF1118/AQ1118,
AND(L1118="level-log",M1118="sd (Y)"),O1118/BF1118*BI1118,
AND(L1118="elasticity",M1118="level"),O1118,
AND(L1118="elasticity",M1118="sd (X)"),O1118/AQ1118,
AND(L1118="elasticity",M1118="sd (Y)"),O1118*BI1118,
AND(L1118="marginal_effect",M1118="percent_of_mean"),O1118*AN1118/BF1118/10)</f>
        <v>0.107</v>
      </c>
      <c r="AH1118" s="35">
        <f t="shared" si="557"/>
        <v>1</v>
      </c>
      <c r="AI1118" s="35">
        <f t="shared" si="558"/>
        <v>-0.26800000000000002</v>
      </c>
      <c r="AJ1118" s="35">
        <v>0</v>
      </c>
      <c r="AK1118" s="35">
        <f t="shared" si="559"/>
        <v>1</v>
      </c>
      <c r="AL1118" s="35" t="s">
        <v>82</v>
      </c>
      <c r="AM1118" s="35" t="s">
        <v>1333</v>
      </c>
      <c r="AN1118" s="35">
        <v>15.59</v>
      </c>
      <c r="AO1118" s="35">
        <v>0</v>
      </c>
      <c r="AP1118" s="35">
        <f t="shared" si="560"/>
        <v>15.59</v>
      </c>
      <c r="AQ1118" s="35">
        <v>9.3699999999999992</v>
      </c>
      <c r="AR1118" s="35" t="s">
        <v>312</v>
      </c>
      <c r="AS1118" s="35" t="s">
        <v>312</v>
      </c>
      <c r="AT1118" s="35" t="s">
        <v>83</v>
      </c>
      <c r="AU1118" s="35" t="s">
        <v>109</v>
      </c>
      <c r="AV1118" s="35" t="s">
        <v>133</v>
      </c>
      <c r="AW1118" s="35" t="s">
        <v>85</v>
      </c>
      <c r="AX1118" s="35" t="s">
        <v>86</v>
      </c>
      <c r="AY1118" s="35">
        <v>0</v>
      </c>
      <c r="AZ1118" s="35">
        <v>0</v>
      </c>
      <c r="BA1118" s="35" t="s">
        <v>87</v>
      </c>
      <c r="BB1118" s="35" t="s">
        <v>134</v>
      </c>
      <c r="BC1118" s="35" t="s">
        <v>113</v>
      </c>
      <c r="BD1118" s="35" t="s">
        <v>134</v>
      </c>
      <c r="BE1118" s="35" t="s">
        <v>2270</v>
      </c>
      <c r="BF1118" s="35">
        <v>14.19</v>
      </c>
      <c r="BG1118" s="35">
        <v>0</v>
      </c>
      <c r="BH1118" s="35">
        <v>16.89</v>
      </c>
      <c r="BI1118" s="35" t="s">
        <v>312</v>
      </c>
      <c r="BJ1118" s="35" t="s">
        <v>312</v>
      </c>
      <c r="BK1118" s="35" t="s">
        <v>91</v>
      </c>
      <c r="BL1118" s="35" t="s">
        <v>116</v>
      </c>
      <c r="BM1118" s="76" t="s">
        <v>1411</v>
      </c>
      <c r="BN1118" s="35" t="s">
        <v>428</v>
      </c>
      <c r="BO1118" s="35" t="s">
        <v>2271</v>
      </c>
      <c r="BP1118" s="35" t="s">
        <v>312</v>
      </c>
      <c r="BQ1118" s="35" t="s">
        <v>92</v>
      </c>
      <c r="BR1118" s="35" t="s">
        <v>134</v>
      </c>
      <c r="BS1118" s="35" t="s">
        <v>312</v>
      </c>
      <c r="BT1118" s="35" t="s">
        <v>312</v>
      </c>
      <c r="BU1118" s="35">
        <v>2013</v>
      </c>
      <c r="BV1118" s="35">
        <v>2017</v>
      </c>
      <c r="BW1118" s="35" t="s">
        <v>94</v>
      </c>
      <c r="BX1118" s="35" t="s">
        <v>95</v>
      </c>
      <c r="BY1118" s="35" t="s">
        <v>748</v>
      </c>
      <c r="BZ1118" s="35">
        <v>1</v>
      </c>
      <c r="CA1118" s="35">
        <v>1</v>
      </c>
      <c r="CB1118" s="35" t="s">
        <v>2290</v>
      </c>
      <c r="CC1118" s="35" t="s">
        <v>1375</v>
      </c>
      <c r="CD1118" s="35">
        <v>1</v>
      </c>
      <c r="CE1118" s="35" t="s">
        <v>2274</v>
      </c>
      <c r="CF1118" s="35">
        <v>0</v>
      </c>
      <c r="CG1118" s="35" t="s">
        <v>97</v>
      </c>
      <c r="CH1118" s="35">
        <v>0</v>
      </c>
      <c r="CI1118" s="35" t="s">
        <v>2313</v>
      </c>
      <c r="CJ1118" s="35" t="s">
        <v>98</v>
      </c>
      <c r="CK1118" s="35">
        <v>14</v>
      </c>
      <c r="CL1118" s="35">
        <v>0</v>
      </c>
      <c r="CM1118" s="35">
        <v>0</v>
      </c>
      <c r="CN1118" s="35" t="s">
        <v>124</v>
      </c>
      <c r="CO1118" s="35" t="s">
        <v>97</v>
      </c>
      <c r="CP1118" s="35" t="s">
        <v>100</v>
      </c>
      <c r="CQ1118" s="35" t="s">
        <v>126</v>
      </c>
      <c r="CR1118" s="36">
        <v>46267</v>
      </c>
      <c r="CT1118" s="35" t="s">
        <v>550</v>
      </c>
    </row>
    <row r="1119" spans="1:98" s="35" customFormat="1" x14ac:dyDescent="0.35">
      <c r="A1119" s="34" t="s">
        <v>2267</v>
      </c>
      <c r="B1119" s="34" t="s">
        <v>2283</v>
      </c>
      <c r="C1119" s="35" t="s">
        <v>2266</v>
      </c>
      <c r="D1119" s="35">
        <v>2020</v>
      </c>
      <c r="E1119" s="37" t="s">
        <v>2268</v>
      </c>
      <c r="F1119" s="34" t="s">
        <v>1406</v>
      </c>
      <c r="G1119" s="35" t="s">
        <v>78</v>
      </c>
      <c r="H1119" s="35">
        <v>1</v>
      </c>
      <c r="I1119" s="35" t="s">
        <v>2269</v>
      </c>
      <c r="J1119" s="35" t="s">
        <v>2210</v>
      </c>
      <c r="K1119" s="35">
        <v>3</v>
      </c>
      <c r="L1119" s="35" t="s">
        <v>80</v>
      </c>
      <c r="M1119" s="35" t="s">
        <v>380</v>
      </c>
      <c r="N1119" s="35">
        <v>-0.33600000000000002</v>
      </c>
      <c r="O1119" s="35">
        <v>0.13800000000000001</v>
      </c>
      <c r="P1119" s="35">
        <f t="shared" si="546"/>
        <v>-2.4347826086956523</v>
      </c>
      <c r="Q1119" s="35" t="s">
        <v>312</v>
      </c>
      <c r="R1119" s="35">
        <f t="shared" si="547"/>
        <v>-0.60648000000000002</v>
      </c>
      <c r="S1119" s="35">
        <f t="shared" si="548"/>
        <v>-6.5520000000000023E-2</v>
      </c>
      <c r="T1119" s="35">
        <v>1</v>
      </c>
      <c r="U1119" s="35">
        <v>51840</v>
      </c>
      <c r="V1119" s="35" t="s">
        <v>312</v>
      </c>
      <c r="W1119" s="35" t="s">
        <v>312</v>
      </c>
      <c r="X1119" s="35">
        <f t="shared" si="551"/>
        <v>51840</v>
      </c>
      <c r="Y1119" s="35">
        <f t="shared" si="552"/>
        <v>-1.0693081184121546E-2</v>
      </c>
      <c r="Z1119" s="35">
        <f t="shared" si="553"/>
        <v>4.3918012006213493E-3</v>
      </c>
      <c r="AA1119" s="35">
        <f t="shared" si="554"/>
        <v>-1.0693081184121546E-2</v>
      </c>
      <c r="AB1119" s="35" t="s">
        <v>81</v>
      </c>
      <c r="AC1119" s="35">
        <f t="shared" si="555"/>
        <v>-0.33600000000000002</v>
      </c>
      <c r="AD1119" s="35" cm="1">
        <f t="array" ref="AD1119">_xlfn.IFS(
AND(L1119="marginal_effect",M1119="level"),N1119*AN1119/BF1119,
AND(L1119="marginal_effect",M1119="sd (Y)"),N1119*BI1119*AN1119/BF1119,
AND(L1119="marginal_effect",M1119="sd (X)"),N1119/AQ1119*AN1119/BF1119,
AND(L1119="semi_elasticity",M1119="level"),N1119*AN1119,
AND(L1119="semi_elasticity",M1119="sd (Y)"),N1119*AN1119*BI1119,
AND(L1119="semi_elasticity",M1119="sd (X)"),N1119*AN1119/AQ1119,
AND(L1119="level-log",M1119="level"),N1119/BF1119,
AND(L1119="level-log",M1119="sd (X)"),N1119/BF1119/AQ1119,
AND(L1119="level-log",M1119="sd (Y)"),N1119/BF1119*BI1119,
AND(L1119="elasticity",M1119="level"),N1119,
AND(L1119="elasticity",M1119="sd (X)"),N1119/AQ1119,
AND(L1119="elasticity",M1119="sd (Y)"),N1119*BI1119,
AND(L1119="marginal_effect",M1119="percent_of_mean"),N1119*AN1119/BF1119/10)</f>
        <v>-0.33600000000000002</v>
      </c>
      <c r="AE1119" s="35">
        <f t="shared" si="556"/>
        <v>1</v>
      </c>
      <c r="AF1119" s="35">
        <f t="shared" si="550"/>
        <v>0.13800000000000001</v>
      </c>
      <c r="AG1119" s="35" cm="1">
        <f t="array" ref="AG1119">_xlfn.IFS(
AND(L1119="marginal_effect",M1119="level"),O1119*AN1119/BF1119,
AND(L1119="marginal_effect",M1119="sd (Y)"),O1119*BI1119*AN1119/BF1119,
AND(L1119="marginal_effect",M1119="sd (X)"),O1119/AQ1119*AN1119/BF1119,
AND(L1119="semi_elasticity",M1119="level"),O1119*AN1119,
AND(L1119="semi_elasticity",M1119="sd (Y)"),O1119*AN1119*BI1119,
AND(L1119="semi_elasticity",M1119="sd (X)"),O1119*AN1119/AQ1119,
AND(L1119="level-log",M1119="level"),O1119/BF1119,
AND(L1119="level-log",M1119="sd (X)"),O1119/BF1119/AQ1119,
AND(L1119="level-log",M1119="sd (Y)"),O1119/BF1119*BI1119,
AND(L1119="elasticity",M1119="level"),O1119,
AND(L1119="elasticity",M1119="sd (X)"),O1119/AQ1119,
AND(L1119="elasticity",M1119="sd (Y)"),O1119*BI1119,
AND(L1119="marginal_effect",M1119="percent_of_mean"),O1119*AN1119/BF1119/10)</f>
        <v>0.13800000000000001</v>
      </c>
      <c r="AH1119" s="35">
        <f t="shared" si="557"/>
        <v>1</v>
      </c>
      <c r="AI1119" s="35">
        <f t="shared" si="558"/>
        <v>-0.33600000000000002</v>
      </c>
      <c r="AJ1119" s="35">
        <v>0</v>
      </c>
      <c r="AK1119" s="35">
        <f t="shared" si="559"/>
        <v>1</v>
      </c>
      <c r="AL1119" s="35" t="s">
        <v>82</v>
      </c>
      <c r="AM1119" s="35" t="s">
        <v>1333</v>
      </c>
      <c r="AN1119" s="35">
        <v>15.59</v>
      </c>
      <c r="AO1119" s="35">
        <v>0</v>
      </c>
      <c r="AP1119" s="35">
        <f t="shared" si="560"/>
        <v>15.59</v>
      </c>
      <c r="AQ1119" s="35">
        <v>9.3699999999999992</v>
      </c>
      <c r="AR1119" s="35" t="s">
        <v>312</v>
      </c>
      <c r="AS1119" s="35" t="s">
        <v>312</v>
      </c>
      <c r="AT1119" s="35" t="s">
        <v>83</v>
      </c>
      <c r="AU1119" s="35" t="s">
        <v>109</v>
      </c>
      <c r="AV1119" s="35" t="s">
        <v>133</v>
      </c>
      <c r="AW1119" s="35" t="s">
        <v>85</v>
      </c>
      <c r="AX1119" s="35" t="s">
        <v>86</v>
      </c>
      <c r="AY1119" s="35">
        <v>0</v>
      </c>
      <c r="AZ1119" s="35">
        <v>0</v>
      </c>
      <c r="BA1119" s="35" t="s">
        <v>87</v>
      </c>
      <c r="BB1119" s="35" t="s">
        <v>134</v>
      </c>
      <c r="BC1119" s="35" t="s">
        <v>113</v>
      </c>
      <c r="BD1119" s="35" t="s">
        <v>134</v>
      </c>
      <c r="BE1119" s="35" t="s">
        <v>2270</v>
      </c>
      <c r="BF1119" s="35">
        <v>14.19</v>
      </c>
      <c r="BG1119" s="35">
        <v>0</v>
      </c>
      <c r="BH1119" s="35">
        <v>16.89</v>
      </c>
      <c r="BI1119" s="35" t="s">
        <v>312</v>
      </c>
      <c r="BJ1119" s="35" t="s">
        <v>312</v>
      </c>
      <c r="BK1119" s="35" t="s">
        <v>91</v>
      </c>
      <c r="BL1119" s="35" t="s">
        <v>116</v>
      </c>
      <c r="BM1119" s="76" t="s">
        <v>1411</v>
      </c>
      <c r="BN1119" s="35" t="s">
        <v>428</v>
      </c>
      <c r="BO1119" s="35" t="s">
        <v>2271</v>
      </c>
      <c r="BP1119" s="35" t="s">
        <v>312</v>
      </c>
      <c r="BQ1119" s="35" t="s">
        <v>92</v>
      </c>
      <c r="BR1119" s="35" t="s">
        <v>134</v>
      </c>
      <c r="BS1119" s="35" t="s">
        <v>312</v>
      </c>
      <c r="BT1119" s="35" t="s">
        <v>312</v>
      </c>
      <c r="BU1119" s="35">
        <v>2013</v>
      </c>
      <c r="BV1119" s="35">
        <v>2017</v>
      </c>
      <c r="BW1119" s="35" t="s">
        <v>94</v>
      </c>
      <c r="BX1119" s="35" t="s">
        <v>95</v>
      </c>
      <c r="BY1119" s="35" t="s">
        <v>748</v>
      </c>
      <c r="BZ1119" s="35">
        <v>1</v>
      </c>
      <c r="CA1119" s="35">
        <v>1</v>
      </c>
      <c r="CB1119" s="35" t="s">
        <v>2290</v>
      </c>
      <c r="CC1119" s="35" t="s">
        <v>1375</v>
      </c>
      <c r="CD1119" s="35">
        <v>1</v>
      </c>
      <c r="CE1119" s="35" t="s">
        <v>2274</v>
      </c>
      <c r="CF1119" s="35">
        <v>0</v>
      </c>
      <c r="CG1119" s="35" t="s">
        <v>97</v>
      </c>
      <c r="CH1119" s="35">
        <v>0</v>
      </c>
      <c r="CI1119" s="35" t="s">
        <v>2313</v>
      </c>
      <c r="CJ1119" s="35" t="s">
        <v>98</v>
      </c>
      <c r="CK1119" s="35">
        <v>14</v>
      </c>
      <c r="CL1119" s="35">
        <v>0</v>
      </c>
      <c r="CM1119" s="35">
        <v>0</v>
      </c>
      <c r="CN1119" s="35" t="s">
        <v>124</v>
      </c>
      <c r="CO1119" s="35" t="s">
        <v>97</v>
      </c>
      <c r="CP1119" s="35" t="s">
        <v>100</v>
      </c>
      <c r="CQ1119" s="35" t="s">
        <v>126</v>
      </c>
      <c r="CR1119" s="36">
        <v>46267</v>
      </c>
      <c r="CT1119" s="35" t="s">
        <v>550</v>
      </c>
    </row>
    <row r="1120" spans="1:98" s="35" customFormat="1" x14ac:dyDescent="0.35">
      <c r="A1120" s="34" t="s">
        <v>2267</v>
      </c>
      <c r="B1120" s="34" t="s">
        <v>2285</v>
      </c>
      <c r="C1120" s="35" t="s">
        <v>2266</v>
      </c>
      <c r="D1120" s="35">
        <v>2020</v>
      </c>
      <c r="E1120" s="37" t="s">
        <v>2268</v>
      </c>
      <c r="F1120" s="34" t="s">
        <v>1406</v>
      </c>
      <c r="G1120" s="35" t="s">
        <v>78</v>
      </c>
      <c r="H1120" s="35">
        <v>1</v>
      </c>
      <c r="I1120" s="35" t="s">
        <v>2269</v>
      </c>
      <c r="J1120" s="35" t="s">
        <v>2210</v>
      </c>
      <c r="K1120" s="35">
        <v>3</v>
      </c>
      <c r="L1120" s="35" t="s">
        <v>80</v>
      </c>
      <c r="M1120" s="35" t="s">
        <v>380</v>
      </c>
      <c r="N1120" s="35">
        <v>-0.188</v>
      </c>
      <c r="O1120" s="35">
        <v>9.7000000000000003E-2</v>
      </c>
      <c r="P1120" s="35">
        <f t="shared" si="546"/>
        <v>-1.9381443298969072</v>
      </c>
      <c r="Q1120" s="35" t="s">
        <v>312</v>
      </c>
      <c r="R1120" s="35">
        <f t="shared" si="547"/>
        <v>-0.37812000000000001</v>
      </c>
      <c r="S1120" s="35">
        <f t="shared" si="548"/>
        <v>2.1200000000000108E-3</v>
      </c>
      <c r="T1120" s="35">
        <v>1</v>
      </c>
      <c r="U1120" s="35">
        <v>51753</v>
      </c>
      <c r="V1120" s="35" t="s">
        <v>312</v>
      </c>
      <c r="W1120" s="35" t="s">
        <v>312</v>
      </c>
      <c r="X1120" s="35">
        <f t="shared" si="551"/>
        <v>51753</v>
      </c>
      <c r="Y1120" s="35">
        <f t="shared" si="552"/>
        <v>-8.5192740579536439E-3</v>
      </c>
      <c r="Z1120" s="35">
        <f t="shared" si="553"/>
        <v>4.3955828916037417E-3</v>
      </c>
      <c r="AA1120" s="35">
        <f t="shared" si="554"/>
        <v>-8.5192740579536439E-3</v>
      </c>
      <c r="AB1120" s="35" t="s">
        <v>81</v>
      </c>
      <c r="AC1120" s="35">
        <f t="shared" si="555"/>
        <v>-0.188</v>
      </c>
      <c r="AD1120" s="35" cm="1">
        <f t="array" ref="AD1120">_xlfn.IFS(
AND(L1120="marginal_effect",M1120="level"),N1120*AN1120/BF1120,
AND(L1120="marginal_effect",M1120="sd (Y)"),N1120*BI1120*AN1120/BF1120,
AND(L1120="marginal_effect",M1120="sd (X)"),N1120/AQ1120*AN1120/BF1120,
AND(L1120="semi_elasticity",M1120="level"),N1120*AN1120,
AND(L1120="semi_elasticity",M1120="sd (Y)"),N1120*AN1120*BI1120,
AND(L1120="semi_elasticity",M1120="sd (X)"),N1120*AN1120/AQ1120,
AND(L1120="level-log",M1120="level"),N1120/BF1120,
AND(L1120="level-log",M1120="sd (X)"),N1120/BF1120/AQ1120,
AND(L1120="level-log",M1120="sd (Y)"),N1120/BF1120*BI1120,
AND(L1120="elasticity",M1120="level"),N1120,
AND(L1120="elasticity",M1120="sd (X)"),N1120/AQ1120,
AND(L1120="elasticity",M1120="sd (Y)"),N1120*BI1120,
AND(L1120="marginal_effect",M1120="percent_of_mean"),N1120*AN1120/BF1120/10)</f>
        <v>-0.188</v>
      </c>
      <c r="AE1120" s="35">
        <f t="shared" si="556"/>
        <v>1</v>
      </c>
      <c r="AF1120" s="35">
        <f t="shared" si="550"/>
        <v>9.7000000000000003E-2</v>
      </c>
      <c r="AG1120" s="35" cm="1">
        <f t="array" ref="AG1120">_xlfn.IFS(
AND(L1120="marginal_effect",M1120="level"),O1120*AN1120/BF1120,
AND(L1120="marginal_effect",M1120="sd (Y)"),O1120*BI1120*AN1120/BF1120,
AND(L1120="marginal_effect",M1120="sd (X)"),O1120/AQ1120*AN1120/BF1120,
AND(L1120="semi_elasticity",M1120="level"),O1120*AN1120,
AND(L1120="semi_elasticity",M1120="sd (Y)"),O1120*AN1120*BI1120,
AND(L1120="semi_elasticity",M1120="sd (X)"),O1120*AN1120/AQ1120,
AND(L1120="level-log",M1120="level"),O1120/BF1120,
AND(L1120="level-log",M1120="sd (X)"),O1120/BF1120/AQ1120,
AND(L1120="level-log",M1120="sd (Y)"),O1120/BF1120*BI1120,
AND(L1120="elasticity",M1120="level"),O1120,
AND(L1120="elasticity",M1120="sd (X)"),O1120/AQ1120,
AND(L1120="elasticity",M1120="sd (Y)"),O1120*BI1120,
AND(L1120="marginal_effect",M1120="percent_of_mean"),O1120*AN1120/BF1120/10)</f>
        <v>9.7000000000000003E-2</v>
      </c>
      <c r="AH1120" s="35">
        <f t="shared" si="557"/>
        <v>1</v>
      </c>
      <c r="AI1120" s="35">
        <f t="shared" si="558"/>
        <v>-0.188</v>
      </c>
      <c r="AJ1120" s="35">
        <v>0</v>
      </c>
      <c r="AK1120" s="35">
        <f t="shared" si="559"/>
        <v>1</v>
      </c>
      <c r="AL1120" s="35" t="s">
        <v>82</v>
      </c>
      <c r="AM1120" s="35" t="s">
        <v>1333</v>
      </c>
      <c r="AN1120" s="35">
        <v>15.59</v>
      </c>
      <c r="AO1120" s="35">
        <v>0</v>
      </c>
      <c r="AP1120" s="35">
        <f t="shared" si="560"/>
        <v>15.59</v>
      </c>
      <c r="AQ1120" s="35">
        <v>9.3699999999999992</v>
      </c>
      <c r="AR1120" s="35" t="s">
        <v>312</v>
      </c>
      <c r="AS1120" s="35" t="s">
        <v>312</v>
      </c>
      <c r="AT1120" s="35" t="s">
        <v>83</v>
      </c>
      <c r="AU1120" s="35" t="s">
        <v>109</v>
      </c>
      <c r="AV1120" s="35" t="s">
        <v>133</v>
      </c>
      <c r="AW1120" s="35" t="s">
        <v>85</v>
      </c>
      <c r="AX1120" s="35" t="s">
        <v>86</v>
      </c>
      <c r="AY1120" s="35">
        <v>0</v>
      </c>
      <c r="AZ1120" s="35">
        <v>0</v>
      </c>
      <c r="BA1120" s="35" t="s">
        <v>87</v>
      </c>
      <c r="BB1120" s="35" t="s">
        <v>134</v>
      </c>
      <c r="BC1120" s="35" t="s">
        <v>113</v>
      </c>
      <c r="BD1120" s="35" t="s">
        <v>134</v>
      </c>
      <c r="BE1120" s="35" t="s">
        <v>2270</v>
      </c>
      <c r="BF1120" s="35">
        <v>14.19</v>
      </c>
      <c r="BG1120" s="35">
        <v>0</v>
      </c>
      <c r="BH1120" s="35">
        <v>16.89</v>
      </c>
      <c r="BI1120" s="35" t="s">
        <v>312</v>
      </c>
      <c r="BJ1120" s="35" t="s">
        <v>312</v>
      </c>
      <c r="BK1120" s="35" t="s">
        <v>91</v>
      </c>
      <c r="BL1120" s="35" t="s">
        <v>116</v>
      </c>
      <c r="BM1120" s="76" t="s">
        <v>1411</v>
      </c>
      <c r="BN1120" s="35" t="s">
        <v>428</v>
      </c>
      <c r="BO1120" s="35" t="s">
        <v>2271</v>
      </c>
      <c r="BP1120" s="35" t="s">
        <v>312</v>
      </c>
      <c r="BQ1120" s="35" t="s">
        <v>92</v>
      </c>
      <c r="BR1120" s="35" t="s">
        <v>134</v>
      </c>
      <c r="BS1120" s="35" t="s">
        <v>312</v>
      </c>
      <c r="BT1120" s="35" t="s">
        <v>312</v>
      </c>
      <c r="BU1120" s="35">
        <v>2013</v>
      </c>
      <c r="BV1120" s="35">
        <v>2017</v>
      </c>
      <c r="BW1120" s="35" t="s">
        <v>94</v>
      </c>
      <c r="BX1120" s="35" t="s">
        <v>95</v>
      </c>
      <c r="BY1120" s="35" t="s">
        <v>748</v>
      </c>
      <c r="BZ1120" s="35">
        <v>1</v>
      </c>
      <c r="CA1120" s="35">
        <v>1</v>
      </c>
      <c r="CB1120" s="35" t="s">
        <v>2290</v>
      </c>
      <c r="CC1120" s="35" t="s">
        <v>1375</v>
      </c>
      <c r="CD1120" s="35">
        <v>1</v>
      </c>
      <c r="CE1120" s="35" t="s">
        <v>2274</v>
      </c>
      <c r="CF1120" s="35">
        <v>0</v>
      </c>
      <c r="CG1120" s="35" t="s">
        <v>97</v>
      </c>
      <c r="CH1120" s="35">
        <v>0</v>
      </c>
      <c r="CI1120" s="35" t="s">
        <v>2313</v>
      </c>
      <c r="CJ1120" s="35" t="s">
        <v>98</v>
      </c>
      <c r="CK1120" s="35">
        <v>14</v>
      </c>
      <c r="CL1120" s="35">
        <v>0</v>
      </c>
      <c r="CM1120" s="35">
        <v>0</v>
      </c>
      <c r="CN1120" s="35" t="s">
        <v>124</v>
      </c>
      <c r="CO1120" s="35" t="s">
        <v>97</v>
      </c>
      <c r="CP1120" s="35" t="s">
        <v>100</v>
      </c>
      <c r="CQ1120" s="35" t="s">
        <v>126</v>
      </c>
      <c r="CR1120" s="36">
        <v>46267</v>
      </c>
      <c r="CT1120" s="35" t="s">
        <v>550</v>
      </c>
    </row>
    <row r="1121" spans="1:98" s="35" customFormat="1" x14ac:dyDescent="0.35">
      <c r="A1121" s="34" t="s">
        <v>2267</v>
      </c>
      <c r="B1121" s="34" t="s">
        <v>2286</v>
      </c>
      <c r="C1121" s="35" t="s">
        <v>2266</v>
      </c>
      <c r="D1121" s="35">
        <v>2020</v>
      </c>
      <c r="E1121" s="37" t="s">
        <v>2268</v>
      </c>
      <c r="F1121" s="34" t="s">
        <v>1406</v>
      </c>
      <c r="G1121" s="35" t="s">
        <v>78</v>
      </c>
      <c r="H1121" s="35">
        <v>1</v>
      </c>
      <c r="I1121" s="35" t="s">
        <v>2269</v>
      </c>
      <c r="J1121" s="35" t="s">
        <v>2210</v>
      </c>
      <c r="K1121" s="35">
        <v>3</v>
      </c>
      <c r="L1121" s="35" t="s">
        <v>80</v>
      </c>
      <c r="M1121" s="35" t="s">
        <v>380</v>
      </c>
      <c r="N1121" s="35">
        <v>-0.21</v>
      </c>
      <c r="O1121" s="35">
        <v>9.6000000000000002E-2</v>
      </c>
      <c r="P1121" s="35">
        <f t="shared" si="546"/>
        <v>-2.1875</v>
      </c>
      <c r="Q1121" s="35" t="s">
        <v>312</v>
      </c>
      <c r="R1121" s="35">
        <f t="shared" si="547"/>
        <v>-0.39815999999999996</v>
      </c>
      <c r="S1121" s="35">
        <f t="shared" si="548"/>
        <v>-2.1839999999999998E-2</v>
      </c>
      <c r="T1121" s="35">
        <v>1</v>
      </c>
      <c r="U1121" s="35">
        <v>51840</v>
      </c>
      <c r="V1121" s="35" t="s">
        <v>312</v>
      </c>
      <c r="W1121" s="35" t="s">
        <v>312</v>
      </c>
      <c r="X1121" s="35">
        <f t="shared" si="551"/>
        <v>51840</v>
      </c>
      <c r="Y1121" s="35">
        <f t="shared" si="552"/>
        <v>-9.6071710281575209E-3</v>
      </c>
      <c r="Z1121" s="35">
        <f t="shared" si="553"/>
        <v>4.3918496128720098E-3</v>
      </c>
      <c r="AA1121" s="35">
        <f t="shared" si="554"/>
        <v>-9.6071710281575209E-3</v>
      </c>
      <c r="AB1121" s="35" t="s">
        <v>81</v>
      </c>
      <c r="AC1121" s="35">
        <f t="shared" si="555"/>
        <v>-0.21</v>
      </c>
      <c r="AD1121" s="35" cm="1">
        <f t="array" ref="AD1121">_xlfn.IFS(
AND(L1121="marginal_effect",M1121="level"),N1121*AN1121/BF1121,
AND(L1121="marginal_effect",M1121="sd (Y)"),N1121*BI1121*AN1121/BF1121,
AND(L1121="marginal_effect",M1121="sd (X)"),N1121/AQ1121*AN1121/BF1121,
AND(L1121="semi_elasticity",M1121="level"),N1121*AN1121,
AND(L1121="semi_elasticity",M1121="sd (Y)"),N1121*AN1121*BI1121,
AND(L1121="semi_elasticity",M1121="sd (X)"),N1121*AN1121/AQ1121,
AND(L1121="level-log",M1121="level"),N1121/BF1121,
AND(L1121="level-log",M1121="sd (X)"),N1121/BF1121/AQ1121,
AND(L1121="level-log",M1121="sd (Y)"),N1121/BF1121*BI1121,
AND(L1121="elasticity",M1121="level"),N1121,
AND(L1121="elasticity",M1121="sd (X)"),N1121/AQ1121,
AND(L1121="elasticity",M1121="sd (Y)"),N1121*BI1121,
AND(L1121="marginal_effect",M1121="percent_of_mean"),N1121*AN1121/BF1121/10)</f>
        <v>-0.21</v>
      </c>
      <c r="AE1121" s="35">
        <f t="shared" si="556"/>
        <v>1</v>
      </c>
      <c r="AF1121" s="35">
        <f t="shared" si="550"/>
        <v>9.6000000000000002E-2</v>
      </c>
      <c r="AG1121" s="35" cm="1">
        <f t="array" ref="AG1121">_xlfn.IFS(
AND(L1121="marginal_effect",M1121="level"),O1121*AN1121/BF1121,
AND(L1121="marginal_effect",M1121="sd (Y)"),O1121*BI1121*AN1121/BF1121,
AND(L1121="marginal_effect",M1121="sd (X)"),O1121/AQ1121*AN1121/BF1121,
AND(L1121="semi_elasticity",M1121="level"),O1121*AN1121,
AND(L1121="semi_elasticity",M1121="sd (Y)"),O1121*AN1121*BI1121,
AND(L1121="semi_elasticity",M1121="sd (X)"),O1121*AN1121/AQ1121,
AND(L1121="level-log",M1121="level"),O1121/BF1121,
AND(L1121="level-log",M1121="sd (X)"),O1121/BF1121/AQ1121,
AND(L1121="level-log",M1121="sd (Y)"),O1121/BF1121*BI1121,
AND(L1121="elasticity",M1121="level"),O1121,
AND(L1121="elasticity",M1121="sd (X)"),O1121/AQ1121,
AND(L1121="elasticity",M1121="sd (Y)"),O1121*BI1121,
AND(L1121="marginal_effect",M1121="percent_of_mean"),O1121*AN1121/BF1121/10)</f>
        <v>9.6000000000000002E-2</v>
      </c>
      <c r="AH1121" s="35">
        <f t="shared" si="557"/>
        <v>1</v>
      </c>
      <c r="AI1121" s="35">
        <f t="shared" si="558"/>
        <v>-0.21</v>
      </c>
      <c r="AJ1121" s="35">
        <v>0</v>
      </c>
      <c r="AK1121" s="35">
        <f t="shared" si="559"/>
        <v>1</v>
      </c>
      <c r="AL1121" s="35" t="s">
        <v>82</v>
      </c>
      <c r="AM1121" s="35" t="s">
        <v>1333</v>
      </c>
      <c r="AN1121" s="35">
        <v>15.59</v>
      </c>
      <c r="AO1121" s="35">
        <v>0</v>
      </c>
      <c r="AP1121" s="35">
        <f t="shared" si="560"/>
        <v>15.59</v>
      </c>
      <c r="AQ1121" s="35">
        <v>9.3699999999999992</v>
      </c>
      <c r="AR1121" s="35" t="s">
        <v>312</v>
      </c>
      <c r="AS1121" s="35" t="s">
        <v>312</v>
      </c>
      <c r="AT1121" s="35" t="s">
        <v>83</v>
      </c>
      <c r="AU1121" s="35" t="s">
        <v>109</v>
      </c>
      <c r="AV1121" s="35" t="s">
        <v>133</v>
      </c>
      <c r="AW1121" s="35" t="s">
        <v>85</v>
      </c>
      <c r="AX1121" s="35" t="s">
        <v>86</v>
      </c>
      <c r="AY1121" s="35">
        <v>0</v>
      </c>
      <c r="AZ1121" s="35">
        <v>0</v>
      </c>
      <c r="BA1121" s="35" t="s">
        <v>87</v>
      </c>
      <c r="BB1121" s="35" t="s">
        <v>134</v>
      </c>
      <c r="BC1121" s="35" t="s">
        <v>113</v>
      </c>
      <c r="BD1121" s="35" t="s">
        <v>134</v>
      </c>
      <c r="BE1121" s="35" t="s">
        <v>2270</v>
      </c>
      <c r="BF1121" s="35">
        <v>14.19</v>
      </c>
      <c r="BG1121" s="35">
        <v>0</v>
      </c>
      <c r="BH1121" s="35">
        <v>16.89</v>
      </c>
      <c r="BI1121" s="35" t="s">
        <v>312</v>
      </c>
      <c r="BJ1121" s="35" t="s">
        <v>312</v>
      </c>
      <c r="BK1121" s="35" t="s">
        <v>91</v>
      </c>
      <c r="BL1121" s="35" t="s">
        <v>116</v>
      </c>
      <c r="BM1121" s="76" t="s">
        <v>1411</v>
      </c>
      <c r="BN1121" s="35" t="s">
        <v>428</v>
      </c>
      <c r="BO1121" s="35" t="s">
        <v>2271</v>
      </c>
      <c r="BP1121" s="35" t="s">
        <v>312</v>
      </c>
      <c r="BQ1121" s="35" t="s">
        <v>92</v>
      </c>
      <c r="BR1121" s="35" t="s">
        <v>134</v>
      </c>
      <c r="BS1121" s="35" t="s">
        <v>312</v>
      </c>
      <c r="BT1121" s="35" t="s">
        <v>312</v>
      </c>
      <c r="BU1121" s="35">
        <v>2013</v>
      </c>
      <c r="BV1121" s="35">
        <v>2017</v>
      </c>
      <c r="BW1121" s="35" t="s">
        <v>94</v>
      </c>
      <c r="BX1121" s="35" t="s">
        <v>95</v>
      </c>
      <c r="BY1121" s="35" t="s">
        <v>748</v>
      </c>
      <c r="BZ1121" s="35">
        <v>1</v>
      </c>
      <c r="CA1121" s="35">
        <v>1</v>
      </c>
      <c r="CB1121" s="35" t="s">
        <v>2281</v>
      </c>
      <c r="CC1121" s="35" t="s">
        <v>1375</v>
      </c>
      <c r="CD1121" s="35">
        <v>1</v>
      </c>
      <c r="CE1121" s="35" t="s">
        <v>2274</v>
      </c>
      <c r="CF1121" s="35">
        <v>0</v>
      </c>
      <c r="CG1121" s="35" t="s">
        <v>97</v>
      </c>
      <c r="CH1121" s="35">
        <v>0</v>
      </c>
      <c r="CI1121" s="35" t="s">
        <v>2313</v>
      </c>
      <c r="CJ1121" s="35" t="s">
        <v>98</v>
      </c>
      <c r="CK1121" s="35">
        <v>14</v>
      </c>
      <c r="CL1121" s="35">
        <v>0</v>
      </c>
      <c r="CM1121" s="35">
        <v>0</v>
      </c>
      <c r="CN1121" s="35" t="s">
        <v>124</v>
      </c>
      <c r="CO1121" s="35" t="s">
        <v>97</v>
      </c>
      <c r="CP1121" s="35" t="s">
        <v>100</v>
      </c>
      <c r="CQ1121" s="35" t="s">
        <v>126</v>
      </c>
      <c r="CR1121" s="36">
        <v>46267</v>
      </c>
      <c r="CT1121" s="35" t="s">
        <v>550</v>
      </c>
    </row>
    <row r="1122" spans="1:98" s="35" customFormat="1" x14ac:dyDescent="0.35">
      <c r="A1122" s="34" t="s">
        <v>2267</v>
      </c>
      <c r="B1122" s="34" t="s">
        <v>2287</v>
      </c>
      <c r="C1122" s="35" t="s">
        <v>2266</v>
      </c>
      <c r="D1122" s="35">
        <v>2020</v>
      </c>
      <c r="E1122" s="37" t="s">
        <v>2268</v>
      </c>
      <c r="F1122" s="34" t="s">
        <v>1406</v>
      </c>
      <c r="G1122" s="35" t="s">
        <v>78</v>
      </c>
      <c r="H1122" s="35">
        <v>1</v>
      </c>
      <c r="I1122" s="35" t="s">
        <v>2269</v>
      </c>
      <c r="J1122" s="35" t="s">
        <v>2210</v>
      </c>
      <c r="K1122" s="35">
        <v>3</v>
      </c>
      <c r="L1122" s="35" t="s">
        <v>80</v>
      </c>
      <c r="M1122" s="35" t="s">
        <v>380</v>
      </c>
      <c r="N1122" s="35">
        <v>-0.155</v>
      </c>
      <c r="O1122" s="35">
        <v>8.2000000000000003E-2</v>
      </c>
      <c r="P1122" s="35">
        <f t="shared" si="546"/>
        <v>-1.8902439024390243</v>
      </c>
      <c r="Q1122" s="35" t="s">
        <v>312</v>
      </c>
      <c r="R1122" s="35">
        <f t="shared" si="547"/>
        <v>-0.31572</v>
      </c>
      <c r="S1122" s="35">
        <f t="shared" si="548"/>
        <v>5.7200000000000029E-3</v>
      </c>
      <c r="T1122" s="35">
        <v>1</v>
      </c>
      <c r="U1122" s="35">
        <v>51840</v>
      </c>
      <c r="V1122" s="35" t="s">
        <v>312</v>
      </c>
      <c r="W1122" s="35" t="s">
        <v>312</v>
      </c>
      <c r="X1122" s="35">
        <f t="shared" si="551"/>
        <v>51840</v>
      </c>
      <c r="Y1122" s="35">
        <f t="shared" si="552"/>
        <v>-8.3017639996021027E-3</v>
      </c>
      <c r="Z1122" s="35">
        <f t="shared" si="553"/>
        <v>4.3919009546282096E-3</v>
      </c>
      <c r="AA1122" s="35">
        <f t="shared" si="554"/>
        <v>-8.3017639996021027E-3</v>
      </c>
      <c r="AB1122" s="35" t="s">
        <v>81</v>
      </c>
      <c r="AC1122" s="35">
        <f t="shared" si="555"/>
        <v>-0.155</v>
      </c>
      <c r="AD1122" s="35" cm="1">
        <f t="array" ref="AD1122">_xlfn.IFS(
AND(L1122="marginal_effect",M1122="level"),N1122*AN1122/BF1122,
AND(L1122="marginal_effect",M1122="sd (Y)"),N1122*BI1122*AN1122/BF1122,
AND(L1122="marginal_effect",M1122="sd (X)"),N1122/AQ1122*AN1122/BF1122,
AND(L1122="semi_elasticity",M1122="level"),N1122*AN1122,
AND(L1122="semi_elasticity",M1122="sd (Y)"),N1122*AN1122*BI1122,
AND(L1122="semi_elasticity",M1122="sd (X)"),N1122*AN1122/AQ1122,
AND(L1122="level-log",M1122="level"),N1122/BF1122,
AND(L1122="level-log",M1122="sd (X)"),N1122/BF1122/AQ1122,
AND(L1122="level-log",M1122="sd (Y)"),N1122/BF1122*BI1122,
AND(L1122="elasticity",M1122="level"),N1122,
AND(L1122="elasticity",M1122="sd (X)"),N1122/AQ1122,
AND(L1122="elasticity",M1122="sd (Y)"),N1122*BI1122,
AND(L1122="marginal_effect",M1122="percent_of_mean"),N1122*AN1122/BF1122/10)</f>
        <v>-0.155</v>
      </c>
      <c r="AE1122" s="35">
        <f t="shared" si="556"/>
        <v>1</v>
      </c>
      <c r="AF1122" s="35">
        <f t="shared" si="550"/>
        <v>8.2000000000000003E-2</v>
      </c>
      <c r="AG1122" s="35" cm="1">
        <f t="array" ref="AG1122">_xlfn.IFS(
AND(L1122="marginal_effect",M1122="level"),O1122*AN1122/BF1122,
AND(L1122="marginal_effect",M1122="sd (Y)"),O1122*BI1122*AN1122/BF1122,
AND(L1122="marginal_effect",M1122="sd (X)"),O1122/AQ1122*AN1122/BF1122,
AND(L1122="semi_elasticity",M1122="level"),O1122*AN1122,
AND(L1122="semi_elasticity",M1122="sd (Y)"),O1122*AN1122*BI1122,
AND(L1122="semi_elasticity",M1122="sd (X)"),O1122*AN1122/AQ1122,
AND(L1122="level-log",M1122="level"),O1122/BF1122,
AND(L1122="level-log",M1122="sd (X)"),O1122/BF1122/AQ1122,
AND(L1122="level-log",M1122="sd (Y)"),O1122/BF1122*BI1122,
AND(L1122="elasticity",M1122="level"),O1122,
AND(L1122="elasticity",M1122="sd (X)"),O1122/AQ1122,
AND(L1122="elasticity",M1122="sd (Y)"),O1122*BI1122,
AND(L1122="marginal_effect",M1122="percent_of_mean"),O1122*AN1122/BF1122/10)</f>
        <v>8.2000000000000003E-2</v>
      </c>
      <c r="AH1122" s="35">
        <f t="shared" si="557"/>
        <v>1</v>
      </c>
      <c r="AI1122" s="35">
        <f t="shared" si="558"/>
        <v>-0.155</v>
      </c>
      <c r="AJ1122" s="35">
        <v>0</v>
      </c>
      <c r="AK1122" s="35">
        <f t="shared" si="559"/>
        <v>1</v>
      </c>
      <c r="AL1122" s="35" t="s">
        <v>82</v>
      </c>
      <c r="AM1122" s="35" t="s">
        <v>1333</v>
      </c>
      <c r="AN1122" s="35">
        <v>15.59</v>
      </c>
      <c r="AO1122" s="35">
        <v>0</v>
      </c>
      <c r="AP1122" s="35">
        <f t="shared" si="560"/>
        <v>15.59</v>
      </c>
      <c r="AQ1122" s="35">
        <v>9.3699999999999992</v>
      </c>
      <c r="AR1122" s="35" t="s">
        <v>312</v>
      </c>
      <c r="AS1122" s="35" t="s">
        <v>312</v>
      </c>
      <c r="AT1122" s="35" t="s">
        <v>83</v>
      </c>
      <c r="AU1122" s="35" t="s">
        <v>109</v>
      </c>
      <c r="AV1122" s="35" t="s">
        <v>133</v>
      </c>
      <c r="AW1122" s="35" t="s">
        <v>85</v>
      </c>
      <c r="AX1122" s="35" t="s">
        <v>86</v>
      </c>
      <c r="AY1122" s="35">
        <v>0</v>
      </c>
      <c r="AZ1122" s="35">
        <v>0</v>
      </c>
      <c r="BA1122" s="35" t="s">
        <v>87</v>
      </c>
      <c r="BB1122" s="35" t="s">
        <v>134</v>
      </c>
      <c r="BC1122" s="35" t="s">
        <v>113</v>
      </c>
      <c r="BD1122" s="35" t="s">
        <v>134</v>
      </c>
      <c r="BE1122" s="35" t="s">
        <v>2270</v>
      </c>
      <c r="BF1122" s="35">
        <v>14.19</v>
      </c>
      <c r="BG1122" s="35">
        <v>0</v>
      </c>
      <c r="BH1122" s="35">
        <v>16.89</v>
      </c>
      <c r="BI1122" s="35" t="s">
        <v>312</v>
      </c>
      <c r="BJ1122" s="35" t="s">
        <v>312</v>
      </c>
      <c r="BK1122" s="35" t="s">
        <v>91</v>
      </c>
      <c r="BL1122" s="35" t="s">
        <v>116</v>
      </c>
      <c r="BM1122" s="76" t="s">
        <v>1411</v>
      </c>
      <c r="BN1122" s="35" t="s">
        <v>428</v>
      </c>
      <c r="BO1122" s="35" t="s">
        <v>2271</v>
      </c>
      <c r="BP1122" s="35" t="s">
        <v>312</v>
      </c>
      <c r="BQ1122" s="35" t="s">
        <v>92</v>
      </c>
      <c r="BR1122" s="35" t="s">
        <v>134</v>
      </c>
      <c r="BS1122" s="35" t="s">
        <v>312</v>
      </c>
      <c r="BT1122" s="35" t="s">
        <v>312</v>
      </c>
      <c r="BU1122" s="35">
        <v>2013</v>
      </c>
      <c r="BV1122" s="35">
        <v>2017</v>
      </c>
      <c r="BW1122" s="35" t="s">
        <v>94</v>
      </c>
      <c r="BX1122" s="35" t="s">
        <v>95</v>
      </c>
      <c r="BY1122" s="35" t="s">
        <v>748</v>
      </c>
      <c r="BZ1122" s="35">
        <v>1</v>
      </c>
      <c r="CA1122" s="35">
        <v>1</v>
      </c>
      <c r="CB1122" s="35" t="s">
        <v>2281</v>
      </c>
      <c r="CC1122" s="35" t="s">
        <v>1375</v>
      </c>
      <c r="CD1122" s="35">
        <v>1</v>
      </c>
      <c r="CE1122" s="35" t="s">
        <v>2274</v>
      </c>
      <c r="CF1122" s="35">
        <v>0</v>
      </c>
      <c r="CG1122" s="35" t="s">
        <v>97</v>
      </c>
      <c r="CH1122" s="35">
        <v>0</v>
      </c>
      <c r="CI1122" s="35" t="s">
        <v>2313</v>
      </c>
      <c r="CJ1122" s="35" t="s">
        <v>98</v>
      </c>
      <c r="CK1122" s="35">
        <v>14</v>
      </c>
      <c r="CL1122" s="35">
        <v>0</v>
      </c>
      <c r="CM1122" s="35">
        <v>0</v>
      </c>
      <c r="CN1122" s="35" t="s">
        <v>124</v>
      </c>
      <c r="CO1122" s="35" t="s">
        <v>97</v>
      </c>
      <c r="CP1122" s="35" t="s">
        <v>100</v>
      </c>
      <c r="CQ1122" s="35" t="s">
        <v>126</v>
      </c>
      <c r="CR1122" s="36">
        <v>46267</v>
      </c>
      <c r="CT1122" s="35" t="s">
        <v>550</v>
      </c>
    </row>
    <row r="1123" spans="1:98" s="35" customFormat="1" x14ac:dyDescent="0.35">
      <c r="A1123" s="34" t="s">
        <v>2267</v>
      </c>
      <c r="B1123" s="34" t="s">
        <v>2288</v>
      </c>
      <c r="C1123" s="35" t="s">
        <v>2266</v>
      </c>
      <c r="D1123" s="35">
        <v>2020</v>
      </c>
      <c r="E1123" s="37" t="s">
        <v>2268</v>
      </c>
      <c r="F1123" s="34" t="s">
        <v>1406</v>
      </c>
      <c r="G1123" s="35" t="s">
        <v>78</v>
      </c>
      <c r="H1123" s="35">
        <v>1</v>
      </c>
      <c r="I1123" s="35" t="s">
        <v>2269</v>
      </c>
      <c r="J1123" s="35" t="s">
        <v>2210</v>
      </c>
      <c r="K1123" s="35">
        <v>3</v>
      </c>
      <c r="L1123" s="35" t="s">
        <v>80</v>
      </c>
      <c r="M1123" s="35" t="s">
        <v>380</v>
      </c>
      <c r="N1123" s="35">
        <v>-9.9000000000000005E-2</v>
      </c>
      <c r="O1123" s="35">
        <v>5.7000000000000002E-2</v>
      </c>
      <c r="P1123" s="35">
        <f t="shared" si="546"/>
        <v>-1.736842105263158</v>
      </c>
      <c r="Q1123" s="35" t="s">
        <v>312</v>
      </c>
      <c r="R1123" s="35">
        <f t="shared" si="547"/>
        <v>-0.21072000000000002</v>
      </c>
      <c r="S1123" s="35">
        <f t="shared" si="548"/>
        <v>1.2719999999999995E-2</v>
      </c>
      <c r="T1123" s="35">
        <v>1</v>
      </c>
      <c r="U1123" s="35">
        <v>51840</v>
      </c>
      <c r="V1123" s="35" t="s">
        <v>312</v>
      </c>
      <c r="W1123" s="35" t="s">
        <v>312</v>
      </c>
      <c r="X1123" s="35">
        <f t="shared" si="551"/>
        <v>51840</v>
      </c>
      <c r="Y1123" s="35">
        <f t="shared" si="552"/>
        <v>-7.6280794337259651E-3</v>
      </c>
      <c r="Z1123" s="35">
        <f t="shared" si="553"/>
        <v>4.3919245224482827E-3</v>
      </c>
      <c r="AA1123" s="35">
        <f t="shared" si="554"/>
        <v>-7.6280794337259651E-3</v>
      </c>
      <c r="AB1123" s="35" t="s">
        <v>81</v>
      </c>
      <c r="AC1123" s="35">
        <f t="shared" si="555"/>
        <v>-9.9000000000000005E-2</v>
      </c>
      <c r="AD1123" s="35" cm="1">
        <f t="array" ref="AD1123">_xlfn.IFS(
AND(L1123="marginal_effect",M1123="level"),N1123*AN1123/BF1123,
AND(L1123="marginal_effect",M1123="sd (Y)"),N1123*BI1123*AN1123/BF1123,
AND(L1123="marginal_effect",M1123="sd (X)"),N1123/AQ1123*AN1123/BF1123,
AND(L1123="semi_elasticity",M1123="level"),N1123*AN1123,
AND(L1123="semi_elasticity",M1123="sd (Y)"),N1123*AN1123*BI1123,
AND(L1123="semi_elasticity",M1123="sd (X)"),N1123*AN1123/AQ1123,
AND(L1123="level-log",M1123="level"),N1123/BF1123,
AND(L1123="level-log",M1123="sd (X)"),N1123/BF1123/AQ1123,
AND(L1123="level-log",M1123="sd (Y)"),N1123/BF1123*BI1123,
AND(L1123="elasticity",M1123="level"),N1123,
AND(L1123="elasticity",M1123="sd (X)"),N1123/AQ1123,
AND(L1123="elasticity",M1123="sd (Y)"),N1123*BI1123,
AND(L1123="marginal_effect",M1123="percent_of_mean"),N1123*AN1123/BF1123/10)</f>
        <v>-9.9000000000000005E-2</v>
      </c>
      <c r="AE1123" s="35">
        <f t="shared" si="556"/>
        <v>1</v>
      </c>
      <c r="AF1123" s="35">
        <f t="shared" si="550"/>
        <v>5.7000000000000002E-2</v>
      </c>
      <c r="AG1123" s="35" cm="1">
        <f t="array" ref="AG1123">_xlfn.IFS(
AND(L1123="marginal_effect",M1123="level"),O1123*AN1123/BF1123,
AND(L1123="marginal_effect",M1123="sd (Y)"),O1123*BI1123*AN1123/BF1123,
AND(L1123="marginal_effect",M1123="sd (X)"),O1123/AQ1123*AN1123/BF1123,
AND(L1123="semi_elasticity",M1123="level"),O1123*AN1123,
AND(L1123="semi_elasticity",M1123="sd (Y)"),O1123*AN1123*BI1123,
AND(L1123="semi_elasticity",M1123="sd (X)"),O1123*AN1123/AQ1123,
AND(L1123="level-log",M1123="level"),O1123/BF1123,
AND(L1123="level-log",M1123="sd (X)"),O1123/BF1123/AQ1123,
AND(L1123="level-log",M1123="sd (Y)"),O1123/BF1123*BI1123,
AND(L1123="elasticity",M1123="level"),O1123,
AND(L1123="elasticity",M1123="sd (X)"),O1123/AQ1123,
AND(L1123="elasticity",M1123="sd (Y)"),O1123*BI1123,
AND(L1123="marginal_effect",M1123="percent_of_mean"),O1123*AN1123/BF1123/10)</f>
        <v>5.7000000000000002E-2</v>
      </c>
      <c r="AH1123" s="35">
        <f t="shared" si="557"/>
        <v>1</v>
      </c>
      <c r="AI1123" s="35">
        <f t="shared" si="558"/>
        <v>-9.9000000000000005E-2</v>
      </c>
      <c r="AJ1123" s="35">
        <v>0</v>
      </c>
      <c r="AK1123" s="35">
        <f t="shared" si="559"/>
        <v>1</v>
      </c>
      <c r="AL1123" s="35" t="s">
        <v>82</v>
      </c>
      <c r="AM1123" s="35" t="s">
        <v>1333</v>
      </c>
      <c r="AN1123" s="35">
        <v>15.59</v>
      </c>
      <c r="AO1123" s="35">
        <v>0</v>
      </c>
      <c r="AP1123" s="35">
        <f t="shared" si="560"/>
        <v>15.59</v>
      </c>
      <c r="AQ1123" s="35">
        <v>9.3699999999999992</v>
      </c>
      <c r="AR1123" s="35" t="s">
        <v>312</v>
      </c>
      <c r="AS1123" s="35" t="s">
        <v>312</v>
      </c>
      <c r="AT1123" s="35" t="s">
        <v>83</v>
      </c>
      <c r="AU1123" s="35" t="s">
        <v>109</v>
      </c>
      <c r="AV1123" s="35" t="s">
        <v>133</v>
      </c>
      <c r="AW1123" s="35" t="s">
        <v>85</v>
      </c>
      <c r="AX1123" s="35" t="s">
        <v>86</v>
      </c>
      <c r="AY1123" s="35">
        <v>0</v>
      </c>
      <c r="AZ1123" s="35">
        <v>0</v>
      </c>
      <c r="BA1123" s="35" t="s">
        <v>87</v>
      </c>
      <c r="BB1123" s="35" t="s">
        <v>134</v>
      </c>
      <c r="BC1123" s="35" t="s">
        <v>113</v>
      </c>
      <c r="BD1123" s="35" t="s">
        <v>134</v>
      </c>
      <c r="BE1123" s="35" t="s">
        <v>2270</v>
      </c>
      <c r="BF1123" s="35">
        <v>14.19</v>
      </c>
      <c r="BG1123" s="35">
        <v>0</v>
      </c>
      <c r="BH1123" s="35">
        <v>16.89</v>
      </c>
      <c r="BI1123" s="35" t="s">
        <v>312</v>
      </c>
      <c r="BJ1123" s="35" t="s">
        <v>312</v>
      </c>
      <c r="BK1123" s="35" t="s">
        <v>91</v>
      </c>
      <c r="BL1123" s="35" t="s">
        <v>116</v>
      </c>
      <c r="BM1123" s="76" t="s">
        <v>1411</v>
      </c>
      <c r="BN1123" s="35" t="s">
        <v>428</v>
      </c>
      <c r="BO1123" s="35" t="s">
        <v>2271</v>
      </c>
      <c r="BP1123" s="35" t="s">
        <v>312</v>
      </c>
      <c r="BQ1123" s="35" t="s">
        <v>92</v>
      </c>
      <c r="BR1123" s="35" t="s">
        <v>134</v>
      </c>
      <c r="BS1123" s="35" t="s">
        <v>312</v>
      </c>
      <c r="BT1123" s="35" t="s">
        <v>312</v>
      </c>
      <c r="BU1123" s="35">
        <v>2013</v>
      </c>
      <c r="BV1123" s="35">
        <v>2017</v>
      </c>
      <c r="BW1123" s="35" t="s">
        <v>94</v>
      </c>
      <c r="BX1123" s="35" t="s">
        <v>95</v>
      </c>
      <c r="BY1123" s="35" t="s">
        <v>748</v>
      </c>
      <c r="BZ1123" s="35">
        <v>1</v>
      </c>
      <c r="CA1123" s="35">
        <v>1</v>
      </c>
      <c r="CB1123" s="35" t="s">
        <v>2281</v>
      </c>
      <c r="CC1123" s="35" t="s">
        <v>1375</v>
      </c>
      <c r="CD1123" s="35">
        <v>1</v>
      </c>
      <c r="CE1123" s="35" t="s">
        <v>2274</v>
      </c>
      <c r="CF1123" s="35">
        <v>0</v>
      </c>
      <c r="CG1123" s="35" t="s">
        <v>97</v>
      </c>
      <c r="CH1123" s="35">
        <v>0</v>
      </c>
      <c r="CI1123" s="35" t="s">
        <v>2313</v>
      </c>
      <c r="CJ1123" s="35" t="s">
        <v>98</v>
      </c>
      <c r="CK1123" s="35">
        <v>14</v>
      </c>
      <c r="CL1123" s="35">
        <v>0</v>
      </c>
      <c r="CM1123" s="35">
        <v>0</v>
      </c>
      <c r="CN1123" s="35" t="s">
        <v>124</v>
      </c>
      <c r="CO1123" s="35" t="s">
        <v>97</v>
      </c>
      <c r="CP1123" s="35" t="s">
        <v>100</v>
      </c>
      <c r="CQ1123" s="35" t="s">
        <v>126</v>
      </c>
      <c r="CR1123" s="36">
        <v>46267</v>
      </c>
      <c r="CT1123" s="35" t="s">
        <v>550</v>
      </c>
    </row>
    <row r="1124" spans="1:98" s="35" customFormat="1" x14ac:dyDescent="0.35">
      <c r="A1124" s="34" t="s">
        <v>2267</v>
      </c>
      <c r="B1124" s="34" t="s">
        <v>2289</v>
      </c>
      <c r="C1124" s="35" t="s">
        <v>2266</v>
      </c>
      <c r="D1124" s="35">
        <v>2020</v>
      </c>
      <c r="E1124" s="37" t="s">
        <v>2268</v>
      </c>
      <c r="F1124" s="34" t="s">
        <v>1406</v>
      </c>
      <c r="G1124" s="35" t="s">
        <v>78</v>
      </c>
      <c r="H1124" s="35">
        <v>1</v>
      </c>
      <c r="I1124" s="35" t="s">
        <v>2269</v>
      </c>
      <c r="J1124" s="35" t="s">
        <v>2210</v>
      </c>
      <c r="K1124" s="35">
        <v>3</v>
      </c>
      <c r="L1124" s="35" t="s">
        <v>80</v>
      </c>
      <c r="M1124" s="35" t="s">
        <v>380</v>
      </c>
      <c r="N1124" s="35">
        <v>-0.255</v>
      </c>
      <c r="O1124" s="35">
        <v>0.121</v>
      </c>
      <c r="P1124" s="35">
        <f t="shared" si="546"/>
        <v>-2.1074380165289259</v>
      </c>
      <c r="Q1124" s="35" t="s">
        <v>312</v>
      </c>
      <c r="R1124" s="35">
        <f t="shared" si="547"/>
        <v>-0.49215999999999999</v>
      </c>
      <c r="S1124" s="35">
        <f t="shared" si="548"/>
        <v>-1.7840000000000023E-2</v>
      </c>
      <c r="T1124" s="35">
        <v>1</v>
      </c>
      <c r="U1124" s="35">
        <v>51840</v>
      </c>
      <c r="V1124" s="35" t="s">
        <v>312</v>
      </c>
      <c r="W1124" s="35" t="s">
        <v>312</v>
      </c>
      <c r="X1124" s="35">
        <f t="shared" si="551"/>
        <v>51840</v>
      </c>
      <c r="Y1124" s="35">
        <f t="shared" si="552"/>
        <v>-9.2555815309816412E-3</v>
      </c>
      <c r="Z1124" s="35">
        <f t="shared" si="553"/>
        <v>4.3918641774461894E-3</v>
      </c>
      <c r="AA1124" s="35">
        <f t="shared" si="554"/>
        <v>-9.2555815309816412E-3</v>
      </c>
      <c r="AB1124" s="35" t="s">
        <v>81</v>
      </c>
      <c r="AC1124" s="35">
        <f t="shared" si="555"/>
        <v>-0.255</v>
      </c>
      <c r="AD1124" s="35" cm="1">
        <f t="array" ref="AD1124">_xlfn.IFS(
AND(L1124="marginal_effect",M1124="level"),N1124*AN1124/BF1124,
AND(L1124="marginal_effect",M1124="sd (Y)"),N1124*BI1124*AN1124/BF1124,
AND(L1124="marginal_effect",M1124="sd (X)"),N1124/AQ1124*AN1124/BF1124,
AND(L1124="semi_elasticity",M1124="level"),N1124*AN1124,
AND(L1124="semi_elasticity",M1124="sd (Y)"),N1124*AN1124*BI1124,
AND(L1124="semi_elasticity",M1124="sd (X)"),N1124*AN1124/AQ1124,
AND(L1124="level-log",M1124="level"),N1124/BF1124,
AND(L1124="level-log",M1124="sd (X)"),N1124/BF1124/AQ1124,
AND(L1124="level-log",M1124="sd (Y)"),N1124/BF1124*BI1124,
AND(L1124="elasticity",M1124="level"),N1124,
AND(L1124="elasticity",M1124="sd (X)"),N1124/AQ1124,
AND(L1124="elasticity",M1124="sd (Y)"),N1124*BI1124,
AND(L1124="marginal_effect",M1124="percent_of_mean"),N1124*AN1124/BF1124/10)</f>
        <v>-0.255</v>
      </c>
      <c r="AE1124" s="35">
        <f t="shared" si="556"/>
        <v>1</v>
      </c>
      <c r="AF1124" s="35">
        <f t="shared" si="550"/>
        <v>0.121</v>
      </c>
      <c r="AG1124" s="35" cm="1">
        <f t="array" ref="AG1124">_xlfn.IFS(
AND(L1124="marginal_effect",M1124="level"),O1124*AN1124/BF1124,
AND(L1124="marginal_effect",M1124="sd (Y)"),O1124*BI1124*AN1124/BF1124,
AND(L1124="marginal_effect",M1124="sd (X)"),O1124/AQ1124*AN1124/BF1124,
AND(L1124="semi_elasticity",M1124="level"),O1124*AN1124,
AND(L1124="semi_elasticity",M1124="sd (Y)"),O1124*AN1124*BI1124,
AND(L1124="semi_elasticity",M1124="sd (X)"),O1124*AN1124/AQ1124,
AND(L1124="level-log",M1124="level"),O1124/BF1124,
AND(L1124="level-log",M1124="sd (X)"),O1124/BF1124/AQ1124,
AND(L1124="level-log",M1124="sd (Y)"),O1124/BF1124*BI1124,
AND(L1124="elasticity",M1124="level"),O1124,
AND(L1124="elasticity",M1124="sd (X)"),O1124/AQ1124,
AND(L1124="elasticity",M1124="sd (Y)"),O1124*BI1124,
AND(L1124="marginal_effect",M1124="percent_of_mean"),O1124*AN1124/BF1124/10)</f>
        <v>0.121</v>
      </c>
      <c r="AH1124" s="35">
        <f t="shared" si="557"/>
        <v>1</v>
      </c>
      <c r="AI1124" s="35">
        <f t="shared" si="558"/>
        <v>-0.255</v>
      </c>
      <c r="AJ1124" s="35">
        <v>0</v>
      </c>
      <c r="AK1124" s="35">
        <f t="shared" si="559"/>
        <v>1</v>
      </c>
      <c r="AL1124" s="35" t="s">
        <v>82</v>
      </c>
      <c r="AM1124" s="35" t="s">
        <v>1333</v>
      </c>
      <c r="AN1124" s="35">
        <v>15.59</v>
      </c>
      <c r="AO1124" s="35">
        <v>0</v>
      </c>
      <c r="AP1124" s="35">
        <f t="shared" si="560"/>
        <v>15.59</v>
      </c>
      <c r="AQ1124" s="35">
        <v>9.3699999999999992</v>
      </c>
      <c r="AR1124" s="35" t="s">
        <v>312</v>
      </c>
      <c r="AS1124" s="35" t="s">
        <v>312</v>
      </c>
      <c r="AT1124" s="35" t="s">
        <v>83</v>
      </c>
      <c r="AU1124" s="35" t="s">
        <v>109</v>
      </c>
      <c r="AV1124" s="35" t="s">
        <v>133</v>
      </c>
      <c r="AW1124" s="35" t="s">
        <v>85</v>
      </c>
      <c r="AX1124" s="35" t="s">
        <v>86</v>
      </c>
      <c r="AY1124" s="35">
        <v>0</v>
      </c>
      <c r="AZ1124" s="35">
        <v>0</v>
      </c>
      <c r="BA1124" s="35" t="s">
        <v>87</v>
      </c>
      <c r="BB1124" s="35" t="s">
        <v>134</v>
      </c>
      <c r="BC1124" s="35" t="s">
        <v>113</v>
      </c>
      <c r="BD1124" s="35" t="s">
        <v>134</v>
      </c>
      <c r="BE1124" s="35" t="s">
        <v>2270</v>
      </c>
      <c r="BF1124" s="35">
        <v>14.19</v>
      </c>
      <c r="BG1124" s="35">
        <v>0</v>
      </c>
      <c r="BH1124" s="35">
        <v>16.89</v>
      </c>
      <c r="BI1124" s="35" t="s">
        <v>312</v>
      </c>
      <c r="BJ1124" s="35" t="s">
        <v>312</v>
      </c>
      <c r="BK1124" s="35" t="s">
        <v>91</v>
      </c>
      <c r="BL1124" s="35" t="s">
        <v>116</v>
      </c>
      <c r="BM1124" s="76" t="s">
        <v>1411</v>
      </c>
      <c r="BN1124" s="35" t="s">
        <v>428</v>
      </c>
      <c r="BO1124" s="35" t="s">
        <v>2271</v>
      </c>
      <c r="BP1124" s="35" t="s">
        <v>312</v>
      </c>
      <c r="BQ1124" s="35" t="s">
        <v>92</v>
      </c>
      <c r="BR1124" s="35" t="s">
        <v>134</v>
      </c>
      <c r="BS1124" s="35" t="s">
        <v>312</v>
      </c>
      <c r="BT1124" s="35" t="s">
        <v>312</v>
      </c>
      <c r="BU1124" s="35">
        <v>2013</v>
      </c>
      <c r="BV1124" s="35">
        <v>2017</v>
      </c>
      <c r="BW1124" s="35" t="s">
        <v>94</v>
      </c>
      <c r="BX1124" s="35" t="s">
        <v>95</v>
      </c>
      <c r="BY1124" s="35" t="s">
        <v>748</v>
      </c>
      <c r="BZ1124" s="35">
        <v>1</v>
      </c>
      <c r="CA1124" s="35">
        <v>1</v>
      </c>
      <c r="CB1124" s="35" t="s">
        <v>2281</v>
      </c>
      <c r="CC1124" s="35" t="s">
        <v>1375</v>
      </c>
      <c r="CD1124" s="35">
        <v>1</v>
      </c>
      <c r="CE1124" s="35" t="s">
        <v>2274</v>
      </c>
      <c r="CF1124" s="35">
        <v>0</v>
      </c>
      <c r="CG1124" s="35" t="s">
        <v>97</v>
      </c>
      <c r="CH1124" s="35">
        <v>0</v>
      </c>
      <c r="CI1124" s="35" t="s">
        <v>2313</v>
      </c>
      <c r="CJ1124" s="35" t="s">
        <v>98</v>
      </c>
      <c r="CK1124" s="35">
        <v>14</v>
      </c>
      <c r="CL1124" s="35">
        <v>0</v>
      </c>
      <c r="CM1124" s="35">
        <v>0</v>
      </c>
      <c r="CN1124" s="35" t="s">
        <v>124</v>
      </c>
      <c r="CO1124" s="35" t="s">
        <v>97</v>
      </c>
      <c r="CP1124" s="35" t="s">
        <v>100</v>
      </c>
      <c r="CQ1124" s="35" t="s">
        <v>126</v>
      </c>
      <c r="CR1124" s="36">
        <v>46267</v>
      </c>
      <c r="CT1124" s="35" t="s">
        <v>550</v>
      </c>
    </row>
    <row r="1125" spans="1:98" s="39" customFormat="1" x14ac:dyDescent="0.35">
      <c r="A1125" s="38" t="s">
        <v>2292</v>
      </c>
      <c r="B1125" s="38" t="s">
        <v>2299</v>
      </c>
      <c r="C1125" s="39" t="s">
        <v>2293</v>
      </c>
      <c r="D1125" s="39">
        <v>2022</v>
      </c>
      <c r="E1125" s="40" t="s">
        <v>2291</v>
      </c>
      <c r="F1125" s="38" t="s">
        <v>2294</v>
      </c>
      <c r="G1125" s="39" t="s">
        <v>102</v>
      </c>
      <c r="H1125" s="39">
        <v>0</v>
      </c>
      <c r="I1125" s="39" t="s">
        <v>2295</v>
      </c>
      <c r="J1125" s="39" t="s">
        <v>2210</v>
      </c>
      <c r="K1125" s="39">
        <v>3</v>
      </c>
      <c r="L1125" s="39" t="s">
        <v>80</v>
      </c>
      <c r="M1125" s="39" t="s">
        <v>380</v>
      </c>
      <c r="N1125" s="39">
        <v>-8.2000000000000003E-2</v>
      </c>
      <c r="O1125" s="39">
        <v>6.2E-2</v>
      </c>
      <c r="P1125" s="39">
        <f t="shared" si="546"/>
        <v>-1.3225806451612905</v>
      </c>
      <c r="Q1125" s="39" t="s">
        <v>312</v>
      </c>
      <c r="R1125" s="39">
        <f t="shared" si="547"/>
        <v>-0.20352000000000001</v>
      </c>
      <c r="S1125" s="39">
        <f t="shared" si="548"/>
        <v>3.952E-2</v>
      </c>
      <c r="T1125" s="39">
        <v>1</v>
      </c>
      <c r="U1125" s="39">
        <v>39885</v>
      </c>
      <c r="V1125" s="39" t="s">
        <v>312</v>
      </c>
      <c r="W1125" s="39" t="s">
        <v>312</v>
      </c>
      <c r="X1125" s="39">
        <f t="shared" si="551"/>
        <v>39885</v>
      </c>
      <c r="Y1125" s="39">
        <f t="shared" si="552"/>
        <v>-6.6222846070682594E-3</v>
      </c>
      <c r="Z1125" s="39">
        <f t="shared" si="553"/>
        <v>5.0070932394906337E-3</v>
      </c>
      <c r="AA1125" s="39">
        <f t="shared" si="554"/>
        <v>-6.6222846070682594E-3</v>
      </c>
      <c r="AB1125" s="39" t="s">
        <v>81</v>
      </c>
      <c r="AC1125" s="39">
        <f t="shared" si="555"/>
        <v>-8.2000000000000003E-2</v>
      </c>
      <c r="AD1125" s="39" cm="1">
        <f t="array" ref="AD1125">_xlfn.IFS(
AND(L1125="marginal_effect",M1125="level"),N1125*AN1125/BF1125,
AND(L1125="marginal_effect",M1125="sd (Y)"),N1125*BI1125*AN1125/BF1125,
AND(L1125="marginal_effect",M1125="sd (X)"),N1125/AQ1125*AN1125/BF1125,
AND(L1125="semi_elasticity",M1125="level"),N1125*AN1125,
AND(L1125="semi_elasticity",M1125="sd (Y)"),N1125*AN1125*BI1125,
AND(L1125="semi_elasticity",M1125="sd (X)"),N1125*AN1125/AQ1125,
AND(L1125="level-log",M1125="level"),N1125/BF1125,
AND(L1125="level-log",M1125="sd (X)"),N1125/BF1125/AQ1125,
AND(L1125="level-log",M1125="sd (Y)"),N1125/BF1125*BI1125,
AND(L1125="elasticity",M1125="level"),N1125,
AND(L1125="elasticity",M1125="sd (X)"),N1125/AQ1125,
AND(L1125="elasticity",M1125="sd (Y)"),N1125*BI1125,
AND(L1125="marginal_effect",M1125="percent_of_mean"),N1125*AN1125/BF1125/10)</f>
        <v>-8.2000000000000003E-2</v>
      </c>
      <c r="AE1125" s="39">
        <f t="shared" ref="AE1125:AE1136" si="561">IF(AC1125=AD1125,1,0)</f>
        <v>1</v>
      </c>
      <c r="AF1125" s="39">
        <f t="shared" ref="AF1125:AF1130" si="562">O1125</f>
        <v>6.2E-2</v>
      </c>
      <c r="AG1125" s="39" cm="1">
        <f t="array" ref="AG1125">_xlfn.IFS(
AND(L1125="marginal_effect",M1125="level"),O1125*AN1125/BF1125,
AND(L1125="marginal_effect",M1125="sd (Y)"),O1125*BI1125*AN1125/BF1125,
AND(L1125="marginal_effect",M1125="sd (X)"),O1125/AQ1125*AN1125/BF1125,
AND(L1125="semi_elasticity",M1125="level"),O1125*AN1125,
AND(L1125="semi_elasticity",M1125="sd (Y)"),O1125*AN1125*BI1125,
AND(L1125="semi_elasticity",M1125="sd (X)"),O1125*AN1125/AQ1125,
AND(L1125="level-log",M1125="level"),O1125/BF1125,
AND(L1125="level-log",M1125="sd (X)"),O1125/BF1125/AQ1125,
AND(L1125="level-log",M1125="sd (Y)"),O1125/BF1125*BI1125,
AND(L1125="elasticity",M1125="level"),O1125,
AND(L1125="elasticity",M1125="sd (X)"),O1125/AQ1125,
AND(L1125="elasticity",M1125="sd (Y)"),O1125*BI1125,
AND(L1125="marginal_effect",M1125="percent_of_mean"),O1125*AN1125/BF1125/10)</f>
        <v>6.2E-2</v>
      </c>
      <c r="AH1125" s="39">
        <f t="shared" ref="AH1125:AH1130" si="563">IF(AF1125=AG1125,1,0)</f>
        <v>1</v>
      </c>
      <c r="AI1125" s="39">
        <f t="shared" ref="AI1125:AI1136" si="564">AC1125</f>
        <v>-8.2000000000000003E-2</v>
      </c>
      <c r="AJ1125" s="39">
        <v>0</v>
      </c>
      <c r="AK1125" s="39">
        <f t="shared" ref="AK1125:AK1136" si="565">IF(P1125=(AC1125/AF1125),1,0)</f>
        <v>1</v>
      </c>
      <c r="AL1125" s="39" t="s">
        <v>82</v>
      </c>
      <c r="AM1125" s="39" t="s">
        <v>1333</v>
      </c>
      <c r="AN1125" s="39">
        <v>7.3</v>
      </c>
      <c r="AO1125" s="39">
        <v>0</v>
      </c>
      <c r="AP1125" s="39">
        <f t="shared" si="560"/>
        <v>7.3</v>
      </c>
      <c r="AQ1125" s="39" t="s">
        <v>312</v>
      </c>
      <c r="AR1125" s="39">
        <v>0.1</v>
      </c>
      <c r="AS1125" s="39">
        <v>40.4</v>
      </c>
      <c r="AT1125" s="39" t="s">
        <v>107</v>
      </c>
      <c r="AU1125" s="39" t="s">
        <v>109</v>
      </c>
      <c r="AV1125" s="39" t="s">
        <v>133</v>
      </c>
      <c r="AW1125" s="39" t="s">
        <v>134</v>
      </c>
      <c r="AX1125" s="39" t="s">
        <v>86</v>
      </c>
      <c r="AY1125" s="39">
        <v>0</v>
      </c>
      <c r="AZ1125" s="39">
        <v>0</v>
      </c>
      <c r="BA1125" s="39" t="s">
        <v>87</v>
      </c>
      <c r="BB1125" s="39" t="s">
        <v>134</v>
      </c>
      <c r="BC1125" s="39" t="s">
        <v>134</v>
      </c>
      <c r="BD1125" s="39" t="s">
        <v>134</v>
      </c>
      <c r="BE1125" s="39" t="s">
        <v>2296</v>
      </c>
      <c r="BF1125" s="39" t="s">
        <v>312</v>
      </c>
      <c r="BG1125" s="39" t="s">
        <v>312</v>
      </c>
      <c r="BH1125" s="39" t="s">
        <v>312</v>
      </c>
      <c r="BI1125" s="39" t="s">
        <v>312</v>
      </c>
      <c r="BJ1125" s="39" t="s">
        <v>312</v>
      </c>
      <c r="BK1125" s="39" t="s">
        <v>91</v>
      </c>
      <c r="BL1125" s="39" t="s">
        <v>47</v>
      </c>
      <c r="BM1125" s="39">
        <v>1</v>
      </c>
      <c r="BN1125" s="39" t="s">
        <v>134</v>
      </c>
      <c r="BO1125" s="39" t="s">
        <v>312</v>
      </c>
      <c r="BP1125" s="39" t="s">
        <v>312</v>
      </c>
      <c r="BQ1125" s="39" t="s">
        <v>92</v>
      </c>
      <c r="BR1125" s="39" t="s">
        <v>134</v>
      </c>
      <c r="BS1125" s="39" t="s">
        <v>312</v>
      </c>
      <c r="BT1125" s="39" t="s">
        <v>312</v>
      </c>
      <c r="BU1125" s="39">
        <v>2005</v>
      </c>
      <c r="BV1125" s="39">
        <v>2016</v>
      </c>
      <c r="BW1125" s="39" t="s">
        <v>901</v>
      </c>
      <c r="BX1125" s="39" t="s">
        <v>95</v>
      </c>
      <c r="BY1125" s="39" t="s">
        <v>96</v>
      </c>
      <c r="BZ1125" s="39">
        <v>0</v>
      </c>
      <c r="CA1125" s="39">
        <v>0</v>
      </c>
      <c r="CB1125" s="39" t="s">
        <v>97</v>
      </c>
      <c r="CC1125" s="39" t="s">
        <v>2089</v>
      </c>
      <c r="CD1125" s="39">
        <v>0</v>
      </c>
      <c r="CE1125" s="39" t="s">
        <v>97</v>
      </c>
      <c r="CF1125" s="39">
        <v>0</v>
      </c>
      <c r="CG1125" s="39" t="s">
        <v>97</v>
      </c>
      <c r="CH1125" s="39">
        <v>0</v>
      </c>
      <c r="CI1125" s="39" t="s">
        <v>97</v>
      </c>
      <c r="CJ1125" s="39" t="s">
        <v>98</v>
      </c>
      <c r="CK1125" s="39">
        <v>6</v>
      </c>
      <c r="CL1125" s="39">
        <v>0</v>
      </c>
      <c r="CM1125" s="39">
        <v>0</v>
      </c>
      <c r="CN1125" s="39" t="s">
        <v>99</v>
      </c>
      <c r="CO1125" s="39" t="s">
        <v>97</v>
      </c>
      <c r="CP1125" s="39" t="s">
        <v>100</v>
      </c>
      <c r="CQ1125" s="39" t="s">
        <v>126</v>
      </c>
      <c r="CR1125" s="42">
        <v>46267</v>
      </c>
      <c r="CT1125" s="39" t="s">
        <v>437</v>
      </c>
    </row>
    <row r="1126" spans="1:98" s="39" customFormat="1" x14ac:dyDescent="0.35">
      <c r="A1126" s="38" t="s">
        <v>2292</v>
      </c>
      <c r="B1126" s="38" t="s">
        <v>2300</v>
      </c>
      <c r="C1126" s="39" t="s">
        <v>2293</v>
      </c>
      <c r="D1126" s="39">
        <v>2022</v>
      </c>
      <c r="E1126" s="40" t="s">
        <v>2291</v>
      </c>
      <c r="F1126" s="38" t="s">
        <v>2294</v>
      </c>
      <c r="G1126" s="39" t="s">
        <v>102</v>
      </c>
      <c r="H1126" s="39">
        <v>0</v>
      </c>
      <c r="I1126" s="39" t="s">
        <v>2295</v>
      </c>
      <c r="J1126" s="39" t="s">
        <v>2210</v>
      </c>
      <c r="K1126" s="39">
        <v>3</v>
      </c>
      <c r="L1126" s="39" t="s">
        <v>80</v>
      </c>
      <c r="M1126" s="39" t="s">
        <v>380</v>
      </c>
      <c r="N1126" s="39">
        <v>-7.9000000000000001E-2</v>
      </c>
      <c r="O1126" s="39">
        <v>8.0000000000000002E-3</v>
      </c>
      <c r="P1126" s="39">
        <f t="shared" si="546"/>
        <v>-9.875</v>
      </c>
      <c r="Q1126" s="39" t="s">
        <v>312</v>
      </c>
      <c r="R1126" s="39">
        <f t="shared" si="547"/>
        <v>-9.468E-2</v>
      </c>
      <c r="S1126" s="39">
        <f t="shared" si="548"/>
        <v>-6.3320000000000001E-2</v>
      </c>
      <c r="T1126" s="39">
        <v>1</v>
      </c>
      <c r="U1126" s="39">
        <v>39885</v>
      </c>
      <c r="V1126" s="39" t="s">
        <v>312</v>
      </c>
      <c r="W1126" s="39" t="s">
        <v>312</v>
      </c>
      <c r="X1126" s="39">
        <f t="shared" ref="X1126:X1133" si="566">U1126</f>
        <v>39885</v>
      </c>
      <c r="Y1126" s="39">
        <f t="shared" ref="Y1126:Y1133" si="567">P1126/(P1126^2 + X1126)^(1/2)</f>
        <v>-4.9385794676665026E-2</v>
      </c>
      <c r="Z1126" s="39">
        <f t="shared" ref="Z1126:Z1133" si="568">((1-Y1126^2)/X1126)^(1/2)</f>
        <v>5.0010931318141792E-3</v>
      </c>
      <c r="AA1126" s="39">
        <f t="shared" ref="AA1126:AA1133" si="569">Y1126</f>
        <v>-4.9385794676665026E-2</v>
      </c>
      <c r="AB1126" s="39" t="s">
        <v>81</v>
      </c>
      <c r="AC1126" s="39">
        <f t="shared" si="555"/>
        <v>-7.9000000000000001E-2</v>
      </c>
      <c r="AD1126" s="39" cm="1">
        <f t="array" ref="AD1126">_xlfn.IFS(
AND(L1126="marginal_effect",M1126="level"),N1126*AN1126/BF1126,
AND(L1126="marginal_effect",M1126="sd (Y)"),N1126*BI1126*AN1126/BF1126,
AND(L1126="marginal_effect",M1126="sd (X)"),N1126/AQ1126*AN1126/BF1126,
AND(L1126="semi_elasticity",M1126="level"),N1126*AN1126,
AND(L1126="semi_elasticity",M1126="sd (Y)"),N1126*AN1126*BI1126,
AND(L1126="semi_elasticity",M1126="sd (X)"),N1126*AN1126/AQ1126,
AND(L1126="level-log",M1126="level"),N1126/BF1126,
AND(L1126="level-log",M1126="sd (X)"),N1126/BF1126/AQ1126,
AND(L1126="level-log",M1126="sd (Y)"),N1126/BF1126*BI1126,
AND(L1126="elasticity",M1126="level"),N1126,
AND(L1126="elasticity",M1126="sd (X)"),N1126/AQ1126,
AND(L1126="elasticity",M1126="sd (Y)"),N1126*BI1126,
AND(L1126="marginal_effect",M1126="percent_of_mean"),N1126*AN1126/BF1126/10)</f>
        <v>-7.9000000000000001E-2</v>
      </c>
      <c r="AE1126" s="39">
        <f t="shared" si="561"/>
        <v>1</v>
      </c>
      <c r="AF1126" s="39">
        <f t="shared" si="562"/>
        <v>8.0000000000000002E-3</v>
      </c>
      <c r="AG1126" s="39" cm="1">
        <f t="array" ref="AG1126">_xlfn.IFS(
AND(L1126="marginal_effect",M1126="level"),O1126*AN1126/BF1126,
AND(L1126="marginal_effect",M1126="sd (Y)"),O1126*BI1126*AN1126/BF1126,
AND(L1126="marginal_effect",M1126="sd (X)"),O1126/AQ1126*AN1126/BF1126,
AND(L1126="semi_elasticity",M1126="level"),O1126*AN1126,
AND(L1126="semi_elasticity",M1126="sd (Y)"),O1126*AN1126*BI1126,
AND(L1126="semi_elasticity",M1126="sd (X)"),O1126*AN1126/AQ1126,
AND(L1126="level-log",M1126="level"),O1126/BF1126,
AND(L1126="level-log",M1126="sd (X)"),O1126/BF1126/AQ1126,
AND(L1126="level-log",M1126="sd (Y)"),O1126/BF1126*BI1126,
AND(L1126="elasticity",M1126="level"),O1126,
AND(L1126="elasticity",M1126="sd (X)"),O1126/AQ1126,
AND(L1126="elasticity",M1126="sd (Y)"),O1126*BI1126,
AND(L1126="marginal_effect",M1126="percent_of_mean"),O1126*AN1126/BF1126/10)</f>
        <v>8.0000000000000002E-3</v>
      </c>
      <c r="AH1126" s="39">
        <f t="shared" si="563"/>
        <v>1</v>
      </c>
      <c r="AI1126" s="39">
        <f t="shared" si="564"/>
        <v>-7.9000000000000001E-2</v>
      </c>
      <c r="AJ1126" s="39">
        <v>0</v>
      </c>
      <c r="AK1126" s="39">
        <f t="shared" si="565"/>
        <v>1</v>
      </c>
      <c r="AL1126" s="39" t="s">
        <v>82</v>
      </c>
      <c r="AM1126" s="39" t="s">
        <v>1333</v>
      </c>
      <c r="AN1126" s="39">
        <v>7.3</v>
      </c>
      <c r="AO1126" s="39">
        <v>0</v>
      </c>
      <c r="AP1126" s="39">
        <f t="shared" ref="AP1126:AP1136" si="570">AN1126</f>
        <v>7.3</v>
      </c>
      <c r="AQ1126" s="39" t="s">
        <v>312</v>
      </c>
      <c r="AR1126" s="39">
        <v>0.1</v>
      </c>
      <c r="AS1126" s="39">
        <v>40.4</v>
      </c>
      <c r="AT1126" s="39" t="s">
        <v>107</v>
      </c>
      <c r="AU1126" s="39" t="s">
        <v>109</v>
      </c>
      <c r="AV1126" s="39" t="s">
        <v>133</v>
      </c>
      <c r="AW1126" s="39" t="s">
        <v>134</v>
      </c>
      <c r="AX1126" s="39" t="s">
        <v>86</v>
      </c>
      <c r="AY1126" s="39">
        <v>0</v>
      </c>
      <c r="AZ1126" s="39">
        <v>0</v>
      </c>
      <c r="BA1126" s="39" t="s">
        <v>87</v>
      </c>
      <c r="BB1126" s="39" t="s">
        <v>134</v>
      </c>
      <c r="BC1126" s="39" t="s">
        <v>134</v>
      </c>
      <c r="BD1126" s="39" t="s">
        <v>134</v>
      </c>
      <c r="BE1126" s="39" t="s">
        <v>2296</v>
      </c>
      <c r="BF1126" s="39" t="s">
        <v>312</v>
      </c>
      <c r="BG1126" s="39" t="s">
        <v>312</v>
      </c>
      <c r="BH1126" s="39" t="s">
        <v>312</v>
      </c>
      <c r="BI1126" s="39" t="s">
        <v>312</v>
      </c>
      <c r="BJ1126" s="39" t="s">
        <v>312</v>
      </c>
      <c r="BK1126" s="39" t="s">
        <v>91</v>
      </c>
      <c r="BL1126" s="39" t="s">
        <v>47</v>
      </c>
      <c r="BM1126" s="39">
        <v>1</v>
      </c>
      <c r="BN1126" s="39" t="s">
        <v>134</v>
      </c>
      <c r="BO1126" s="39" t="s">
        <v>312</v>
      </c>
      <c r="BP1126" s="39" t="s">
        <v>312</v>
      </c>
      <c r="BQ1126" s="39" t="s">
        <v>92</v>
      </c>
      <c r="BR1126" s="39" t="s">
        <v>134</v>
      </c>
      <c r="BS1126" s="39" t="s">
        <v>312</v>
      </c>
      <c r="BT1126" s="39" t="s">
        <v>312</v>
      </c>
      <c r="BU1126" s="39">
        <v>2005</v>
      </c>
      <c r="BV1126" s="39">
        <v>2016</v>
      </c>
      <c r="BW1126" s="39" t="s">
        <v>901</v>
      </c>
      <c r="BX1126" s="39" t="s">
        <v>95</v>
      </c>
      <c r="BY1126" s="39" t="s">
        <v>96</v>
      </c>
      <c r="BZ1126" s="39">
        <v>0</v>
      </c>
      <c r="CA1126" s="39">
        <v>0</v>
      </c>
      <c r="CB1126" s="39" t="s">
        <v>97</v>
      </c>
      <c r="CC1126" s="39" t="s">
        <v>313</v>
      </c>
      <c r="CD1126" s="39">
        <v>0</v>
      </c>
      <c r="CE1126" s="39" t="s">
        <v>97</v>
      </c>
      <c r="CF1126" s="39">
        <v>0</v>
      </c>
      <c r="CG1126" s="39" t="s">
        <v>97</v>
      </c>
      <c r="CH1126" s="39">
        <v>0</v>
      </c>
      <c r="CI1126" s="39" t="s">
        <v>97</v>
      </c>
      <c r="CJ1126" s="39" t="s">
        <v>98</v>
      </c>
      <c r="CK1126" s="39">
        <v>6</v>
      </c>
      <c r="CL1126" s="39">
        <v>0</v>
      </c>
      <c r="CM1126" s="39">
        <v>0</v>
      </c>
      <c r="CN1126" s="39" t="s">
        <v>99</v>
      </c>
      <c r="CO1126" s="39" t="s">
        <v>97</v>
      </c>
      <c r="CP1126" s="39" t="s">
        <v>100</v>
      </c>
      <c r="CQ1126" s="39" t="s">
        <v>126</v>
      </c>
      <c r="CR1126" s="42">
        <v>46267</v>
      </c>
      <c r="CT1126" s="39" t="s">
        <v>438</v>
      </c>
    </row>
    <row r="1127" spans="1:98" s="39" customFormat="1" x14ac:dyDescent="0.35">
      <c r="A1127" s="38" t="s">
        <v>2292</v>
      </c>
      <c r="B1127" s="38" t="s">
        <v>2301</v>
      </c>
      <c r="C1127" s="39" t="s">
        <v>2293</v>
      </c>
      <c r="D1127" s="39">
        <v>2022</v>
      </c>
      <c r="E1127" s="40" t="s">
        <v>2291</v>
      </c>
      <c r="F1127" s="38" t="s">
        <v>2294</v>
      </c>
      <c r="G1127" s="39" t="s">
        <v>102</v>
      </c>
      <c r="H1127" s="39">
        <v>0</v>
      </c>
      <c r="I1127" s="39" t="s">
        <v>2295</v>
      </c>
      <c r="J1127" s="39" t="s">
        <v>2210</v>
      </c>
      <c r="K1127" s="39">
        <v>3</v>
      </c>
      <c r="L1127" s="39" t="s">
        <v>80</v>
      </c>
      <c r="M1127" s="39" t="s">
        <v>380</v>
      </c>
      <c r="N1127" s="39">
        <v>-0.17399999999999999</v>
      </c>
      <c r="O1127" s="39">
        <v>1.67E-2</v>
      </c>
      <c r="P1127" s="39">
        <f t="shared" si="546"/>
        <v>-10.419161676646706</v>
      </c>
      <c r="Q1127" s="39" t="s">
        <v>312</v>
      </c>
      <c r="R1127" s="39">
        <f t="shared" si="547"/>
        <v>-0.20673199999999997</v>
      </c>
      <c r="S1127" s="39">
        <f t="shared" si="548"/>
        <v>-0.141268</v>
      </c>
      <c r="T1127" s="39">
        <v>1</v>
      </c>
      <c r="U1127" s="39">
        <v>39885</v>
      </c>
      <c r="V1127" s="39" t="s">
        <v>312</v>
      </c>
      <c r="W1127" s="39" t="s">
        <v>312</v>
      </c>
      <c r="X1127" s="39">
        <f t="shared" si="566"/>
        <v>39885</v>
      </c>
      <c r="Y1127" s="39">
        <f t="shared" si="567"/>
        <v>-5.2100003299188152E-2</v>
      </c>
      <c r="Z1127" s="39">
        <f t="shared" si="568"/>
        <v>5.0004026154967943E-3</v>
      </c>
      <c r="AA1127" s="39">
        <f t="shared" si="569"/>
        <v>-5.2100003299188152E-2</v>
      </c>
      <c r="AB1127" s="39" t="s">
        <v>81</v>
      </c>
      <c r="AC1127" s="39">
        <f t="shared" si="555"/>
        <v>-0.17399999999999999</v>
      </c>
      <c r="AD1127" s="39" cm="1">
        <f t="array" ref="AD1127">_xlfn.IFS(
AND(L1127="marginal_effect",M1127="level"),N1127*AN1127/BF1127,
AND(L1127="marginal_effect",M1127="sd (Y)"),N1127*BI1127*AN1127/BF1127,
AND(L1127="marginal_effect",M1127="sd (X)"),N1127/AQ1127*AN1127/BF1127,
AND(L1127="semi_elasticity",M1127="level"),N1127*AN1127,
AND(L1127="semi_elasticity",M1127="sd (Y)"),N1127*AN1127*BI1127,
AND(L1127="semi_elasticity",M1127="sd (X)"),N1127*AN1127/AQ1127,
AND(L1127="level-log",M1127="level"),N1127/BF1127,
AND(L1127="level-log",M1127="sd (X)"),N1127/BF1127/AQ1127,
AND(L1127="level-log",M1127="sd (Y)"),N1127/BF1127*BI1127,
AND(L1127="elasticity",M1127="level"),N1127,
AND(L1127="elasticity",M1127="sd (X)"),N1127/AQ1127,
AND(L1127="elasticity",M1127="sd (Y)"),N1127*BI1127,
AND(L1127="marginal_effect",M1127="percent_of_mean"),N1127*AN1127/BF1127/10)</f>
        <v>-0.17399999999999999</v>
      </c>
      <c r="AE1127" s="39">
        <f t="shared" si="561"/>
        <v>1</v>
      </c>
      <c r="AF1127" s="39">
        <f t="shared" si="562"/>
        <v>1.67E-2</v>
      </c>
      <c r="AG1127" s="39" cm="1">
        <f t="array" ref="AG1127">_xlfn.IFS(
AND(L1127="marginal_effect",M1127="level"),O1127*AN1127/BF1127,
AND(L1127="marginal_effect",M1127="sd (Y)"),O1127*BI1127*AN1127/BF1127,
AND(L1127="marginal_effect",M1127="sd (X)"),O1127/AQ1127*AN1127/BF1127,
AND(L1127="semi_elasticity",M1127="level"),O1127*AN1127,
AND(L1127="semi_elasticity",M1127="sd (Y)"),O1127*AN1127*BI1127,
AND(L1127="semi_elasticity",M1127="sd (X)"),O1127*AN1127/AQ1127,
AND(L1127="level-log",M1127="level"),O1127/BF1127,
AND(L1127="level-log",M1127="sd (X)"),O1127/BF1127/AQ1127,
AND(L1127="level-log",M1127="sd (Y)"),O1127/BF1127*BI1127,
AND(L1127="elasticity",M1127="level"),O1127,
AND(L1127="elasticity",M1127="sd (X)"),O1127/AQ1127,
AND(L1127="elasticity",M1127="sd (Y)"),O1127*BI1127,
AND(L1127="marginal_effect",M1127="percent_of_mean"),O1127*AN1127/BF1127/10)</f>
        <v>1.67E-2</v>
      </c>
      <c r="AH1127" s="39">
        <f t="shared" si="563"/>
        <v>1</v>
      </c>
      <c r="AI1127" s="39">
        <f t="shared" si="564"/>
        <v>-0.17399999999999999</v>
      </c>
      <c r="AJ1127" s="39">
        <v>0</v>
      </c>
      <c r="AK1127" s="39">
        <f t="shared" si="565"/>
        <v>1</v>
      </c>
      <c r="AL1127" s="39" t="s">
        <v>82</v>
      </c>
      <c r="AM1127" s="39" t="s">
        <v>1333</v>
      </c>
      <c r="AN1127" s="39">
        <v>7.3</v>
      </c>
      <c r="AO1127" s="39">
        <v>0</v>
      </c>
      <c r="AP1127" s="39">
        <f t="shared" si="570"/>
        <v>7.3</v>
      </c>
      <c r="AQ1127" s="39" t="s">
        <v>312</v>
      </c>
      <c r="AR1127" s="39">
        <v>0.1</v>
      </c>
      <c r="AS1127" s="39">
        <v>40.4</v>
      </c>
      <c r="AT1127" s="39" t="s">
        <v>107</v>
      </c>
      <c r="AU1127" s="39" t="s">
        <v>109</v>
      </c>
      <c r="AV1127" s="39" t="s">
        <v>133</v>
      </c>
      <c r="AW1127" s="39" t="s">
        <v>134</v>
      </c>
      <c r="AX1127" s="39" t="s">
        <v>86</v>
      </c>
      <c r="AY1127" s="39">
        <v>0</v>
      </c>
      <c r="AZ1127" s="39">
        <v>0</v>
      </c>
      <c r="BA1127" s="39" t="s">
        <v>87</v>
      </c>
      <c r="BB1127" s="39" t="s">
        <v>134</v>
      </c>
      <c r="BC1127" s="39" t="s">
        <v>134</v>
      </c>
      <c r="BD1127" s="39" t="s">
        <v>134</v>
      </c>
      <c r="BE1127" s="39" t="s">
        <v>2296</v>
      </c>
      <c r="BF1127" s="39" t="s">
        <v>312</v>
      </c>
      <c r="BG1127" s="39" t="s">
        <v>312</v>
      </c>
      <c r="BH1127" s="39" t="s">
        <v>312</v>
      </c>
      <c r="BI1127" s="39" t="s">
        <v>312</v>
      </c>
      <c r="BJ1127" s="39" t="s">
        <v>312</v>
      </c>
      <c r="BK1127" s="39" t="s">
        <v>91</v>
      </c>
      <c r="BL1127" s="39" t="s">
        <v>47</v>
      </c>
      <c r="BM1127" s="39">
        <v>1</v>
      </c>
      <c r="BN1127" s="39" t="s">
        <v>134</v>
      </c>
      <c r="BO1127" s="39" t="s">
        <v>312</v>
      </c>
      <c r="BP1127" s="39" t="s">
        <v>312</v>
      </c>
      <c r="BQ1127" s="39" t="s">
        <v>92</v>
      </c>
      <c r="BR1127" s="39" t="s">
        <v>134</v>
      </c>
      <c r="BS1127" s="39" t="s">
        <v>312</v>
      </c>
      <c r="BT1127" s="39" t="s">
        <v>312</v>
      </c>
      <c r="BU1127" s="39">
        <v>2005</v>
      </c>
      <c r="BV1127" s="39">
        <v>2016</v>
      </c>
      <c r="BW1127" s="39" t="s">
        <v>901</v>
      </c>
      <c r="BX1127" s="39" t="s">
        <v>95</v>
      </c>
      <c r="BY1127" s="39" t="s">
        <v>96</v>
      </c>
      <c r="BZ1127" s="39">
        <v>0</v>
      </c>
      <c r="CA1127" s="39">
        <v>0</v>
      </c>
      <c r="CB1127" s="39" t="s">
        <v>97</v>
      </c>
      <c r="CC1127" s="39" t="s">
        <v>2297</v>
      </c>
      <c r="CD1127" s="39">
        <v>0</v>
      </c>
      <c r="CE1127" s="39" t="s">
        <v>97</v>
      </c>
      <c r="CF1127" s="39">
        <v>0</v>
      </c>
      <c r="CG1127" s="39" t="s">
        <v>97</v>
      </c>
      <c r="CH1127" s="39">
        <v>0</v>
      </c>
      <c r="CI1127" s="39" t="s">
        <v>97</v>
      </c>
      <c r="CJ1127" s="39" t="s">
        <v>98</v>
      </c>
      <c r="CK1127" s="39">
        <v>6</v>
      </c>
      <c r="CL1127" s="39">
        <v>0</v>
      </c>
      <c r="CM1127" s="39">
        <v>0</v>
      </c>
      <c r="CN1127" s="39" t="s">
        <v>99</v>
      </c>
      <c r="CO1127" s="39" t="s">
        <v>97</v>
      </c>
      <c r="CP1127" s="39" t="s">
        <v>100</v>
      </c>
      <c r="CQ1127" s="39" t="s">
        <v>126</v>
      </c>
      <c r="CR1127" s="42">
        <v>46267</v>
      </c>
      <c r="CT1127" s="39" t="s">
        <v>439</v>
      </c>
    </row>
    <row r="1128" spans="1:98" s="39" customFormat="1" x14ac:dyDescent="0.35">
      <c r="A1128" s="38" t="s">
        <v>2292</v>
      </c>
      <c r="B1128" s="38" t="s">
        <v>2302</v>
      </c>
      <c r="C1128" s="39" t="s">
        <v>2293</v>
      </c>
      <c r="D1128" s="39">
        <v>2022</v>
      </c>
      <c r="E1128" s="40" t="s">
        <v>2291</v>
      </c>
      <c r="F1128" s="38" t="s">
        <v>2294</v>
      </c>
      <c r="G1128" s="39" t="s">
        <v>102</v>
      </c>
      <c r="H1128" s="39">
        <v>0</v>
      </c>
      <c r="I1128" s="39" t="s">
        <v>2295</v>
      </c>
      <c r="J1128" s="39" t="s">
        <v>2210</v>
      </c>
      <c r="K1128" s="39">
        <v>3</v>
      </c>
      <c r="L1128" s="39" t="s">
        <v>80</v>
      </c>
      <c r="M1128" s="39" t="s">
        <v>380</v>
      </c>
      <c r="N1128" s="39">
        <v>-0.17100000000000001</v>
      </c>
      <c r="O1128" s="39">
        <v>1.6899999999999998E-2</v>
      </c>
      <c r="P1128" s="39">
        <f t="shared" si="546"/>
        <v>-10.118343195266274</v>
      </c>
      <c r="Q1128" s="39" t="s">
        <v>312</v>
      </c>
      <c r="R1128" s="39">
        <f t="shared" si="547"/>
        <v>-0.204124</v>
      </c>
      <c r="S1128" s="39">
        <f t="shared" si="548"/>
        <v>-0.13787600000000003</v>
      </c>
      <c r="T1128" s="39">
        <v>1</v>
      </c>
      <c r="U1128" s="39">
        <v>39885</v>
      </c>
      <c r="V1128" s="39" t="s">
        <v>312</v>
      </c>
      <c r="W1128" s="39" t="s">
        <v>312</v>
      </c>
      <c r="X1128" s="39">
        <f t="shared" si="566"/>
        <v>39885</v>
      </c>
      <c r="Y1128" s="39">
        <f t="shared" si="567"/>
        <v>-5.0599698158666745E-2</v>
      </c>
      <c r="Z1128" s="39">
        <f t="shared" si="568"/>
        <v>5.0007888823477651E-3</v>
      </c>
      <c r="AA1128" s="39">
        <f t="shared" si="569"/>
        <v>-5.0599698158666745E-2</v>
      </c>
      <c r="AB1128" s="39" t="s">
        <v>81</v>
      </c>
      <c r="AC1128" s="39">
        <f t="shared" si="555"/>
        <v>-0.17100000000000001</v>
      </c>
      <c r="AD1128" s="39" cm="1">
        <f t="array" ref="AD1128">_xlfn.IFS(
AND(L1128="marginal_effect",M1128="level"),N1128*AN1128/BF1128,
AND(L1128="marginal_effect",M1128="sd (Y)"),N1128*BI1128*AN1128/BF1128,
AND(L1128="marginal_effect",M1128="sd (X)"),N1128/AQ1128*AN1128/BF1128,
AND(L1128="semi_elasticity",M1128="level"),N1128*AN1128,
AND(L1128="semi_elasticity",M1128="sd (Y)"),N1128*AN1128*BI1128,
AND(L1128="semi_elasticity",M1128="sd (X)"),N1128*AN1128/AQ1128,
AND(L1128="level-log",M1128="level"),N1128/BF1128,
AND(L1128="level-log",M1128="sd (X)"),N1128/BF1128/AQ1128,
AND(L1128="level-log",M1128="sd (Y)"),N1128/BF1128*BI1128,
AND(L1128="elasticity",M1128="level"),N1128,
AND(L1128="elasticity",M1128="sd (X)"),N1128/AQ1128,
AND(L1128="elasticity",M1128="sd (Y)"),N1128*BI1128,
AND(L1128="marginal_effect",M1128="percent_of_mean"),N1128*AN1128/BF1128/10)</f>
        <v>-0.17100000000000001</v>
      </c>
      <c r="AE1128" s="39">
        <f t="shared" si="561"/>
        <v>1</v>
      </c>
      <c r="AF1128" s="39">
        <f t="shared" si="562"/>
        <v>1.6899999999999998E-2</v>
      </c>
      <c r="AG1128" s="39" cm="1">
        <f t="array" ref="AG1128">_xlfn.IFS(
AND(L1128="marginal_effect",M1128="level"),O1128*AN1128/BF1128,
AND(L1128="marginal_effect",M1128="sd (Y)"),O1128*BI1128*AN1128/BF1128,
AND(L1128="marginal_effect",M1128="sd (X)"),O1128/AQ1128*AN1128/BF1128,
AND(L1128="semi_elasticity",M1128="level"),O1128*AN1128,
AND(L1128="semi_elasticity",M1128="sd (Y)"),O1128*AN1128*BI1128,
AND(L1128="semi_elasticity",M1128="sd (X)"),O1128*AN1128/AQ1128,
AND(L1128="level-log",M1128="level"),O1128/BF1128,
AND(L1128="level-log",M1128="sd (X)"),O1128/BF1128/AQ1128,
AND(L1128="level-log",M1128="sd (Y)"),O1128/BF1128*BI1128,
AND(L1128="elasticity",M1128="level"),O1128,
AND(L1128="elasticity",M1128="sd (X)"),O1128/AQ1128,
AND(L1128="elasticity",M1128="sd (Y)"),O1128*BI1128,
AND(L1128="marginal_effect",M1128="percent_of_mean"),O1128*AN1128/BF1128/10)</f>
        <v>1.6899999999999998E-2</v>
      </c>
      <c r="AH1128" s="39">
        <f t="shared" si="563"/>
        <v>1</v>
      </c>
      <c r="AI1128" s="39">
        <f t="shared" si="564"/>
        <v>-0.17100000000000001</v>
      </c>
      <c r="AJ1128" s="39">
        <v>0</v>
      </c>
      <c r="AK1128" s="39">
        <f t="shared" si="565"/>
        <v>1</v>
      </c>
      <c r="AL1128" s="39" t="s">
        <v>82</v>
      </c>
      <c r="AM1128" s="39" t="s">
        <v>1333</v>
      </c>
      <c r="AN1128" s="39">
        <v>7.3</v>
      </c>
      <c r="AO1128" s="39">
        <v>0</v>
      </c>
      <c r="AP1128" s="39">
        <f t="shared" si="570"/>
        <v>7.3</v>
      </c>
      <c r="AQ1128" s="39" t="s">
        <v>312</v>
      </c>
      <c r="AR1128" s="39">
        <v>0.1</v>
      </c>
      <c r="AS1128" s="39">
        <v>40.4</v>
      </c>
      <c r="AT1128" s="39" t="s">
        <v>107</v>
      </c>
      <c r="AU1128" s="39" t="s">
        <v>109</v>
      </c>
      <c r="AV1128" s="39" t="s">
        <v>133</v>
      </c>
      <c r="AW1128" s="39" t="s">
        <v>134</v>
      </c>
      <c r="AX1128" s="39" t="s">
        <v>86</v>
      </c>
      <c r="AY1128" s="39">
        <v>0</v>
      </c>
      <c r="AZ1128" s="39">
        <v>0</v>
      </c>
      <c r="BA1128" s="39" t="s">
        <v>87</v>
      </c>
      <c r="BB1128" s="39" t="s">
        <v>134</v>
      </c>
      <c r="BC1128" s="39" t="s">
        <v>134</v>
      </c>
      <c r="BD1128" s="39" t="s">
        <v>134</v>
      </c>
      <c r="BE1128" s="39" t="s">
        <v>2296</v>
      </c>
      <c r="BF1128" s="39" t="s">
        <v>312</v>
      </c>
      <c r="BG1128" s="39" t="s">
        <v>312</v>
      </c>
      <c r="BH1128" s="39" t="s">
        <v>312</v>
      </c>
      <c r="BI1128" s="39" t="s">
        <v>312</v>
      </c>
      <c r="BJ1128" s="39" t="s">
        <v>312</v>
      </c>
      <c r="BK1128" s="39" t="s">
        <v>91</v>
      </c>
      <c r="BL1128" s="39" t="s">
        <v>47</v>
      </c>
      <c r="BM1128" s="39">
        <v>1</v>
      </c>
      <c r="BN1128" s="39" t="s">
        <v>134</v>
      </c>
      <c r="BO1128" s="39" t="s">
        <v>312</v>
      </c>
      <c r="BP1128" s="39" t="s">
        <v>312</v>
      </c>
      <c r="BQ1128" s="39" t="s">
        <v>92</v>
      </c>
      <c r="BR1128" s="39" t="s">
        <v>134</v>
      </c>
      <c r="BS1128" s="39" t="s">
        <v>312</v>
      </c>
      <c r="BT1128" s="39" t="s">
        <v>312</v>
      </c>
      <c r="BU1128" s="39">
        <v>2005</v>
      </c>
      <c r="BV1128" s="39">
        <v>2016</v>
      </c>
      <c r="BW1128" s="39" t="s">
        <v>901</v>
      </c>
      <c r="BX1128" s="39" t="s">
        <v>95</v>
      </c>
      <c r="BY1128" s="39" t="s">
        <v>96</v>
      </c>
      <c r="BZ1128" s="39">
        <v>0</v>
      </c>
      <c r="CA1128" s="39">
        <v>0</v>
      </c>
      <c r="CB1128" s="39" t="s">
        <v>97</v>
      </c>
      <c r="CC1128" s="39" t="s">
        <v>2297</v>
      </c>
      <c r="CD1128" s="39">
        <v>0</v>
      </c>
      <c r="CE1128" s="39" t="s">
        <v>97</v>
      </c>
      <c r="CF1128" s="39">
        <v>0</v>
      </c>
      <c r="CG1128" s="39" t="s">
        <v>97</v>
      </c>
      <c r="CH1128" s="39">
        <v>0</v>
      </c>
      <c r="CI1128" s="39" t="s">
        <v>97</v>
      </c>
      <c r="CJ1128" s="39" t="s">
        <v>98</v>
      </c>
      <c r="CK1128" s="39">
        <v>6</v>
      </c>
      <c r="CL1128" s="39">
        <v>0</v>
      </c>
      <c r="CM1128" s="39">
        <v>0</v>
      </c>
      <c r="CN1128" s="39" t="s">
        <v>99</v>
      </c>
      <c r="CO1128" s="39" t="s">
        <v>97</v>
      </c>
      <c r="CP1128" s="39" t="s">
        <v>100</v>
      </c>
      <c r="CQ1128" s="39" t="s">
        <v>126</v>
      </c>
      <c r="CR1128" s="42">
        <v>46267</v>
      </c>
      <c r="CT1128" s="39" t="s">
        <v>440</v>
      </c>
    </row>
    <row r="1129" spans="1:98" s="39" customFormat="1" x14ac:dyDescent="0.35">
      <c r="A1129" s="38" t="s">
        <v>2292</v>
      </c>
      <c r="B1129" s="38" t="s">
        <v>2303</v>
      </c>
      <c r="C1129" s="39" t="s">
        <v>2293</v>
      </c>
      <c r="D1129" s="39">
        <v>2022</v>
      </c>
      <c r="E1129" s="40" t="s">
        <v>2291</v>
      </c>
      <c r="F1129" s="38" t="s">
        <v>2294</v>
      </c>
      <c r="G1129" s="39" t="s">
        <v>102</v>
      </c>
      <c r="H1129" s="39">
        <v>0</v>
      </c>
      <c r="I1129" s="39" t="s">
        <v>2295</v>
      </c>
      <c r="J1129" s="39" t="s">
        <v>2210</v>
      </c>
      <c r="K1129" s="39">
        <v>3</v>
      </c>
      <c r="L1129" s="39" t="s">
        <v>80</v>
      </c>
      <c r="M1129" s="39" t="s">
        <v>380</v>
      </c>
      <c r="N1129" s="39">
        <v>-0.34200000000000003</v>
      </c>
      <c r="O1129" s="39">
        <v>1.9800000000000002E-2</v>
      </c>
      <c r="P1129" s="39">
        <f t="shared" si="546"/>
        <v>-17.272727272727273</v>
      </c>
      <c r="Q1129" s="39" t="s">
        <v>312</v>
      </c>
      <c r="R1129" s="39">
        <f t="shared" si="547"/>
        <v>-0.38080800000000004</v>
      </c>
      <c r="S1129" s="39">
        <f t="shared" si="548"/>
        <v>-0.30319200000000002</v>
      </c>
      <c r="T1129" s="39">
        <v>1</v>
      </c>
      <c r="U1129" s="39">
        <v>39885</v>
      </c>
      <c r="V1129" s="39" t="s">
        <v>312</v>
      </c>
      <c r="W1129" s="39" t="s">
        <v>312</v>
      </c>
      <c r="X1129" s="39">
        <f t="shared" si="566"/>
        <v>39885</v>
      </c>
      <c r="Y1129" s="39">
        <f t="shared" si="567"/>
        <v>-8.6166382679253237E-2</v>
      </c>
      <c r="Z1129" s="39">
        <f t="shared" si="568"/>
        <v>4.9885800498515025E-3</v>
      </c>
      <c r="AA1129" s="39">
        <f t="shared" si="569"/>
        <v>-8.6166382679253237E-2</v>
      </c>
      <c r="AB1129" s="39" t="s">
        <v>81</v>
      </c>
      <c r="AC1129" s="39">
        <f t="shared" si="555"/>
        <v>-0.34200000000000003</v>
      </c>
      <c r="AD1129" s="39" cm="1">
        <f t="array" ref="AD1129">_xlfn.IFS(
AND(L1129="marginal_effect",M1129="level"),N1129*AN1129/BF1129,
AND(L1129="marginal_effect",M1129="sd (Y)"),N1129*BI1129*AN1129/BF1129,
AND(L1129="marginal_effect",M1129="sd (X)"),N1129/AQ1129*AN1129/BF1129,
AND(L1129="semi_elasticity",M1129="level"),N1129*AN1129,
AND(L1129="semi_elasticity",M1129="sd (Y)"),N1129*AN1129*BI1129,
AND(L1129="semi_elasticity",M1129="sd (X)"),N1129*AN1129/AQ1129,
AND(L1129="level-log",M1129="level"),N1129/BF1129,
AND(L1129="level-log",M1129="sd (X)"),N1129/BF1129/AQ1129,
AND(L1129="level-log",M1129="sd (Y)"),N1129/BF1129*BI1129,
AND(L1129="elasticity",M1129="level"),N1129,
AND(L1129="elasticity",M1129="sd (X)"),N1129/AQ1129,
AND(L1129="elasticity",M1129="sd (Y)"),N1129*BI1129,
AND(L1129="marginal_effect",M1129="percent_of_mean"),N1129*AN1129/BF1129/10)</f>
        <v>-0.34200000000000003</v>
      </c>
      <c r="AE1129" s="39">
        <f t="shared" si="561"/>
        <v>1</v>
      </c>
      <c r="AF1129" s="39">
        <f t="shared" si="562"/>
        <v>1.9800000000000002E-2</v>
      </c>
      <c r="AG1129" s="39" cm="1">
        <f t="array" ref="AG1129">_xlfn.IFS(
AND(L1129="marginal_effect",M1129="level"),O1129*AN1129/BF1129,
AND(L1129="marginal_effect",M1129="sd (Y)"),O1129*BI1129*AN1129/BF1129,
AND(L1129="marginal_effect",M1129="sd (X)"),O1129/AQ1129*AN1129/BF1129,
AND(L1129="semi_elasticity",M1129="level"),O1129*AN1129,
AND(L1129="semi_elasticity",M1129="sd (Y)"),O1129*AN1129*BI1129,
AND(L1129="semi_elasticity",M1129="sd (X)"),O1129*AN1129/AQ1129,
AND(L1129="level-log",M1129="level"),O1129/BF1129,
AND(L1129="level-log",M1129="sd (X)"),O1129/BF1129/AQ1129,
AND(L1129="level-log",M1129="sd (Y)"),O1129/BF1129*BI1129,
AND(L1129="elasticity",M1129="level"),O1129,
AND(L1129="elasticity",M1129="sd (X)"),O1129/AQ1129,
AND(L1129="elasticity",M1129="sd (Y)"),O1129*BI1129,
AND(L1129="marginal_effect",M1129="percent_of_mean"),O1129*AN1129/BF1129/10)</f>
        <v>1.9800000000000002E-2</v>
      </c>
      <c r="AH1129" s="39">
        <f t="shared" si="563"/>
        <v>1</v>
      </c>
      <c r="AI1129" s="39">
        <f t="shared" si="564"/>
        <v>-0.34200000000000003</v>
      </c>
      <c r="AJ1129" s="39">
        <v>0</v>
      </c>
      <c r="AK1129" s="39">
        <f t="shared" si="565"/>
        <v>1</v>
      </c>
      <c r="AL1129" s="39" t="s">
        <v>82</v>
      </c>
      <c r="AM1129" s="39" t="s">
        <v>1333</v>
      </c>
      <c r="AN1129" s="39">
        <v>7.3</v>
      </c>
      <c r="AO1129" s="39">
        <v>0</v>
      </c>
      <c r="AP1129" s="39">
        <f t="shared" si="570"/>
        <v>7.3</v>
      </c>
      <c r="AQ1129" s="39" t="s">
        <v>312</v>
      </c>
      <c r="AR1129" s="39">
        <v>0.1</v>
      </c>
      <c r="AS1129" s="39">
        <v>40.4</v>
      </c>
      <c r="AT1129" s="39" t="s">
        <v>107</v>
      </c>
      <c r="AU1129" s="39" t="s">
        <v>109</v>
      </c>
      <c r="AV1129" s="39" t="s">
        <v>133</v>
      </c>
      <c r="AW1129" s="39" t="s">
        <v>134</v>
      </c>
      <c r="AX1129" s="39" t="s">
        <v>86</v>
      </c>
      <c r="AY1129" s="39">
        <v>0</v>
      </c>
      <c r="AZ1129" s="39">
        <v>0</v>
      </c>
      <c r="BA1129" s="39" t="s">
        <v>87</v>
      </c>
      <c r="BB1129" s="39" t="s">
        <v>134</v>
      </c>
      <c r="BC1129" s="39" t="s">
        <v>134</v>
      </c>
      <c r="BD1129" s="39" t="s">
        <v>134</v>
      </c>
      <c r="BE1129" s="39" t="s">
        <v>2296</v>
      </c>
      <c r="BF1129" s="39" t="s">
        <v>312</v>
      </c>
      <c r="BG1129" s="39" t="s">
        <v>312</v>
      </c>
      <c r="BH1129" s="39" t="s">
        <v>312</v>
      </c>
      <c r="BI1129" s="39" t="s">
        <v>312</v>
      </c>
      <c r="BJ1129" s="39" t="s">
        <v>312</v>
      </c>
      <c r="BK1129" s="39" t="s">
        <v>91</v>
      </c>
      <c r="BL1129" s="39" t="s">
        <v>47</v>
      </c>
      <c r="BM1129" s="39">
        <v>1</v>
      </c>
      <c r="BN1129" s="39" t="s">
        <v>134</v>
      </c>
      <c r="BO1129" s="39" t="s">
        <v>312</v>
      </c>
      <c r="BP1129" s="39" t="s">
        <v>312</v>
      </c>
      <c r="BQ1129" s="39" t="s">
        <v>92</v>
      </c>
      <c r="BR1129" s="39" t="s">
        <v>134</v>
      </c>
      <c r="BS1129" s="39" t="s">
        <v>312</v>
      </c>
      <c r="BT1129" s="39" t="s">
        <v>312</v>
      </c>
      <c r="BU1129" s="39">
        <v>2005</v>
      </c>
      <c r="BV1129" s="39">
        <v>2016</v>
      </c>
      <c r="BW1129" s="39" t="s">
        <v>901</v>
      </c>
      <c r="BX1129" s="39" t="s">
        <v>95</v>
      </c>
      <c r="BY1129" s="39" t="s">
        <v>748</v>
      </c>
      <c r="BZ1129" s="39">
        <v>1</v>
      </c>
      <c r="CA1129" s="39">
        <v>1</v>
      </c>
      <c r="CB1129" s="39" t="s">
        <v>2298</v>
      </c>
      <c r="CC1129" s="39" t="s">
        <v>2297</v>
      </c>
      <c r="CD1129" s="39">
        <v>0</v>
      </c>
      <c r="CE1129" s="39" t="s">
        <v>97</v>
      </c>
      <c r="CF1129" s="39">
        <v>0</v>
      </c>
      <c r="CG1129" s="39" t="s">
        <v>97</v>
      </c>
      <c r="CH1129" s="39">
        <v>0</v>
      </c>
      <c r="CI1129" s="39" t="s">
        <v>97</v>
      </c>
      <c r="CJ1129" s="39" t="s">
        <v>98</v>
      </c>
      <c r="CK1129" s="39">
        <v>6</v>
      </c>
      <c r="CL1129" s="39">
        <v>1</v>
      </c>
      <c r="CM1129" s="39">
        <v>1</v>
      </c>
      <c r="CN1129" s="39" t="s">
        <v>99</v>
      </c>
      <c r="CO1129" s="39" t="s">
        <v>97</v>
      </c>
      <c r="CP1129" s="39" t="s">
        <v>100</v>
      </c>
      <c r="CQ1129" s="39" t="s">
        <v>126</v>
      </c>
      <c r="CR1129" s="42">
        <v>46267</v>
      </c>
      <c r="CT1129" s="39" t="s">
        <v>778</v>
      </c>
    </row>
    <row r="1130" spans="1:98" s="39" customFormat="1" x14ac:dyDescent="0.35">
      <c r="A1130" s="38" t="s">
        <v>2292</v>
      </c>
      <c r="B1130" s="38" t="s">
        <v>2304</v>
      </c>
      <c r="C1130" s="39" t="s">
        <v>2293</v>
      </c>
      <c r="D1130" s="39">
        <v>2022</v>
      </c>
      <c r="E1130" s="40" t="s">
        <v>2291</v>
      </c>
      <c r="F1130" s="38" t="s">
        <v>2294</v>
      </c>
      <c r="G1130" s="39" t="s">
        <v>102</v>
      </c>
      <c r="H1130" s="39">
        <v>0</v>
      </c>
      <c r="I1130" s="39" t="s">
        <v>2295</v>
      </c>
      <c r="J1130" s="39" t="s">
        <v>2210</v>
      </c>
      <c r="K1130" s="39">
        <v>3</v>
      </c>
      <c r="L1130" s="39" t="s">
        <v>80</v>
      </c>
      <c r="M1130" s="39" t="s">
        <v>380</v>
      </c>
      <c r="N1130" s="39">
        <v>-0.53100000000000003</v>
      </c>
      <c r="O1130" s="39">
        <v>0.9103</v>
      </c>
      <c r="P1130" s="39">
        <f t="shared" si="546"/>
        <v>-0.58332417884213994</v>
      </c>
      <c r="Q1130" s="39" t="s">
        <v>312</v>
      </c>
      <c r="R1130" s="39">
        <f t="shared" si="547"/>
        <v>-2.315188</v>
      </c>
      <c r="S1130" s="39">
        <f t="shared" si="548"/>
        <v>1.2531879999999997</v>
      </c>
      <c r="T1130" s="39">
        <v>1</v>
      </c>
      <c r="U1130" s="39">
        <v>39885</v>
      </c>
      <c r="V1130" s="39" t="s">
        <v>312</v>
      </c>
      <c r="W1130" s="39" t="s">
        <v>312</v>
      </c>
      <c r="X1130" s="39">
        <f t="shared" si="566"/>
        <v>39885</v>
      </c>
      <c r="Y1130" s="39">
        <f t="shared" si="567"/>
        <v>-2.9208101398575229E-3</v>
      </c>
      <c r="Z1130" s="39">
        <f t="shared" si="568"/>
        <v>5.0071816766710034E-3</v>
      </c>
      <c r="AA1130" s="39">
        <f t="shared" si="569"/>
        <v>-2.9208101398575229E-3</v>
      </c>
      <c r="AB1130" s="39" t="s">
        <v>81</v>
      </c>
      <c r="AC1130" s="39">
        <f t="shared" si="555"/>
        <v>-0.53100000000000003</v>
      </c>
      <c r="AD1130" s="39" cm="1">
        <f t="array" ref="AD1130">_xlfn.IFS(
AND(L1130="marginal_effect",M1130="level"),N1130*AN1130/BF1130,
AND(L1130="marginal_effect",M1130="sd (Y)"),N1130*BI1130*AN1130/BF1130,
AND(L1130="marginal_effect",M1130="sd (X)"),N1130/AQ1130*AN1130/BF1130,
AND(L1130="semi_elasticity",M1130="level"),N1130*AN1130,
AND(L1130="semi_elasticity",M1130="sd (Y)"),N1130*AN1130*BI1130,
AND(L1130="semi_elasticity",M1130="sd (X)"),N1130*AN1130/AQ1130,
AND(L1130="level-log",M1130="level"),N1130/BF1130,
AND(L1130="level-log",M1130="sd (X)"),N1130/BF1130/AQ1130,
AND(L1130="level-log",M1130="sd (Y)"),N1130/BF1130*BI1130,
AND(L1130="elasticity",M1130="level"),N1130,
AND(L1130="elasticity",M1130="sd (X)"),N1130/AQ1130,
AND(L1130="elasticity",M1130="sd (Y)"),N1130*BI1130,
AND(L1130="marginal_effect",M1130="percent_of_mean"),N1130*AN1130/BF1130/10)</f>
        <v>-0.53100000000000003</v>
      </c>
      <c r="AE1130" s="39">
        <f t="shared" si="561"/>
        <v>1</v>
      </c>
      <c r="AF1130" s="39">
        <f t="shared" si="562"/>
        <v>0.9103</v>
      </c>
      <c r="AG1130" s="39" cm="1">
        <f t="array" ref="AG1130">_xlfn.IFS(
AND(L1130="marginal_effect",M1130="level"),O1130*AN1130/BF1130,
AND(L1130="marginal_effect",M1130="sd (Y)"),O1130*BI1130*AN1130/BF1130,
AND(L1130="marginal_effect",M1130="sd (X)"),O1130/AQ1130*AN1130/BF1130,
AND(L1130="semi_elasticity",M1130="level"),O1130*AN1130,
AND(L1130="semi_elasticity",M1130="sd (Y)"),O1130*AN1130*BI1130,
AND(L1130="semi_elasticity",M1130="sd (X)"),O1130*AN1130/AQ1130,
AND(L1130="level-log",M1130="level"),O1130/BF1130,
AND(L1130="level-log",M1130="sd (X)"),O1130/BF1130/AQ1130,
AND(L1130="level-log",M1130="sd (Y)"),O1130/BF1130*BI1130,
AND(L1130="elasticity",M1130="level"),O1130,
AND(L1130="elasticity",M1130="sd (X)"),O1130/AQ1130,
AND(L1130="elasticity",M1130="sd (Y)"),O1130*BI1130,
AND(L1130="marginal_effect",M1130="percent_of_mean"),O1130*AN1130/BF1130/10)</f>
        <v>0.9103</v>
      </c>
      <c r="AH1130" s="39">
        <f t="shared" si="563"/>
        <v>1</v>
      </c>
      <c r="AI1130" s="39">
        <f t="shared" si="564"/>
        <v>-0.53100000000000003</v>
      </c>
      <c r="AJ1130" s="39">
        <v>0</v>
      </c>
      <c r="AK1130" s="39">
        <f t="shared" si="565"/>
        <v>1</v>
      </c>
      <c r="AL1130" s="39" t="s">
        <v>82</v>
      </c>
      <c r="AM1130" s="39" t="s">
        <v>1333</v>
      </c>
      <c r="AN1130" s="39">
        <v>7.3</v>
      </c>
      <c r="AO1130" s="39">
        <v>0</v>
      </c>
      <c r="AP1130" s="39">
        <f t="shared" si="570"/>
        <v>7.3</v>
      </c>
      <c r="AQ1130" s="39" t="s">
        <v>312</v>
      </c>
      <c r="AR1130" s="39">
        <v>0.1</v>
      </c>
      <c r="AS1130" s="39">
        <v>40.4</v>
      </c>
      <c r="AT1130" s="39" t="s">
        <v>107</v>
      </c>
      <c r="AU1130" s="39" t="s">
        <v>109</v>
      </c>
      <c r="AV1130" s="39" t="s">
        <v>133</v>
      </c>
      <c r="AW1130" s="39" t="s">
        <v>134</v>
      </c>
      <c r="AX1130" s="39" t="s">
        <v>86</v>
      </c>
      <c r="AY1130" s="39">
        <v>0</v>
      </c>
      <c r="AZ1130" s="39">
        <v>0</v>
      </c>
      <c r="BA1130" s="39" t="s">
        <v>87</v>
      </c>
      <c r="BB1130" s="39" t="s">
        <v>134</v>
      </c>
      <c r="BC1130" s="39" t="s">
        <v>134</v>
      </c>
      <c r="BD1130" s="39" t="s">
        <v>134</v>
      </c>
      <c r="BE1130" s="39" t="s">
        <v>2296</v>
      </c>
      <c r="BF1130" s="39" t="s">
        <v>312</v>
      </c>
      <c r="BG1130" s="39" t="s">
        <v>312</v>
      </c>
      <c r="BH1130" s="39" t="s">
        <v>312</v>
      </c>
      <c r="BI1130" s="39" t="s">
        <v>312</v>
      </c>
      <c r="BJ1130" s="39" t="s">
        <v>312</v>
      </c>
      <c r="BK1130" s="39" t="s">
        <v>91</v>
      </c>
      <c r="BL1130" s="39" t="s">
        <v>47</v>
      </c>
      <c r="BM1130" s="39">
        <v>1</v>
      </c>
      <c r="BN1130" s="39" t="s">
        <v>134</v>
      </c>
      <c r="BO1130" s="39" t="s">
        <v>312</v>
      </c>
      <c r="BP1130" s="39" t="s">
        <v>312</v>
      </c>
      <c r="BQ1130" s="39" t="s">
        <v>92</v>
      </c>
      <c r="BR1130" s="39" t="s">
        <v>134</v>
      </c>
      <c r="BS1130" s="39" t="s">
        <v>312</v>
      </c>
      <c r="BT1130" s="39" t="s">
        <v>312</v>
      </c>
      <c r="BU1130" s="39">
        <v>2005</v>
      </c>
      <c r="BV1130" s="39">
        <v>2016</v>
      </c>
      <c r="BW1130" s="39" t="s">
        <v>901</v>
      </c>
      <c r="BX1130" s="39" t="s">
        <v>95</v>
      </c>
      <c r="BY1130" s="39" t="s">
        <v>748</v>
      </c>
      <c r="BZ1130" s="39">
        <v>1</v>
      </c>
      <c r="CA1130" s="39">
        <v>1</v>
      </c>
      <c r="CB1130" s="39" t="s">
        <v>2298</v>
      </c>
      <c r="CC1130" s="39" t="s">
        <v>2297</v>
      </c>
      <c r="CD1130" s="39">
        <v>0</v>
      </c>
      <c r="CE1130" s="39" t="s">
        <v>97</v>
      </c>
      <c r="CF1130" s="39">
        <v>0</v>
      </c>
      <c r="CG1130" s="39" t="s">
        <v>97</v>
      </c>
      <c r="CH1130" s="39">
        <v>0</v>
      </c>
      <c r="CI1130" s="39" t="s">
        <v>97</v>
      </c>
      <c r="CJ1130" s="39" t="s">
        <v>98</v>
      </c>
      <c r="CK1130" s="39">
        <v>6</v>
      </c>
      <c r="CL1130" s="39">
        <v>0</v>
      </c>
      <c r="CM1130" s="39">
        <v>0</v>
      </c>
      <c r="CN1130" s="39" t="s">
        <v>99</v>
      </c>
      <c r="CO1130" s="39" t="s">
        <v>97</v>
      </c>
      <c r="CP1130" s="39" t="s">
        <v>100</v>
      </c>
      <c r="CQ1130" s="39" t="s">
        <v>126</v>
      </c>
      <c r="CR1130" s="42">
        <v>46267</v>
      </c>
      <c r="CT1130" s="39" t="s">
        <v>779</v>
      </c>
    </row>
    <row r="1131" spans="1:98" s="44" customFormat="1" x14ac:dyDescent="0.35">
      <c r="A1131" s="43" t="s">
        <v>2305</v>
      </c>
      <c r="B1131" s="43" t="s">
        <v>2317</v>
      </c>
      <c r="C1131" s="44" t="s">
        <v>2306</v>
      </c>
      <c r="D1131" s="44">
        <v>2024</v>
      </c>
      <c r="E1131" s="64" t="s">
        <v>2307</v>
      </c>
      <c r="F1131" s="43" t="s">
        <v>2308</v>
      </c>
      <c r="G1131" s="44" t="s">
        <v>78</v>
      </c>
      <c r="H1131" s="44">
        <v>1</v>
      </c>
      <c r="I1131" s="44" t="s">
        <v>390</v>
      </c>
      <c r="J1131" s="44" t="s">
        <v>2210</v>
      </c>
      <c r="K1131" s="44">
        <v>35</v>
      </c>
      <c r="L1131" s="44" t="s">
        <v>1179</v>
      </c>
      <c r="M1131" s="44" t="s">
        <v>380</v>
      </c>
      <c r="N1131" s="44">
        <v>-1.95E-2</v>
      </c>
      <c r="O1131" s="44">
        <v>1.32E-2</v>
      </c>
      <c r="P1131" s="44">
        <f t="shared" si="546"/>
        <v>-1.4772727272727273</v>
      </c>
      <c r="Q1131" s="44" t="s">
        <v>312</v>
      </c>
      <c r="R1131" s="44">
        <f t="shared" si="547"/>
        <v>-4.5371999999999996E-2</v>
      </c>
      <c r="S1131" s="44">
        <f t="shared" si="548"/>
        <v>6.3719999999999992E-3</v>
      </c>
      <c r="T1131" s="44">
        <v>1</v>
      </c>
      <c r="U1131" s="44">
        <v>925789</v>
      </c>
      <c r="V1131" s="44" t="s">
        <v>312</v>
      </c>
      <c r="W1131" s="44" t="s">
        <v>312</v>
      </c>
      <c r="X1131" s="44">
        <f t="shared" si="566"/>
        <v>925789</v>
      </c>
      <c r="Y1131" s="44">
        <f t="shared" si="567"/>
        <v>-1.5353385698254653E-3</v>
      </c>
      <c r="Z1131" s="44">
        <f t="shared" si="568"/>
        <v>1.0393061088049304E-3</v>
      </c>
      <c r="AA1131" s="44">
        <f t="shared" si="569"/>
        <v>-1.5353385698254653E-3</v>
      </c>
      <c r="AB1131" s="44" t="s">
        <v>81</v>
      </c>
      <c r="AC1131" s="44">
        <f>N1131/BF1131</f>
        <v>-2.9632151035833626E-4</v>
      </c>
      <c r="AD1131" s="44" cm="1">
        <f t="array" ref="AD1131">_xlfn.IFS(
AND(L1131="marginal_effect",M1131="level"),N1131*AN1131/BF1131,
AND(L1131="marginal_effect",M1131="sd (Y)"),N1131*BI1131*AN1131/BF1131,
AND(L1131="marginal_effect",M1131="sd (X)"),N1131/AQ1131*AN1131/BF1131,
AND(L1131="semi_elasticity",M1131="level"),N1131*AN1131,
AND(L1131="semi_elasticity",M1131="sd (Y)"),N1131*AN1131*BI1131,
AND(L1131="semi_elasticity",M1131="sd (X)"),N1131*AN1131/AQ1131,
AND(L1131="level-log",M1131="level"),N1131/BF1131,
AND(L1131="level-log",M1131="sd (X)"),N1131/BF1131/AQ1131,
AND(L1131="level-log",M1131="sd (Y)"),N1131/BF1131*BI1131,
AND(L1131="elasticity",M1131="level"),N1131,
AND(L1131="elasticity",M1131="sd (X)"),N1131/AQ1131,
AND(L1131="elasticity",M1131="sd (Y)"),N1131*BI1131,
AND(L1131="marginal_effect",M1131="percent_of_mean"),N1131*AN1131/BF1131/10)</f>
        <v>-2.9632151035833626E-4</v>
      </c>
      <c r="AE1131" s="44">
        <f t="shared" si="561"/>
        <v>1</v>
      </c>
      <c r="AF1131" s="44">
        <f>O1131/BF1131</f>
        <v>2.005868685502584E-4</v>
      </c>
      <c r="AG1131" s="44" cm="1">
        <f t="array" ref="AG1131">_xlfn.IFS(
AND(L1131="marginal_effect",M1131="level"),O1131*AN1131/BF1131,
AND(L1131="marginal_effect",M1131="sd (Y)"),O1131*BI1131*AN1131/BF1131,
AND(L1131="marginal_effect",M1131="sd (X)"),O1131/AQ1131*AN1131/BF1131,
AND(L1131="semi_elasticity",M1131="level"),O1131*AN1131,
AND(L1131="semi_elasticity",M1131="sd (Y)"),O1131*AN1131*BI1131,
AND(L1131="semi_elasticity",M1131="sd (X)"),O1131*AN1131/AQ1131,
AND(L1131="level-log",M1131="level"),O1131/BF1131,
AND(L1131="level-log",M1131="sd (X)"),O1131/BF1131/AQ1131,
AND(L1131="level-log",M1131="sd (Y)"),O1131/BF1131*BI1131,
AND(L1131="elasticity",M1131="level"),O1131,
AND(L1131="elasticity",M1131="sd (X)"),O1131/AQ1131,
AND(L1131="elasticity",M1131="sd (Y)"),O1131*BI1131,
AND(L1131="marginal_effect",M1131="percent_of_mean"),O1131*AN1131/BF1131/10)</f>
        <v>2.005868685502584E-4</v>
      </c>
      <c r="AH1131" s="44">
        <f t="shared" ref="AH1131:AH1136" si="571">IF(AF1131=AG1131,1,0)</f>
        <v>1</v>
      </c>
      <c r="AI1131" s="44">
        <f t="shared" si="564"/>
        <v>-2.9632151035833626E-4</v>
      </c>
      <c r="AJ1131" s="44">
        <v>0</v>
      </c>
      <c r="AK1131" s="44">
        <f t="shared" si="565"/>
        <v>1</v>
      </c>
      <c r="AL1131" s="44" t="s">
        <v>131</v>
      </c>
      <c r="AM1131" s="44" t="s">
        <v>410</v>
      </c>
      <c r="AN1131" s="44">
        <v>10.908099999999999</v>
      </c>
      <c r="AO1131" s="44">
        <v>0</v>
      </c>
      <c r="AP1131" s="44">
        <f t="shared" si="570"/>
        <v>10.908099999999999</v>
      </c>
      <c r="AQ1131" s="44">
        <v>8.5166000000000004</v>
      </c>
      <c r="AR1131" s="44" t="s">
        <v>312</v>
      </c>
      <c r="AS1131" s="44" t="s">
        <v>312</v>
      </c>
      <c r="AT1131" s="44" t="s">
        <v>83</v>
      </c>
      <c r="AU1131" s="44" t="s">
        <v>109</v>
      </c>
      <c r="AV1131" s="44" t="s">
        <v>133</v>
      </c>
      <c r="AW1131" s="44" t="s">
        <v>85</v>
      </c>
      <c r="AX1131" s="44" t="s">
        <v>86</v>
      </c>
      <c r="AY1131" s="44">
        <v>0</v>
      </c>
      <c r="AZ1131" s="44">
        <v>0</v>
      </c>
      <c r="BA1131" s="44" t="s">
        <v>111</v>
      </c>
      <c r="BB1131" s="44" t="s">
        <v>134</v>
      </c>
      <c r="BC1131" s="44" t="s">
        <v>113</v>
      </c>
      <c r="BD1131" s="44" t="s">
        <v>134</v>
      </c>
      <c r="BE1131" s="44" t="s">
        <v>2309</v>
      </c>
      <c r="BF1131" s="44">
        <v>65.806899999999999</v>
      </c>
      <c r="BG1131" s="44">
        <v>0</v>
      </c>
      <c r="BH1131" s="44">
        <v>37.671199999999999</v>
      </c>
      <c r="BI1131" s="44" t="s">
        <v>312</v>
      </c>
      <c r="BJ1131" s="44" t="s">
        <v>312</v>
      </c>
      <c r="BK1131" s="44" t="s">
        <v>91</v>
      </c>
      <c r="BL1131" s="44" t="s">
        <v>509</v>
      </c>
      <c r="BM1131" s="44" t="s">
        <v>1411</v>
      </c>
      <c r="BN1131" s="44" t="s">
        <v>312</v>
      </c>
      <c r="BO1131" s="44" t="s">
        <v>312</v>
      </c>
      <c r="BP1131" s="44" t="s">
        <v>312</v>
      </c>
      <c r="BQ1131" s="44" t="s">
        <v>92</v>
      </c>
      <c r="BR1131" s="44" t="s">
        <v>134</v>
      </c>
      <c r="BS1131" s="44">
        <v>52</v>
      </c>
      <c r="BT1131" s="44">
        <v>61</v>
      </c>
      <c r="BU1131" s="44">
        <v>2015</v>
      </c>
      <c r="BV1131" s="44">
        <v>2019</v>
      </c>
      <c r="BW1131" s="44" t="s">
        <v>2310</v>
      </c>
      <c r="BX1131" s="44" t="s">
        <v>95</v>
      </c>
      <c r="BY1131" s="44" t="s">
        <v>96</v>
      </c>
      <c r="BZ1131" s="44">
        <v>0</v>
      </c>
      <c r="CA1131" s="44">
        <v>0</v>
      </c>
      <c r="CB1131" s="44" t="s">
        <v>97</v>
      </c>
      <c r="CC1131" s="44" t="s">
        <v>314</v>
      </c>
      <c r="CD1131" s="44">
        <v>1</v>
      </c>
      <c r="CE1131" s="44" t="s">
        <v>2312</v>
      </c>
      <c r="CF1131" s="44">
        <v>0</v>
      </c>
      <c r="CG1131" s="44" t="s">
        <v>97</v>
      </c>
      <c r="CH1131" s="44">
        <v>1</v>
      </c>
      <c r="CI1131" s="44" t="s">
        <v>943</v>
      </c>
      <c r="CJ1131" s="44" t="s">
        <v>98</v>
      </c>
      <c r="CK1131" s="44">
        <v>32</v>
      </c>
      <c r="CL1131" s="44">
        <v>0</v>
      </c>
      <c r="CM1131" s="44">
        <v>0</v>
      </c>
      <c r="CN1131" s="44" t="s">
        <v>99</v>
      </c>
      <c r="CO1131" s="44" t="s">
        <v>97</v>
      </c>
      <c r="CP1131" s="44" t="s">
        <v>100</v>
      </c>
      <c r="CQ1131" s="44" t="s">
        <v>126</v>
      </c>
      <c r="CR1131" s="45">
        <v>46267</v>
      </c>
      <c r="CT1131" s="44" t="s">
        <v>2314</v>
      </c>
    </row>
    <row r="1132" spans="1:98" s="44" customFormat="1" x14ac:dyDescent="0.35">
      <c r="A1132" s="43" t="s">
        <v>2305</v>
      </c>
      <c r="B1132" s="43" t="s">
        <v>2319</v>
      </c>
      <c r="C1132" s="44" t="s">
        <v>2306</v>
      </c>
      <c r="D1132" s="44">
        <v>2024</v>
      </c>
      <c r="E1132" s="64" t="s">
        <v>2307</v>
      </c>
      <c r="F1132" s="43" t="s">
        <v>2308</v>
      </c>
      <c r="G1132" s="44" t="s">
        <v>78</v>
      </c>
      <c r="H1132" s="44">
        <v>1</v>
      </c>
      <c r="I1132" s="44" t="s">
        <v>390</v>
      </c>
      <c r="J1132" s="44" t="s">
        <v>2210</v>
      </c>
      <c r="K1132" s="44">
        <v>35</v>
      </c>
      <c r="L1132" s="44" t="s">
        <v>1179</v>
      </c>
      <c r="M1132" s="44" t="s">
        <v>380</v>
      </c>
      <c r="N1132" s="44">
        <v>-4.2299999999999997E-2</v>
      </c>
      <c r="O1132" s="44">
        <v>1.78E-2</v>
      </c>
      <c r="P1132" s="44">
        <f t="shared" si="546"/>
        <v>-2.3764044943820224</v>
      </c>
      <c r="Q1132" s="44" t="s">
        <v>312</v>
      </c>
      <c r="R1132" s="44">
        <f t="shared" si="547"/>
        <v>-7.7188000000000007E-2</v>
      </c>
      <c r="S1132" s="44">
        <f t="shared" si="548"/>
        <v>-7.411999999999995E-3</v>
      </c>
      <c r="T1132" s="44">
        <v>1</v>
      </c>
      <c r="U1132" s="44">
        <v>296574</v>
      </c>
      <c r="V1132" s="44" t="s">
        <v>312</v>
      </c>
      <c r="W1132" s="44" t="s">
        <v>312</v>
      </c>
      <c r="X1132" s="44">
        <f t="shared" si="566"/>
        <v>296574</v>
      </c>
      <c r="Y1132" s="44">
        <f t="shared" si="567"/>
        <v>-4.3636478246435878E-3</v>
      </c>
      <c r="Z1132" s="44">
        <f t="shared" si="568"/>
        <v>1.8362395101337082E-3</v>
      </c>
      <c r="AA1132" s="44">
        <f t="shared" si="569"/>
        <v>-4.3636478246435878E-3</v>
      </c>
      <c r="AB1132" s="44" t="s">
        <v>81</v>
      </c>
      <c r="AC1132" s="44">
        <f t="shared" ref="AC1132:AC1136" si="572">N1132/BF1132</f>
        <v>-4.8881842302323213E-4</v>
      </c>
      <c r="AD1132" s="44" cm="1">
        <f t="array" ref="AD1132">_xlfn.IFS(
AND(L1132="marginal_effect",M1132="level"),N1132*AN1132/BF1132,
AND(L1132="marginal_effect",M1132="sd (Y)"),N1132*BI1132*AN1132/BF1132,
AND(L1132="marginal_effect",M1132="sd (X)"),N1132/AQ1132*AN1132/BF1132,
AND(L1132="semi_elasticity",M1132="level"),N1132*AN1132,
AND(L1132="semi_elasticity",M1132="sd (Y)"),N1132*AN1132*BI1132,
AND(L1132="semi_elasticity",M1132="sd (X)"),N1132*AN1132/AQ1132,
AND(L1132="level-log",M1132="level"),N1132/BF1132,
AND(L1132="level-log",M1132="sd (X)"),N1132/BF1132/AQ1132,
AND(L1132="level-log",M1132="sd (Y)"),N1132/BF1132*BI1132,
AND(L1132="elasticity",M1132="level"),N1132,
AND(L1132="elasticity",M1132="sd (X)"),N1132/AQ1132,
AND(L1132="elasticity",M1132="sd (Y)"),N1132*BI1132,
AND(L1132="marginal_effect",M1132="percent_of_mean"),N1132*AN1132/BF1132/10)</f>
        <v>-4.8881842302323213E-4</v>
      </c>
      <c r="AE1132" s="44">
        <f t="shared" si="561"/>
        <v>1</v>
      </c>
      <c r="AF1132" s="44">
        <f t="shared" ref="AF1132:AF1136" si="573">O1132/BF1132</f>
        <v>2.0569664136675016E-4</v>
      </c>
      <c r="AG1132" s="44" cm="1">
        <f t="array" ref="AG1132">_xlfn.IFS(
AND(L1132="marginal_effect",M1132="level"),O1132*AN1132/BF1132,
AND(L1132="marginal_effect",M1132="sd (Y)"),O1132*BI1132*AN1132/BF1132,
AND(L1132="marginal_effect",M1132="sd (X)"),O1132/AQ1132*AN1132/BF1132,
AND(L1132="semi_elasticity",M1132="level"),O1132*AN1132,
AND(L1132="semi_elasticity",M1132="sd (Y)"),O1132*AN1132*BI1132,
AND(L1132="semi_elasticity",M1132="sd (X)"),O1132*AN1132/AQ1132,
AND(L1132="level-log",M1132="level"),O1132/BF1132,
AND(L1132="level-log",M1132="sd (X)"),O1132/BF1132/AQ1132,
AND(L1132="level-log",M1132="sd (Y)"),O1132/BF1132*BI1132,
AND(L1132="elasticity",M1132="level"),O1132,
AND(L1132="elasticity",M1132="sd (X)"),O1132/AQ1132,
AND(L1132="elasticity",M1132="sd (Y)"),O1132*BI1132,
AND(L1132="marginal_effect",M1132="percent_of_mean"),O1132*AN1132/BF1132/10)</f>
        <v>2.0569664136675016E-4</v>
      </c>
      <c r="AH1132" s="44">
        <f t="shared" si="571"/>
        <v>1</v>
      </c>
      <c r="AI1132" s="44">
        <f t="shared" si="564"/>
        <v>-4.8881842302323213E-4</v>
      </c>
      <c r="AJ1132" s="44">
        <v>0</v>
      </c>
      <c r="AK1132" s="44">
        <f t="shared" si="565"/>
        <v>1</v>
      </c>
      <c r="AL1132" s="44" t="s">
        <v>131</v>
      </c>
      <c r="AM1132" s="44" t="s">
        <v>410</v>
      </c>
      <c r="AN1132" s="44">
        <v>10.7354</v>
      </c>
      <c r="AO1132" s="44">
        <v>0</v>
      </c>
      <c r="AP1132" s="44">
        <f t="shared" si="570"/>
        <v>10.7354</v>
      </c>
      <c r="AQ1132" s="44">
        <v>8.2917000000000005</v>
      </c>
      <c r="AR1132" s="44" t="s">
        <v>312</v>
      </c>
      <c r="AS1132" s="44" t="s">
        <v>312</v>
      </c>
      <c r="AT1132" s="44" t="s">
        <v>83</v>
      </c>
      <c r="AU1132" s="44" t="s">
        <v>109</v>
      </c>
      <c r="AV1132" s="44" t="s">
        <v>133</v>
      </c>
      <c r="AW1132" s="44" t="s">
        <v>85</v>
      </c>
      <c r="AX1132" s="44" t="s">
        <v>86</v>
      </c>
      <c r="AY1132" s="44">
        <v>0</v>
      </c>
      <c r="AZ1132" s="44">
        <v>0</v>
      </c>
      <c r="BA1132" s="44" t="s">
        <v>111</v>
      </c>
      <c r="BB1132" s="44" t="s">
        <v>134</v>
      </c>
      <c r="BC1132" s="44" t="s">
        <v>113</v>
      </c>
      <c r="BD1132" s="44" t="s">
        <v>134</v>
      </c>
      <c r="BE1132" s="44" t="s">
        <v>2309</v>
      </c>
      <c r="BF1132" s="44">
        <v>86.535200000000003</v>
      </c>
      <c r="BG1132" s="44">
        <v>0</v>
      </c>
      <c r="BH1132" s="44">
        <v>47.195799999999998</v>
      </c>
      <c r="BI1132" s="44" t="s">
        <v>312</v>
      </c>
      <c r="BJ1132" s="44" t="s">
        <v>312</v>
      </c>
      <c r="BK1132" s="44" t="s">
        <v>91</v>
      </c>
      <c r="BL1132" s="44" t="s">
        <v>509</v>
      </c>
      <c r="BM1132" s="44" t="s">
        <v>1411</v>
      </c>
      <c r="BN1132" s="44" t="s">
        <v>312</v>
      </c>
      <c r="BO1132" s="44" t="s">
        <v>312</v>
      </c>
      <c r="BP1132" s="44" t="s">
        <v>312</v>
      </c>
      <c r="BQ1132" s="44" t="s">
        <v>92</v>
      </c>
      <c r="BR1132" s="44" t="s">
        <v>134</v>
      </c>
      <c r="BS1132" s="44">
        <v>52</v>
      </c>
      <c r="BT1132" s="44">
        <v>61</v>
      </c>
      <c r="BU1132" s="44">
        <v>2015</v>
      </c>
      <c r="BV1132" s="44">
        <v>2019</v>
      </c>
      <c r="BW1132" s="44" t="s">
        <v>2310</v>
      </c>
      <c r="BX1132" s="44" t="s">
        <v>95</v>
      </c>
      <c r="BY1132" s="44" t="s">
        <v>96</v>
      </c>
      <c r="BZ1132" s="44">
        <v>0</v>
      </c>
      <c r="CA1132" s="44">
        <v>0</v>
      </c>
      <c r="CB1132" s="44" t="s">
        <v>97</v>
      </c>
      <c r="CC1132" s="44" t="s">
        <v>314</v>
      </c>
      <c r="CD1132" s="44">
        <v>1</v>
      </c>
      <c r="CE1132" s="44" t="s">
        <v>2312</v>
      </c>
      <c r="CF1132" s="44">
        <v>0</v>
      </c>
      <c r="CG1132" s="44" t="s">
        <v>97</v>
      </c>
      <c r="CH1132" s="44">
        <v>1</v>
      </c>
      <c r="CI1132" s="44" t="s">
        <v>943</v>
      </c>
      <c r="CJ1132" s="44" t="s">
        <v>98</v>
      </c>
      <c r="CK1132" s="44">
        <v>32</v>
      </c>
      <c r="CL1132" s="44">
        <v>0</v>
      </c>
      <c r="CM1132" s="44">
        <v>0</v>
      </c>
      <c r="CN1132" s="44" t="s">
        <v>99</v>
      </c>
      <c r="CO1132" s="44" t="s">
        <v>380</v>
      </c>
      <c r="CP1132" s="44" t="s">
        <v>100</v>
      </c>
      <c r="CQ1132" s="44" t="s">
        <v>126</v>
      </c>
      <c r="CR1132" s="45">
        <v>46267</v>
      </c>
      <c r="CT1132" s="44" t="s">
        <v>2315</v>
      </c>
    </row>
    <row r="1133" spans="1:98" s="44" customFormat="1" x14ac:dyDescent="0.35">
      <c r="A1133" s="43" t="s">
        <v>2305</v>
      </c>
      <c r="B1133" s="43" t="s">
        <v>2321</v>
      </c>
      <c r="C1133" s="44" t="s">
        <v>2306</v>
      </c>
      <c r="D1133" s="44">
        <v>2024</v>
      </c>
      <c r="E1133" s="64" t="s">
        <v>2307</v>
      </c>
      <c r="F1133" s="43" t="s">
        <v>2308</v>
      </c>
      <c r="G1133" s="44" t="s">
        <v>78</v>
      </c>
      <c r="H1133" s="44">
        <v>1</v>
      </c>
      <c r="I1133" s="44" t="s">
        <v>390</v>
      </c>
      <c r="J1133" s="44" t="s">
        <v>2210</v>
      </c>
      <c r="K1133" s="44">
        <v>35</v>
      </c>
      <c r="L1133" s="44" t="s">
        <v>1179</v>
      </c>
      <c r="M1133" s="44" t="s">
        <v>380</v>
      </c>
      <c r="N1133" s="44">
        <v>2.3999999999999998E-3</v>
      </c>
      <c r="O1133" s="44">
        <v>3.0999999999999999E-3</v>
      </c>
      <c r="P1133" s="44">
        <f t="shared" si="546"/>
        <v>0.77419354838709675</v>
      </c>
      <c r="Q1133" s="44" t="s">
        <v>312</v>
      </c>
      <c r="R1133" s="44">
        <f t="shared" si="547"/>
        <v>-3.676E-3</v>
      </c>
      <c r="S1133" s="44">
        <f t="shared" si="548"/>
        <v>8.4759999999999992E-3</v>
      </c>
      <c r="T1133" s="44">
        <v>1</v>
      </c>
      <c r="U1133" s="44">
        <v>629176</v>
      </c>
      <c r="V1133" s="44" t="s">
        <v>312</v>
      </c>
      <c r="W1133" s="44" t="s">
        <v>312</v>
      </c>
      <c r="X1133" s="44">
        <f t="shared" si="566"/>
        <v>629176</v>
      </c>
      <c r="Y1133" s="44">
        <f t="shared" si="567"/>
        <v>9.7603022544499418E-4</v>
      </c>
      <c r="Z1133" s="44">
        <f t="shared" si="568"/>
        <v>1.260705707866451E-3</v>
      </c>
      <c r="AA1133" s="44">
        <f t="shared" si="569"/>
        <v>9.7603022544499418E-4</v>
      </c>
      <c r="AB1133" s="44" t="s">
        <v>81</v>
      </c>
      <c r="AC1133" s="44">
        <f>N1133/BF1133</f>
        <v>4.2829380241022336E-5</v>
      </c>
      <c r="AD1133" s="44" cm="1">
        <f t="array" ref="AD1133">_xlfn.IFS(
AND(L1133="marginal_effect",M1133="level"),N1133*AN1133/BF1133,
AND(L1133="marginal_effect",M1133="sd (Y)"),N1133*BI1133*AN1133/BF1133,
AND(L1133="marginal_effect",M1133="sd (X)"),N1133/AQ1133*AN1133/BF1133,
AND(L1133="semi_elasticity",M1133="level"),N1133*AN1133,
AND(L1133="semi_elasticity",M1133="sd (Y)"),N1133*AN1133*BI1133,
AND(L1133="semi_elasticity",M1133="sd (X)"),N1133*AN1133/AQ1133,
AND(L1133="level-log",M1133="level"),N1133/BF1133,
AND(L1133="level-log",M1133="sd (X)"),N1133/BF1133/AQ1133,
AND(L1133="level-log",M1133="sd (Y)"),N1133/BF1133*BI1133,
AND(L1133="elasticity",M1133="level"),N1133,
AND(L1133="elasticity",M1133="sd (X)"),N1133/AQ1133,
AND(L1133="elasticity",M1133="sd (Y)"),N1133*BI1133,
AND(L1133="marginal_effect",M1133="percent_of_mean"),N1133*AN1133/BF1133/10)</f>
        <v>4.2829380241022336E-5</v>
      </c>
      <c r="AE1133" s="44">
        <f t="shared" si="561"/>
        <v>1</v>
      </c>
      <c r="AF1133" s="44">
        <f t="shared" si="573"/>
        <v>5.5321282811320519E-5</v>
      </c>
      <c r="AG1133" s="44" cm="1">
        <f t="array" ref="AG1133">_xlfn.IFS(
AND(L1133="marginal_effect",M1133="level"),O1133*AN1133/BF1133,
AND(L1133="marginal_effect",M1133="sd (Y)"),O1133*BI1133*AN1133/BF1133,
AND(L1133="marginal_effect",M1133="sd (X)"),O1133/AQ1133*AN1133/BF1133,
AND(L1133="semi_elasticity",M1133="level"),O1133*AN1133,
AND(L1133="semi_elasticity",M1133="sd (Y)"),O1133*AN1133*BI1133,
AND(L1133="semi_elasticity",M1133="sd (X)"),O1133*AN1133/AQ1133,
AND(L1133="level-log",M1133="level"),O1133/BF1133,
AND(L1133="level-log",M1133="sd (X)"),O1133/BF1133/AQ1133,
AND(L1133="level-log",M1133="sd (Y)"),O1133/BF1133*BI1133,
AND(L1133="elasticity",M1133="level"),O1133,
AND(L1133="elasticity",M1133="sd (X)"),O1133/AQ1133,
AND(L1133="elasticity",M1133="sd (Y)"),O1133*BI1133,
AND(L1133="marginal_effect",M1133="percent_of_mean"),O1133*AN1133/BF1133/10)</f>
        <v>5.5321282811320519E-5</v>
      </c>
      <c r="AH1133" s="44">
        <f t="shared" si="571"/>
        <v>1</v>
      </c>
      <c r="AI1133" s="44">
        <f t="shared" si="564"/>
        <v>4.2829380241022336E-5</v>
      </c>
      <c r="AJ1133" s="44">
        <v>0</v>
      </c>
      <c r="AK1133" s="44">
        <f t="shared" si="565"/>
        <v>1</v>
      </c>
      <c r="AL1133" s="44" t="s">
        <v>131</v>
      </c>
      <c r="AM1133" s="44" t="s">
        <v>410</v>
      </c>
      <c r="AN1133" s="44">
        <v>10.9894</v>
      </c>
      <c r="AO1133" s="44">
        <v>0</v>
      </c>
      <c r="AP1133" s="44">
        <f t="shared" si="570"/>
        <v>10.9894</v>
      </c>
      <c r="AQ1133" s="44">
        <v>8.6193000000000008</v>
      </c>
      <c r="AR1133" s="44" t="s">
        <v>312</v>
      </c>
      <c r="AS1133" s="44" t="s">
        <v>312</v>
      </c>
      <c r="AT1133" s="44" t="s">
        <v>83</v>
      </c>
      <c r="AU1133" s="44" t="s">
        <v>109</v>
      </c>
      <c r="AV1133" s="44" t="s">
        <v>133</v>
      </c>
      <c r="AW1133" s="44" t="s">
        <v>85</v>
      </c>
      <c r="AX1133" s="44" t="s">
        <v>86</v>
      </c>
      <c r="AY1133" s="44">
        <v>0</v>
      </c>
      <c r="AZ1133" s="44">
        <v>0</v>
      </c>
      <c r="BA1133" s="44" t="s">
        <v>111</v>
      </c>
      <c r="BB1133" s="44" t="s">
        <v>134</v>
      </c>
      <c r="BC1133" s="44" t="s">
        <v>113</v>
      </c>
      <c r="BD1133" s="44" t="s">
        <v>134</v>
      </c>
      <c r="BE1133" s="44" t="s">
        <v>2309</v>
      </c>
      <c r="BF1133" s="44">
        <v>56.036299999999997</v>
      </c>
      <c r="BG1133" s="44">
        <v>0</v>
      </c>
      <c r="BH1133" s="44">
        <v>27.2056</v>
      </c>
      <c r="BI1133" s="44" t="s">
        <v>312</v>
      </c>
      <c r="BJ1133" s="44" t="s">
        <v>312</v>
      </c>
      <c r="BK1133" s="44" t="s">
        <v>91</v>
      </c>
      <c r="BL1133" s="44" t="s">
        <v>509</v>
      </c>
      <c r="BM1133" s="44" t="s">
        <v>1411</v>
      </c>
      <c r="BN1133" s="44" t="s">
        <v>312</v>
      </c>
      <c r="BO1133" s="44" t="s">
        <v>312</v>
      </c>
      <c r="BP1133" s="44" t="s">
        <v>312</v>
      </c>
      <c r="BQ1133" s="44" t="s">
        <v>92</v>
      </c>
      <c r="BR1133" s="44" t="s">
        <v>134</v>
      </c>
      <c r="BS1133" s="44">
        <v>52</v>
      </c>
      <c r="BT1133" s="44">
        <v>61</v>
      </c>
      <c r="BU1133" s="44">
        <v>2015</v>
      </c>
      <c r="BV1133" s="44">
        <v>2019</v>
      </c>
      <c r="BW1133" s="44" t="s">
        <v>2310</v>
      </c>
      <c r="BX1133" s="44" t="s">
        <v>95</v>
      </c>
      <c r="BY1133" s="44" t="s">
        <v>96</v>
      </c>
      <c r="BZ1133" s="44">
        <v>0</v>
      </c>
      <c r="CA1133" s="44">
        <v>0</v>
      </c>
      <c r="CB1133" s="44" t="s">
        <v>97</v>
      </c>
      <c r="CC1133" s="44" t="s">
        <v>314</v>
      </c>
      <c r="CD1133" s="44">
        <v>1</v>
      </c>
      <c r="CE1133" s="44" t="s">
        <v>2312</v>
      </c>
      <c r="CF1133" s="44">
        <v>0</v>
      </c>
      <c r="CG1133" s="44" t="s">
        <v>97</v>
      </c>
      <c r="CH1133" s="44">
        <v>1</v>
      </c>
      <c r="CI1133" s="44" t="s">
        <v>943</v>
      </c>
      <c r="CJ1133" s="44" t="s">
        <v>98</v>
      </c>
      <c r="CK1133" s="44">
        <v>32</v>
      </c>
      <c r="CL1133" s="44">
        <v>0</v>
      </c>
      <c r="CM1133" s="44">
        <v>0</v>
      </c>
      <c r="CN1133" s="44" t="s">
        <v>99</v>
      </c>
      <c r="CO1133" s="44" t="s">
        <v>380</v>
      </c>
      <c r="CP1133" s="44" t="s">
        <v>100</v>
      </c>
      <c r="CQ1133" s="44" t="s">
        <v>126</v>
      </c>
      <c r="CR1133" s="45">
        <v>46267</v>
      </c>
      <c r="CT1133" s="44" t="s">
        <v>2316</v>
      </c>
    </row>
    <row r="1134" spans="1:98" s="44" customFormat="1" x14ac:dyDescent="0.35">
      <c r="A1134" s="43" t="s">
        <v>2305</v>
      </c>
      <c r="B1134" s="43" t="s">
        <v>2318</v>
      </c>
      <c r="C1134" s="44" t="s">
        <v>2306</v>
      </c>
      <c r="D1134" s="44">
        <v>2024</v>
      </c>
      <c r="E1134" s="64" t="s">
        <v>2307</v>
      </c>
      <c r="F1134" s="43" t="s">
        <v>2308</v>
      </c>
      <c r="G1134" s="44" t="s">
        <v>78</v>
      </c>
      <c r="H1134" s="44">
        <v>1</v>
      </c>
      <c r="I1134" s="44" t="s">
        <v>390</v>
      </c>
      <c r="J1134" s="44" t="s">
        <v>2210</v>
      </c>
      <c r="K1134" s="44">
        <v>35</v>
      </c>
      <c r="L1134" s="44" t="s">
        <v>1179</v>
      </c>
      <c r="M1134" s="44" t="s">
        <v>380</v>
      </c>
      <c r="N1134" s="44">
        <v>-0.17460000000000001</v>
      </c>
      <c r="O1134" s="44">
        <v>0.1113</v>
      </c>
      <c r="P1134" s="44">
        <f t="shared" si="546"/>
        <v>-1.568733153638814</v>
      </c>
      <c r="Q1134" s="44" t="s">
        <v>312</v>
      </c>
      <c r="R1134" s="44">
        <f t="shared" si="547"/>
        <v>-0.39274799999999999</v>
      </c>
      <c r="S1134" s="44">
        <f t="shared" si="548"/>
        <v>4.3547999999999976E-2</v>
      </c>
      <c r="T1134" s="44">
        <v>1</v>
      </c>
      <c r="U1134" s="44">
        <v>925789</v>
      </c>
      <c r="V1134" s="44" t="s">
        <v>312</v>
      </c>
      <c r="W1134" s="44" t="s">
        <v>312</v>
      </c>
      <c r="X1134" s="44">
        <f t="shared" ref="X1134:X1138" si="574">U1134</f>
        <v>925789</v>
      </c>
      <c r="Y1134" s="44">
        <f t="shared" ref="Y1134:Y1138" si="575">P1134/(P1134^2 + X1134)^(1/2)</f>
        <v>-1.6303937043527002E-3</v>
      </c>
      <c r="Z1134" s="44">
        <f t="shared" ref="Z1134:Z1138" si="576">((1-Y1134^2)/X1134)^(1/2)</f>
        <v>1.0393059524310168E-3</v>
      </c>
      <c r="AA1134" s="44">
        <f t="shared" ref="AA1134:AA1138" si="577">Y1134</f>
        <v>-1.6303937043527002E-3</v>
      </c>
      <c r="AB1134" s="44" t="s">
        <v>81</v>
      </c>
      <c r="AC1134" s="44">
        <f t="shared" si="572"/>
        <v>-2.6532172158238729E-3</v>
      </c>
      <c r="AD1134" s="44" cm="1">
        <f t="array" ref="AD1134">_xlfn.IFS(
AND(L1134="marginal_effect",M1134="level"),N1134*AN1134/BF1134,
AND(L1134="marginal_effect",M1134="sd (Y)"),N1134*BI1134*AN1134/BF1134,
AND(L1134="marginal_effect",M1134="sd (X)"),N1134/AQ1134*AN1134/BF1134,
AND(L1134="semi_elasticity",M1134="level"),N1134*AN1134,
AND(L1134="semi_elasticity",M1134="sd (Y)"),N1134*AN1134*BI1134,
AND(L1134="semi_elasticity",M1134="sd (X)"),N1134*AN1134/AQ1134,
AND(L1134="level-log",M1134="level"),N1134/BF1134,
AND(L1134="level-log",M1134="sd (X)"),N1134/BF1134/AQ1134,
AND(L1134="level-log",M1134="sd (Y)"),N1134/BF1134*BI1134,
AND(L1134="elasticity",M1134="level"),N1134,
AND(L1134="elasticity",M1134="sd (X)"),N1134/AQ1134,
AND(L1134="elasticity",M1134="sd (Y)"),N1134*BI1134,
AND(L1134="marginal_effect",M1134="percent_of_mean"),N1134*AN1134/BF1134/10)</f>
        <v>-2.6532172158238729E-3</v>
      </c>
      <c r="AE1134" s="44">
        <f t="shared" si="561"/>
        <v>1</v>
      </c>
      <c r="AF1134" s="44">
        <f t="shared" si="573"/>
        <v>1.6913120052760426E-3</v>
      </c>
      <c r="AG1134" s="44" cm="1">
        <f t="array" ref="AG1134">_xlfn.IFS(
AND(L1134="marginal_effect",M1134="level"),O1134*AN1134/BF1134,
AND(L1134="marginal_effect",M1134="sd (Y)"),O1134*BI1134*AN1134/BF1134,
AND(L1134="marginal_effect",M1134="sd (X)"),O1134/AQ1134*AN1134/BF1134,
AND(L1134="semi_elasticity",M1134="level"),O1134*AN1134,
AND(L1134="semi_elasticity",M1134="sd (Y)"),O1134*AN1134*BI1134,
AND(L1134="semi_elasticity",M1134="sd (X)"),O1134*AN1134/AQ1134,
AND(L1134="level-log",M1134="level"),O1134/BF1134,
AND(L1134="level-log",M1134="sd (X)"),O1134/BF1134/AQ1134,
AND(L1134="level-log",M1134="sd (Y)"),O1134/BF1134*BI1134,
AND(L1134="elasticity",M1134="level"),O1134,
AND(L1134="elasticity",M1134="sd (X)"),O1134/AQ1134,
AND(L1134="elasticity",M1134="sd (Y)"),O1134*BI1134,
AND(L1134="marginal_effect",M1134="percent_of_mean"),O1134*AN1134/BF1134/10)</f>
        <v>1.6913120052760426E-3</v>
      </c>
      <c r="AH1134" s="44">
        <f t="shared" si="571"/>
        <v>1</v>
      </c>
      <c r="AI1134" s="44">
        <f t="shared" si="564"/>
        <v>-2.6532172158238729E-3</v>
      </c>
      <c r="AJ1134" s="44">
        <v>0</v>
      </c>
      <c r="AK1134" s="44">
        <f t="shared" si="565"/>
        <v>1</v>
      </c>
      <c r="AL1134" s="44" t="s">
        <v>131</v>
      </c>
      <c r="AM1134" s="44" t="s">
        <v>410</v>
      </c>
      <c r="AN1134" s="44">
        <v>10.908099999999999</v>
      </c>
      <c r="AO1134" s="44">
        <v>0</v>
      </c>
      <c r="AP1134" s="44">
        <f t="shared" si="570"/>
        <v>10.908099999999999</v>
      </c>
      <c r="AQ1134" s="44">
        <v>8.5166000000000004</v>
      </c>
      <c r="AR1134" s="44" t="s">
        <v>312</v>
      </c>
      <c r="AS1134" s="44" t="s">
        <v>312</v>
      </c>
      <c r="AT1134" s="44" t="s">
        <v>83</v>
      </c>
      <c r="AU1134" s="44" t="s">
        <v>109</v>
      </c>
      <c r="AV1134" s="44" t="s">
        <v>133</v>
      </c>
      <c r="AW1134" s="44" t="s">
        <v>85</v>
      </c>
      <c r="AX1134" s="44" t="s">
        <v>86</v>
      </c>
      <c r="AY1134" s="44">
        <v>0</v>
      </c>
      <c r="AZ1134" s="44">
        <v>0</v>
      </c>
      <c r="BA1134" s="44" t="s">
        <v>111</v>
      </c>
      <c r="BB1134" s="44" t="s">
        <v>134</v>
      </c>
      <c r="BC1134" s="44" t="s">
        <v>113</v>
      </c>
      <c r="BD1134" s="44" t="s">
        <v>134</v>
      </c>
      <c r="BE1134" s="44" t="s">
        <v>2309</v>
      </c>
      <c r="BF1134" s="44">
        <v>65.806899999999999</v>
      </c>
      <c r="BG1134" s="44">
        <v>0</v>
      </c>
      <c r="BH1134" s="44">
        <v>37.671199999999999</v>
      </c>
      <c r="BI1134" s="44" t="s">
        <v>312</v>
      </c>
      <c r="BJ1134" s="44" t="s">
        <v>312</v>
      </c>
      <c r="BK1134" s="44" t="s">
        <v>91</v>
      </c>
      <c r="BL1134" s="44" t="s">
        <v>509</v>
      </c>
      <c r="BM1134" s="44" t="s">
        <v>1411</v>
      </c>
      <c r="BN1134" s="44" t="s">
        <v>312</v>
      </c>
      <c r="BO1134" s="44" t="s">
        <v>312</v>
      </c>
      <c r="BP1134" s="44" t="s">
        <v>312</v>
      </c>
      <c r="BQ1134" s="44" t="s">
        <v>92</v>
      </c>
      <c r="BR1134" s="44" t="s">
        <v>134</v>
      </c>
      <c r="BS1134" s="44">
        <v>52</v>
      </c>
      <c r="BT1134" s="44">
        <v>61</v>
      </c>
      <c r="BU1134" s="44">
        <v>2015</v>
      </c>
      <c r="BV1134" s="44">
        <v>2019</v>
      </c>
      <c r="BW1134" s="44" t="s">
        <v>2310</v>
      </c>
      <c r="BX1134" s="44" t="s">
        <v>95</v>
      </c>
      <c r="BY1134" s="44" t="s">
        <v>748</v>
      </c>
      <c r="BZ1134" s="44">
        <v>1</v>
      </c>
      <c r="CA1134" s="44">
        <v>1</v>
      </c>
      <c r="CB1134" s="44" t="s">
        <v>2311</v>
      </c>
      <c r="CC1134" s="44" t="s">
        <v>314</v>
      </c>
      <c r="CD1134" s="44">
        <v>1</v>
      </c>
      <c r="CE1134" s="44" t="s">
        <v>2312</v>
      </c>
      <c r="CF1134" s="44">
        <v>0</v>
      </c>
      <c r="CG1134" s="44" t="s">
        <v>97</v>
      </c>
      <c r="CH1134" s="44">
        <v>1</v>
      </c>
      <c r="CI1134" s="44" t="s">
        <v>943</v>
      </c>
      <c r="CJ1134" s="44" t="s">
        <v>98</v>
      </c>
      <c r="CK1134" s="44">
        <v>32</v>
      </c>
      <c r="CL1134" s="44">
        <v>0</v>
      </c>
      <c r="CM1134" s="44">
        <v>0</v>
      </c>
      <c r="CN1134" s="44" t="s">
        <v>99</v>
      </c>
      <c r="CO1134" s="44" t="s">
        <v>97</v>
      </c>
      <c r="CP1134" s="44" t="s">
        <v>100</v>
      </c>
      <c r="CQ1134" s="44" t="s">
        <v>126</v>
      </c>
      <c r="CR1134" s="45">
        <v>46267</v>
      </c>
      <c r="CT1134" s="44" t="s">
        <v>2314</v>
      </c>
    </row>
    <row r="1135" spans="1:98" s="44" customFormat="1" x14ac:dyDescent="0.35">
      <c r="A1135" s="43" t="s">
        <v>2305</v>
      </c>
      <c r="B1135" s="43" t="s">
        <v>2320</v>
      </c>
      <c r="C1135" s="44" t="s">
        <v>2306</v>
      </c>
      <c r="D1135" s="44">
        <v>2024</v>
      </c>
      <c r="E1135" s="64" t="s">
        <v>2307</v>
      </c>
      <c r="F1135" s="43" t="s">
        <v>2308</v>
      </c>
      <c r="G1135" s="44" t="s">
        <v>78</v>
      </c>
      <c r="H1135" s="44">
        <v>1</v>
      </c>
      <c r="I1135" s="44" t="s">
        <v>390</v>
      </c>
      <c r="J1135" s="44" t="s">
        <v>2210</v>
      </c>
      <c r="K1135" s="44">
        <v>35</v>
      </c>
      <c r="L1135" s="44" t="s">
        <v>1179</v>
      </c>
      <c r="M1135" s="44" t="s">
        <v>380</v>
      </c>
      <c r="N1135" s="44">
        <v>-0.44009999999999999</v>
      </c>
      <c r="O1135" s="44">
        <v>0.13569999999999999</v>
      </c>
      <c r="P1135" s="44">
        <f t="shared" si="546"/>
        <v>-3.2431834929992633</v>
      </c>
      <c r="Q1135" s="44" t="s">
        <v>312</v>
      </c>
      <c r="R1135" s="44">
        <f t="shared" si="547"/>
        <v>-0.70607200000000003</v>
      </c>
      <c r="S1135" s="44">
        <f t="shared" si="548"/>
        <v>-0.174128</v>
      </c>
      <c r="T1135" s="44">
        <v>1</v>
      </c>
      <c r="U1135" s="44">
        <v>296574</v>
      </c>
      <c r="V1135" s="44" t="s">
        <v>312</v>
      </c>
      <c r="W1135" s="44" t="s">
        <v>312</v>
      </c>
      <c r="X1135" s="44">
        <f t="shared" si="574"/>
        <v>296574</v>
      </c>
      <c r="Y1135" s="44">
        <f t="shared" si="575"/>
        <v>-5.9552127652883645E-3</v>
      </c>
      <c r="Z1135" s="44">
        <f t="shared" si="576"/>
        <v>1.8362244313783935E-3</v>
      </c>
      <c r="AA1135" s="44">
        <f t="shared" si="577"/>
        <v>-5.9552127652883645E-3</v>
      </c>
      <c r="AB1135" s="44" t="s">
        <v>81</v>
      </c>
      <c r="AC1135" s="44">
        <f t="shared" si="572"/>
        <v>-5.0857916778374581E-3</v>
      </c>
      <c r="AD1135" s="44" cm="1">
        <f t="array" ref="AD1135">_xlfn.IFS(
AND(L1135="marginal_effect",M1135="level"),N1135*AN1135/BF1135,
AND(L1135="marginal_effect",M1135="sd (Y)"),N1135*BI1135*AN1135/BF1135,
AND(L1135="marginal_effect",M1135="sd (X)"),N1135/AQ1135*AN1135/BF1135,
AND(L1135="semi_elasticity",M1135="level"),N1135*AN1135,
AND(L1135="semi_elasticity",M1135="sd (Y)"),N1135*AN1135*BI1135,
AND(L1135="semi_elasticity",M1135="sd (X)"),N1135*AN1135/AQ1135,
AND(L1135="level-log",M1135="level"),N1135/BF1135,
AND(L1135="level-log",M1135="sd (X)"),N1135/BF1135/AQ1135,
AND(L1135="level-log",M1135="sd (Y)"),N1135/BF1135*BI1135,
AND(L1135="elasticity",M1135="level"),N1135,
AND(L1135="elasticity",M1135="sd (X)"),N1135/AQ1135,
AND(L1135="elasticity",M1135="sd (Y)"),N1135*BI1135,
AND(L1135="marginal_effect",M1135="percent_of_mean"),N1135*AN1135/BF1135/10)</f>
        <v>-5.0857916778374581E-3</v>
      </c>
      <c r="AE1135" s="44">
        <f t="shared" si="561"/>
        <v>1</v>
      </c>
      <c r="AF1135" s="44">
        <f t="shared" si="573"/>
        <v>1.5681479906442695E-3</v>
      </c>
      <c r="AG1135" s="44" cm="1">
        <f t="array" ref="AG1135">_xlfn.IFS(
AND(L1135="marginal_effect",M1135="level"),O1135*AN1135/BF1135,
AND(L1135="marginal_effect",M1135="sd (Y)"),O1135*BI1135*AN1135/BF1135,
AND(L1135="marginal_effect",M1135="sd (X)"),O1135/AQ1135*AN1135/BF1135,
AND(L1135="semi_elasticity",M1135="level"),O1135*AN1135,
AND(L1135="semi_elasticity",M1135="sd (Y)"),O1135*AN1135*BI1135,
AND(L1135="semi_elasticity",M1135="sd (X)"),O1135*AN1135/AQ1135,
AND(L1135="level-log",M1135="level"),O1135/BF1135,
AND(L1135="level-log",M1135="sd (X)"),O1135/BF1135/AQ1135,
AND(L1135="level-log",M1135="sd (Y)"),O1135/BF1135*BI1135,
AND(L1135="elasticity",M1135="level"),O1135,
AND(L1135="elasticity",M1135="sd (X)"),O1135/AQ1135,
AND(L1135="elasticity",M1135="sd (Y)"),O1135*BI1135,
AND(L1135="marginal_effect",M1135="percent_of_mean"),O1135*AN1135/BF1135/10)</f>
        <v>1.5681479906442695E-3</v>
      </c>
      <c r="AH1135" s="44">
        <f t="shared" si="571"/>
        <v>1</v>
      </c>
      <c r="AI1135" s="44">
        <f t="shared" si="564"/>
        <v>-5.0857916778374581E-3</v>
      </c>
      <c r="AJ1135" s="44">
        <v>0</v>
      </c>
      <c r="AK1135" s="44">
        <f t="shared" si="565"/>
        <v>1</v>
      </c>
      <c r="AL1135" s="44" t="s">
        <v>131</v>
      </c>
      <c r="AM1135" s="44" t="s">
        <v>410</v>
      </c>
      <c r="AN1135" s="44">
        <v>10.7354</v>
      </c>
      <c r="AO1135" s="44">
        <v>0</v>
      </c>
      <c r="AP1135" s="44">
        <f t="shared" si="570"/>
        <v>10.7354</v>
      </c>
      <c r="AQ1135" s="44">
        <v>8.2917000000000005</v>
      </c>
      <c r="AR1135" s="44" t="s">
        <v>312</v>
      </c>
      <c r="AS1135" s="44" t="s">
        <v>312</v>
      </c>
      <c r="AT1135" s="44" t="s">
        <v>83</v>
      </c>
      <c r="AU1135" s="44" t="s">
        <v>109</v>
      </c>
      <c r="AV1135" s="44" t="s">
        <v>133</v>
      </c>
      <c r="AW1135" s="44" t="s">
        <v>85</v>
      </c>
      <c r="AX1135" s="44" t="s">
        <v>86</v>
      </c>
      <c r="AY1135" s="44">
        <v>0</v>
      </c>
      <c r="AZ1135" s="44">
        <v>0</v>
      </c>
      <c r="BA1135" s="44" t="s">
        <v>111</v>
      </c>
      <c r="BB1135" s="44" t="s">
        <v>134</v>
      </c>
      <c r="BC1135" s="44" t="s">
        <v>113</v>
      </c>
      <c r="BD1135" s="44" t="s">
        <v>134</v>
      </c>
      <c r="BE1135" s="44" t="s">
        <v>2309</v>
      </c>
      <c r="BF1135" s="44">
        <v>86.535200000000003</v>
      </c>
      <c r="BG1135" s="44">
        <v>0</v>
      </c>
      <c r="BH1135" s="44">
        <v>47.195799999999998</v>
      </c>
      <c r="BI1135" s="44" t="s">
        <v>312</v>
      </c>
      <c r="BJ1135" s="44" t="s">
        <v>312</v>
      </c>
      <c r="BK1135" s="44" t="s">
        <v>91</v>
      </c>
      <c r="BL1135" s="44" t="s">
        <v>509</v>
      </c>
      <c r="BM1135" s="44" t="s">
        <v>1411</v>
      </c>
      <c r="BN1135" s="44" t="s">
        <v>312</v>
      </c>
      <c r="BO1135" s="44" t="s">
        <v>312</v>
      </c>
      <c r="BP1135" s="44" t="s">
        <v>312</v>
      </c>
      <c r="BQ1135" s="44" t="s">
        <v>92</v>
      </c>
      <c r="BR1135" s="44" t="s">
        <v>134</v>
      </c>
      <c r="BS1135" s="44">
        <v>52</v>
      </c>
      <c r="BT1135" s="44">
        <v>61</v>
      </c>
      <c r="BU1135" s="44">
        <v>2015</v>
      </c>
      <c r="BV1135" s="44">
        <v>2019</v>
      </c>
      <c r="BW1135" s="44" t="s">
        <v>2310</v>
      </c>
      <c r="BX1135" s="44" t="s">
        <v>95</v>
      </c>
      <c r="BY1135" s="44" t="s">
        <v>748</v>
      </c>
      <c r="BZ1135" s="44">
        <v>1</v>
      </c>
      <c r="CA1135" s="44">
        <v>1</v>
      </c>
      <c r="CB1135" s="44" t="s">
        <v>2311</v>
      </c>
      <c r="CC1135" s="44" t="s">
        <v>314</v>
      </c>
      <c r="CD1135" s="44">
        <v>1</v>
      </c>
      <c r="CE1135" s="44" t="s">
        <v>2312</v>
      </c>
      <c r="CF1135" s="44">
        <v>0</v>
      </c>
      <c r="CG1135" s="44" t="s">
        <v>97</v>
      </c>
      <c r="CH1135" s="44">
        <v>1</v>
      </c>
      <c r="CI1135" s="44" t="s">
        <v>943</v>
      </c>
      <c r="CJ1135" s="44" t="s">
        <v>98</v>
      </c>
      <c r="CK1135" s="44">
        <v>32</v>
      </c>
      <c r="CL1135" s="44">
        <v>1</v>
      </c>
      <c r="CM1135" s="44">
        <v>1</v>
      </c>
      <c r="CN1135" s="44" t="s">
        <v>99</v>
      </c>
      <c r="CO1135" s="44" t="s">
        <v>380</v>
      </c>
      <c r="CP1135" s="44" t="s">
        <v>100</v>
      </c>
      <c r="CQ1135" s="44" t="s">
        <v>126</v>
      </c>
      <c r="CR1135" s="45">
        <v>46267</v>
      </c>
      <c r="CT1135" s="44" t="s">
        <v>2315</v>
      </c>
    </row>
    <row r="1136" spans="1:98" s="44" customFormat="1" x14ac:dyDescent="0.35">
      <c r="A1136" s="43" t="s">
        <v>2305</v>
      </c>
      <c r="B1136" s="43" t="s">
        <v>2322</v>
      </c>
      <c r="C1136" s="44" t="s">
        <v>2306</v>
      </c>
      <c r="D1136" s="44">
        <v>2024</v>
      </c>
      <c r="E1136" s="64" t="s">
        <v>2307</v>
      </c>
      <c r="F1136" s="43" t="s">
        <v>2308</v>
      </c>
      <c r="G1136" s="44" t="s">
        <v>78</v>
      </c>
      <c r="H1136" s="44">
        <v>1</v>
      </c>
      <c r="I1136" s="44" t="s">
        <v>390</v>
      </c>
      <c r="J1136" s="44" t="s">
        <v>2210</v>
      </c>
      <c r="K1136" s="44">
        <v>35</v>
      </c>
      <c r="L1136" s="44" t="s">
        <v>1179</v>
      </c>
      <c r="M1136" s="44" t="s">
        <v>380</v>
      </c>
      <c r="N1136" s="44">
        <v>8.2500000000000004E-2</v>
      </c>
      <c r="O1136" s="44">
        <v>8.9099999999999999E-2</v>
      </c>
      <c r="P1136" s="44">
        <f t="shared" si="546"/>
        <v>0.92592592592592593</v>
      </c>
      <c r="Q1136" s="44" t="s">
        <v>312</v>
      </c>
      <c r="R1136" s="44">
        <f t="shared" si="547"/>
        <v>-9.2135999999999982E-2</v>
      </c>
      <c r="S1136" s="44">
        <f t="shared" si="548"/>
        <v>0.25713599999999998</v>
      </c>
      <c r="T1136" s="44">
        <v>1</v>
      </c>
      <c r="U1136" s="44">
        <v>629176</v>
      </c>
      <c r="V1136" s="44" t="s">
        <v>312</v>
      </c>
      <c r="W1136" s="44" t="s">
        <v>312</v>
      </c>
      <c r="X1136" s="44">
        <f t="shared" si="574"/>
        <v>629176</v>
      </c>
      <c r="Y1136" s="44">
        <f t="shared" si="575"/>
        <v>1.1673198605750875E-3</v>
      </c>
      <c r="Z1136" s="44">
        <f t="shared" si="576"/>
        <v>1.2607054494210947E-3</v>
      </c>
      <c r="AA1136" s="44">
        <f t="shared" si="577"/>
        <v>1.1673198605750875E-3</v>
      </c>
      <c r="AB1136" s="44" t="s">
        <v>81</v>
      </c>
      <c r="AC1136" s="44">
        <f t="shared" si="572"/>
        <v>1.472259945785143E-3</v>
      </c>
      <c r="AD1136" s="44" cm="1">
        <f t="array" ref="AD1136">_xlfn.IFS(
AND(L1136="marginal_effect",M1136="level"),N1136*AN1136/BF1136,
AND(L1136="marginal_effect",M1136="sd (Y)"),N1136*BI1136*AN1136/BF1136,
AND(L1136="marginal_effect",M1136="sd (X)"),N1136/AQ1136*AN1136/BF1136,
AND(L1136="semi_elasticity",M1136="level"),N1136*AN1136,
AND(L1136="semi_elasticity",M1136="sd (Y)"),N1136*AN1136*BI1136,
AND(L1136="semi_elasticity",M1136="sd (X)"),N1136*AN1136/AQ1136,
AND(L1136="level-log",M1136="level"),N1136/BF1136,
AND(L1136="level-log",M1136="sd (X)"),N1136/BF1136/AQ1136,
AND(L1136="level-log",M1136="sd (Y)"),N1136/BF1136*BI1136,
AND(L1136="elasticity",M1136="level"),N1136,
AND(L1136="elasticity",M1136="sd (X)"),N1136/AQ1136,
AND(L1136="elasticity",M1136="sd (Y)"),N1136*BI1136,
AND(L1136="marginal_effect",M1136="percent_of_mean"),N1136*AN1136/BF1136/10)</f>
        <v>1.472259945785143E-3</v>
      </c>
      <c r="AE1136" s="44">
        <f t="shared" si="561"/>
        <v>1</v>
      </c>
      <c r="AF1136" s="44">
        <f t="shared" si="573"/>
        <v>1.5900407414479543E-3</v>
      </c>
      <c r="AG1136" s="44" cm="1">
        <f t="array" ref="AG1136">_xlfn.IFS(
AND(L1136="marginal_effect",M1136="level"),O1136*AN1136/BF1136,
AND(L1136="marginal_effect",M1136="sd (Y)"),O1136*BI1136*AN1136/BF1136,
AND(L1136="marginal_effect",M1136="sd (X)"),O1136/AQ1136*AN1136/BF1136,
AND(L1136="semi_elasticity",M1136="level"),O1136*AN1136,
AND(L1136="semi_elasticity",M1136="sd (Y)"),O1136*AN1136*BI1136,
AND(L1136="semi_elasticity",M1136="sd (X)"),O1136*AN1136/AQ1136,
AND(L1136="level-log",M1136="level"),O1136/BF1136,
AND(L1136="level-log",M1136="sd (X)"),O1136/BF1136/AQ1136,
AND(L1136="level-log",M1136="sd (Y)"),O1136/BF1136*BI1136,
AND(L1136="elasticity",M1136="level"),O1136,
AND(L1136="elasticity",M1136="sd (X)"),O1136/AQ1136,
AND(L1136="elasticity",M1136="sd (Y)"),O1136*BI1136,
AND(L1136="marginal_effect",M1136="percent_of_mean"),O1136*AN1136/BF1136/10)</f>
        <v>1.5900407414479543E-3</v>
      </c>
      <c r="AH1136" s="44">
        <f t="shared" si="571"/>
        <v>1</v>
      </c>
      <c r="AI1136" s="44">
        <f t="shared" si="564"/>
        <v>1.472259945785143E-3</v>
      </c>
      <c r="AJ1136" s="44">
        <v>0</v>
      </c>
      <c r="AK1136" s="44">
        <f t="shared" si="565"/>
        <v>1</v>
      </c>
      <c r="AL1136" s="44" t="s">
        <v>131</v>
      </c>
      <c r="AM1136" s="44" t="s">
        <v>410</v>
      </c>
      <c r="AN1136" s="44">
        <v>10.9894</v>
      </c>
      <c r="AO1136" s="44">
        <v>0</v>
      </c>
      <c r="AP1136" s="44">
        <f t="shared" si="570"/>
        <v>10.9894</v>
      </c>
      <c r="AQ1136" s="44">
        <v>8.6193000000000008</v>
      </c>
      <c r="AR1136" s="44" t="s">
        <v>312</v>
      </c>
      <c r="AS1136" s="44" t="s">
        <v>312</v>
      </c>
      <c r="AT1136" s="44" t="s">
        <v>83</v>
      </c>
      <c r="AU1136" s="44" t="s">
        <v>109</v>
      </c>
      <c r="AV1136" s="44" t="s">
        <v>133</v>
      </c>
      <c r="AW1136" s="44" t="s">
        <v>85</v>
      </c>
      <c r="AX1136" s="44" t="s">
        <v>86</v>
      </c>
      <c r="AY1136" s="44">
        <v>0</v>
      </c>
      <c r="AZ1136" s="44">
        <v>0</v>
      </c>
      <c r="BA1136" s="44" t="s">
        <v>111</v>
      </c>
      <c r="BB1136" s="44" t="s">
        <v>134</v>
      </c>
      <c r="BC1136" s="44" t="s">
        <v>113</v>
      </c>
      <c r="BD1136" s="44" t="s">
        <v>134</v>
      </c>
      <c r="BE1136" s="44" t="s">
        <v>2309</v>
      </c>
      <c r="BF1136" s="44">
        <v>56.036299999999997</v>
      </c>
      <c r="BG1136" s="44">
        <v>0</v>
      </c>
      <c r="BH1136" s="44">
        <v>27.2056</v>
      </c>
      <c r="BI1136" s="44" t="s">
        <v>312</v>
      </c>
      <c r="BJ1136" s="44" t="s">
        <v>312</v>
      </c>
      <c r="BK1136" s="44" t="s">
        <v>91</v>
      </c>
      <c r="BL1136" s="44" t="s">
        <v>509</v>
      </c>
      <c r="BM1136" s="44" t="s">
        <v>1411</v>
      </c>
      <c r="BN1136" s="44" t="s">
        <v>312</v>
      </c>
      <c r="BO1136" s="44" t="s">
        <v>312</v>
      </c>
      <c r="BP1136" s="44" t="s">
        <v>312</v>
      </c>
      <c r="BQ1136" s="44" t="s">
        <v>92</v>
      </c>
      <c r="BR1136" s="44" t="s">
        <v>134</v>
      </c>
      <c r="BS1136" s="44">
        <v>52</v>
      </c>
      <c r="BT1136" s="44">
        <v>61</v>
      </c>
      <c r="BU1136" s="44">
        <v>2015</v>
      </c>
      <c r="BV1136" s="44">
        <v>2019</v>
      </c>
      <c r="BW1136" s="44" t="s">
        <v>2310</v>
      </c>
      <c r="BX1136" s="44" t="s">
        <v>95</v>
      </c>
      <c r="BY1136" s="44" t="s">
        <v>748</v>
      </c>
      <c r="BZ1136" s="44">
        <v>1</v>
      </c>
      <c r="CA1136" s="44">
        <v>1</v>
      </c>
      <c r="CB1136" s="44" t="s">
        <v>2311</v>
      </c>
      <c r="CC1136" s="44" t="s">
        <v>314</v>
      </c>
      <c r="CD1136" s="44">
        <v>1</v>
      </c>
      <c r="CE1136" s="44" t="s">
        <v>2312</v>
      </c>
      <c r="CF1136" s="44">
        <v>0</v>
      </c>
      <c r="CG1136" s="44" t="s">
        <v>97</v>
      </c>
      <c r="CH1136" s="44">
        <v>1</v>
      </c>
      <c r="CI1136" s="44" t="s">
        <v>943</v>
      </c>
      <c r="CJ1136" s="44" t="s">
        <v>98</v>
      </c>
      <c r="CK1136" s="44">
        <v>32</v>
      </c>
      <c r="CL1136" s="44">
        <v>0</v>
      </c>
      <c r="CM1136" s="44">
        <v>0</v>
      </c>
      <c r="CN1136" s="44" t="s">
        <v>99</v>
      </c>
      <c r="CO1136" s="44" t="s">
        <v>380</v>
      </c>
      <c r="CP1136" s="44" t="s">
        <v>100</v>
      </c>
      <c r="CQ1136" s="44" t="s">
        <v>126</v>
      </c>
      <c r="CR1136" s="45">
        <v>46267</v>
      </c>
      <c r="CT1136" s="44" t="s">
        <v>2316</v>
      </c>
    </row>
    <row r="1137" spans="1:98" s="44" customFormat="1" x14ac:dyDescent="0.35">
      <c r="A1137" s="43" t="s">
        <v>2305</v>
      </c>
      <c r="B1137" s="43" t="s">
        <v>2323</v>
      </c>
      <c r="C1137" s="44" t="s">
        <v>2306</v>
      </c>
      <c r="D1137" s="44">
        <v>2024</v>
      </c>
      <c r="E1137" s="64" t="s">
        <v>2307</v>
      </c>
      <c r="F1137" s="43" t="s">
        <v>2308</v>
      </c>
      <c r="G1137" s="44" t="s">
        <v>78</v>
      </c>
      <c r="H1137" s="44">
        <v>1</v>
      </c>
      <c r="I1137" s="44" t="s">
        <v>390</v>
      </c>
      <c r="J1137" s="44" t="s">
        <v>2210</v>
      </c>
      <c r="K1137" s="44">
        <v>35</v>
      </c>
      <c r="L1137" s="44" t="s">
        <v>1179</v>
      </c>
      <c r="M1137" s="44" t="s">
        <v>380</v>
      </c>
      <c r="N1137" s="44">
        <v>-3.73E-2</v>
      </c>
      <c r="O1137" s="44">
        <v>1.8100000000000002E-2</v>
      </c>
      <c r="P1137" s="44">
        <f t="shared" si="546"/>
        <v>-2.0607734806629834</v>
      </c>
      <c r="Q1137" s="44" t="s">
        <v>312</v>
      </c>
      <c r="R1137" s="44">
        <f t="shared" si="547"/>
        <v>-7.2776000000000007E-2</v>
      </c>
      <c r="S1137" s="44">
        <f t="shared" si="548"/>
        <v>-1.8239999999999992E-3</v>
      </c>
      <c r="T1137" s="44">
        <v>1</v>
      </c>
      <c r="U1137" s="44">
        <v>358796</v>
      </c>
      <c r="V1137" s="44" t="s">
        <v>312</v>
      </c>
      <c r="W1137" s="44" t="s">
        <v>312</v>
      </c>
      <c r="X1137" s="44">
        <f t="shared" si="574"/>
        <v>358796</v>
      </c>
      <c r="Y1137" s="44">
        <f t="shared" si="575"/>
        <v>-3.4403600061849475E-3</v>
      </c>
      <c r="Z1137" s="44">
        <f t="shared" si="576"/>
        <v>1.6694508341004704E-3</v>
      </c>
      <c r="AA1137" s="44">
        <f t="shared" si="577"/>
        <v>-3.4403600061849475E-3</v>
      </c>
      <c r="AB1137" s="44" t="s">
        <v>81</v>
      </c>
      <c r="AC1137" s="44">
        <f t="shared" ref="AC1137" si="578">N1137/BF1137</f>
        <v>-4.3103846758313379E-4</v>
      </c>
      <c r="AD1137" s="44" cm="1">
        <f t="array" ref="AD1137">_xlfn.IFS(
AND(L1137="marginal_effect",M1137="level"),N1137*AN1137/BF1137,
AND(L1137="marginal_effect",M1137="sd (Y)"),N1137*BI1137*AN1137/BF1137,
AND(L1137="marginal_effect",M1137="sd (X)"),N1137/AQ1137*AN1137/BF1137,
AND(L1137="semi_elasticity",M1137="level"),N1137*AN1137,
AND(L1137="semi_elasticity",M1137="sd (Y)"),N1137*AN1137*BI1137,
AND(L1137="semi_elasticity",M1137="sd (X)"),N1137*AN1137/AQ1137,
AND(L1137="level-log",M1137="level"),N1137/BF1137,
AND(L1137="level-log",M1137="sd (X)"),N1137/BF1137/AQ1137,
AND(L1137="level-log",M1137="sd (Y)"),N1137/BF1137*BI1137,
AND(L1137="elasticity",M1137="level"),N1137,
AND(L1137="elasticity",M1137="sd (X)"),N1137/AQ1137,
AND(L1137="elasticity",M1137="sd (Y)"),N1137*BI1137,
AND(L1137="marginal_effect",M1137="percent_of_mean"),N1137*AN1137/BF1137/10)</f>
        <v>-4.3103846758313379E-4</v>
      </c>
      <c r="AE1137" s="44">
        <f t="shared" ref="AE1137:AE1142" si="579">IF(AC1137=AD1137,1,0)</f>
        <v>1</v>
      </c>
      <c r="AF1137" s="44">
        <f t="shared" ref="AF1137:AF1142" si="580">O1137/BF1137</f>
        <v>2.0916343869315608E-4</v>
      </c>
      <c r="AG1137" s="44" cm="1">
        <f t="array" ref="AG1137">_xlfn.IFS(
AND(L1137="marginal_effect",M1137="level"),O1137*AN1137/BF1137,
AND(L1137="marginal_effect",M1137="sd (Y)"),O1137*BI1137*AN1137/BF1137,
AND(L1137="marginal_effect",M1137="sd (X)"),O1137/AQ1137*AN1137/BF1137,
AND(L1137="semi_elasticity",M1137="level"),O1137*AN1137,
AND(L1137="semi_elasticity",M1137="sd (Y)"),O1137*AN1137*BI1137,
AND(L1137="semi_elasticity",M1137="sd (X)"),O1137*AN1137/AQ1137,
AND(L1137="level-log",M1137="level"),O1137/BF1137,
AND(L1137="level-log",M1137="sd (X)"),O1137/BF1137/AQ1137,
AND(L1137="level-log",M1137="sd (Y)"),O1137/BF1137*BI1137,
AND(L1137="elasticity",M1137="level"),O1137,
AND(L1137="elasticity",M1137="sd (X)"),O1137/AQ1137,
AND(L1137="elasticity",M1137="sd (Y)"),O1137*BI1137,
AND(L1137="marginal_effect",M1137="percent_of_mean"),O1137*AN1137/BF1137/10)</f>
        <v>2.0916343869315608E-4</v>
      </c>
      <c r="AH1137" s="44">
        <f t="shared" ref="AH1137:AH1142" si="581">IF(AF1137=AG1137,1,0)</f>
        <v>1</v>
      </c>
      <c r="AI1137" s="44">
        <f t="shared" ref="AI1137:AI1142" si="582">AC1137</f>
        <v>-4.3103846758313379E-4</v>
      </c>
      <c r="AJ1137" s="44">
        <v>0</v>
      </c>
      <c r="AK1137" s="44">
        <f t="shared" ref="AK1137:AK1141" si="583">IF(P1137=(AC1137/AF1137),1,0)</f>
        <v>1</v>
      </c>
      <c r="AL1137" s="44" t="s">
        <v>131</v>
      </c>
      <c r="AM1137" s="44" t="s">
        <v>410</v>
      </c>
      <c r="AN1137" s="44">
        <v>10.7354</v>
      </c>
      <c r="AO1137" s="44">
        <v>0</v>
      </c>
      <c r="AP1137" s="44">
        <f t="shared" ref="AP1137:AP1142" si="584">AN1137</f>
        <v>10.7354</v>
      </c>
      <c r="AQ1137" s="44">
        <v>8.2917000000000005</v>
      </c>
      <c r="AR1137" s="44" t="s">
        <v>312</v>
      </c>
      <c r="AS1137" s="44" t="s">
        <v>312</v>
      </c>
      <c r="AT1137" s="44" t="s">
        <v>83</v>
      </c>
      <c r="AU1137" s="44" t="s">
        <v>109</v>
      </c>
      <c r="AV1137" s="44" t="s">
        <v>133</v>
      </c>
      <c r="AW1137" s="44" t="s">
        <v>85</v>
      </c>
      <c r="AX1137" s="44" t="s">
        <v>86</v>
      </c>
      <c r="AY1137" s="44">
        <v>0</v>
      </c>
      <c r="AZ1137" s="44">
        <v>0</v>
      </c>
      <c r="BA1137" s="44" t="s">
        <v>111</v>
      </c>
      <c r="BB1137" s="44" t="s">
        <v>134</v>
      </c>
      <c r="BC1137" s="44" t="s">
        <v>113</v>
      </c>
      <c r="BD1137" s="44" t="s">
        <v>134</v>
      </c>
      <c r="BE1137" s="44" t="s">
        <v>2309</v>
      </c>
      <c r="BF1137" s="44">
        <v>86.535200000000003</v>
      </c>
      <c r="BG1137" s="44">
        <v>0</v>
      </c>
      <c r="BH1137" s="44">
        <v>47.195799999999998</v>
      </c>
      <c r="BI1137" s="44" t="s">
        <v>312</v>
      </c>
      <c r="BJ1137" s="44" t="s">
        <v>312</v>
      </c>
      <c r="BK1137" s="44" t="s">
        <v>91</v>
      </c>
      <c r="BL1137" s="44" t="s">
        <v>509</v>
      </c>
      <c r="BM1137" s="44" t="s">
        <v>1411</v>
      </c>
      <c r="BN1137" s="44" t="s">
        <v>312</v>
      </c>
      <c r="BO1137" s="44" t="s">
        <v>312</v>
      </c>
      <c r="BP1137" s="44" t="s">
        <v>312</v>
      </c>
      <c r="BQ1137" s="44" t="s">
        <v>92</v>
      </c>
      <c r="BR1137" s="44" t="s">
        <v>134</v>
      </c>
      <c r="BS1137" s="44">
        <v>52</v>
      </c>
      <c r="BT1137" s="44">
        <v>61</v>
      </c>
      <c r="BU1137" s="44">
        <v>2015</v>
      </c>
      <c r="BV1137" s="44">
        <v>2019</v>
      </c>
      <c r="BW1137" s="44" t="s">
        <v>2310</v>
      </c>
      <c r="BX1137" s="44" t="s">
        <v>95</v>
      </c>
      <c r="BY1137" s="44" t="s">
        <v>96</v>
      </c>
      <c r="BZ1137" s="44">
        <v>0</v>
      </c>
      <c r="CA1137" s="44">
        <v>0</v>
      </c>
      <c r="CB1137" s="44" t="s">
        <v>97</v>
      </c>
      <c r="CC1137" s="44" t="s">
        <v>314</v>
      </c>
      <c r="CD1137" s="44">
        <v>1</v>
      </c>
      <c r="CE1137" s="44" t="s">
        <v>2312</v>
      </c>
      <c r="CF1137" s="44">
        <v>0</v>
      </c>
      <c r="CG1137" s="44" t="s">
        <v>97</v>
      </c>
      <c r="CH1137" s="44">
        <v>1</v>
      </c>
      <c r="CI1137" s="44" t="s">
        <v>943</v>
      </c>
      <c r="CJ1137" s="44" t="s">
        <v>98</v>
      </c>
      <c r="CK1137" s="44">
        <v>32</v>
      </c>
      <c r="CL1137" s="44">
        <v>0</v>
      </c>
      <c r="CM1137" s="44">
        <v>0</v>
      </c>
      <c r="CN1137" s="44" t="s">
        <v>124</v>
      </c>
      <c r="CO1137" s="44" t="s">
        <v>380</v>
      </c>
      <c r="CP1137" s="44" t="s">
        <v>100</v>
      </c>
      <c r="CQ1137" s="44" t="s">
        <v>126</v>
      </c>
      <c r="CR1137" s="45">
        <v>46267</v>
      </c>
      <c r="CT1137" s="44" t="s">
        <v>2331</v>
      </c>
    </row>
    <row r="1138" spans="1:98" s="44" customFormat="1" x14ac:dyDescent="0.35">
      <c r="A1138" s="43" t="s">
        <v>2305</v>
      </c>
      <c r="B1138" s="43" t="s">
        <v>2325</v>
      </c>
      <c r="C1138" s="44" t="s">
        <v>2306</v>
      </c>
      <c r="D1138" s="44">
        <v>2024</v>
      </c>
      <c r="E1138" s="64" t="s">
        <v>2307</v>
      </c>
      <c r="F1138" s="43" t="s">
        <v>2308</v>
      </c>
      <c r="G1138" s="44" t="s">
        <v>78</v>
      </c>
      <c r="H1138" s="44">
        <v>1</v>
      </c>
      <c r="I1138" s="44" t="s">
        <v>390</v>
      </c>
      <c r="J1138" s="44" t="s">
        <v>2210</v>
      </c>
      <c r="K1138" s="44">
        <v>35</v>
      </c>
      <c r="L1138" s="44" t="s">
        <v>1179</v>
      </c>
      <c r="M1138" s="44" t="s">
        <v>380</v>
      </c>
      <c r="N1138" s="44">
        <v>1.9E-3</v>
      </c>
      <c r="O1138" s="44">
        <v>2.8999999999999998E-3</v>
      </c>
      <c r="P1138" s="44">
        <f t="shared" si="546"/>
        <v>0.65517241379310354</v>
      </c>
      <c r="Q1138" s="44" t="s">
        <v>312</v>
      </c>
      <c r="R1138" s="44">
        <f t="shared" si="547"/>
        <v>-3.784E-3</v>
      </c>
      <c r="S1138" s="44">
        <f t="shared" si="548"/>
        <v>7.5839999999999996E-3</v>
      </c>
      <c r="T1138" s="44">
        <v>1</v>
      </c>
      <c r="U1138" s="44">
        <v>566916</v>
      </c>
      <c r="V1138" s="44" t="s">
        <v>312</v>
      </c>
      <c r="W1138" s="44" t="s">
        <v>312</v>
      </c>
      <c r="X1138" s="44">
        <f t="shared" si="574"/>
        <v>566916</v>
      </c>
      <c r="Y1138" s="44">
        <f t="shared" si="575"/>
        <v>8.7015392106713156E-4</v>
      </c>
      <c r="Z1138" s="44">
        <f t="shared" si="576"/>
        <v>1.3281296689972007E-3</v>
      </c>
      <c r="AA1138" s="44">
        <f t="shared" si="577"/>
        <v>8.7015392106713156E-4</v>
      </c>
      <c r="AB1138" s="44" t="s">
        <v>81</v>
      </c>
      <c r="AC1138" s="44">
        <f>N1138/BF1138</f>
        <v>3.3906592690809351E-5</v>
      </c>
      <c r="AD1138" s="44" cm="1">
        <f t="array" ref="AD1138">_xlfn.IFS(
AND(L1138="marginal_effect",M1138="level"),N1138*AN1138/BF1138,
AND(L1138="marginal_effect",M1138="sd (Y)"),N1138*BI1138*AN1138/BF1138,
AND(L1138="marginal_effect",M1138="sd (X)"),N1138/AQ1138*AN1138/BF1138,
AND(L1138="semi_elasticity",M1138="level"),N1138*AN1138,
AND(L1138="semi_elasticity",M1138="sd (Y)"),N1138*AN1138*BI1138,
AND(L1138="semi_elasticity",M1138="sd (X)"),N1138*AN1138/AQ1138,
AND(L1138="level-log",M1138="level"),N1138/BF1138,
AND(L1138="level-log",M1138="sd (X)"),N1138/BF1138/AQ1138,
AND(L1138="level-log",M1138="sd (Y)"),N1138/BF1138*BI1138,
AND(L1138="elasticity",M1138="level"),N1138,
AND(L1138="elasticity",M1138="sd (X)"),N1138/AQ1138,
AND(L1138="elasticity",M1138="sd (Y)"),N1138*BI1138,
AND(L1138="marginal_effect",M1138="percent_of_mean"),N1138*AN1138/BF1138/10)</f>
        <v>3.3906592690809351E-5</v>
      </c>
      <c r="AE1138" s="44">
        <f t="shared" si="579"/>
        <v>1</v>
      </c>
      <c r="AF1138" s="44">
        <f t="shared" si="580"/>
        <v>5.1752167791235321E-5</v>
      </c>
      <c r="AG1138" s="44" cm="1">
        <f t="array" ref="AG1138">_xlfn.IFS(
AND(L1138="marginal_effect",M1138="level"),O1138*AN1138/BF1138,
AND(L1138="marginal_effect",M1138="sd (Y)"),O1138*BI1138*AN1138/BF1138,
AND(L1138="marginal_effect",M1138="sd (X)"),O1138/AQ1138*AN1138/BF1138,
AND(L1138="semi_elasticity",M1138="level"),O1138*AN1138,
AND(L1138="semi_elasticity",M1138="sd (Y)"),O1138*AN1138*BI1138,
AND(L1138="semi_elasticity",M1138="sd (X)"),O1138*AN1138/AQ1138,
AND(L1138="level-log",M1138="level"),O1138/BF1138,
AND(L1138="level-log",M1138="sd (X)"),O1138/BF1138/AQ1138,
AND(L1138="level-log",M1138="sd (Y)"),O1138/BF1138*BI1138,
AND(L1138="elasticity",M1138="level"),O1138,
AND(L1138="elasticity",M1138="sd (X)"),O1138/AQ1138,
AND(L1138="elasticity",M1138="sd (Y)"),O1138*BI1138,
AND(L1138="marginal_effect",M1138="percent_of_mean"),O1138*AN1138/BF1138/10)</f>
        <v>5.1752167791235321E-5</v>
      </c>
      <c r="AH1138" s="44">
        <f t="shared" si="581"/>
        <v>1</v>
      </c>
      <c r="AI1138" s="44">
        <f t="shared" si="582"/>
        <v>3.3906592690809351E-5</v>
      </c>
      <c r="AJ1138" s="44">
        <v>0</v>
      </c>
      <c r="AK1138" s="44">
        <f t="shared" si="583"/>
        <v>1</v>
      </c>
      <c r="AL1138" s="44" t="s">
        <v>131</v>
      </c>
      <c r="AM1138" s="44" t="s">
        <v>410</v>
      </c>
      <c r="AN1138" s="44">
        <v>10.9894</v>
      </c>
      <c r="AO1138" s="44">
        <v>0</v>
      </c>
      <c r="AP1138" s="44">
        <f t="shared" si="584"/>
        <v>10.9894</v>
      </c>
      <c r="AQ1138" s="44">
        <v>8.6193000000000008</v>
      </c>
      <c r="AR1138" s="44" t="s">
        <v>312</v>
      </c>
      <c r="AS1138" s="44" t="s">
        <v>312</v>
      </c>
      <c r="AT1138" s="44" t="s">
        <v>83</v>
      </c>
      <c r="AU1138" s="44" t="s">
        <v>109</v>
      </c>
      <c r="AV1138" s="44" t="s">
        <v>133</v>
      </c>
      <c r="AW1138" s="44" t="s">
        <v>85</v>
      </c>
      <c r="AX1138" s="44" t="s">
        <v>86</v>
      </c>
      <c r="AY1138" s="44">
        <v>0</v>
      </c>
      <c r="AZ1138" s="44">
        <v>0</v>
      </c>
      <c r="BA1138" s="44" t="s">
        <v>111</v>
      </c>
      <c r="BB1138" s="44" t="s">
        <v>134</v>
      </c>
      <c r="BC1138" s="44" t="s">
        <v>113</v>
      </c>
      <c r="BD1138" s="44" t="s">
        <v>134</v>
      </c>
      <c r="BE1138" s="44" t="s">
        <v>2309</v>
      </c>
      <c r="BF1138" s="44">
        <v>56.036299999999997</v>
      </c>
      <c r="BG1138" s="44">
        <v>0</v>
      </c>
      <c r="BH1138" s="44">
        <v>27.2056</v>
      </c>
      <c r="BI1138" s="44" t="s">
        <v>312</v>
      </c>
      <c r="BJ1138" s="44" t="s">
        <v>312</v>
      </c>
      <c r="BK1138" s="44" t="s">
        <v>91</v>
      </c>
      <c r="BL1138" s="44" t="s">
        <v>509</v>
      </c>
      <c r="BM1138" s="44" t="s">
        <v>1411</v>
      </c>
      <c r="BN1138" s="44" t="s">
        <v>312</v>
      </c>
      <c r="BO1138" s="44" t="s">
        <v>312</v>
      </c>
      <c r="BP1138" s="44" t="s">
        <v>312</v>
      </c>
      <c r="BQ1138" s="44" t="s">
        <v>92</v>
      </c>
      <c r="BR1138" s="44" t="s">
        <v>134</v>
      </c>
      <c r="BS1138" s="44">
        <v>52</v>
      </c>
      <c r="BT1138" s="44">
        <v>61</v>
      </c>
      <c r="BU1138" s="44">
        <v>2015</v>
      </c>
      <c r="BV1138" s="44">
        <v>2019</v>
      </c>
      <c r="BW1138" s="44" t="s">
        <v>2310</v>
      </c>
      <c r="BX1138" s="44" t="s">
        <v>95</v>
      </c>
      <c r="BY1138" s="44" t="s">
        <v>96</v>
      </c>
      <c r="BZ1138" s="44">
        <v>0</v>
      </c>
      <c r="CA1138" s="44">
        <v>0</v>
      </c>
      <c r="CB1138" s="44" t="s">
        <v>97</v>
      </c>
      <c r="CC1138" s="44" t="s">
        <v>314</v>
      </c>
      <c r="CD1138" s="44">
        <v>1</v>
      </c>
      <c r="CE1138" s="44" t="s">
        <v>2312</v>
      </c>
      <c r="CF1138" s="44">
        <v>0</v>
      </c>
      <c r="CG1138" s="44" t="s">
        <v>97</v>
      </c>
      <c r="CH1138" s="44">
        <v>1</v>
      </c>
      <c r="CI1138" s="44" t="s">
        <v>943</v>
      </c>
      <c r="CJ1138" s="44" t="s">
        <v>98</v>
      </c>
      <c r="CK1138" s="44">
        <v>32</v>
      </c>
      <c r="CL1138" s="44">
        <v>0</v>
      </c>
      <c r="CM1138" s="44">
        <v>0</v>
      </c>
      <c r="CN1138" s="44" t="s">
        <v>124</v>
      </c>
      <c r="CO1138" s="44" t="s">
        <v>380</v>
      </c>
      <c r="CP1138" s="44" t="s">
        <v>100</v>
      </c>
      <c r="CQ1138" s="44" t="s">
        <v>126</v>
      </c>
      <c r="CR1138" s="45">
        <v>46267</v>
      </c>
      <c r="CT1138" s="44" t="s">
        <v>1224</v>
      </c>
    </row>
    <row r="1139" spans="1:98" s="44" customFormat="1" x14ac:dyDescent="0.35">
      <c r="A1139" s="43" t="s">
        <v>2305</v>
      </c>
      <c r="B1139" s="43" t="s">
        <v>2324</v>
      </c>
      <c r="C1139" s="44" t="s">
        <v>2306</v>
      </c>
      <c r="D1139" s="44">
        <v>2024</v>
      </c>
      <c r="E1139" s="64" t="s">
        <v>2307</v>
      </c>
      <c r="F1139" s="43" t="s">
        <v>2308</v>
      </c>
      <c r="G1139" s="44" t="s">
        <v>78</v>
      </c>
      <c r="H1139" s="44">
        <v>1</v>
      </c>
      <c r="I1139" s="44" t="s">
        <v>390</v>
      </c>
      <c r="J1139" s="44" t="s">
        <v>2210</v>
      </c>
      <c r="K1139" s="44">
        <v>35</v>
      </c>
      <c r="L1139" s="44" t="s">
        <v>1179</v>
      </c>
      <c r="M1139" s="44" t="s">
        <v>380</v>
      </c>
      <c r="N1139" s="44">
        <v>-4.0399999999999998E-2</v>
      </c>
      <c r="O1139" s="44">
        <v>1.89E-2</v>
      </c>
      <c r="P1139" s="44">
        <f t="shared" si="546"/>
        <v>-2.1375661375661377</v>
      </c>
      <c r="Q1139" s="44" t="s">
        <v>312</v>
      </c>
      <c r="R1139" s="44">
        <f t="shared" si="547"/>
        <v>-7.7443999999999999E-2</v>
      </c>
      <c r="S1139" s="44">
        <f t="shared" si="548"/>
        <v>-3.3559999999999979E-3</v>
      </c>
      <c r="T1139" s="44">
        <v>1</v>
      </c>
      <c r="U1139" s="44">
        <v>253001</v>
      </c>
      <c r="V1139" s="44" t="s">
        <v>312</v>
      </c>
      <c r="W1139" s="44" t="s">
        <v>312</v>
      </c>
      <c r="X1139" s="44">
        <f t="shared" ref="X1139:X1140" si="585">U1139</f>
        <v>253001</v>
      </c>
      <c r="Y1139" s="44">
        <f t="shared" ref="Y1139:Y1140" si="586">P1139/(P1139^2 + X1139)^(1/2)</f>
        <v>-4.2496632812123762E-3</v>
      </c>
      <c r="Z1139" s="44">
        <f t="shared" ref="Z1139:Z1140" si="587">((1-Y1139^2)/X1139)^(1/2)</f>
        <v>1.9880850498741063E-3</v>
      </c>
      <c r="AA1139" s="44">
        <f t="shared" ref="AA1139:AA1140" si="588">Y1139</f>
        <v>-4.2496632812123762E-3</v>
      </c>
      <c r="AB1139" s="44" t="s">
        <v>81</v>
      </c>
      <c r="AC1139" s="44">
        <f t="shared" ref="AC1139" si="589">N1139/BF1139</f>
        <v>-4.6686203995599475E-4</v>
      </c>
      <c r="AD1139" s="44" cm="1">
        <f t="array" ref="AD1139">_xlfn.IFS(
AND(L1139="marginal_effect",M1139="level"),N1139*AN1139/BF1139,
AND(L1139="marginal_effect",M1139="sd (Y)"),N1139*BI1139*AN1139/BF1139,
AND(L1139="marginal_effect",M1139="sd (X)"),N1139/AQ1139*AN1139/BF1139,
AND(L1139="semi_elasticity",M1139="level"),N1139*AN1139,
AND(L1139="semi_elasticity",M1139="sd (Y)"),N1139*AN1139*BI1139,
AND(L1139="semi_elasticity",M1139="sd (X)"),N1139*AN1139/AQ1139,
AND(L1139="level-log",M1139="level"),N1139/BF1139,
AND(L1139="level-log",M1139="sd (X)"),N1139/BF1139/AQ1139,
AND(L1139="level-log",M1139="sd (Y)"),N1139/BF1139*BI1139,
AND(L1139="elasticity",M1139="level"),N1139,
AND(L1139="elasticity",M1139="sd (X)"),N1139/AQ1139,
AND(L1139="elasticity",M1139="sd (Y)"),N1139*BI1139,
AND(L1139="marginal_effect",M1139="percent_of_mean"),N1139*AN1139/BF1139/10)</f>
        <v>-4.6686203995599475E-4</v>
      </c>
      <c r="AE1139" s="44">
        <f t="shared" ref="AE1139:AE1140" si="590">IF(AC1139=AD1139,1,0)</f>
        <v>1</v>
      </c>
      <c r="AF1139" s="44">
        <f t="shared" ref="AF1139:AF1140" si="591">O1139/BF1139</f>
        <v>2.1840823156357183E-4</v>
      </c>
      <c r="AG1139" s="44" cm="1">
        <f t="array" ref="AG1139">_xlfn.IFS(
AND(L1139="marginal_effect",M1139="level"),O1139*AN1139/BF1139,
AND(L1139="marginal_effect",M1139="sd (Y)"),O1139*BI1139*AN1139/BF1139,
AND(L1139="marginal_effect",M1139="sd (X)"),O1139/AQ1139*AN1139/BF1139,
AND(L1139="semi_elasticity",M1139="level"),O1139*AN1139,
AND(L1139="semi_elasticity",M1139="sd (Y)"),O1139*AN1139*BI1139,
AND(L1139="semi_elasticity",M1139="sd (X)"),O1139*AN1139/AQ1139,
AND(L1139="level-log",M1139="level"),O1139/BF1139,
AND(L1139="level-log",M1139="sd (X)"),O1139/BF1139/AQ1139,
AND(L1139="level-log",M1139="sd (Y)"),O1139/BF1139*BI1139,
AND(L1139="elasticity",M1139="level"),O1139,
AND(L1139="elasticity",M1139="sd (X)"),O1139/AQ1139,
AND(L1139="elasticity",M1139="sd (Y)"),O1139*BI1139,
AND(L1139="marginal_effect",M1139="percent_of_mean"),O1139*AN1139/BF1139/10)</f>
        <v>2.1840823156357183E-4</v>
      </c>
      <c r="AH1139" s="44">
        <f t="shared" ref="AH1139:AH1140" si="592">IF(AF1139=AG1139,1,0)</f>
        <v>1</v>
      </c>
      <c r="AI1139" s="44">
        <f t="shared" ref="AI1139:AI1140" si="593">AC1139</f>
        <v>-4.6686203995599475E-4</v>
      </c>
      <c r="AJ1139" s="44">
        <v>0</v>
      </c>
      <c r="AK1139" s="44">
        <f t="shared" ref="AK1139:AK1140" si="594">IF(P1139=(AC1139/AF1139),1,0)</f>
        <v>1</v>
      </c>
      <c r="AL1139" s="44" t="s">
        <v>131</v>
      </c>
      <c r="AM1139" s="44" t="s">
        <v>410</v>
      </c>
      <c r="AN1139" s="44">
        <v>10.7354</v>
      </c>
      <c r="AO1139" s="44">
        <v>0</v>
      </c>
      <c r="AP1139" s="44">
        <f t="shared" ref="AP1139:AP1140" si="595">AN1139</f>
        <v>10.7354</v>
      </c>
      <c r="AQ1139" s="44">
        <v>8.2917000000000005</v>
      </c>
      <c r="AR1139" s="44" t="s">
        <v>312</v>
      </c>
      <c r="AS1139" s="44" t="s">
        <v>312</v>
      </c>
      <c r="AT1139" s="44" t="s">
        <v>83</v>
      </c>
      <c r="AU1139" s="44" t="s">
        <v>109</v>
      </c>
      <c r="AV1139" s="44" t="s">
        <v>133</v>
      </c>
      <c r="AW1139" s="44" t="s">
        <v>85</v>
      </c>
      <c r="AX1139" s="44" t="s">
        <v>86</v>
      </c>
      <c r="AY1139" s="44">
        <v>0</v>
      </c>
      <c r="AZ1139" s="44">
        <v>0</v>
      </c>
      <c r="BA1139" s="44" t="s">
        <v>111</v>
      </c>
      <c r="BB1139" s="44" t="s">
        <v>134</v>
      </c>
      <c r="BC1139" s="44" t="s">
        <v>113</v>
      </c>
      <c r="BD1139" s="44" t="s">
        <v>134</v>
      </c>
      <c r="BE1139" s="44" t="s">
        <v>2309</v>
      </c>
      <c r="BF1139" s="44">
        <v>86.535200000000003</v>
      </c>
      <c r="BG1139" s="44">
        <v>0</v>
      </c>
      <c r="BH1139" s="44">
        <v>47.195799999999998</v>
      </c>
      <c r="BI1139" s="44" t="s">
        <v>312</v>
      </c>
      <c r="BJ1139" s="44" t="s">
        <v>312</v>
      </c>
      <c r="BK1139" s="44" t="s">
        <v>91</v>
      </c>
      <c r="BL1139" s="44" t="s">
        <v>509</v>
      </c>
      <c r="BM1139" s="44" t="s">
        <v>1411</v>
      </c>
      <c r="BN1139" s="44" t="s">
        <v>312</v>
      </c>
      <c r="BO1139" s="44" t="s">
        <v>312</v>
      </c>
      <c r="BP1139" s="44" t="s">
        <v>312</v>
      </c>
      <c r="BQ1139" s="44" t="s">
        <v>92</v>
      </c>
      <c r="BR1139" s="44" t="s">
        <v>134</v>
      </c>
      <c r="BS1139" s="44">
        <v>52</v>
      </c>
      <c r="BT1139" s="44">
        <v>61</v>
      </c>
      <c r="BU1139" s="44">
        <v>2015</v>
      </c>
      <c r="BV1139" s="44">
        <v>2019</v>
      </c>
      <c r="BW1139" s="44" t="s">
        <v>2310</v>
      </c>
      <c r="BX1139" s="44" t="s">
        <v>95</v>
      </c>
      <c r="BY1139" s="44" t="s">
        <v>96</v>
      </c>
      <c r="BZ1139" s="44">
        <v>0</v>
      </c>
      <c r="CA1139" s="44">
        <v>0</v>
      </c>
      <c r="CB1139" s="44" t="s">
        <v>97</v>
      </c>
      <c r="CC1139" s="44" t="s">
        <v>314</v>
      </c>
      <c r="CD1139" s="44">
        <v>1</v>
      </c>
      <c r="CE1139" s="44" t="s">
        <v>2312</v>
      </c>
      <c r="CF1139" s="44">
        <v>0</v>
      </c>
      <c r="CG1139" s="44" t="s">
        <v>97</v>
      </c>
      <c r="CH1139" s="44">
        <v>1</v>
      </c>
      <c r="CI1139" s="44" t="s">
        <v>943</v>
      </c>
      <c r="CJ1139" s="44" t="s">
        <v>98</v>
      </c>
      <c r="CK1139" s="44">
        <v>32</v>
      </c>
      <c r="CL1139" s="44">
        <v>0</v>
      </c>
      <c r="CM1139" s="44">
        <v>0</v>
      </c>
      <c r="CN1139" s="44" t="s">
        <v>124</v>
      </c>
      <c r="CO1139" s="44" t="s">
        <v>380</v>
      </c>
      <c r="CP1139" s="44" t="s">
        <v>100</v>
      </c>
      <c r="CQ1139" s="44" t="s">
        <v>126</v>
      </c>
      <c r="CR1139" s="45">
        <v>46267</v>
      </c>
      <c r="CT1139" s="44" t="s">
        <v>1225</v>
      </c>
    </row>
    <row r="1140" spans="1:98" s="44" customFormat="1" x14ac:dyDescent="0.35">
      <c r="A1140" s="43" t="s">
        <v>2305</v>
      </c>
      <c r="B1140" s="43" t="s">
        <v>2326</v>
      </c>
      <c r="C1140" s="44" t="s">
        <v>2306</v>
      </c>
      <c r="D1140" s="44">
        <v>2024</v>
      </c>
      <c r="E1140" s="64" t="s">
        <v>2307</v>
      </c>
      <c r="F1140" s="43" t="s">
        <v>2308</v>
      </c>
      <c r="G1140" s="44" t="s">
        <v>78</v>
      </c>
      <c r="H1140" s="44">
        <v>1</v>
      </c>
      <c r="I1140" s="44" t="s">
        <v>390</v>
      </c>
      <c r="J1140" s="44" t="s">
        <v>2210</v>
      </c>
      <c r="K1140" s="44">
        <v>35</v>
      </c>
      <c r="L1140" s="44" t="s">
        <v>1179</v>
      </c>
      <c r="M1140" s="44" t="s">
        <v>380</v>
      </c>
      <c r="N1140" s="44">
        <v>1.1000000000000001E-3</v>
      </c>
      <c r="O1140" s="44">
        <v>3.0000000000000001E-3</v>
      </c>
      <c r="P1140" s="44">
        <f t="shared" si="546"/>
        <v>0.3666666666666667</v>
      </c>
      <c r="Q1140" s="44" t="s">
        <v>312</v>
      </c>
      <c r="R1140" s="44">
        <f t="shared" si="547"/>
        <v>-4.7799999999999995E-3</v>
      </c>
      <c r="S1140" s="44">
        <f t="shared" si="548"/>
        <v>6.9800000000000001E-3</v>
      </c>
      <c r="T1140" s="44">
        <v>1</v>
      </c>
      <c r="U1140" s="44">
        <v>672768</v>
      </c>
      <c r="V1140" s="44" t="s">
        <v>312</v>
      </c>
      <c r="W1140" s="44" t="s">
        <v>312</v>
      </c>
      <c r="X1140" s="44">
        <f t="shared" si="585"/>
        <v>672768</v>
      </c>
      <c r="Y1140" s="44">
        <f t="shared" si="586"/>
        <v>4.4703211476272128E-4</v>
      </c>
      <c r="Z1140" s="44">
        <f t="shared" si="587"/>
        <v>1.2191784948074216E-3</v>
      </c>
      <c r="AA1140" s="44">
        <f t="shared" si="588"/>
        <v>4.4703211476272128E-4</v>
      </c>
      <c r="AB1140" s="44" t="s">
        <v>81</v>
      </c>
      <c r="AC1140" s="44">
        <f>N1140/BF1140</f>
        <v>1.9630132610468573E-5</v>
      </c>
      <c r="AD1140" s="44" cm="1">
        <f t="array" ref="AD1140">_xlfn.IFS(
AND(L1140="marginal_effect",M1140="level"),N1140*AN1140/BF1140,
AND(L1140="marginal_effect",M1140="sd (Y)"),N1140*BI1140*AN1140/BF1140,
AND(L1140="marginal_effect",M1140="sd (X)"),N1140/AQ1140*AN1140/BF1140,
AND(L1140="semi_elasticity",M1140="level"),N1140*AN1140,
AND(L1140="semi_elasticity",M1140="sd (Y)"),N1140*AN1140*BI1140,
AND(L1140="semi_elasticity",M1140="sd (X)"),N1140*AN1140/AQ1140,
AND(L1140="level-log",M1140="level"),N1140/BF1140,
AND(L1140="level-log",M1140="sd (X)"),N1140/BF1140/AQ1140,
AND(L1140="level-log",M1140="sd (Y)"),N1140/BF1140*BI1140,
AND(L1140="elasticity",M1140="level"),N1140,
AND(L1140="elasticity",M1140="sd (X)"),N1140/AQ1140,
AND(L1140="elasticity",M1140="sd (Y)"),N1140*BI1140,
AND(L1140="marginal_effect",M1140="percent_of_mean"),N1140*AN1140/BF1140/10)</f>
        <v>1.9630132610468573E-5</v>
      </c>
      <c r="AE1140" s="44">
        <f t="shared" si="590"/>
        <v>1</v>
      </c>
      <c r="AF1140" s="44">
        <f t="shared" si="591"/>
        <v>5.3536725301277924E-5</v>
      </c>
      <c r="AG1140" s="44" cm="1">
        <f t="array" ref="AG1140">_xlfn.IFS(
AND(L1140="marginal_effect",M1140="level"),O1140*AN1140/BF1140,
AND(L1140="marginal_effect",M1140="sd (Y)"),O1140*BI1140*AN1140/BF1140,
AND(L1140="marginal_effect",M1140="sd (X)"),O1140/AQ1140*AN1140/BF1140,
AND(L1140="semi_elasticity",M1140="level"),O1140*AN1140,
AND(L1140="semi_elasticity",M1140="sd (Y)"),O1140*AN1140*BI1140,
AND(L1140="semi_elasticity",M1140="sd (X)"),O1140*AN1140/AQ1140,
AND(L1140="level-log",M1140="level"),O1140/BF1140,
AND(L1140="level-log",M1140="sd (X)"),O1140/BF1140/AQ1140,
AND(L1140="level-log",M1140="sd (Y)"),O1140/BF1140*BI1140,
AND(L1140="elasticity",M1140="level"),O1140,
AND(L1140="elasticity",M1140="sd (X)"),O1140/AQ1140,
AND(L1140="elasticity",M1140="sd (Y)"),O1140*BI1140,
AND(L1140="marginal_effect",M1140="percent_of_mean"),O1140*AN1140/BF1140/10)</f>
        <v>5.3536725301277924E-5</v>
      </c>
      <c r="AH1140" s="44">
        <f t="shared" si="592"/>
        <v>1</v>
      </c>
      <c r="AI1140" s="44">
        <f t="shared" si="593"/>
        <v>1.9630132610468573E-5</v>
      </c>
      <c r="AJ1140" s="44">
        <v>0</v>
      </c>
      <c r="AK1140" s="44">
        <f t="shared" si="594"/>
        <v>1</v>
      </c>
      <c r="AL1140" s="44" t="s">
        <v>131</v>
      </c>
      <c r="AM1140" s="44" t="s">
        <v>410</v>
      </c>
      <c r="AN1140" s="44">
        <v>10.9894</v>
      </c>
      <c r="AO1140" s="44">
        <v>0</v>
      </c>
      <c r="AP1140" s="44">
        <f t="shared" si="595"/>
        <v>10.9894</v>
      </c>
      <c r="AQ1140" s="44">
        <v>8.6193000000000008</v>
      </c>
      <c r="AR1140" s="44" t="s">
        <v>312</v>
      </c>
      <c r="AS1140" s="44" t="s">
        <v>312</v>
      </c>
      <c r="AT1140" s="44" t="s">
        <v>83</v>
      </c>
      <c r="AU1140" s="44" t="s">
        <v>109</v>
      </c>
      <c r="AV1140" s="44" t="s">
        <v>133</v>
      </c>
      <c r="AW1140" s="44" t="s">
        <v>85</v>
      </c>
      <c r="AX1140" s="44" t="s">
        <v>86</v>
      </c>
      <c r="AY1140" s="44">
        <v>0</v>
      </c>
      <c r="AZ1140" s="44">
        <v>0</v>
      </c>
      <c r="BA1140" s="44" t="s">
        <v>111</v>
      </c>
      <c r="BB1140" s="44" t="s">
        <v>134</v>
      </c>
      <c r="BC1140" s="44" t="s">
        <v>113</v>
      </c>
      <c r="BD1140" s="44" t="s">
        <v>134</v>
      </c>
      <c r="BE1140" s="44" t="s">
        <v>2309</v>
      </c>
      <c r="BF1140" s="44">
        <v>56.036299999999997</v>
      </c>
      <c r="BG1140" s="44">
        <v>0</v>
      </c>
      <c r="BH1140" s="44">
        <v>27.2056</v>
      </c>
      <c r="BI1140" s="44" t="s">
        <v>312</v>
      </c>
      <c r="BJ1140" s="44" t="s">
        <v>312</v>
      </c>
      <c r="BK1140" s="44" t="s">
        <v>91</v>
      </c>
      <c r="BL1140" s="44" t="s">
        <v>509</v>
      </c>
      <c r="BM1140" s="44" t="s">
        <v>1411</v>
      </c>
      <c r="BN1140" s="44" t="s">
        <v>312</v>
      </c>
      <c r="BO1140" s="44" t="s">
        <v>312</v>
      </c>
      <c r="BP1140" s="44" t="s">
        <v>312</v>
      </c>
      <c r="BQ1140" s="44" t="s">
        <v>92</v>
      </c>
      <c r="BR1140" s="44" t="s">
        <v>134</v>
      </c>
      <c r="BS1140" s="44">
        <v>52</v>
      </c>
      <c r="BT1140" s="44">
        <v>61</v>
      </c>
      <c r="BU1140" s="44">
        <v>2015</v>
      </c>
      <c r="BV1140" s="44">
        <v>2019</v>
      </c>
      <c r="BW1140" s="44" t="s">
        <v>2310</v>
      </c>
      <c r="BX1140" s="44" t="s">
        <v>95</v>
      </c>
      <c r="BY1140" s="44" t="s">
        <v>96</v>
      </c>
      <c r="BZ1140" s="44">
        <v>0</v>
      </c>
      <c r="CA1140" s="44">
        <v>0</v>
      </c>
      <c r="CB1140" s="44" t="s">
        <v>97</v>
      </c>
      <c r="CC1140" s="44" t="s">
        <v>314</v>
      </c>
      <c r="CD1140" s="44">
        <v>1</v>
      </c>
      <c r="CE1140" s="44" t="s">
        <v>2312</v>
      </c>
      <c r="CF1140" s="44">
        <v>0</v>
      </c>
      <c r="CG1140" s="44" t="s">
        <v>97</v>
      </c>
      <c r="CH1140" s="44">
        <v>1</v>
      </c>
      <c r="CI1140" s="44" t="s">
        <v>943</v>
      </c>
      <c r="CJ1140" s="44" t="s">
        <v>98</v>
      </c>
      <c r="CK1140" s="44">
        <v>32</v>
      </c>
      <c r="CL1140" s="44">
        <v>0</v>
      </c>
      <c r="CM1140" s="44">
        <v>0</v>
      </c>
      <c r="CN1140" s="44" t="s">
        <v>124</v>
      </c>
      <c r="CO1140" s="44" t="s">
        <v>380</v>
      </c>
      <c r="CP1140" s="44" t="s">
        <v>100</v>
      </c>
      <c r="CQ1140" s="44" t="s">
        <v>126</v>
      </c>
      <c r="CR1140" s="45">
        <v>46267</v>
      </c>
      <c r="CT1140" s="44" t="s">
        <v>1226</v>
      </c>
    </row>
    <row r="1141" spans="1:98" s="44" customFormat="1" x14ac:dyDescent="0.35">
      <c r="A1141" s="43" t="s">
        <v>2305</v>
      </c>
      <c r="B1141" s="43" t="s">
        <v>2327</v>
      </c>
      <c r="C1141" s="44" t="s">
        <v>2306</v>
      </c>
      <c r="D1141" s="44">
        <v>2024</v>
      </c>
      <c r="E1141" s="64" t="s">
        <v>2307</v>
      </c>
      <c r="F1141" s="43" t="s">
        <v>2308</v>
      </c>
      <c r="G1141" s="44" t="s">
        <v>78</v>
      </c>
      <c r="H1141" s="44">
        <v>1</v>
      </c>
      <c r="I1141" s="44" t="s">
        <v>390</v>
      </c>
      <c r="J1141" s="44" t="s">
        <v>2210</v>
      </c>
      <c r="K1141" s="44">
        <v>35</v>
      </c>
      <c r="L1141" s="44" t="s">
        <v>1179</v>
      </c>
      <c r="M1141" s="44" t="s">
        <v>380</v>
      </c>
      <c r="N1141" s="44">
        <v>-0.36209999999999998</v>
      </c>
      <c r="O1141" s="44">
        <v>0.12670000000000001</v>
      </c>
      <c r="P1141" s="44">
        <f t="shared" si="546"/>
        <v>-2.8579321231254928</v>
      </c>
      <c r="Q1141" s="44" t="s">
        <v>312</v>
      </c>
      <c r="R1141" s="44">
        <f t="shared" si="547"/>
        <v>-0.61043199999999997</v>
      </c>
      <c r="S1141" s="44">
        <f t="shared" si="548"/>
        <v>-0.11376799999999998</v>
      </c>
      <c r="T1141" s="44">
        <v>1</v>
      </c>
      <c r="U1141" s="44">
        <v>358796</v>
      </c>
      <c r="V1141" s="44" t="s">
        <v>312</v>
      </c>
      <c r="W1141" s="44" t="s">
        <v>312</v>
      </c>
      <c r="X1141" s="44">
        <f t="shared" ref="X1141:X1142" si="596">U1141</f>
        <v>358796</v>
      </c>
      <c r="Y1141" s="44">
        <f t="shared" ref="Y1141:Y1142" si="597">P1141/(P1141^2 + X1141)^(1/2)</f>
        <v>-4.7711510971257948E-3</v>
      </c>
      <c r="Z1141" s="44">
        <f t="shared" ref="Z1141:Z1142" si="598">((1-Y1141^2)/X1141)^(1/2)</f>
        <v>1.6694417122503128E-3</v>
      </c>
      <c r="AA1141" s="44">
        <f t="shared" ref="AA1141:AA1142" si="599">Y1141</f>
        <v>-4.7711510971257948E-3</v>
      </c>
      <c r="AB1141" s="44" t="s">
        <v>81</v>
      </c>
      <c r="AC1141" s="44">
        <f t="shared" ref="AC1141:AC1142" si="600">N1141/BF1141</f>
        <v>-4.1844243729719233E-3</v>
      </c>
      <c r="AD1141" s="44" cm="1">
        <f t="array" ref="AD1141">_xlfn.IFS(
AND(L1141="marginal_effect",M1141="level"),N1141*AN1141/BF1141,
AND(L1141="marginal_effect",M1141="sd (Y)"),N1141*BI1141*AN1141/BF1141,
AND(L1141="marginal_effect",M1141="sd (X)"),N1141/AQ1141*AN1141/BF1141,
AND(L1141="semi_elasticity",M1141="level"),N1141*AN1141,
AND(L1141="semi_elasticity",M1141="sd (Y)"),N1141*AN1141*BI1141,
AND(L1141="semi_elasticity",M1141="sd (X)"),N1141*AN1141/AQ1141,
AND(L1141="level-log",M1141="level"),N1141/BF1141,
AND(L1141="level-log",M1141="sd (X)"),N1141/BF1141/AQ1141,
AND(L1141="level-log",M1141="sd (Y)"),N1141/BF1141*BI1141,
AND(L1141="elasticity",M1141="level"),N1141,
AND(L1141="elasticity",M1141="sd (X)"),N1141/AQ1141,
AND(L1141="elasticity",M1141="sd (Y)"),N1141*BI1141,
AND(L1141="marginal_effect",M1141="percent_of_mean"),N1141*AN1141/BF1141/10)</f>
        <v>-4.1844243729719233E-3</v>
      </c>
      <c r="AE1141" s="44">
        <f t="shared" si="579"/>
        <v>1</v>
      </c>
      <c r="AF1141" s="44">
        <f t="shared" si="580"/>
        <v>1.4641440708520925E-3</v>
      </c>
      <c r="AG1141" s="44" cm="1">
        <f t="array" ref="AG1141">_xlfn.IFS(
AND(L1141="marginal_effect",M1141="level"),O1141*AN1141/BF1141,
AND(L1141="marginal_effect",M1141="sd (Y)"),O1141*BI1141*AN1141/BF1141,
AND(L1141="marginal_effect",M1141="sd (X)"),O1141/AQ1141*AN1141/BF1141,
AND(L1141="semi_elasticity",M1141="level"),O1141*AN1141,
AND(L1141="semi_elasticity",M1141="sd (Y)"),O1141*AN1141*BI1141,
AND(L1141="semi_elasticity",M1141="sd (X)"),O1141*AN1141/AQ1141,
AND(L1141="level-log",M1141="level"),O1141/BF1141,
AND(L1141="level-log",M1141="sd (X)"),O1141/BF1141/AQ1141,
AND(L1141="level-log",M1141="sd (Y)"),O1141/BF1141*BI1141,
AND(L1141="elasticity",M1141="level"),O1141,
AND(L1141="elasticity",M1141="sd (X)"),O1141/AQ1141,
AND(L1141="elasticity",M1141="sd (Y)"),O1141*BI1141,
AND(L1141="marginal_effect",M1141="percent_of_mean"),O1141*AN1141/BF1141/10)</f>
        <v>1.4641440708520925E-3</v>
      </c>
      <c r="AH1141" s="44">
        <f t="shared" si="581"/>
        <v>1</v>
      </c>
      <c r="AI1141" s="44">
        <f t="shared" si="582"/>
        <v>-4.1844243729719233E-3</v>
      </c>
      <c r="AJ1141" s="44">
        <v>0</v>
      </c>
      <c r="AK1141" s="44">
        <f t="shared" si="583"/>
        <v>1</v>
      </c>
      <c r="AL1141" s="44" t="s">
        <v>131</v>
      </c>
      <c r="AM1141" s="44" t="s">
        <v>410</v>
      </c>
      <c r="AN1141" s="44">
        <v>10.7354</v>
      </c>
      <c r="AO1141" s="44">
        <v>0</v>
      </c>
      <c r="AP1141" s="44">
        <f t="shared" si="584"/>
        <v>10.7354</v>
      </c>
      <c r="AQ1141" s="44">
        <v>8.2917000000000005</v>
      </c>
      <c r="AR1141" s="44" t="s">
        <v>312</v>
      </c>
      <c r="AS1141" s="44" t="s">
        <v>312</v>
      </c>
      <c r="AT1141" s="44" t="s">
        <v>83</v>
      </c>
      <c r="AU1141" s="44" t="s">
        <v>109</v>
      </c>
      <c r="AV1141" s="44" t="s">
        <v>133</v>
      </c>
      <c r="AW1141" s="44" t="s">
        <v>85</v>
      </c>
      <c r="AX1141" s="44" t="s">
        <v>86</v>
      </c>
      <c r="AY1141" s="44">
        <v>0</v>
      </c>
      <c r="AZ1141" s="44">
        <v>0</v>
      </c>
      <c r="BA1141" s="44" t="s">
        <v>111</v>
      </c>
      <c r="BB1141" s="44" t="s">
        <v>134</v>
      </c>
      <c r="BC1141" s="44" t="s">
        <v>113</v>
      </c>
      <c r="BD1141" s="44" t="s">
        <v>134</v>
      </c>
      <c r="BE1141" s="44" t="s">
        <v>2309</v>
      </c>
      <c r="BF1141" s="44">
        <v>86.535200000000003</v>
      </c>
      <c r="BG1141" s="44">
        <v>0</v>
      </c>
      <c r="BH1141" s="44">
        <v>47.195799999999998</v>
      </c>
      <c r="BI1141" s="44" t="s">
        <v>312</v>
      </c>
      <c r="BJ1141" s="44" t="s">
        <v>312</v>
      </c>
      <c r="BK1141" s="44" t="s">
        <v>91</v>
      </c>
      <c r="BL1141" s="44" t="s">
        <v>509</v>
      </c>
      <c r="BM1141" s="44" t="s">
        <v>1411</v>
      </c>
      <c r="BN1141" s="44" t="s">
        <v>312</v>
      </c>
      <c r="BO1141" s="44" t="s">
        <v>312</v>
      </c>
      <c r="BP1141" s="44" t="s">
        <v>312</v>
      </c>
      <c r="BQ1141" s="44" t="s">
        <v>92</v>
      </c>
      <c r="BR1141" s="44" t="s">
        <v>134</v>
      </c>
      <c r="BS1141" s="44">
        <v>52</v>
      </c>
      <c r="BT1141" s="44">
        <v>61</v>
      </c>
      <c r="BU1141" s="44">
        <v>2015</v>
      </c>
      <c r="BV1141" s="44">
        <v>2019</v>
      </c>
      <c r="BW1141" s="44" t="s">
        <v>2310</v>
      </c>
      <c r="BX1141" s="44" t="s">
        <v>95</v>
      </c>
      <c r="BY1141" s="44" t="s">
        <v>748</v>
      </c>
      <c r="BZ1141" s="44">
        <v>1</v>
      </c>
      <c r="CA1141" s="44">
        <v>1</v>
      </c>
      <c r="CB1141" s="44" t="s">
        <v>2311</v>
      </c>
      <c r="CC1141" s="44" t="s">
        <v>314</v>
      </c>
      <c r="CD1141" s="44">
        <v>1</v>
      </c>
      <c r="CE1141" s="44" t="s">
        <v>2312</v>
      </c>
      <c r="CF1141" s="44">
        <v>0</v>
      </c>
      <c r="CG1141" s="44" t="s">
        <v>97</v>
      </c>
      <c r="CH1141" s="44">
        <v>1</v>
      </c>
      <c r="CI1141" s="44" t="s">
        <v>943</v>
      </c>
      <c r="CJ1141" s="44" t="s">
        <v>98</v>
      </c>
      <c r="CK1141" s="44">
        <v>32</v>
      </c>
      <c r="CL1141" s="44">
        <v>0</v>
      </c>
      <c r="CM1141" s="44">
        <v>0</v>
      </c>
      <c r="CN1141" s="44" t="s">
        <v>124</v>
      </c>
      <c r="CO1141" s="44" t="s">
        <v>380</v>
      </c>
      <c r="CP1141" s="44" t="s">
        <v>100</v>
      </c>
      <c r="CQ1141" s="44" t="s">
        <v>126</v>
      </c>
      <c r="CR1141" s="45">
        <v>46267</v>
      </c>
      <c r="CT1141" s="44" t="s">
        <v>2331</v>
      </c>
    </row>
    <row r="1142" spans="1:98" s="44" customFormat="1" x14ac:dyDescent="0.35">
      <c r="A1142" s="43" t="s">
        <v>2305</v>
      </c>
      <c r="B1142" s="43" t="s">
        <v>2328</v>
      </c>
      <c r="C1142" s="44" t="s">
        <v>2306</v>
      </c>
      <c r="D1142" s="44">
        <v>2024</v>
      </c>
      <c r="E1142" s="64" t="s">
        <v>2307</v>
      </c>
      <c r="F1142" s="43" t="s">
        <v>2308</v>
      </c>
      <c r="G1142" s="44" t="s">
        <v>78</v>
      </c>
      <c r="H1142" s="44">
        <v>1</v>
      </c>
      <c r="I1142" s="44" t="s">
        <v>390</v>
      </c>
      <c r="J1142" s="44" t="s">
        <v>2210</v>
      </c>
      <c r="K1142" s="44">
        <v>35</v>
      </c>
      <c r="L1142" s="44" t="s">
        <v>1179</v>
      </c>
      <c r="M1142" s="44" t="s">
        <v>380</v>
      </c>
      <c r="N1142" s="44">
        <v>8.2500000000000004E-2</v>
      </c>
      <c r="O1142" s="44">
        <v>8.5099999999999995E-2</v>
      </c>
      <c r="P1142" s="44">
        <f t="shared" si="546"/>
        <v>0.96944770857814344</v>
      </c>
      <c r="Q1142" s="44" t="s">
        <v>312</v>
      </c>
      <c r="R1142" s="44">
        <f t="shared" si="547"/>
        <v>-8.4295999999999996E-2</v>
      </c>
      <c r="S1142" s="44">
        <f t="shared" si="548"/>
        <v>0.24929600000000002</v>
      </c>
      <c r="T1142" s="44">
        <v>1</v>
      </c>
      <c r="U1142" s="44">
        <v>566916</v>
      </c>
      <c r="V1142" s="44" t="s">
        <v>312</v>
      </c>
      <c r="W1142" s="44" t="s">
        <v>312</v>
      </c>
      <c r="X1142" s="44">
        <f t="shared" si="596"/>
        <v>566916</v>
      </c>
      <c r="Y1142" s="44">
        <f t="shared" si="597"/>
        <v>1.2875516845047928E-3</v>
      </c>
      <c r="Z1142" s="44">
        <f t="shared" si="598"/>
        <v>1.3281290709255499E-3</v>
      </c>
      <c r="AA1142" s="44">
        <f t="shared" si="599"/>
        <v>1.2875516845047928E-3</v>
      </c>
      <c r="AB1142" s="44" t="s">
        <v>81</v>
      </c>
      <c r="AC1142" s="44">
        <f t="shared" si="600"/>
        <v>1.472259945785143E-3</v>
      </c>
      <c r="AD1142" s="44" cm="1">
        <f t="array" ref="AD1142">_xlfn.IFS(
AND(L1142="marginal_effect",M1142="level"),N1142*AN1142/BF1142,
AND(L1142="marginal_effect",M1142="sd (Y)"),N1142*BI1142*AN1142/BF1142,
AND(L1142="marginal_effect",M1142="sd (X)"),N1142/AQ1142*AN1142/BF1142,
AND(L1142="semi_elasticity",M1142="level"),N1142*AN1142,
AND(L1142="semi_elasticity",M1142="sd (Y)"),N1142*AN1142*BI1142,
AND(L1142="semi_elasticity",M1142="sd (X)"),N1142*AN1142/AQ1142,
AND(L1142="level-log",M1142="level"),N1142/BF1142,
AND(L1142="level-log",M1142="sd (X)"),N1142/BF1142/AQ1142,
AND(L1142="level-log",M1142="sd (Y)"),N1142/BF1142*BI1142,
AND(L1142="elasticity",M1142="level"),N1142,
AND(L1142="elasticity",M1142="sd (X)"),N1142/AQ1142,
AND(L1142="elasticity",M1142="sd (Y)"),N1142*BI1142,
AND(L1142="marginal_effect",M1142="percent_of_mean"),N1142*AN1142/BF1142/10)</f>
        <v>1.472259945785143E-3</v>
      </c>
      <c r="AE1142" s="44">
        <f t="shared" si="579"/>
        <v>1</v>
      </c>
      <c r="AF1142" s="44">
        <f t="shared" si="580"/>
        <v>1.5186584410462503E-3</v>
      </c>
      <c r="AG1142" s="44" cm="1">
        <f t="array" ref="AG1142">_xlfn.IFS(
AND(L1142="marginal_effect",M1142="level"),O1142*AN1142/BF1142,
AND(L1142="marginal_effect",M1142="sd (Y)"),O1142*BI1142*AN1142/BF1142,
AND(L1142="marginal_effect",M1142="sd (X)"),O1142/AQ1142*AN1142/BF1142,
AND(L1142="semi_elasticity",M1142="level"),O1142*AN1142,
AND(L1142="semi_elasticity",M1142="sd (Y)"),O1142*AN1142*BI1142,
AND(L1142="semi_elasticity",M1142="sd (X)"),O1142*AN1142/AQ1142,
AND(L1142="level-log",M1142="level"),O1142/BF1142,
AND(L1142="level-log",M1142="sd (X)"),O1142/BF1142/AQ1142,
AND(L1142="level-log",M1142="sd (Y)"),O1142/BF1142*BI1142,
AND(L1142="elasticity",M1142="level"),O1142,
AND(L1142="elasticity",M1142="sd (X)"),O1142/AQ1142,
AND(L1142="elasticity",M1142="sd (Y)"),O1142*BI1142,
AND(L1142="marginal_effect",M1142="percent_of_mean"),O1142*AN1142/BF1142/10)</f>
        <v>1.5186584410462503E-3</v>
      </c>
      <c r="AH1142" s="44">
        <f t="shared" si="581"/>
        <v>1</v>
      </c>
      <c r="AI1142" s="44">
        <f t="shared" si="582"/>
        <v>1.472259945785143E-3</v>
      </c>
      <c r="AJ1142" s="44">
        <v>0</v>
      </c>
      <c r="AK1142" s="44">
        <f>IF(P1142=(AC1142/AF1142),1,0)</f>
        <v>0</v>
      </c>
      <c r="AL1142" s="44" t="s">
        <v>131</v>
      </c>
      <c r="AM1142" s="44" t="s">
        <v>410</v>
      </c>
      <c r="AN1142" s="44">
        <v>10.9894</v>
      </c>
      <c r="AO1142" s="44">
        <v>0</v>
      </c>
      <c r="AP1142" s="44">
        <f t="shared" si="584"/>
        <v>10.9894</v>
      </c>
      <c r="AQ1142" s="44">
        <v>8.6193000000000008</v>
      </c>
      <c r="AR1142" s="44" t="s">
        <v>312</v>
      </c>
      <c r="AS1142" s="44" t="s">
        <v>312</v>
      </c>
      <c r="AT1142" s="44" t="s">
        <v>83</v>
      </c>
      <c r="AU1142" s="44" t="s">
        <v>109</v>
      </c>
      <c r="AV1142" s="44" t="s">
        <v>133</v>
      </c>
      <c r="AW1142" s="44" t="s">
        <v>85</v>
      </c>
      <c r="AX1142" s="44" t="s">
        <v>86</v>
      </c>
      <c r="AY1142" s="44">
        <v>0</v>
      </c>
      <c r="AZ1142" s="44">
        <v>0</v>
      </c>
      <c r="BA1142" s="44" t="s">
        <v>111</v>
      </c>
      <c r="BB1142" s="44" t="s">
        <v>134</v>
      </c>
      <c r="BC1142" s="44" t="s">
        <v>113</v>
      </c>
      <c r="BD1142" s="44" t="s">
        <v>134</v>
      </c>
      <c r="BE1142" s="44" t="s">
        <v>2309</v>
      </c>
      <c r="BF1142" s="44">
        <v>56.036299999999997</v>
      </c>
      <c r="BG1142" s="44">
        <v>0</v>
      </c>
      <c r="BH1142" s="44">
        <v>27.2056</v>
      </c>
      <c r="BI1142" s="44" t="s">
        <v>312</v>
      </c>
      <c r="BJ1142" s="44" t="s">
        <v>312</v>
      </c>
      <c r="BK1142" s="44" t="s">
        <v>91</v>
      </c>
      <c r="BL1142" s="44" t="s">
        <v>509</v>
      </c>
      <c r="BM1142" s="44" t="s">
        <v>1411</v>
      </c>
      <c r="BN1142" s="44" t="s">
        <v>312</v>
      </c>
      <c r="BO1142" s="44" t="s">
        <v>312</v>
      </c>
      <c r="BP1142" s="44" t="s">
        <v>312</v>
      </c>
      <c r="BQ1142" s="44" t="s">
        <v>92</v>
      </c>
      <c r="BR1142" s="44" t="s">
        <v>134</v>
      </c>
      <c r="BS1142" s="44">
        <v>52</v>
      </c>
      <c r="BT1142" s="44">
        <v>61</v>
      </c>
      <c r="BU1142" s="44">
        <v>2015</v>
      </c>
      <c r="BV1142" s="44">
        <v>2019</v>
      </c>
      <c r="BW1142" s="44" t="s">
        <v>2310</v>
      </c>
      <c r="BX1142" s="44" t="s">
        <v>95</v>
      </c>
      <c r="BY1142" s="44" t="s">
        <v>748</v>
      </c>
      <c r="BZ1142" s="44">
        <v>1</v>
      </c>
      <c r="CA1142" s="44">
        <v>1</v>
      </c>
      <c r="CB1142" s="44" t="s">
        <v>2311</v>
      </c>
      <c r="CC1142" s="44" t="s">
        <v>314</v>
      </c>
      <c r="CD1142" s="44">
        <v>1</v>
      </c>
      <c r="CE1142" s="44" t="s">
        <v>2312</v>
      </c>
      <c r="CF1142" s="44">
        <v>0</v>
      </c>
      <c r="CG1142" s="44" t="s">
        <v>97</v>
      </c>
      <c r="CH1142" s="44">
        <v>1</v>
      </c>
      <c r="CI1142" s="44" t="s">
        <v>943</v>
      </c>
      <c r="CJ1142" s="44" t="s">
        <v>98</v>
      </c>
      <c r="CK1142" s="44">
        <v>32</v>
      </c>
      <c r="CL1142" s="44">
        <v>0</v>
      </c>
      <c r="CM1142" s="44">
        <v>0</v>
      </c>
      <c r="CN1142" s="44" t="s">
        <v>124</v>
      </c>
      <c r="CO1142" s="44" t="s">
        <v>380</v>
      </c>
      <c r="CP1142" s="44" t="s">
        <v>100</v>
      </c>
      <c r="CQ1142" s="44" t="s">
        <v>126</v>
      </c>
      <c r="CR1142" s="45">
        <v>46267</v>
      </c>
      <c r="CT1142" s="44" t="s">
        <v>1224</v>
      </c>
    </row>
    <row r="1143" spans="1:98" s="44" customFormat="1" x14ac:dyDescent="0.35">
      <c r="A1143" s="43" t="s">
        <v>2305</v>
      </c>
      <c r="B1143" s="43" t="s">
        <v>2329</v>
      </c>
      <c r="C1143" s="44" t="s">
        <v>2306</v>
      </c>
      <c r="D1143" s="44">
        <v>2024</v>
      </c>
      <c r="E1143" s="64" t="s">
        <v>2307</v>
      </c>
      <c r="F1143" s="43" t="s">
        <v>2308</v>
      </c>
      <c r="G1143" s="44" t="s">
        <v>78</v>
      </c>
      <c r="H1143" s="44">
        <v>1</v>
      </c>
      <c r="I1143" s="44" t="s">
        <v>390</v>
      </c>
      <c r="J1143" s="44" t="s">
        <v>2210</v>
      </c>
      <c r="K1143" s="44">
        <v>35</v>
      </c>
      <c r="L1143" s="44" t="s">
        <v>1179</v>
      </c>
      <c r="M1143" s="44" t="s">
        <v>380</v>
      </c>
      <c r="N1143" s="44">
        <v>-0.50800000000000001</v>
      </c>
      <c r="O1143" s="44">
        <v>0.13800000000000001</v>
      </c>
      <c r="P1143" s="44">
        <f t="shared" si="546"/>
        <v>-3.681159420289855</v>
      </c>
      <c r="Q1143" s="44" t="s">
        <v>312</v>
      </c>
      <c r="R1143" s="44">
        <f t="shared" si="547"/>
        <v>-0.77848000000000006</v>
      </c>
      <c r="S1143" s="44">
        <f t="shared" si="548"/>
        <v>-0.23752000000000001</v>
      </c>
      <c r="T1143" s="44">
        <v>1</v>
      </c>
      <c r="U1143" s="44">
        <v>253001</v>
      </c>
      <c r="V1143" s="44" t="s">
        <v>312</v>
      </c>
      <c r="W1143" s="44" t="s">
        <v>312</v>
      </c>
      <c r="X1143" s="44">
        <f t="shared" ref="X1143:X1162" si="601">U1143</f>
        <v>253001</v>
      </c>
      <c r="Y1143" s="44">
        <f t="shared" ref="Y1143:Y1162" si="602">P1143/(P1143^2 + X1143)^(1/2)</f>
        <v>-7.3183281098164925E-3</v>
      </c>
      <c r="Z1143" s="44">
        <f t="shared" ref="Z1143:Z1162" si="603">((1-Y1143^2)/X1143)^(1/2)</f>
        <v>1.9880497621155039E-3</v>
      </c>
      <c r="AA1143" s="44">
        <f t="shared" ref="AA1143:AA1162" si="604">Y1143</f>
        <v>-7.3183281098164925E-3</v>
      </c>
      <c r="AB1143" s="44" t="s">
        <v>81</v>
      </c>
      <c r="AC1143" s="44">
        <f t="shared" ref="AC1143:AC1144" si="605">N1143/BF1143</f>
        <v>-5.8704434727139933E-3</v>
      </c>
      <c r="AD1143" s="44" cm="1">
        <f t="array" ref="AD1143">_xlfn.IFS(
AND(L1143="marginal_effect",M1143="level"),N1143*AN1143/BF1143,
AND(L1143="marginal_effect",M1143="sd (Y)"),N1143*BI1143*AN1143/BF1143,
AND(L1143="marginal_effect",M1143="sd (X)"),N1143/AQ1143*AN1143/BF1143,
AND(L1143="semi_elasticity",M1143="level"),N1143*AN1143,
AND(L1143="semi_elasticity",M1143="sd (Y)"),N1143*AN1143*BI1143,
AND(L1143="semi_elasticity",M1143="sd (X)"),N1143*AN1143/AQ1143,
AND(L1143="level-log",M1143="level"),N1143/BF1143,
AND(L1143="level-log",M1143="sd (X)"),N1143/BF1143/AQ1143,
AND(L1143="level-log",M1143="sd (Y)"),N1143/BF1143*BI1143,
AND(L1143="elasticity",M1143="level"),N1143,
AND(L1143="elasticity",M1143="sd (X)"),N1143/AQ1143,
AND(L1143="elasticity",M1143="sd (Y)"),N1143*BI1143,
AND(L1143="marginal_effect",M1143="percent_of_mean"),N1143*AN1143/BF1143/10)</f>
        <v>-5.8704434727139933E-3</v>
      </c>
      <c r="AE1143" s="44">
        <f t="shared" ref="AE1143:AE1162" si="606">IF(AC1143=AD1143,1,0)</f>
        <v>1</v>
      </c>
      <c r="AF1143" s="44">
        <f t="shared" ref="AF1143:AF1144" si="607">O1143/BF1143</f>
        <v>1.5947267701467149E-3</v>
      </c>
      <c r="AG1143" s="44" cm="1">
        <f t="array" ref="AG1143">_xlfn.IFS(
AND(L1143="marginal_effect",M1143="level"),O1143*AN1143/BF1143,
AND(L1143="marginal_effect",M1143="sd (Y)"),O1143*BI1143*AN1143/BF1143,
AND(L1143="marginal_effect",M1143="sd (X)"),O1143/AQ1143*AN1143/BF1143,
AND(L1143="semi_elasticity",M1143="level"),O1143*AN1143,
AND(L1143="semi_elasticity",M1143="sd (Y)"),O1143*AN1143*BI1143,
AND(L1143="semi_elasticity",M1143="sd (X)"),O1143*AN1143/AQ1143,
AND(L1143="level-log",M1143="level"),O1143/BF1143,
AND(L1143="level-log",M1143="sd (X)"),O1143/BF1143/AQ1143,
AND(L1143="level-log",M1143="sd (Y)"),O1143/BF1143*BI1143,
AND(L1143="elasticity",M1143="level"),O1143,
AND(L1143="elasticity",M1143="sd (X)"),O1143/AQ1143,
AND(L1143="elasticity",M1143="sd (Y)"),O1143*BI1143,
AND(L1143="marginal_effect",M1143="percent_of_mean"),O1143*AN1143/BF1143/10)</f>
        <v>1.5947267701467149E-3</v>
      </c>
      <c r="AH1143" s="44">
        <f t="shared" ref="AH1143:AH1162" si="608">IF(AF1143=AG1143,1,0)</f>
        <v>1</v>
      </c>
      <c r="AI1143" s="44">
        <f t="shared" ref="AI1143:AI1162" si="609">AC1143</f>
        <v>-5.8704434727139933E-3</v>
      </c>
      <c r="AJ1143" s="44">
        <v>0</v>
      </c>
      <c r="AK1143" s="44">
        <f t="shared" ref="AK1143:AK1162" si="610">IF(P1143=(AC1143/AF1143),1,0)</f>
        <v>1</v>
      </c>
      <c r="AL1143" s="44" t="s">
        <v>131</v>
      </c>
      <c r="AM1143" s="44" t="s">
        <v>410</v>
      </c>
      <c r="AN1143" s="44">
        <v>10.7354</v>
      </c>
      <c r="AO1143" s="44">
        <v>0</v>
      </c>
      <c r="AP1143" s="44">
        <f t="shared" ref="AP1143:AP1162" si="611">AN1143</f>
        <v>10.7354</v>
      </c>
      <c r="AQ1143" s="44">
        <v>8.2917000000000005</v>
      </c>
      <c r="AR1143" s="44" t="s">
        <v>312</v>
      </c>
      <c r="AS1143" s="44" t="s">
        <v>312</v>
      </c>
      <c r="AT1143" s="44" t="s">
        <v>83</v>
      </c>
      <c r="AU1143" s="44" t="s">
        <v>109</v>
      </c>
      <c r="AV1143" s="44" t="s">
        <v>133</v>
      </c>
      <c r="AW1143" s="44" t="s">
        <v>85</v>
      </c>
      <c r="AX1143" s="44" t="s">
        <v>86</v>
      </c>
      <c r="AY1143" s="44">
        <v>0</v>
      </c>
      <c r="AZ1143" s="44">
        <v>0</v>
      </c>
      <c r="BA1143" s="44" t="s">
        <v>111</v>
      </c>
      <c r="BB1143" s="44" t="s">
        <v>134</v>
      </c>
      <c r="BC1143" s="44" t="s">
        <v>113</v>
      </c>
      <c r="BD1143" s="44" t="s">
        <v>134</v>
      </c>
      <c r="BE1143" s="44" t="s">
        <v>2309</v>
      </c>
      <c r="BF1143" s="44">
        <v>86.535200000000003</v>
      </c>
      <c r="BG1143" s="44">
        <v>0</v>
      </c>
      <c r="BH1143" s="44">
        <v>47.195799999999998</v>
      </c>
      <c r="BI1143" s="44" t="s">
        <v>312</v>
      </c>
      <c r="BJ1143" s="44" t="s">
        <v>312</v>
      </c>
      <c r="BK1143" s="44" t="s">
        <v>91</v>
      </c>
      <c r="BL1143" s="44" t="s">
        <v>509</v>
      </c>
      <c r="BM1143" s="44" t="s">
        <v>1411</v>
      </c>
      <c r="BN1143" s="44" t="s">
        <v>312</v>
      </c>
      <c r="BO1143" s="44" t="s">
        <v>312</v>
      </c>
      <c r="BP1143" s="44" t="s">
        <v>312</v>
      </c>
      <c r="BQ1143" s="44" t="s">
        <v>92</v>
      </c>
      <c r="BR1143" s="44" t="s">
        <v>134</v>
      </c>
      <c r="BS1143" s="44">
        <v>52</v>
      </c>
      <c r="BT1143" s="44">
        <v>61</v>
      </c>
      <c r="BU1143" s="44">
        <v>2015</v>
      </c>
      <c r="BV1143" s="44">
        <v>2019</v>
      </c>
      <c r="BW1143" s="44" t="s">
        <v>2310</v>
      </c>
      <c r="BX1143" s="44" t="s">
        <v>95</v>
      </c>
      <c r="BY1143" s="44" t="s">
        <v>748</v>
      </c>
      <c r="BZ1143" s="44">
        <v>1</v>
      </c>
      <c r="CA1143" s="44">
        <v>1</v>
      </c>
      <c r="CB1143" s="44" t="s">
        <v>2311</v>
      </c>
      <c r="CC1143" s="44" t="s">
        <v>314</v>
      </c>
      <c r="CD1143" s="44">
        <v>1</v>
      </c>
      <c r="CE1143" s="44" t="s">
        <v>2312</v>
      </c>
      <c r="CF1143" s="44">
        <v>0</v>
      </c>
      <c r="CG1143" s="44" t="s">
        <v>97</v>
      </c>
      <c r="CH1143" s="44">
        <v>1</v>
      </c>
      <c r="CI1143" s="44" t="s">
        <v>943</v>
      </c>
      <c r="CJ1143" s="44" t="s">
        <v>98</v>
      </c>
      <c r="CK1143" s="44">
        <v>32</v>
      </c>
      <c r="CL1143" s="44">
        <v>0</v>
      </c>
      <c r="CM1143" s="44">
        <v>0</v>
      </c>
      <c r="CN1143" s="44" t="s">
        <v>124</v>
      </c>
      <c r="CO1143" s="44" t="s">
        <v>380</v>
      </c>
      <c r="CP1143" s="44" t="s">
        <v>100</v>
      </c>
      <c r="CQ1143" s="44" t="s">
        <v>126</v>
      </c>
      <c r="CR1143" s="45">
        <v>46267</v>
      </c>
      <c r="CT1143" s="44" t="s">
        <v>1225</v>
      </c>
    </row>
    <row r="1144" spans="1:98" s="44" customFormat="1" x14ac:dyDescent="0.35">
      <c r="A1144" s="43" t="s">
        <v>2305</v>
      </c>
      <c r="B1144" s="43" t="s">
        <v>2330</v>
      </c>
      <c r="C1144" s="44" t="s">
        <v>2306</v>
      </c>
      <c r="D1144" s="44">
        <v>2024</v>
      </c>
      <c r="E1144" s="64" t="s">
        <v>2307</v>
      </c>
      <c r="F1144" s="43" t="s">
        <v>2308</v>
      </c>
      <c r="G1144" s="44" t="s">
        <v>78</v>
      </c>
      <c r="H1144" s="44">
        <v>1</v>
      </c>
      <c r="I1144" s="44" t="s">
        <v>390</v>
      </c>
      <c r="J1144" s="44" t="s">
        <v>2210</v>
      </c>
      <c r="K1144" s="44">
        <v>35</v>
      </c>
      <c r="L1144" s="44" t="s">
        <v>1179</v>
      </c>
      <c r="M1144" s="44" t="s">
        <v>380</v>
      </c>
      <c r="N1144" s="44">
        <v>6.7299999999999999E-2</v>
      </c>
      <c r="O1144" s="44">
        <v>8.5000000000000006E-2</v>
      </c>
      <c r="P1144" s="44">
        <f t="shared" si="546"/>
        <v>0.79176470588235282</v>
      </c>
      <c r="Q1144" s="44" t="s">
        <v>312</v>
      </c>
      <c r="R1144" s="44">
        <f t="shared" si="547"/>
        <v>-9.9299999999999999E-2</v>
      </c>
      <c r="S1144" s="44">
        <f t="shared" si="548"/>
        <v>0.2339</v>
      </c>
      <c r="T1144" s="44">
        <v>1</v>
      </c>
      <c r="U1144" s="44">
        <v>672768</v>
      </c>
      <c r="V1144" s="44" t="s">
        <v>312</v>
      </c>
      <c r="W1144" s="44" t="s">
        <v>312</v>
      </c>
      <c r="X1144" s="44">
        <f t="shared" si="601"/>
        <v>672768</v>
      </c>
      <c r="Y1144" s="44">
        <f t="shared" si="602"/>
        <v>9.6530214907266168E-4</v>
      </c>
      <c r="Z1144" s="44">
        <f t="shared" si="603"/>
        <v>1.2191780486058878E-3</v>
      </c>
      <c r="AA1144" s="44">
        <f t="shared" si="604"/>
        <v>9.6530214907266168E-4</v>
      </c>
      <c r="AB1144" s="44" t="s">
        <v>81</v>
      </c>
      <c r="AC1144" s="44">
        <f t="shared" si="605"/>
        <v>1.2010072042586682E-3</v>
      </c>
      <c r="AD1144" s="44" cm="1">
        <f t="array" ref="AD1144">_xlfn.IFS(
AND(L1144="marginal_effect",M1144="level"),N1144*AN1144/BF1144,
AND(L1144="marginal_effect",M1144="sd (Y)"),N1144*BI1144*AN1144/BF1144,
AND(L1144="marginal_effect",M1144="sd (X)"),N1144/AQ1144*AN1144/BF1144,
AND(L1144="semi_elasticity",M1144="level"),N1144*AN1144,
AND(L1144="semi_elasticity",M1144="sd (Y)"),N1144*AN1144*BI1144,
AND(L1144="semi_elasticity",M1144="sd (X)"),N1144*AN1144/AQ1144,
AND(L1144="level-log",M1144="level"),N1144/BF1144,
AND(L1144="level-log",M1144="sd (X)"),N1144/BF1144/AQ1144,
AND(L1144="level-log",M1144="sd (Y)"),N1144/BF1144*BI1144,
AND(L1144="elasticity",M1144="level"),N1144,
AND(L1144="elasticity",M1144="sd (X)"),N1144/AQ1144,
AND(L1144="elasticity",M1144="sd (Y)"),N1144*BI1144,
AND(L1144="marginal_effect",M1144="percent_of_mean"),N1144*AN1144/BF1144/10)</f>
        <v>1.2010072042586682E-3</v>
      </c>
      <c r="AE1144" s="44">
        <f t="shared" si="606"/>
        <v>1</v>
      </c>
      <c r="AF1144" s="44">
        <f t="shared" si="607"/>
        <v>1.5168738835362079E-3</v>
      </c>
      <c r="AG1144" s="44" cm="1">
        <f t="array" ref="AG1144">_xlfn.IFS(
AND(L1144="marginal_effect",M1144="level"),O1144*AN1144/BF1144,
AND(L1144="marginal_effect",M1144="sd (Y)"),O1144*BI1144*AN1144/BF1144,
AND(L1144="marginal_effect",M1144="sd (X)"),O1144/AQ1144*AN1144/BF1144,
AND(L1144="semi_elasticity",M1144="level"),O1144*AN1144,
AND(L1144="semi_elasticity",M1144="sd (Y)"),O1144*AN1144*BI1144,
AND(L1144="semi_elasticity",M1144="sd (X)"),O1144*AN1144/AQ1144,
AND(L1144="level-log",M1144="level"),O1144/BF1144,
AND(L1144="level-log",M1144="sd (X)"),O1144/BF1144/AQ1144,
AND(L1144="level-log",M1144="sd (Y)"),O1144/BF1144*BI1144,
AND(L1144="elasticity",M1144="level"),O1144,
AND(L1144="elasticity",M1144="sd (X)"),O1144/AQ1144,
AND(L1144="elasticity",M1144="sd (Y)"),O1144*BI1144,
AND(L1144="marginal_effect",M1144="percent_of_mean"),O1144*AN1144/BF1144/10)</f>
        <v>1.5168738835362079E-3</v>
      </c>
      <c r="AH1144" s="44">
        <f t="shared" si="608"/>
        <v>1</v>
      </c>
      <c r="AI1144" s="44">
        <f t="shared" si="609"/>
        <v>1.2010072042586682E-3</v>
      </c>
      <c r="AJ1144" s="44">
        <v>0</v>
      </c>
      <c r="AK1144" s="44">
        <f t="shared" si="610"/>
        <v>1</v>
      </c>
      <c r="AL1144" s="44" t="s">
        <v>131</v>
      </c>
      <c r="AM1144" s="44" t="s">
        <v>410</v>
      </c>
      <c r="AN1144" s="44">
        <v>10.9894</v>
      </c>
      <c r="AO1144" s="44">
        <v>0</v>
      </c>
      <c r="AP1144" s="44">
        <f t="shared" si="611"/>
        <v>10.9894</v>
      </c>
      <c r="AQ1144" s="44">
        <v>8.6193000000000008</v>
      </c>
      <c r="AR1144" s="44" t="s">
        <v>312</v>
      </c>
      <c r="AS1144" s="44" t="s">
        <v>312</v>
      </c>
      <c r="AT1144" s="44" t="s">
        <v>83</v>
      </c>
      <c r="AU1144" s="44" t="s">
        <v>109</v>
      </c>
      <c r="AV1144" s="44" t="s">
        <v>133</v>
      </c>
      <c r="AW1144" s="44" t="s">
        <v>85</v>
      </c>
      <c r="AX1144" s="44" t="s">
        <v>86</v>
      </c>
      <c r="AY1144" s="44">
        <v>0</v>
      </c>
      <c r="AZ1144" s="44">
        <v>0</v>
      </c>
      <c r="BA1144" s="44" t="s">
        <v>111</v>
      </c>
      <c r="BB1144" s="44" t="s">
        <v>134</v>
      </c>
      <c r="BC1144" s="44" t="s">
        <v>113</v>
      </c>
      <c r="BD1144" s="44" t="s">
        <v>134</v>
      </c>
      <c r="BE1144" s="44" t="s">
        <v>2309</v>
      </c>
      <c r="BF1144" s="44">
        <v>56.036299999999997</v>
      </c>
      <c r="BG1144" s="44">
        <v>0</v>
      </c>
      <c r="BH1144" s="44">
        <v>27.2056</v>
      </c>
      <c r="BI1144" s="44" t="s">
        <v>312</v>
      </c>
      <c r="BJ1144" s="44" t="s">
        <v>312</v>
      </c>
      <c r="BK1144" s="44" t="s">
        <v>91</v>
      </c>
      <c r="BL1144" s="44" t="s">
        <v>509</v>
      </c>
      <c r="BM1144" s="44" t="s">
        <v>1411</v>
      </c>
      <c r="BN1144" s="44" t="s">
        <v>312</v>
      </c>
      <c r="BO1144" s="44" t="s">
        <v>312</v>
      </c>
      <c r="BP1144" s="44" t="s">
        <v>312</v>
      </c>
      <c r="BQ1144" s="44" t="s">
        <v>92</v>
      </c>
      <c r="BR1144" s="44" t="s">
        <v>134</v>
      </c>
      <c r="BS1144" s="44">
        <v>52</v>
      </c>
      <c r="BT1144" s="44">
        <v>61</v>
      </c>
      <c r="BU1144" s="44">
        <v>2015</v>
      </c>
      <c r="BV1144" s="44">
        <v>2019</v>
      </c>
      <c r="BW1144" s="44" t="s">
        <v>2310</v>
      </c>
      <c r="BX1144" s="44" t="s">
        <v>95</v>
      </c>
      <c r="BY1144" s="44" t="s">
        <v>748</v>
      </c>
      <c r="BZ1144" s="44">
        <v>1</v>
      </c>
      <c r="CA1144" s="44">
        <v>1</v>
      </c>
      <c r="CB1144" s="44" t="s">
        <v>2311</v>
      </c>
      <c r="CC1144" s="44" t="s">
        <v>314</v>
      </c>
      <c r="CD1144" s="44">
        <v>1</v>
      </c>
      <c r="CE1144" s="44" t="s">
        <v>2312</v>
      </c>
      <c r="CF1144" s="44">
        <v>0</v>
      </c>
      <c r="CG1144" s="44" t="s">
        <v>97</v>
      </c>
      <c r="CH1144" s="44">
        <v>1</v>
      </c>
      <c r="CI1144" s="44" t="s">
        <v>943</v>
      </c>
      <c r="CJ1144" s="44" t="s">
        <v>98</v>
      </c>
      <c r="CK1144" s="44">
        <v>32</v>
      </c>
      <c r="CL1144" s="44">
        <v>0</v>
      </c>
      <c r="CM1144" s="44">
        <v>0</v>
      </c>
      <c r="CN1144" s="44" t="s">
        <v>124</v>
      </c>
      <c r="CO1144" s="44" t="s">
        <v>380</v>
      </c>
      <c r="CP1144" s="44" t="s">
        <v>100</v>
      </c>
      <c r="CQ1144" s="44" t="s">
        <v>126</v>
      </c>
      <c r="CR1144" s="45">
        <v>46267</v>
      </c>
      <c r="CT1144" s="44" t="s">
        <v>1226</v>
      </c>
    </row>
    <row r="1145" spans="1:98" s="44" customFormat="1" x14ac:dyDescent="0.35">
      <c r="A1145" s="43" t="s">
        <v>2305</v>
      </c>
      <c r="B1145" s="43" t="s">
        <v>2337</v>
      </c>
      <c r="C1145" s="44" t="s">
        <v>2306</v>
      </c>
      <c r="D1145" s="44">
        <v>2024</v>
      </c>
      <c r="E1145" s="64" t="s">
        <v>2307</v>
      </c>
      <c r="F1145" s="43" t="s">
        <v>2308</v>
      </c>
      <c r="G1145" s="44" t="s">
        <v>78</v>
      </c>
      <c r="H1145" s="44">
        <v>1</v>
      </c>
      <c r="I1145" s="44" t="s">
        <v>390</v>
      </c>
      <c r="J1145" s="44" t="s">
        <v>2210</v>
      </c>
      <c r="K1145" s="44">
        <v>35</v>
      </c>
      <c r="L1145" s="44" t="s">
        <v>1179</v>
      </c>
      <c r="M1145" s="44" t="s">
        <v>380</v>
      </c>
      <c r="N1145" s="44">
        <v>-2.1000000000000001E-2</v>
      </c>
      <c r="O1145" s="44">
        <v>7.1000000000000004E-3</v>
      </c>
      <c r="P1145" s="44">
        <f t="shared" si="546"/>
        <v>-2.9577464788732395</v>
      </c>
      <c r="Q1145" s="44" t="s">
        <v>312</v>
      </c>
      <c r="R1145" s="44">
        <f t="shared" si="547"/>
        <v>-3.4916000000000003E-2</v>
      </c>
      <c r="S1145" s="44">
        <f t="shared" si="548"/>
        <v>-7.084E-3</v>
      </c>
      <c r="T1145" s="44">
        <v>1</v>
      </c>
      <c r="U1145" s="44">
        <v>189190</v>
      </c>
      <c r="V1145" s="44" t="s">
        <v>312</v>
      </c>
      <c r="W1145" s="44" t="s">
        <v>312</v>
      </c>
      <c r="X1145" s="44">
        <f t="shared" si="601"/>
        <v>189190</v>
      </c>
      <c r="Y1145" s="44">
        <f t="shared" si="602"/>
        <v>-6.7998888933753047E-3</v>
      </c>
      <c r="Z1145" s="44">
        <f t="shared" si="603"/>
        <v>2.299010054426889E-3</v>
      </c>
      <c r="AA1145" s="44">
        <f t="shared" si="604"/>
        <v>-6.7998888933753047E-3</v>
      </c>
      <c r="AB1145" s="44" t="s">
        <v>81</v>
      </c>
      <c r="AC1145" s="44">
        <f>N1145/BF1145</f>
        <v>-3.1911547269359295E-4</v>
      </c>
      <c r="AD1145" s="44" cm="1">
        <f t="array" ref="AD1145">_xlfn.IFS(
AND(L1145="marginal_effect",M1145="level"),N1145*AN1145/BF1145,
AND(L1145="marginal_effect",M1145="sd (Y)"),N1145*BI1145*AN1145/BF1145,
AND(L1145="marginal_effect",M1145="sd (X)"),N1145/AQ1145*AN1145/BF1145,
AND(L1145="semi_elasticity",M1145="level"),N1145*AN1145,
AND(L1145="semi_elasticity",M1145="sd (Y)"),N1145*AN1145*BI1145,
AND(L1145="semi_elasticity",M1145="sd (X)"),N1145*AN1145/AQ1145,
AND(L1145="level-log",M1145="level"),N1145/BF1145,
AND(L1145="level-log",M1145="sd (X)"),N1145/BF1145/AQ1145,
AND(L1145="level-log",M1145="sd (Y)"),N1145/BF1145*BI1145,
AND(L1145="elasticity",M1145="level"),N1145,
AND(L1145="elasticity",M1145="sd (X)"),N1145/AQ1145,
AND(L1145="elasticity",M1145="sd (Y)"),N1145*BI1145,
AND(L1145="marginal_effect",M1145="percent_of_mean"),N1145*AN1145/BF1145/10)</f>
        <v>-3.1911547269359295E-4</v>
      </c>
      <c r="AE1145" s="44">
        <f t="shared" si="606"/>
        <v>1</v>
      </c>
      <c r="AF1145" s="44">
        <f>O1145/BF1145</f>
        <v>1.0789142172021475E-4</v>
      </c>
      <c r="AG1145" s="44" cm="1">
        <f t="array" ref="AG1145">_xlfn.IFS(
AND(L1145="marginal_effect",M1145="level"),O1145*AN1145/BF1145,
AND(L1145="marginal_effect",M1145="sd (Y)"),O1145*BI1145*AN1145/BF1145,
AND(L1145="marginal_effect",M1145="sd (X)"),O1145/AQ1145*AN1145/BF1145,
AND(L1145="semi_elasticity",M1145="level"),O1145*AN1145,
AND(L1145="semi_elasticity",M1145="sd (Y)"),O1145*AN1145*BI1145,
AND(L1145="semi_elasticity",M1145="sd (X)"),O1145*AN1145/AQ1145,
AND(L1145="level-log",M1145="level"),O1145/BF1145,
AND(L1145="level-log",M1145="sd (X)"),O1145/BF1145/AQ1145,
AND(L1145="level-log",M1145="sd (Y)"),O1145/BF1145*BI1145,
AND(L1145="elasticity",M1145="level"),O1145,
AND(L1145="elasticity",M1145="sd (X)"),O1145/AQ1145,
AND(L1145="elasticity",M1145="sd (Y)"),O1145*BI1145,
AND(L1145="marginal_effect",M1145="percent_of_mean"),O1145*AN1145/BF1145/10)</f>
        <v>1.0789142172021475E-4</v>
      </c>
      <c r="AH1145" s="44">
        <f t="shared" si="608"/>
        <v>1</v>
      </c>
      <c r="AI1145" s="44">
        <f t="shared" si="609"/>
        <v>-3.1911547269359295E-4</v>
      </c>
      <c r="AJ1145" s="44">
        <v>0</v>
      </c>
      <c r="AK1145" s="44">
        <f t="shared" si="610"/>
        <v>1</v>
      </c>
      <c r="AL1145" s="44" t="s">
        <v>131</v>
      </c>
      <c r="AM1145" s="44" t="s">
        <v>410</v>
      </c>
      <c r="AN1145" s="44">
        <v>10.908099999999999</v>
      </c>
      <c r="AO1145" s="44">
        <v>1</v>
      </c>
      <c r="AP1145" s="44">
        <f t="shared" si="611"/>
        <v>10.908099999999999</v>
      </c>
      <c r="AQ1145" s="44">
        <v>8.5166000000000004</v>
      </c>
      <c r="AR1145" s="44" t="s">
        <v>312</v>
      </c>
      <c r="AS1145" s="44" t="s">
        <v>312</v>
      </c>
      <c r="AT1145" s="44" t="s">
        <v>83</v>
      </c>
      <c r="AU1145" s="44" t="s">
        <v>109</v>
      </c>
      <c r="AV1145" s="44" t="s">
        <v>133</v>
      </c>
      <c r="AW1145" s="44" t="s">
        <v>85</v>
      </c>
      <c r="AX1145" s="44" t="s">
        <v>86</v>
      </c>
      <c r="AY1145" s="44">
        <v>0</v>
      </c>
      <c r="AZ1145" s="44">
        <v>0</v>
      </c>
      <c r="BA1145" s="44" t="s">
        <v>111</v>
      </c>
      <c r="BB1145" s="44" t="s">
        <v>134</v>
      </c>
      <c r="BC1145" s="44" t="s">
        <v>113</v>
      </c>
      <c r="BD1145" s="44" t="s">
        <v>134</v>
      </c>
      <c r="BE1145" s="44" t="s">
        <v>2309</v>
      </c>
      <c r="BF1145" s="44">
        <v>65.806899999999999</v>
      </c>
      <c r="BG1145" s="44">
        <v>1</v>
      </c>
      <c r="BH1145" s="44">
        <v>37.671199999999999</v>
      </c>
      <c r="BI1145" s="44" t="s">
        <v>312</v>
      </c>
      <c r="BJ1145" s="44" t="s">
        <v>312</v>
      </c>
      <c r="BK1145" s="44" t="s">
        <v>91</v>
      </c>
      <c r="BL1145" s="44" t="s">
        <v>509</v>
      </c>
      <c r="BM1145" s="44" t="s">
        <v>1411</v>
      </c>
      <c r="BN1145" s="44" t="s">
        <v>312</v>
      </c>
      <c r="BO1145" s="44" t="s">
        <v>312</v>
      </c>
      <c r="BP1145" s="44" t="s">
        <v>312</v>
      </c>
      <c r="BQ1145" s="44" t="s">
        <v>92</v>
      </c>
      <c r="BR1145" s="44" t="s">
        <v>134</v>
      </c>
      <c r="BS1145" s="44">
        <v>52</v>
      </c>
      <c r="BT1145" s="44">
        <v>61</v>
      </c>
      <c r="BU1145" s="44">
        <v>2015</v>
      </c>
      <c r="BV1145" s="44">
        <v>2019</v>
      </c>
      <c r="BW1145" s="44" t="s">
        <v>2310</v>
      </c>
      <c r="BX1145" s="44" t="s">
        <v>95</v>
      </c>
      <c r="BY1145" s="44" t="s">
        <v>96</v>
      </c>
      <c r="BZ1145" s="44">
        <v>0</v>
      </c>
      <c r="CA1145" s="44">
        <v>0</v>
      </c>
      <c r="CB1145" s="44" t="s">
        <v>97</v>
      </c>
      <c r="CC1145" s="44" t="s">
        <v>314</v>
      </c>
      <c r="CD1145" s="44">
        <v>1</v>
      </c>
      <c r="CE1145" s="44" t="s">
        <v>2312</v>
      </c>
      <c r="CF1145" s="44">
        <v>0</v>
      </c>
      <c r="CG1145" s="44" t="s">
        <v>97</v>
      </c>
      <c r="CH1145" s="44">
        <v>1</v>
      </c>
      <c r="CI1145" s="44" t="s">
        <v>943</v>
      </c>
      <c r="CJ1145" s="44" t="s">
        <v>98</v>
      </c>
      <c r="CK1145" s="44">
        <v>32</v>
      </c>
      <c r="CL1145" s="44">
        <v>0</v>
      </c>
      <c r="CM1145" s="44">
        <v>0</v>
      </c>
      <c r="CN1145" s="44" t="s">
        <v>124</v>
      </c>
      <c r="CO1145" s="44" t="s">
        <v>97</v>
      </c>
      <c r="CP1145" s="44" t="s">
        <v>100</v>
      </c>
      <c r="CQ1145" s="44" t="s">
        <v>126</v>
      </c>
      <c r="CR1145" s="45">
        <v>46267</v>
      </c>
      <c r="CT1145" s="44" t="s">
        <v>707</v>
      </c>
    </row>
    <row r="1146" spans="1:98" s="44" customFormat="1" x14ac:dyDescent="0.35">
      <c r="A1146" s="43" t="s">
        <v>2305</v>
      </c>
      <c r="B1146" s="43" t="s">
        <v>2332</v>
      </c>
      <c r="C1146" s="44" t="s">
        <v>2306</v>
      </c>
      <c r="D1146" s="44">
        <v>2024</v>
      </c>
      <c r="E1146" s="64" t="s">
        <v>2307</v>
      </c>
      <c r="F1146" s="43" t="s">
        <v>2308</v>
      </c>
      <c r="G1146" s="44" t="s">
        <v>78</v>
      </c>
      <c r="H1146" s="44">
        <v>1</v>
      </c>
      <c r="I1146" s="44" t="s">
        <v>390</v>
      </c>
      <c r="J1146" s="44" t="s">
        <v>2210</v>
      </c>
      <c r="K1146" s="44">
        <v>35</v>
      </c>
      <c r="L1146" s="44" t="s">
        <v>1179</v>
      </c>
      <c r="M1146" s="44" t="s">
        <v>380</v>
      </c>
      <c r="N1146" s="44">
        <v>-3.9E-2</v>
      </c>
      <c r="O1146" s="44">
        <v>8.5000000000000006E-3</v>
      </c>
      <c r="P1146" s="44">
        <f t="shared" si="546"/>
        <v>-4.5882352941176467</v>
      </c>
      <c r="Q1146" s="44" t="s">
        <v>312</v>
      </c>
      <c r="R1146" s="44">
        <f t="shared" si="547"/>
        <v>-5.5660000000000001E-2</v>
      </c>
      <c r="S1146" s="44">
        <f t="shared" si="548"/>
        <v>-2.2339999999999999E-2</v>
      </c>
      <c r="T1146" s="44">
        <v>1</v>
      </c>
      <c r="U1146" s="44">
        <v>277592</v>
      </c>
      <c r="V1146" s="44" t="s">
        <v>312</v>
      </c>
      <c r="W1146" s="44" t="s">
        <v>312</v>
      </c>
      <c r="X1146" s="44">
        <f t="shared" si="601"/>
        <v>277592</v>
      </c>
      <c r="Y1146" s="44">
        <f t="shared" si="602"/>
        <v>-8.7081467877908741E-3</v>
      </c>
      <c r="Z1146" s="44">
        <f t="shared" si="603"/>
        <v>1.8979294281082678E-3</v>
      </c>
      <c r="AA1146" s="44">
        <f t="shared" si="604"/>
        <v>-8.7081467877908741E-3</v>
      </c>
      <c r="AB1146" s="44" t="s">
        <v>81</v>
      </c>
      <c r="AC1146" s="44">
        <f t="shared" ref="AC1146" si="612">N1146/BF1146</f>
        <v>-5.9264302071667253E-4</v>
      </c>
      <c r="AD1146" s="44" cm="1">
        <f t="array" ref="AD1146">_xlfn.IFS(
AND(L1146="marginal_effect",M1146="level"),N1146*AN1146/BF1146,
AND(L1146="marginal_effect",M1146="sd (Y)"),N1146*BI1146*AN1146/BF1146,
AND(L1146="marginal_effect",M1146="sd (X)"),N1146/AQ1146*AN1146/BF1146,
AND(L1146="semi_elasticity",M1146="level"),N1146*AN1146,
AND(L1146="semi_elasticity",M1146="sd (Y)"),N1146*AN1146*BI1146,
AND(L1146="semi_elasticity",M1146="sd (X)"),N1146*AN1146/AQ1146,
AND(L1146="level-log",M1146="level"),N1146/BF1146,
AND(L1146="level-log",M1146="sd (X)"),N1146/BF1146/AQ1146,
AND(L1146="level-log",M1146="sd (Y)"),N1146/BF1146*BI1146,
AND(L1146="elasticity",M1146="level"),N1146,
AND(L1146="elasticity",M1146="sd (X)"),N1146/AQ1146,
AND(L1146="elasticity",M1146="sd (Y)"),N1146*BI1146,
AND(L1146="marginal_effect",M1146="percent_of_mean"),N1146*AN1146/BF1146/10)</f>
        <v>-5.9264302071667253E-4</v>
      </c>
      <c r="AE1146" s="44">
        <f t="shared" si="606"/>
        <v>1</v>
      </c>
      <c r="AF1146" s="44">
        <f t="shared" ref="AF1146:AF1149" si="613">O1146/BF1146</f>
        <v>1.2916578656645429E-4</v>
      </c>
      <c r="AG1146" s="44" cm="1">
        <f t="array" ref="AG1146">_xlfn.IFS(
AND(L1146="marginal_effect",M1146="level"),O1146*AN1146/BF1146,
AND(L1146="marginal_effect",M1146="sd (Y)"),O1146*BI1146*AN1146/BF1146,
AND(L1146="marginal_effect",M1146="sd (X)"),O1146/AQ1146*AN1146/BF1146,
AND(L1146="semi_elasticity",M1146="level"),O1146*AN1146,
AND(L1146="semi_elasticity",M1146="sd (Y)"),O1146*AN1146*BI1146,
AND(L1146="semi_elasticity",M1146="sd (X)"),O1146*AN1146/AQ1146,
AND(L1146="level-log",M1146="level"),O1146/BF1146,
AND(L1146="level-log",M1146="sd (X)"),O1146/BF1146/AQ1146,
AND(L1146="level-log",M1146="sd (Y)"),O1146/BF1146*BI1146,
AND(L1146="elasticity",M1146="level"),O1146,
AND(L1146="elasticity",M1146="sd (X)"),O1146/AQ1146,
AND(L1146="elasticity",M1146="sd (Y)"),O1146*BI1146,
AND(L1146="marginal_effect",M1146="percent_of_mean"),O1146*AN1146/BF1146/10)</f>
        <v>1.2916578656645429E-4</v>
      </c>
      <c r="AH1146" s="44">
        <f t="shared" si="608"/>
        <v>1</v>
      </c>
      <c r="AI1146" s="44">
        <f t="shared" si="609"/>
        <v>-5.9264302071667253E-4</v>
      </c>
      <c r="AJ1146" s="44">
        <v>0</v>
      </c>
      <c r="AK1146" s="44">
        <f t="shared" si="610"/>
        <v>1</v>
      </c>
      <c r="AL1146" s="44" t="s">
        <v>131</v>
      </c>
      <c r="AM1146" s="44" t="s">
        <v>410</v>
      </c>
      <c r="AN1146" s="44">
        <v>10.908099999999999</v>
      </c>
      <c r="AO1146" s="44">
        <v>1</v>
      </c>
      <c r="AP1146" s="44">
        <f t="shared" si="611"/>
        <v>10.908099999999999</v>
      </c>
      <c r="AQ1146" s="44">
        <v>8.2917000000000005</v>
      </c>
      <c r="AR1146" s="44" t="s">
        <v>312</v>
      </c>
      <c r="AS1146" s="44" t="s">
        <v>312</v>
      </c>
      <c r="AT1146" s="44" t="s">
        <v>83</v>
      </c>
      <c r="AU1146" s="44" t="s">
        <v>109</v>
      </c>
      <c r="AV1146" s="44" t="s">
        <v>133</v>
      </c>
      <c r="AW1146" s="44" t="s">
        <v>85</v>
      </c>
      <c r="AX1146" s="44" t="s">
        <v>86</v>
      </c>
      <c r="AY1146" s="44">
        <v>0</v>
      </c>
      <c r="AZ1146" s="44">
        <v>0</v>
      </c>
      <c r="BA1146" s="44" t="s">
        <v>111</v>
      </c>
      <c r="BB1146" s="44" t="s">
        <v>134</v>
      </c>
      <c r="BC1146" s="44" t="s">
        <v>113</v>
      </c>
      <c r="BD1146" s="44" t="s">
        <v>134</v>
      </c>
      <c r="BE1146" s="44" t="s">
        <v>2309</v>
      </c>
      <c r="BF1146" s="44">
        <v>65.806899999999999</v>
      </c>
      <c r="BG1146" s="44">
        <v>1</v>
      </c>
      <c r="BH1146" s="44">
        <v>47.195799999999998</v>
      </c>
      <c r="BI1146" s="44" t="s">
        <v>312</v>
      </c>
      <c r="BJ1146" s="44" t="s">
        <v>312</v>
      </c>
      <c r="BK1146" s="44" t="s">
        <v>91</v>
      </c>
      <c r="BL1146" s="44" t="s">
        <v>509</v>
      </c>
      <c r="BM1146" s="44" t="s">
        <v>1411</v>
      </c>
      <c r="BN1146" s="44" t="s">
        <v>312</v>
      </c>
      <c r="BO1146" s="44" t="s">
        <v>312</v>
      </c>
      <c r="BP1146" s="44" t="s">
        <v>312</v>
      </c>
      <c r="BQ1146" s="44" t="s">
        <v>92</v>
      </c>
      <c r="BR1146" s="44" t="s">
        <v>134</v>
      </c>
      <c r="BS1146" s="44">
        <v>52</v>
      </c>
      <c r="BT1146" s="44">
        <v>61</v>
      </c>
      <c r="BU1146" s="44">
        <v>2015</v>
      </c>
      <c r="BV1146" s="44">
        <v>2019</v>
      </c>
      <c r="BW1146" s="44" t="s">
        <v>2310</v>
      </c>
      <c r="BX1146" s="44" t="s">
        <v>95</v>
      </c>
      <c r="BY1146" s="44" t="s">
        <v>96</v>
      </c>
      <c r="BZ1146" s="44">
        <v>0</v>
      </c>
      <c r="CA1146" s="44">
        <v>0</v>
      </c>
      <c r="CB1146" s="44" t="s">
        <v>97</v>
      </c>
      <c r="CC1146" s="44" t="s">
        <v>314</v>
      </c>
      <c r="CD1146" s="44">
        <v>1</v>
      </c>
      <c r="CE1146" s="44" t="s">
        <v>2312</v>
      </c>
      <c r="CF1146" s="44">
        <v>0</v>
      </c>
      <c r="CG1146" s="44" t="s">
        <v>97</v>
      </c>
      <c r="CH1146" s="44">
        <v>1</v>
      </c>
      <c r="CI1146" s="44" t="s">
        <v>943</v>
      </c>
      <c r="CJ1146" s="44" t="s">
        <v>98</v>
      </c>
      <c r="CK1146" s="44">
        <v>32</v>
      </c>
      <c r="CL1146" s="44">
        <v>0</v>
      </c>
      <c r="CM1146" s="44">
        <v>0</v>
      </c>
      <c r="CN1146" s="44" t="s">
        <v>124</v>
      </c>
      <c r="CO1146" s="44" t="s">
        <v>97</v>
      </c>
      <c r="CP1146" s="44" t="s">
        <v>100</v>
      </c>
      <c r="CQ1146" s="44" t="s">
        <v>126</v>
      </c>
      <c r="CR1146" s="45">
        <v>46267</v>
      </c>
      <c r="CT1146" s="44" t="s">
        <v>1257</v>
      </c>
    </row>
    <row r="1147" spans="1:98" s="44" customFormat="1" x14ac:dyDescent="0.35">
      <c r="A1147" s="43" t="s">
        <v>2305</v>
      </c>
      <c r="B1147" s="43" t="s">
        <v>2333</v>
      </c>
      <c r="C1147" s="44" t="s">
        <v>2306</v>
      </c>
      <c r="D1147" s="44">
        <v>2024</v>
      </c>
      <c r="E1147" s="64" t="s">
        <v>2307</v>
      </c>
      <c r="F1147" s="43" t="s">
        <v>2308</v>
      </c>
      <c r="G1147" s="44" t="s">
        <v>78</v>
      </c>
      <c r="H1147" s="44">
        <v>1</v>
      </c>
      <c r="I1147" s="44" t="s">
        <v>390</v>
      </c>
      <c r="J1147" s="44" t="s">
        <v>2210</v>
      </c>
      <c r="K1147" s="44">
        <v>35</v>
      </c>
      <c r="L1147" s="44" t="s">
        <v>104</v>
      </c>
      <c r="M1147" s="44" t="s">
        <v>380</v>
      </c>
      <c r="N1147" s="44">
        <v>-4.0000000000000002E-4</v>
      </c>
      <c r="O1147" s="44">
        <v>1E-4</v>
      </c>
      <c r="P1147" s="44">
        <f t="shared" si="546"/>
        <v>-4</v>
      </c>
      <c r="Q1147" s="44" t="s">
        <v>312</v>
      </c>
      <c r="R1147" s="44">
        <f t="shared" si="547"/>
        <v>-5.9599999999999996E-4</v>
      </c>
      <c r="S1147" s="44">
        <f t="shared" si="548"/>
        <v>-2.0400000000000003E-4</v>
      </c>
      <c r="T1147" s="44">
        <v>1</v>
      </c>
      <c r="U1147" s="44">
        <v>296574</v>
      </c>
      <c r="V1147" s="44" t="s">
        <v>312</v>
      </c>
      <c r="W1147" s="44" t="s">
        <v>312</v>
      </c>
      <c r="X1147" s="44">
        <f t="shared" si="601"/>
        <v>296574</v>
      </c>
      <c r="Y1147" s="44">
        <f t="shared" si="602"/>
        <v>-7.3448298487161423E-3</v>
      </c>
      <c r="Z1147" s="44">
        <f t="shared" si="603"/>
        <v>1.8362074621790356E-3</v>
      </c>
      <c r="AA1147" s="44">
        <f t="shared" si="604"/>
        <v>-7.3448298487161423E-3</v>
      </c>
      <c r="AB1147" s="44" t="s">
        <v>81</v>
      </c>
      <c r="AC1147" s="44">
        <f>N1147*AN1147</f>
        <v>-4.36324E-3</v>
      </c>
      <c r="AD1147" s="44" cm="1">
        <f t="array" ref="AD1147">_xlfn.IFS(
AND(L1147="marginal_effect",M1147="level"),N1147*AN1147/BF1147,
AND(L1147="marginal_effect",M1147="sd (Y)"),N1147*BI1147*AN1147/BF1147,
AND(L1147="marginal_effect",M1147="sd (X)"),N1147/AQ1147*AN1147/BF1147,
AND(L1147="semi_elasticity",M1147="level"),N1147*AN1147,
AND(L1147="semi_elasticity",M1147="sd (Y)"),N1147*AN1147*BI1147,
AND(L1147="semi_elasticity",M1147="sd (X)"),N1147*AN1147/AQ1147,
AND(L1147="level-log",M1147="level"),N1147/BF1147,
AND(L1147="level-log",M1147="sd (X)"),N1147/BF1147/AQ1147,
AND(L1147="level-log",M1147="sd (Y)"),N1147/BF1147*BI1147,
AND(L1147="elasticity",M1147="level"),N1147,
AND(L1147="elasticity",M1147="sd (X)"),N1147/AQ1147,
AND(L1147="elasticity",M1147="sd (Y)"),N1147*BI1147,
AND(L1147="marginal_effect",M1147="percent_of_mean"),N1147*AN1147/BF1147/10)</f>
        <v>-4.36324E-3</v>
      </c>
      <c r="AE1147" s="44">
        <f t="shared" si="606"/>
        <v>1</v>
      </c>
      <c r="AF1147" s="44">
        <f>O1147*AN1147</f>
        <v>1.09081E-3</v>
      </c>
      <c r="AG1147" s="44" cm="1">
        <f t="array" ref="AG1147">_xlfn.IFS(
AND(L1147="marginal_effect",M1147="level"),O1147*AN1147/BF1147,
AND(L1147="marginal_effect",M1147="sd (Y)"),O1147*BI1147*AN1147/BF1147,
AND(L1147="marginal_effect",M1147="sd (X)"),O1147/AQ1147*AN1147/BF1147,
AND(L1147="semi_elasticity",M1147="level"),O1147*AN1147,
AND(L1147="semi_elasticity",M1147="sd (Y)"),O1147*AN1147*BI1147,
AND(L1147="semi_elasticity",M1147="sd (X)"),O1147*AN1147/AQ1147,
AND(L1147="level-log",M1147="level"),O1147/BF1147,
AND(L1147="level-log",M1147="sd (X)"),O1147/BF1147/AQ1147,
AND(L1147="level-log",M1147="sd (Y)"),O1147/BF1147*BI1147,
AND(L1147="elasticity",M1147="level"),O1147,
AND(L1147="elasticity",M1147="sd (X)"),O1147/AQ1147,
AND(L1147="elasticity",M1147="sd (Y)"),O1147*BI1147,
AND(L1147="marginal_effect",M1147="percent_of_mean"),O1147*AN1147/BF1147/10)</f>
        <v>1.09081E-3</v>
      </c>
      <c r="AH1147" s="44">
        <f t="shared" si="608"/>
        <v>1</v>
      </c>
      <c r="AI1147" s="44">
        <f t="shared" si="609"/>
        <v>-4.36324E-3</v>
      </c>
      <c r="AJ1147" s="44">
        <v>0</v>
      </c>
      <c r="AK1147" s="44">
        <f t="shared" si="610"/>
        <v>1</v>
      </c>
      <c r="AL1147" s="44" t="s">
        <v>131</v>
      </c>
      <c r="AM1147" s="44" t="s">
        <v>410</v>
      </c>
      <c r="AN1147" s="44">
        <v>10.908099999999999</v>
      </c>
      <c r="AO1147" s="44">
        <v>1</v>
      </c>
      <c r="AP1147" s="44">
        <f t="shared" si="611"/>
        <v>10.908099999999999</v>
      </c>
      <c r="AQ1147" s="44">
        <v>8.6193000000000008</v>
      </c>
      <c r="AR1147" s="44" t="s">
        <v>312</v>
      </c>
      <c r="AS1147" s="44" t="s">
        <v>312</v>
      </c>
      <c r="AT1147" s="44" t="s">
        <v>83</v>
      </c>
      <c r="AU1147" s="44" t="s">
        <v>109</v>
      </c>
      <c r="AV1147" s="44" t="s">
        <v>133</v>
      </c>
      <c r="AW1147" s="44" t="s">
        <v>85</v>
      </c>
      <c r="AX1147" s="44" t="s">
        <v>86</v>
      </c>
      <c r="AY1147" s="44">
        <v>0</v>
      </c>
      <c r="AZ1147" s="44">
        <v>0</v>
      </c>
      <c r="BA1147" s="44" t="s">
        <v>111</v>
      </c>
      <c r="BB1147" s="44" t="s">
        <v>134</v>
      </c>
      <c r="BC1147" s="44" t="s">
        <v>113</v>
      </c>
      <c r="BD1147" s="44" t="s">
        <v>134</v>
      </c>
      <c r="BE1147" s="44" t="s">
        <v>2309</v>
      </c>
      <c r="BF1147" s="44">
        <v>65.806899999999999</v>
      </c>
      <c r="BG1147" s="44">
        <v>1</v>
      </c>
      <c r="BH1147" s="44">
        <v>27.2056</v>
      </c>
      <c r="BI1147" s="44" t="s">
        <v>312</v>
      </c>
      <c r="BJ1147" s="44" t="s">
        <v>312</v>
      </c>
      <c r="BK1147" s="44" t="s">
        <v>91</v>
      </c>
      <c r="BL1147" s="44" t="s">
        <v>509</v>
      </c>
      <c r="BM1147" s="44" t="s">
        <v>1411</v>
      </c>
      <c r="BN1147" s="44" t="s">
        <v>312</v>
      </c>
      <c r="BO1147" s="44" t="s">
        <v>312</v>
      </c>
      <c r="BP1147" s="44" t="s">
        <v>312</v>
      </c>
      <c r="BQ1147" s="44" t="s">
        <v>92</v>
      </c>
      <c r="BR1147" s="44" t="s">
        <v>134</v>
      </c>
      <c r="BS1147" s="44">
        <v>52</v>
      </c>
      <c r="BT1147" s="44">
        <v>61</v>
      </c>
      <c r="BU1147" s="44">
        <v>2015</v>
      </c>
      <c r="BV1147" s="44">
        <v>2019</v>
      </c>
      <c r="BW1147" s="44" t="s">
        <v>2310</v>
      </c>
      <c r="BX1147" s="44" t="s">
        <v>95</v>
      </c>
      <c r="BY1147" s="44" t="s">
        <v>96</v>
      </c>
      <c r="BZ1147" s="44">
        <v>0</v>
      </c>
      <c r="CA1147" s="44">
        <v>0</v>
      </c>
      <c r="CB1147" s="44" t="s">
        <v>97</v>
      </c>
      <c r="CC1147" s="44" t="s">
        <v>314</v>
      </c>
      <c r="CD1147" s="44">
        <v>1</v>
      </c>
      <c r="CE1147" s="44" t="s">
        <v>2312</v>
      </c>
      <c r="CF1147" s="44">
        <v>0</v>
      </c>
      <c r="CG1147" s="44" t="s">
        <v>97</v>
      </c>
      <c r="CH1147" s="44">
        <v>1</v>
      </c>
      <c r="CI1147" s="44" t="s">
        <v>943</v>
      </c>
      <c r="CJ1147" s="44" t="s">
        <v>98</v>
      </c>
      <c r="CK1147" s="44">
        <v>32</v>
      </c>
      <c r="CL1147" s="44">
        <v>0</v>
      </c>
      <c r="CM1147" s="44">
        <v>0</v>
      </c>
      <c r="CN1147" s="44" t="s">
        <v>124</v>
      </c>
      <c r="CO1147" s="44" t="s">
        <v>97</v>
      </c>
      <c r="CP1147" s="44" t="s">
        <v>100</v>
      </c>
      <c r="CQ1147" s="44" t="s">
        <v>126</v>
      </c>
      <c r="CR1147" s="45">
        <v>46267</v>
      </c>
      <c r="CT1147" s="44" t="s">
        <v>1259</v>
      </c>
    </row>
    <row r="1148" spans="1:98" s="44" customFormat="1" x14ac:dyDescent="0.35">
      <c r="A1148" s="43" t="s">
        <v>2305</v>
      </c>
      <c r="B1148" s="43" t="s">
        <v>2336</v>
      </c>
      <c r="C1148" s="44" t="s">
        <v>2306</v>
      </c>
      <c r="D1148" s="44">
        <v>2024</v>
      </c>
      <c r="E1148" s="64" t="s">
        <v>2307</v>
      </c>
      <c r="F1148" s="43" t="s">
        <v>2308</v>
      </c>
      <c r="G1148" s="44" t="s">
        <v>78</v>
      </c>
      <c r="H1148" s="44">
        <v>1</v>
      </c>
      <c r="I1148" s="44" t="s">
        <v>390</v>
      </c>
      <c r="J1148" s="44" t="s">
        <v>2210</v>
      </c>
      <c r="K1148" s="44">
        <v>35</v>
      </c>
      <c r="L1148" s="44" t="s">
        <v>1179</v>
      </c>
      <c r="M1148" s="44" t="s">
        <v>380</v>
      </c>
      <c r="N1148" s="44">
        <v>-0.30990000000000001</v>
      </c>
      <c r="O1148" s="44">
        <v>0.13189999999999999</v>
      </c>
      <c r="P1148" s="44">
        <f t="shared" si="546"/>
        <v>-2.3495072024260808</v>
      </c>
      <c r="Q1148" s="44" t="s">
        <v>312</v>
      </c>
      <c r="R1148" s="44">
        <f t="shared" si="547"/>
        <v>-0.56842400000000004</v>
      </c>
      <c r="S1148" s="44">
        <f t="shared" si="548"/>
        <v>-5.1376000000000033E-2</v>
      </c>
      <c r="T1148" s="44">
        <v>1</v>
      </c>
      <c r="U1148" s="44">
        <v>189190</v>
      </c>
      <c r="V1148" s="44" t="s">
        <v>312</v>
      </c>
      <c r="W1148" s="44" t="s">
        <v>312</v>
      </c>
      <c r="X1148" s="44">
        <f t="shared" si="601"/>
        <v>189190</v>
      </c>
      <c r="Y1148" s="44">
        <f t="shared" si="602"/>
        <v>-5.401586762046575E-3</v>
      </c>
      <c r="Z1148" s="44">
        <f t="shared" si="603"/>
        <v>2.2990296673570288E-3</v>
      </c>
      <c r="AA1148" s="44">
        <f t="shared" si="604"/>
        <v>-5.401586762046575E-3</v>
      </c>
      <c r="AB1148" s="44" t="s">
        <v>81</v>
      </c>
      <c r="AC1148" s="44">
        <f t="shared" ref="AC1148:AC1149" si="614">N1148/BF1148</f>
        <v>-4.7092326184640211E-3</v>
      </c>
      <c r="AD1148" s="44" cm="1">
        <f t="array" ref="AD1148">_xlfn.IFS(
AND(L1148="marginal_effect",M1148="level"),N1148*AN1148/BF1148,
AND(L1148="marginal_effect",M1148="sd (Y)"),N1148*BI1148*AN1148/BF1148,
AND(L1148="marginal_effect",M1148="sd (X)"),N1148/AQ1148*AN1148/BF1148,
AND(L1148="semi_elasticity",M1148="level"),N1148*AN1148,
AND(L1148="semi_elasticity",M1148="sd (Y)"),N1148*AN1148*BI1148,
AND(L1148="semi_elasticity",M1148="sd (X)"),N1148*AN1148/AQ1148,
AND(L1148="level-log",M1148="level"),N1148/BF1148,
AND(L1148="level-log",M1148="sd (X)"),N1148/BF1148/AQ1148,
AND(L1148="level-log",M1148="sd (Y)"),N1148/BF1148*BI1148,
AND(L1148="elasticity",M1148="level"),N1148,
AND(L1148="elasticity",M1148="sd (X)"),N1148/AQ1148,
AND(L1148="elasticity",M1148="sd (Y)"),N1148*BI1148,
AND(L1148="marginal_effect",M1148="percent_of_mean"),N1148*AN1148/BF1148/10)</f>
        <v>-4.7092326184640211E-3</v>
      </c>
      <c r="AE1148" s="44">
        <f t="shared" si="606"/>
        <v>1</v>
      </c>
      <c r="AF1148" s="44">
        <f t="shared" si="613"/>
        <v>2.0043490880135668E-3</v>
      </c>
      <c r="AG1148" s="44" cm="1">
        <f t="array" ref="AG1148">_xlfn.IFS(
AND(L1148="marginal_effect",M1148="level"),O1148*AN1148/BF1148,
AND(L1148="marginal_effect",M1148="sd (Y)"),O1148*BI1148*AN1148/BF1148,
AND(L1148="marginal_effect",M1148="sd (X)"),O1148/AQ1148*AN1148/BF1148,
AND(L1148="semi_elasticity",M1148="level"),O1148*AN1148,
AND(L1148="semi_elasticity",M1148="sd (Y)"),O1148*AN1148*BI1148,
AND(L1148="semi_elasticity",M1148="sd (X)"),O1148*AN1148/AQ1148,
AND(L1148="level-log",M1148="level"),O1148/BF1148,
AND(L1148="level-log",M1148="sd (X)"),O1148/BF1148/AQ1148,
AND(L1148="level-log",M1148="sd (Y)"),O1148/BF1148*BI1148,
AND(L1148="elasticity",M1148="level"),O1148,
AND(L1148="elasticity",M1148="sd (X)"),O1148/AQ1148,
AND(L1148="elasticity",M1148="sd (Y)"),O1148*BI1148,
AND(L1148="marginal_effect",M1148="percent_of_mean"),O1148*AN1148/BF1148/10)</f>
        <v>2.0043490880135668E-3</v>
      </c>
      <c r="AH1148" s="44">
        <f t="shared" si="608"/>
        <v>1</v>
      </c>
      <c r="AI1148" s="44">
        <f t="shared" si="609"/>
        <v>-4.7092326184640211E-3</v>
      </c>
      <c r="AJ1148" s="44">
        <v>0</v>
      </c>
      <c r="AK1148" s="44">
        <f t="shared" si="610"/>
        <v>1</v>
      </c>
      <c r="AL1148" s="44" t="s">
        <v>131</v>
      </c>
      <c r="AM1148" s="44" t="s">
        <v>410</v>
      </c>
      <c r="AN1148" s="44">
        <v>10.908099999999999</v>
      </c>
      <c r="AO1148" s="44">
        <v>1</v>
      </c>
      <c r="AP1148" s="44">
        <f t="shared" si="611"/>
        <v>10.908099999999999</v>
      </c>
      <c r="AQ1148" s="44">
        <v>8.5166000000000004</v>
      </c>
      <c r="AR1148" s="44" t="s">
        <v>312</v>
      </c>
      <c r="AS1148" s="44" t="s">
        <v>312</v>
      </c>
      <c r="AT1148" s="44" t="s">
        <v>83</v>
      </c>
      <c r="AU1148" s="44" t="s">
        <v>109</v>
      </c>
      <c r="AV1148" s="44" t="s">
        <v>133</v>
      </c>
      <c r="AW1148" s="44" t="s">
        <v>85</v>
      </c>
      <c r="AX1148" s="44" t="s">
        <v>86</v>
      </c>
      <c r="AY1148" s="44">
        <v>0</v>
      </c>
      <c r="AZ1148" s="44">
        <v>0</v>
      </c>
      <c r="BA1148" s="44" t="s">
        <v>111</v>
      </c>
      <c r="BB1148" s="44" t="s">
        <v>134</v>
      </c>
      <c r="BC1148" s="44" t="s">
        <v>113</v>
      </c>
      <c r="BD1148" s="44" t="s">
        <v>134</v>
      </c>
      <c r="BE1148" s="44" t="s">
        <v>2309</v>
      </c>
      <c r="BF1148" s="44">
        <v>65.806899999999999</v>
      </c>
      <c r="BG1148" s="44">
        <v>1</v>
      </c>
      <c r="BH1148" s="44">
        <v>37.671199999999999</v>
      </c>
      <c r="BI1148" s="44" t="s">
        <v>312</v>
      </c>
      <c r="BJ1148" s="44" t="s">
        <v>312</v>
      </c>
      <c r="BK1148" s="44" t="s">
        <v>91</v>
      </c>
      <c r="BL1148" s="44" t="s">
        <v>509</v>
      </c>
      <c r="BM1148" s="44" t="s">
        <v>1411</v>
      </c>
      <c r="BN1148" s="44" t="s">
        <v>312</v>
      </c>
      <c r="BO1148" s="44" t="s">
        <v>312</v>
      </c>
      <c r="BP1148" s="44" t="s">
        <v>312</v>
      </c>
      <c r="BQ1148" s="44" t="s">
        <v>92</v>
      </c>
      <c r="BR1148" s="44" t="s">
        <v>134</v>
      </c>
      <c r="BS1148" s="44">
        <v>52</v>
      </c>
      <c r="BT1148" s="44">
        <v>61</v>
      </c>
      <c r="BU1148" s="44">
        <v>2015</v>
      </c>
      <c r="BV1148" s="44">
        <v>2019</v>
      </c>
      <c r="BW1148" s="44" t="s">
        <v>2310</v>
      </c>
      <c r="BX1148" s="44" t="s">
        <v>95</v>
      </c>
      <c r="BY1148" s="44" t="s">
        <v>748</v>
      </c>
      <c r="BZ1148" s="44">
        <v>1</v>
      </c>
      <c r="CA1148" s="44">
        <v>1</v>
      </c>
      <c r="CB1148" s="44" t="s">
        <v>2311</v>
      </c>
      <c r="CC1148" s="44" t="s">
        <v>314</v>
      </c>
      <c r="CD1148" s="44">
        <v>1</v>
      </c>
      <c r="CE1148" s="44" t="s">
        <v>2312</v>
      </c>
      <c r="CF1148" s="44">
        <v>0</v>
      </c>
      <c r="CG1148" s="44" t="s">
        <v>97</v>
      </c>
      <c r="CH1148" s="44">
        <v>1</v>
      </c>
      <c r="CI1148" s="44" t="s">
        <v>943</v>
      </c>
      <c r="CJ1148" s="44" t="s">
        <v>98</v>
      </c>
      <c r="CK1148" s="44">
        <v>32</v>
      </c>
      <c r="CL1148" s="44">
        <v>0</v>
      </c>
      <c r="CM1148" s="44">
        <v>0</v>
      </c>
      <c r="CN1148" s="44" t="s">
        <v>124</v>
      </c>
      <c r="CO1148" s="44" t="s">
        <v>97</v>
      </c>
      <c r="CP1148" s="44" t="s">
        <v>100</v>
      </c>
      <c r="CQ1148" s="44" t="s">
        <v>126</v>
      </c>
      <c r="CR1148" s="45">
        <v>46267</v>
      </c>
      <c r="CT1148" s="44" t="s">
        <v>707</v>
      </c>
    </row>
    <row r="1149" spans="1:98" s="44" customFormat="1" x14ac:dyDescent="0.35">
      <c r="A1149" s="43" t="s">
        <v>2305</v>
      </c>
      <c r="B1149" s="43" t="s">
        <v>2335</v>
      </c>
      <c r="C1149" s="44" t="s">
        <v>2306</v>
      </c>
      <c r="D1149" s="44">
        <v>2024</v>
      </c>
      <c r="E1149" s="64" t="s">
        <v>2307</v>
      </c>
      <c r="F1149" s="43" t="s">
        <v>2308</v>
      </c>
      <c r="G1149" s="44" t="s">
        <v>78</v>
      </c>
      <c r="H1149" s="44">
        <v>1</v>
      </c>
      <c r="I1149" s="44" t="s">
        <v>390</v>
      </c>
      <c r="J1149" s="44" t="s">
        <v>2210</v>
      </c>
      <c r="K1149" s="44">
        <v>35</v>
      </c>
      <c r="L1149" s="44" t="s">
        <v>1179</v>
      </c>
      <c r="M1149" s="44" t="s">
        <v>380</v>
      </c>
      <c r="N1149" s="44">
        <v>-0.4239</v>
      </c>
      <c r="O1149" s="44">
        <v>0.1313</v>
      </c>
      <c r="P1149" s="44">
        <f t="shared" si="546"/>
        <v>-3.2284843869002287</v>
      </c>
      <c r="Q1149" s="44" t="s">
        <v>312</v>
      </c>
      <c r="R1149" s="44">
        <f t="shared" si="547"/>
        <v>-0.68124800000000008</v>
      </c>
      <c r="S1149" s="44">
        <f t="shared" si="548"/>
        <v>-0.16655199999999998</v>
      </c>
      <c r="T1149" s="44">
        <v>1</v>
      </c>
      <c r="U1149" s="44">
        <v>277592</v>
      </c>
      <c r="V1149" s="44" t="s">
        <v>312</v>
      </c>
      <c r="W1149" s="44" t="s">
        <v>312</v>
      </c>
      <c r="X1149" s="44">
        <f t="shared" si="601"/>
        <v>277592</v>
      </c>
      <c r="Y1149" s="44">
        <f t="shared" si="602"/>
        <v>-6.1275528280382392E-3</v>
      </c>
      <c r="Z1149" s="44">
        <f t="shared" si="603"/>
        <v>1.8979657615508865E-3</v>
      </c>
      <c r="AA1149" s="44">
        <f t="shared" si="604"/>
        <v>-6.1275528280382392E-3</v>
      </c>
      <c r="AB1149" s="44" t="s">
        <v>81</v>
      </c>
      <c r="AC1149" s="44">
        <f t="shared" si="614"/>
        <v>-6.4415737559435256E-3</v>
      </c>
      <c r="AD1149" s="44" cm="1">
        <f t="array" ref="AD1149">_xlfn.IFS(
AND(L1149="marginal_effect",M1149="level"),N1149*AN1149/BF1149,
AND(L1149="marginal_effect",M1149="sd (Y)"),N1149*BI1149*AN1149/BF1149,
AND(L1149="marginal_effect",M1149="sd (X)"),N1149/AQ1149*AN1149/BF1149,
AND(L1149="semi_elasticity",M1149="level"),N1149*AN1149,
AND(L1149="semi_elasticity",M1149="sd (Y)"),N1149*AN1149*BI1149,
AND(L1149="semi_elasticity",M1149="sd (X)"),N1149*AN1149/AQ1149,
AND(L1149="level-log",M1149="level"),N1149/BF1149,
AND(L1149="level-log",M1149="sd (X)"),N1149/BF1149/AQ1149,
AND(L1149="level-log",M1149="sd (Y)"),N1149/BF1149*BI1149,
AND(L1149="elasticity",M1149="level"),N1149,
AND(L1149="elasticity",M1149="sd (X)"),N1149/AQ1149,
AND(L1149="elasticity",M1149="sd (Y)"),N1149*BI1149,
AND(L1149="marginal_effect",M1149="percent_of_mean"),N1149*AN1149/BF1149/10)</f>
        <v>-6.4415737559435256E-3</v>
      </c>
      <c r="AE1149" s="44">
        <f t="shared" si="606"/>
        <v>1</v>
      </c>
      <c r="AF1149" s="44">
        <f t="shared" si="613"/>
        <v>1.9952315030794645E-3</v>
      </c>
      <c r="AG1149" s="44" cm="1">
        <f t="array" ref="AG1149">_xlfn.IFS(
AND(L1149="marginal_effect",M1149="level"),O1149*AN1149/BF1149,
AND(L1149="marginal_effect",M1149="sd (Y)"),O1149*BI1149*AN1149/BF1149,
AND(L1149="marginal_effect",M1149="sd (X)"),O1149/AQ1149*AN1149/BF1149,
AND(L1149="semi_elasticity",M1149="level"),O1149*AN1149,
AND(L1149="semi_elasticity",M1149="sd (Y)"),O1149*AN1149*BI1149,
AND(L1149="semi_elasticity",M1149="sd (X)"),O1149*AN1149/AQ1149,
AND(L1149="level-log",M1149="level"),O1149/BF1149,
AND(L1149="level-log",M1149="sd (X)"),O1149/BF1149/AQ1149,
AND(L1149="level-log",M1149="sd (Y)"),O1149/BF1149*BI1149,
AND(L1149="elasticity",M1149="level"),O1149,
AND(L1149="elasticity",M1149="sd (X)"),O1149/AQ1149,
AND(L1149="elasticity",M1149="sd (Y)"),O1149*BI1149,
AND(L1149="marginal_effect",M1149="percent_of_mean"),O1149*AN1149/BF1149/10)</f>
        <v>1.9952315030794645E-3</v>
      </c>
      <c r="AH1149" s="44">
        <f t="shared" si="608"/>
        <v>1</v>
      </c>
      <c r="AI1149" s="44">
        <f t="shared" si="609"/>
        <v>-6.4415737559435256E-3</v>
      </c>
      <c r="AJ1149" s="44">
        <v>0</v>
      </c>
      <c r="AK1149" s="44">
        <f t="shared" si="610"/>
        <v>1</v>
      </c>
      <c r="AL1149" s="44" t="s">
        <v>131</v>
      </c>
      <c r="AM1149" s="44" t="s">
        <v>410</v>
      </c>
      <c r="AN1149" s="44">
        <v>10.908099999999999</v>
      </c>
      <c r="AO1149" s="44">
        <v>1</v>
      </c>
      <c r="AP1149" s="44">
        <f t="shared" si="611"/>
        <v>10.908099999999999</v>
      </c>
      <c r="AQ1149" s="44">
        <v>8.2917000000000005</v>
      </c>
      <c r="AR1149" s="44" t="s">
        <v>312</v>
      </c>
      <c r="AS1149" s="44" t="s">
        <v>312</v>
      </c>
      <c r="AT1149" s="44" t="s">
        <v>83</v>
      </c>
      <c r="AU1149" s="44" t="s">
        <v>109</v>
      </c>
      <c r="AV1149" s="44" t="s">
        <v>133</v>
      </c>
      <c r="AW1149" s="44" t="s">
        <v>85</v>
      </c>
      <c r="AX1149" s="44" t="s">
        <v>86</v>
      </c>
      <c r="AY1149" s="44">
        <v>0</v>
      </c>
      <c r="AZ1149" s="44">
        <v>0</v>
      </c>
      <c r="BA1149" s="44" t="s">
        <v>111</v>
      </c>
      <c r="BB1149" s="44" t="s">
        <v>134</v>
      </c>
      <c r="BC1149" s="44" t="s">
        <v>113</v>
      </c>
      <c r="BD1149" s="44" t="s">
        <v>134</v>
      </c>
      <c r="BE1149" s="44" t="s">
        <v>2309</v>
      </c>
      <c r="BF1149" s="44">
        <v>65.806899999999999</v>
      </c>
      <c r="BG1149" s="44">
        <v>1</v>
      </c>
      <c r="BH1149" s="44">
        <v>47.195799999999998</v>
      </c>
      <c r="BI1149" s="44" t="s">
        <v>312</v>
      </c>
      <c r="BJ1149" s="44" t="s">
        <v>312</v>
      </c>
      <c r="BK1149" s="44" t="s">
        <v>91</v>
      </c>
      <c r="BL1149" s="44" t="s">
        <v>509</v>
      </c>
      <c r="BM1149" s="44" t="s">
        <v>1411</v>
      </c>
      <c r="BN1149" s="44" t="s">
        <v>312</v>
      </c>
      <c r="BO1149" s="44" t="s">
        <v>312</v>
      </c>
      <c r="BP1149" s="44" t="s">
        <v>312</v>
      </c>
      <c r="BQ1149" s="44" t="s">
        <v>92</v>
      </c>
      <c r="BR1149" s="44" t="s">
        <v>134</v>
      </c>
      <c r="BS1149" s="44">
        <v>52</v>
      </c>
      <c r="BT1149" s="44">
        <v>61</v>
      </c>
      <c r="BU1149" s="44">
        <v>2015</v>
      </c>
      <c r="BV1149" s="44">
        <v>2019</v>
      </c>
      <c r="BW1149" s="44" t="s">
        <v>2310</v>
      </c>
      <c r="BX1149" s="44" t="s">
        <v>95</v>
      </c>
      <c r="BY1149" s="44" t="s">
        <v>748</v>
      </c>
      <c r="BZ1149" s="44">
        <v>1</v>
      </c>
      <c r="CA1149" s="44">
        <v>1</v>
      </c>
      <c r="CB1149" s="44" t="s">
        <v>2311</v>
      </c>
      <c r="CC1149" s="44" t="s">
        <v>314</v>
      </c>
      <c r="CD1149" s="44">
        <v>1</v>
      </c>
      <c r="CE1149" s="44" t="s">
        <v>2312</v>
      </c>
      <c r="CF1149" s="44">
        <v>0</v>
      </c>
      <c r="CG1149" s="44" t="s">
        <v>97</v>
      </c>
      <c r="CH1149" s="44">
        <v>1</v>
      </c>
      <c r="CI1149" s="44" t="s">
        <v>943</v>
      </c>
      <c r="CJ1149" s="44" t="s">
        <v>98</v>
      </c>
      <c r="CK1149" s="44">
        <v>32</v>
      </c>
      <c r="CL1149" s="44">
        <v>0</v>
      </c>
      <c r="CM1149" s="44">
        <v>0</v>
      </c>
      <c r="CN1149" s="44" t="s">
        <v>124</v>
      </c>
      <c r="CO1149" s="44" t="s">
        <v>97</v>
      </c>
      <c r="CP1149" s="44" t="s">
        <v>100</v>
      </c>
      <c r="CQ1149" s="44" t="s">
        <v>126</v>
      </c>
      <c r="CR1149" s="45">
        <v>46267</v>
      </c>
      <c r="CT1149" s="44" t="s">
        <v>1257</v>
      </c>
    </row>
    <row r="1150" spans="1:98" s="44" customFormat="1" x14ac:dyDescent="0.35">
      <c r="A1150" s="43" t="s">
        <v>2305</v>
      </c>
      <c r="B1150" s="43" t="s">
        <v>2334</v>
      </c>
      <c r="C1150" s="44" t="s">
        <v>2306</v>
      </c>
      <c r="D1150" s="44">
        <v>2024</v>
      </c>
      <c r="E1150" s="64" t="s">
        <v>2307</v>
      </c>
      <c r="F1150" s="43" t="s">
        <v>2308</v>
      </c>
      <c r="G1150" s="44" t="s">
        <v>78</v>
      </c>
      <c r="H1150" s="44">
        <v>1</v>
      </c>
      <c r="I1150" s="44" t="s">
        <v>390</v>
      </c>
      <c r="J1150" s="44" t="s">
        <v>2210</v>
      </c>
      <c r="K1150" s="44">
        <v>35</v>
      </c>
      <c r="L1150" s="44" t="s">
        <v>104</v>
      </c>
      <c r="M1150" s="44" t="s">
        <v>380</v>
      </c>
      <c r="N1150" s="44">
        <v>-5.7000000000000002E-3</v>
      </c>
      <c r="O1150" s="44">
        <v>1.2999999999999999E-3</v>
      </c>
      <c r="P1150" s="44">
        <f t="shared" si="546"/>
        <v>-4.384615384615385</v>
      </c>
      <c r="Q1150" s="44" t="s">
        <v>312</v>
      </c>
      <c r="R1150" s="44">
        <f t="shared" si="547"/>
        <v>-8.2480000000000001E-3</v>
      </c>
      <c r="S1150" s="44">
        <f t="shared" si="548"/>
        <v>-3.1520000000000003E-3</v>
      </c>
      <c r="T1150" s="44">
        <v>1</v>
      </c>
      <c r="U1150" s="44">
        <v>296574</v>
      </c>
      <c r="V1150" s="44" t="s">
        <v>312</v>
      </c>
      <c r="W1150" s="44" t="s">
        <v>312</v>
      </c>
      <c r="X1150" s="44">
        <f t="shared" si="601"/>
        <v>296574</v>
      </c>
      <c r="Y1150" s="44">
        <f t="shared" si="602"/>
        <v>-8.0510197183724305E-3</v>
      </c>
      <c r="Z1150" s="44">
        <f t="shared" si="603"/>
        <v>1.8361974796287997E-3</v>
      </c>
      <c r="AA1150" s="44">
        <f t="shared" si="604"/>
        <v>-8.0510197183724305E-3</v>
      </c>
      <c r="AB1150" s="44" t="s">
        <v>81</v>
      </c>
      <c r="AC1150" s="44">
        <f>N1150*AN1150</f>
        <v>-6.2176169999999996E-2</v>
      </c>
      <c r="AD1150" s="44" cm="1">
        <f t="array" ref="AD1150">_xlfn.IFS(
AND(L1150="marginal_effect",M1150="level"),N1150*AN1150/BF1150,
AND(L1150="marginal_effect",M1150="sd (Y)"),N1150*BI1150*AN1150/BF1150,
AND(L1150="marginal_effect",M1150="sd (X)"),N1150/AQ1150*AN1150/BF1150,
AND(L1150="semi_elasticity",M1150="level"),N1150*AN1150,
AND(L1150="semi_elasticity",M1150="sd (Y)"),N1150*AN1150*BI1150,
AND(L1150="semi_elasticity",M1150="sd (X)"),N1150*AN1150/AQ1150,
AND(L1150="level-log",M1150="level"),N1150/BF1150,
AND(L1150="level-log",M1150="sd (X)"),N1150/BF1150/AQ1150,
AND(L1150="level-log",M1150="sd (Y)"),N1150/BF1150*BI1150,
AND(L1150="elasticity",M1150="level"),N1150,
AND(L1150="elasticity",M1150="sd (X)"),N1150/AQ1150,
AND(L1150="elasticity",M1150="sd (Y)"),N1150*BI1150,
AND(L1150="marginal_effect",M1150="percent_of_mean"),N1150*AN1150/BF1150/10)</f>
        <v>-6.2176169999999996E-2</v>
      </c>
      <c r="AE1150" s="44">
        <f t="shared" si="606"/>
        <v>1</v>
      </c>
      <c r="AF1150" s="44">
        <f>O1150*AN1147</f>
        <v>1.4180529999999998E-2</v>
      </c>
      <c r="AG1150" s="44" cm="1">
        <f t="array" ref="AG1150">_xlfn.IFS(
AND(L1150="marginal_effect",M1150="level"),O1150*AN1150/BF1150,
AND(L1150="marginal_effect",M1150="sd (Y)"),O1150*BI1150*AN1150/BF1150,
AND(L1150="marginal_effect",M1150="sd (X)"),O1150/AQ1150*AN1150/BF1150,
AND(L1150="semi_elasticity",M1150="level"),O1150*AN1150,
AND(L1150="semi_elasticity",M1150="sd (Y)"),O1150*AN1150*BI1150,
AND(L1150="semi_elasticity",M1150="sd (X)"),O1150*AN1150/AQ1150,
AND(L1150="level-log",M1150="level"),O1150/BF1150,
AND(L1150="level-log",M1150="sd (X)"),O1150/BF1150/AQ1150,
AND(L1150="level-log",M1150="sd (Y)"),O1150/BF1150*BI1150,
AND(L1150="elasticity",M1150="level"),O1150,
AND(L1150="elasticity",M1150="sd (X)"),O1150/AQ1150,
AND(L1150="elasticity",M1150="sd (Y)"),O1150*BI1150,
AND(L1150="marginal_effect",M1150="percent_of_mean"),O1150*AN1150/BF1150/10)</f>
        <v>1.4180529999999998E-2</v>
      </c>
      <c r="AH1150" s="44">
        <f t="shared" si="608"/>
        <v>1</v>
      </c>
      <c r="AI1150" s="44">
        <f t="shared" si="609"/>
        <v>-6.2176169999999996E-2</v>
      </c>
      <c r="AJ1150" s="44">
        <v>0</v>
      </c>
      <c r="AK1150" s="44">
        <f t="shared" si="610"/>
        <v>1</v>
      </c>
      <c r="AL1150" s="44" t="s">
        <v>131</v>
      </c>
      <c r="AM1150" s="44" t="s">
        <v>410</v>
      </c>
      <c r="AN1150" s="44">
        <v>10.908099999999999</v>
      </c>
      <c r="AO1150" s="44">
        <v>1</v>
      </c>
      <c r="AP1150" s="44">
        <f t="shared" si="611"/>
        <v>10.908099999999999</v>
      </c>
      <c r="AQ1150" s="44">
        <v>8.6193000000000008</v>
      </c>
      <c r="AR1150" s="44" t="s">
        <v>312</v>
      </c>
      <c r="AS1150" s="44" t="s">
        <v>312</v>
      </c>
      <c r="AT1150" s="44" t="s">
        <v>83</v>
      </c>
      <c r="AU1150" s="44" t="s">
        <v>109</v>
      </c>
      <c r="AV1150" s="44" t="s">
        <v>133</v>
      </c>
      <c r="AW1150" s="44" t="s">
        <v>85</v>
      </c>
      <c r="AX1150" s="44" t="s">
        <v>86</v>
      </c>
      <c r="AY1150" s="44">
        <v>0</v>
      </c>
      <c r="AZ1150" s="44">
        <v>0</v>
      </c>
      <c r="BA1150" s="44" t="s">
        <v>111</v>
      </c>
      <c r="BB1150" s="44" t="s">
        <v>134</v>
      </c>
      <c r="BC1150" s="44" t="s">
        <v>113</v>
      </c>
      <c r="BD1150" s="44" t="s">
        <v>134</v>
      </c>
      <c r="BE1150" s="44" t="s">
        <v>2309</v>
      </c>
      <c r="BF1150" s="44">
        <v>65.806899999999999</v>
      </c>
      <c r="BG1150" s="44">
        <v>1</v>
      </c>
      <c r="BH1150" s="44">
        <v>27.2056</v>
      </c>
      <c r="BI1150" s="44" t="s">
        <v>312</v>
      </c>
      <c r="BJ1150" s="44" t="s">
        <v>312</v>
      </c>
      <c r="BK1150" s="44" t="s">
        <v>91</v>
      </c>
      <c r="BL1150" s="44" t="s">
        <v>509</v>
      </c>
      <c r="BM1150" s="44" t="s">
        <v>1411</v>
      </c>
      <c r="BN1150" s="44" t="s">
        <v>312</v>
      </c>
      <c r="BO1150" s="44" t="s">
        <v>312</v>
      </c>
      <c r="BP1150" s="44" t="s">
        <v>312</v>
      </c>
      <c r="BQ1150" s="44" t="s">
        <v>92</v>
      </c>
      <c r="BR1150" s="44" t="s">
        <v>134</v>
      </c>
      <c r="BS1150" s="44">
        <v>52</v>
      </c>
      <c r="BT1150" s="44">
        <v>61</v>
      </c>
      <c r="BU1150" s="44">
        <v>2015</v>
      </c>
      <c r="BV1150" s="44">
        <v>2019</v>
      </c>
      <c r="BW1150" s="44" t="s">
        <v>2310</v>
      </c>
      <c r="BX1150" s="44" t="s">
        <v>95</v>
      </c>
      <c r="BY1150" s="44" t="s">
        <v>748</v>
      </c>
      <c r="BZ1150" s="44">
        <v>1</v>
      </c>
      <c r="CA1150" s="44">
        <v>1</v>
      </c>
      <c r="CB1150" s="44" t="s">
        <v>2311</v>
      </c>
      <c r="CC1150" s="44" t="s">
        <v>314</v>
      </c>
      <c r="CD1150" s="44">
        <v>1</v>
      </c>
      <c r="CE1150" s="44" t="s">
        <v>2312</v>
      </c>
      <c r="CF1150" s="44">
        <v>0</v>
      </c>
      <c r="CG1150" s="44" t="s">
        <v>97</v>
      </c>
      <c r="CH1150" s="44">
        <v>1</v>
      </c>
      <c r="CI1150" s="44" t="s">
        <v>943</v>
      </c>
      <c r="CJ1150" s="44" t="s">
        <v>98</v>
      </c>
      <c r="CK1150" s="44">
        <v>32</v>
      </c>
      <c r="CL1150" s="44">
        <v>0</v>
      </c>
      <c r="CM1150" s="44">
        <v>0</v>
      </c>
      <c r="CN1150" s="44" t="s">
        <v>124</v>
      </c>
      <c r="CO1150" s="44" t="s">
        <v>97</v>
      </c>
      <c r="CP1150" s="44" t="s">
        <v>100</v>
      </c>
      <c r="CQ1150" s="44" t="s">
        <v>126</v>
      </c>
      <c r="CR1150" s="45">
        <v>46267</v>
      </c>
      <c r="CT1150" s="44" t="s">
        <v>1259</v>
      </c>
    </row>
    <row r="1151" spans="1:98" s="44" customFormat="1" x14ac:dyDescent="0.35">
      <c r="A1151" s="43" t="s">
        <v>2305</v>
      </c>
      <c r="B1151" s="43" t="s">
        <v>2341</v>
      </c>
      <c r="C1151" s="44" t="s">
        <v>2306</v>
      </c>
      <c r="D1151" s="44">
        <v>2024</v>
      </c>
      <c r="E1151" s="64" t="s">
        <v>2307</v>
      </c>
      <c r="F1151" s="43" t="s">
        <v>2308</v>
      </c>
      <c r="G1151" s="44" t="s">
        <v>78</v>
      </c>
      <c r="H1151" s="44">
        <v>1</v>
      </c>
      <c r="I1151" s="44" t="s">
        <v>390</v>
      </c>
      <c r="J1151" s="44" t="s">
        <v>2210</v>
      </c>
      <c r="K1151" s="44">
        <v>35</v>
      </c>
      <c r="L1151" s="44" t="s">
        <v>1179</v>
      </c>
      <c r="M1151" s="44" t="s">
        <v>380</v>
      </c>
      <c r="N1151" s="44">
        <v>-2.1499999999999998E-2</v>
      </c>
      <c r="O1151" s="44">
        <v>1.4999999999999999E-2</v>
      </c>
      <c r="P1151" s="44">
        <f t="shared" ref="P1151:P1162" si="615">N1151/O1151</f>
        <v>-1.4333333333333333</v>
      </c>
      <c r="Q1151" s="44" t="s">
        <v>312</v>
      </c>
      <c r="R1151" s="44">
        <f t="shared" ref="R1151:R1162" si="616">N1151-1.96*O1151</f>
        <v>-5.0900000000000001E-2</v>
      </c>
      <c r="S1151" s="44">
        <f t="shared" ref="S1151:S1162" si="617">N1151+1.96*O1151</f>
        <v>7.9000000000000008E-3</v>
      </c>
      <c r="T1151" s="44">
        <v>1</v>
      </c>
      <c r="U1151" s="44">
        <v>124029</v>
      </c>
      <c r="V1151" s="44" t="s">
        <v>312</v>
      </c>
      <c r="W1151" s="44" t="s">
        <v>312</v>
      </c>
      <c r="X1151" s="44">
        <f t="shared" si="601"/>
        <v>124029</v>
      </c>
      <c r="Y1151" s="44">
        <f t="shared" si="602"/>
        <v>-4.0698835484194798E-3</v>
      </c>
      <c r="Z1151" s="44">
        <f t="shared" si="603"/>
        <v>2.8394536384321947E-3</v>
      </c>
      <c r="AA1151" s="44">
        <f t="shared" si="604"/>
        <v>-4.0698835484194798E-3</v>
      </c>
      <c r="AB1151" s="44" t="s">
        <v>81</v>
      </c>
      <c r="AC1151" s="44">
        <f t="shared" ref="AC1151:AC1162" si="618">N1151/BF1151</f>
        <v>-3.2671346013867842E-4</v>
      </c>
      <c r="AD1151" s="44" cm="1">
        <f t="array" ref="AD1151">_xlfn.IFS(
AND(L1151="marginal_effect",M1151="level"),N1151*AN1151/BF1151,
AND(L1151="marginal_effect",M1151="sd (Y)"),N1151*BI1151*AN1151/BF1151,
AND(L1151="marginal_effect",M1151="sd (X)"),N1151/AQ1151*AN1151/BF1151,
AND(L1151="semi_elasticity",M1151="level"),N1151*AN1151,
AND(L1151="semi_elasticity",M1151="sd (Y)"),N1151*AN1151*BI1151,
AND(L1151="semi_elasticity",M1151="sd (X)"),N1151*AN1151/AQ1151,
AND(L1151="level-log",M1151="level"),N1151/BF1151,
AND(L1151="level-log",M1151="sd (X)"),N1151/BF1151/AQ1151,
AND(L1151="level-log",M1151="sd (Y)"),N1151/BF1151*BI1151,
AND(L1151="elasticity",M1151="level"),N1151,
AND(L1151="elasticity",M1151="sd (X)"),N1151/AQ1151,
AND(L1151="elasticity",M1151="sd (Y)"),N1151*BI1151,
AND(L1151="marginal_effect",M1151="percent_of_mean"),N1151*AN1151/BF1151/10)</f>
        <v>-3.2671346013867842E-4</v>
      </c>
      <c r="AE1151" s="44">
        <f t="shared" si="606"/>
        <v>1</v>
      </c>
      <c r="AF1151" s="44">
        <f t="shared" ref="AF1151:AF1162" si="619">O1151/BF1151</f>
        <v>2.2793962335256637E-4</v>
      </c>
      <c r="AG1151" s="44" cm="1">
        <f t="array" ref="AG1151">_xlfn.IFS(
AND(L1151="marginal_effect",M1151="level"),O1151*AN1151/BF1151,
AND(L1151="marginal_effect",M1151="sd (Y)"),O1151*BI1151*AN1151/BF1151,
AND(L1151="marginal_effect",M1151="sd (X)"),O1151/AQ1151*AN1151/BF1151,
AND(L1151="semi_elasticity",M1151="level"),O1151*AN1151,
AND(L1151="semi_elasticity",M1151="sd (Y)"),O1151*AN1151*BI1151,
AND(L1151="semi_elasticity",M1151="sd (X)"),O1151*AN1151/AQ1151,
AND(L1151="level-log",M1151="level"),O1151/BF1151,
AND(L1151="level-log",M1151="sd (X)"),O1151/BF1151/AQ1151,
AND(L1151="level-log",M1151="sd (Y)"),O1151/BF1151*BI1151,
AND(L1151="elasticity",M1151="level"),O1151,
AND(L1151="elasticity",M1151="sd (X)"),O1151/AQ1151,
AND(L1151="elasticity",M1151="sd (Y)"),O1151*BI1151,
AND(L1151="marginal_effect",M1151="percent_of_mean"),O1151*AN1151/BF1151/10)</f>
        <v>2.2793962335256637E-4</v>
      </c>
      <c r="AH1151" s="44">
        <f t="shared" si="608"/>
        <v>1</v>
      </c>
      <c r="AI1151" s="44">
        <f t="shared" si="609"/>
        <v>-3.2671346013867842E-4</v>
      </c>
      <c r="AJ1151" s="44">
        <v>0</v>
      </c>
      <c r="AK1151" s="44">
        <f t="shared" si="610"/>
        <v>1</v>
      </c>
      <c r="AL1151" s="44" t="s">
        <v>131</v>
      </c>
      <c r="AM1151" s="44" t="s">
        <v>410</v>
      </c>
      <c r="AN1151" s="44">
        <v>10.908099999999999</v>
      </c>
      <c r="AO1151" s="44">
        <v>1</v>
      </c>
      <c r="AP1151" s="44">
        <f t="shared" si="611"/>
        <v>10.908099999999999</v>
      </c>
      <c r="AQ1151" s="44">
        <v>8.5166000000000004</v>
      </c>
      <c r="AR1151" s="44" t="s">
        <v>312</v>
      </c>
      <c r="AS1151" s="44" t="s">
        <v>312</v>
      </c>
      <c r="AT1151" s="44" t="s">
        <v>83</v>
      </c>
      <c r="AU1151" s="44" t="s">
        <v>109</v>
      </c>
      <c r="AV1151" s="44" t="s">
        <v>133</v>
      </c>
      <c r="AW1151" s="44" t="s">
        <v>85</v>
      </c>
      <c r="AX1151" s="44" t="s">
        <v>86</v>
      </c>
      <c r="AY1151" s="44">
        <v>0</v>
      </c>
      <c r="AZ1151" s="44">
        <v>0</v>
      </c>
      <c r="BA1151" s="44" t="s">
        <v>111</v>
      </c>
      <c r="BB1151" s="44" t="s">
        <v>134</v>
      </c>
      <c r="BC1151" s="44" t="s">
        <v>113</v>
      </c>
      <c r="BD1151" s="44" t="s">
        <v>134</v>
      </c>
      <c r="BE1151" s="44" t="s">
        <v>2309</v>
      </c>
      <c r="BF1151" s="44">
        <v>65.806899999999999</v>
      </c>
      <c r="BG1151" s="44">
        <v>1</v>
      </c>
      <c r="BH1151" s="44">
        <v>37.671199999999999</v>
      </c>
      <c r="BI1151" s="44" t="s">
        <v>312</v>
      </c>
      <c r="BJ1151" s="44" t="s">
        <v>312</v>
      </c>
      <c r="BK1151" s="44" t="s">
        <v>91</v>
      </c>
      <c r="BL1151" s="44" t="s">
        <v>509</v>
      </c>
      <c r="BM1151" s="44" t="s">
        <v>1411</v>
      </c>
      <c r="BN1151" s="44" t="s">
        <v>312</v>
      </c>
      <c r="BO1151" s="44" t="s">
        <v>312</v>
      </c>
      <c r="BP1151" s="44" t="s">
        <v>312</v>
      </c>
      <c r="BQ1151" s="44" t="s">
        <v>92</v>
      </c>
      <c r="BR1151" s="44" t="s">
        <v>134</v>
      </c>
      <c r="BS1151" s="44" t="s">
        <v>312</v>
      </c>
      <c r="BT1151" s="44" t="s">
        <v>312</v>
      </c>
      <c r="BU1151" s="44">
        <v>2015</v>
      </c>
      <c r="BV1151" s="44">
        <v>2019</v>
      </c>
      <c r="BW1151" s="44" t="s">
        <v>2310</v>
      </c>
      <c r="BX1151" s="44" t="s">
        <v>95</v>
      </c>
      <c r="BY1151" s="44" t="s">
        <v>96</v>
      </c>
      <c r="BZ1151" s="44">
        <v>0</v>
      </c>
      <c r="CA1151" s="44">
        <v>0</v>
      </c>
      <c r="CB1151" s="44" t="s">
        <v>97</v>
      </c>
      <c r="CC1151" s="44" t="s">
        <v>314</v>
      </c>
      <c r="CD1151" s="44">
        <v>1</v>
      </c>
      <c r="CE1151" s="44" t="s">
        <v>2312</v>
      </c>
      <c r="CF1151" s="44">
        <v>0</v>
      </c>
      <c r="CG1151" s="44" t="s">
        <v>97</v>
      </c>
      <c r="CH1151" s="44">
        <v>1</v>
      </c>
      <c r="CI1151" s="44" t="s">
        <v>943</v>
      </c>
      <c r="CJ1151" s="44" t="s">
        <v>98</v>
      </c>
      <c r="CK1151" s="44">
        <v>32</v>
      </c>
      <c r="CL1151" s="44">
        <v>0</v>
      </c>
      <c r="CM1151" s="44">
        <v>0</v>
      </c>
      <c r="CN1151" s="44" t="s">
        <v>124</v>
      </c>
      <c r="CO1151" s="44" t="s">
        <v>940</v>
      </c>
      <c r="CP1151" s="44" t="s">
        <v>100</v>
      </c>
      <c r="CQ1151" s="44" t="s">
        <v>126</v>
      </c>
      <c r="CR1151" s="45">
        <v>46267</v>
      </c>
      <c r="CT1151" s="44" t="s">
        <v>1260</v>
      </c>
    </row>
    <row r="1152" spans="1:98" s="44" customFormat="1" x14ac:dyDescent="0.35">
      <c r="A1152" s="43" t="s">
        <v>2305</v>
      </c>
      <c r="B1152" s="43" t="s">
        <v>2342</v>
      </c>
      <c r="C1152" s="44" t="s">
        <v>2306</v>
      </c>
      <c r="D1152" s="44">
        <v>2024</v>
      </c>
      <c r="E1152" s="64" t="s">
        <v>2307</v>
      </c>
      <c r="F1152" s="43" t="s">
        <v>2308</v>
      </c>
      <c r="G1152" s="44" t="s">
        <v>78</v>
      </c>
      <c r="H1152" s="44">
        <v>1</v>
      </c>
      <c r="I1152" s="44" t="s">
        <v>390</v>
      </c>
      <c r="J1152" s="44" t="s">
        <v>2210</v>
      </c>
      <c r="K1152" s="44">
        <v>35</v>
      </c>
      <c r="L1152" s="44" t="s">
        <v>1179</v>
      </c>
      <c r="M1152" s="44" t="s">
        <v>380</v>
      </c>
      <c r="N1152" s="44">
        <v>-5.1299999999999998E-2</v>
      </c>
      <c r="O1152" s="44">
        <v>2.1899999999999999E-2</v>
      </c>
      <c r="P1152" s="44">
        <f t="shared" si="615"/>
        <v>-2.3424657534246576</v>
      </c>
      <c r="Q1152" s="44" t="s">
        <v>312</v>
      </c>
      <c r="R1152" s="44">
        <f t="shared" si="616"/>
        <v>-9.4224000000000002E-2</v>
      </c>
      <c r="S1152" s="44">
        <f t="shared" si="617"/>
        <v>-8.3760000000000015E-3</v>
      </c>
      <c r="T1152" s="44">
        <v>1</v>
      </c>
      <c r="U1152" s="44">
        <v>172545</v>
      </c>
      <c r="V1152" s="44" t="s">
        <v>312</v>
      </c>
      <c r="W1152" s="44" t="s">
        <v>312</v>
      </c>
      <c r="X1152" s="44">
        <f t="shared" si="601"/>
        <v>172545</v>
      </c>
      <c r="Y1152" s="44">
        <f t="shared" si="602"/>
        <v>-5.6391695878207342E-3</v>
      </c>
      <c r="Z1152" s="44">
        <f t="shared" si="603"/>
        <v>2.4073647948006645E-3</v>
      </c>
      <c r="AA1152" s="44">
        <f t="shared" si="604"/>
        <v>-5.6391695878207342E-3</v>
      </c>
      <c r="AB1152" s="44" t="s">
        <v>81</v>
      </c>
      <c r="AC1152" s="44">
        <f t="shared" si="618"/>
        <v>-7.7955351186577697E-4</v>
      </c>
      <c r="AD1152" s="44" cm="1">
        <f t="array" ref="AD1152">_xlfn.IFS(
AND(L1152="marginal_effect",M1152="level"),N1152*AN1152/BF1152,
AND(L1152="marginal_effect",M1152="sd (Y)"),N1152*BI1152*AN1152/BF1152,
AND(L1152="marginal_effect",M1152="sd (X)"),N1152/AQ1152*AN1152/BF1152,
AND(L1152="semi_elasticity",M1152="level"),N1152*AN1152,
AND(L1152="semi_elasticity",M1152="sd (Y)"),N1152*AN1152*BI1152,
AND(L1152="semi_elasticity",M1152="sd (X)"),N1152*AN1152/AQ1152,
AND(L1152="level-log",M1152="level"),N1152/BF1152,
AND(L1152="level-log",M1152="sd (X)"),N1152/BF1152/AQ1152,
AND(L1152="level-log",M1152="sd (Y)"),N1152/BF1152*BI1152,
AND(L1152="elasticity",M1152="level"),N1152,
AND(L1152="elasticity",M1152="sd (X)"),N1152/AQ1152,
AND(L1152="elasticity",M1152="sd (Y)"),N1152*BI1152,
AND(L1152="marginal_effect",M1152="percent_of_mean"),N1152*AN1152/BF1152/10)</f>
        <v>-7.7955351186577697E-4</v>
      </c>
      <c r="AE1152" s="44">
        <f t="shared" si="606"/>
        <v>1</v>
      </c>
      <c r="AF1152" s="44">
        <f t="shared" si="619"/>
        <v>3.3279185009474691E-4</v>
      </c>
      <c r="AG1152" s="44" cm="1">
        <f t="array" ref="AG1152">_xlfn.IFS(
AND(L1152="marginal_effect",M1152="level"),O1152*AN1152/BF1152,
AND(L1152="marginal_effect",M1152="sd (Y)"),O1152*BI1152*AN1152/BF1152,
AND(L1152="marginal_effect",M1152="sd (X)"),O1152/AQ1152*AN1152/BF1152,
AND(L1152="semi_elasticity",M1152="level"),O1152*AN1152,
AND(L1152="semi_elasticity",M1152="sd (Y)"),O1152*AN1152*BI1152,
AND(L1152="semi_elasticity",M1152="sd (X)"),O1152*AN1152/AQ1152,
AND(L1152="level-log",M1152="level"),O1152/BF1152,
AND(L1152="level-log",M1152="sd (X)"),O1152/BF1152/AQ1152,
AND(L1152="level-log",M1152="sd (Y)"),O1152/BF1152*BI1152,
AND(L1152="elasticity",M1152="level"),O1152,
AND(L1152="elasticity",M1152="sd (X)"),O1152/AQ1152,
AND(L1152="elasticity",M1152="sd (Y)"),O1152*BI1152,
AND(L1152="marginal_effect",M1152="percent_of_mean"),O1152*AN1152/BF1152/10)</f>
        <v>3.3279185009474691E-4</v>
      </c>
      <c r="AH1152" s="44">
        <f t="shared" si="608"/>
        <v>1</v>
      </c>
      <c r="AI1152" s="44">
        <f t="shared" si="609"/>
        <v>-7.7955351186577697E-4</v>
      </c>
      <c r="AJ1152" s="44">
        <v>0</v>
      </c>
      <c r="AK1152" s="44">
        <f t="shared" si="610"/>
        <v>1</v>
      </c>
      <c r="AL1152" s="44" t="s">
        <v>131</v>
      </c>
      <c r="AM1152" s="44" t="s">
        <v>410</v>
      </c>
      <c r="AN1152" s="44">
        <v>10.908099999999999</v>
      </c>
      <c r="AO1152" s="44">
        <v>1</v>
      </c>
      <c r="AP1152" s="44">
        <f t="shared" si="611"/>
        <v>10.908099999999999</v>
      </c>
      <c r="AQ1152" s="44">
        <v>8.5166000000000004</v>
      </c>
      <c r="AR1152" s="44" t="s">
        <v>312</v>
      </c>
      <c r="AS1152" s="44" t="s">
        <v>312</v>
      </c>
      <c r="AT1152" s="44" t="s">
        <v>83</v>
      </c>
      <c r="AU1152" s="44" t="s">
        <v>109</v>
      </c>
      <c r="AV1152" s="44" t="s">
        <v>133</v>
      </c>
      <c r="AW1152" s="44" t="s">
        <v>85</v>
      </c>
      <c r="AX1152" s="44" t="s">
        <v>86</v>
      </c>
      <c r="AY1152" s="44">
        <v>0</v>
      </c>
      <c r="AZ1152" s="44">
        <v>0</v>
      </c>
      <c r="BA1152" s="44" t="s">
        <v>111</v>
      </c>
      <c r="BB1152" s="44" t="s">
        <v>134</v>
      </c>
      <c r="BC1152" s="44" t="s">
        <v>113</v>
      </c>
      <c r="BD1152" s="44" t="s">
        <v>134</v>
      </c>
      <c r="BE1152" s="44" t="s">
        <v>2309</v>
      </c>
      <c r="BF1152" s="44">
        <v>65.806899999999999</v>
      </c>
      <c r="BG1152" s="44">
        <v>1</v>
      </c>
      <c r="BH1152" s="44">
        <v>37.671199999999999</v>
      </c>
      <c r="BI1152" s="44" t="s">
        <v>312</v>
      </c>
      <c r="BJ1152" s="44" t="s">
        <v>312</v>
      </c>
      <c r="BK1152" s="44" t="s">
        <v>91</v>
      </c>
      <c r="BL1152" s="44" t="s">
        <v>509</v>
      </c>
      <c r="BM1152" s="44" t="s">
        <v>1411</v>
      </c>
      <c r="BN1152" s="44" t="s">
        <v>312</v>
      </c>
      <c r="BO1152" s="44" t="s">
        <v>312</v>
      </c>
      <c r="BP1152" s="44" t="s">
        <v>312</v>
      </c>
      <c r="BQ1152" s="44" t="s">
        <v>92</v>
      </c>
      <c r="BR1152" s="44" t="s">
        <v>134</v>
      </c>
      <c r="BS1152" s="44" t="s">
        <v>312</v>
      </c>
      <c r="BT1152" s="44" t="s">
        <v>312</v>
      </c>
      <c r="BU1152" s="44">
        <v>2015</v>
      </c>
      <c r="BV1152" s="44">
        <v>2019</v>
      </c>
      <c r="BW1152" s="44" t="s">
        <v>2310</v>
      </c>
      <c r="BX1152" s="44" t="s">
        <v>95</v>
      </c>
      <c r="BY1152" s="44" t="s">
        <v>96</v>
      </c>
      <c r="BZ1152" s="44">
        <v>0</v>
      </c>
      <c r="CA1152" s="44">
        <v>0</v>
      </c>
      <c r="CB1152" s="44" t="s">
        <v>97</v>
      </c>
      <c r="CC1152" s="44" t="s">
        <v>314</v>
      </c>
      <c r="CD1152" s="44">
        <v>1</v>
      </c>
      <c r="CE1152" s="44" t="s">
        <v>2312</v>
      </c>
      <c r="CF1152" s="44">
        <v>0</v>
      </c>
      <c r="CG1152" s="44" t="s">
        <v>97</v>
      </c>
      <c r="CH1152" s="44">
        <v>1</v>
      </c>
      <c r="CI1152" s="44" t="s">
        <v>943</v>
      </c>
      <c r="CJ1152" s="44" t="s">
        <v>98</v>
      </c>
      <c r="CK1152" s="44">
        <v>32</v>
      </c>
      <c r="CL1152" s="44">
        <v>0</v>
      </c>
      <c r="CM1152" s="44">
        <v>0</v>
      </c>
      <c r="CN1152" s="44" t="s">
        <v>124</v>
      </c>
      <c r="CO1152" s="44" t="s">
        <v>940</v>
      </c>
      <c r="CP1152" s="44" t="s">
        <v>100</v>
      </c>
      <c r="CQ1152" s="44" t="s">
        <v>126</v>
      </c>
      <c r="CR1152" s="45">
        <v>46267</v>
      </c>
      <c r="CT1152" s="44" t="s">
        <v>1261</v>
      </c>
    </row>
    <row r="1153" spans="1:98" s="44" customFormat="1" x14ac:dyDescent="0.35">
      <c r="A1153" s="43" t="s">
        <v>2305</v>
      </c>
      <c r="B1153" s="43" t="s">
        <v>2343</v>
      </c>
      <c r="C1153" s="44" t="s">
        <v>2306</v>
      </c>
      <c r="D1153" s="44">
        <v>2024</v>
      </c>
      <c r="E1153" s="64" t="s">
        <v>2307</v>
      </c>
      <c r="F1153" s="43" t="s">
        <v>2308</v>
      </c>
      <c r="G1153" s="44" t="s">
        <v>78</v>
      </c>
      <c r="H1153" s="44">
        <v>1</v>
      </c>
      <c r="I1153" s="44" t="s">
        <v>390</v>
      </c>
      <c r="J1153" s="44" t="s">
        <v>2210</v>
      </c>
      <c r="K1153" s="44">
        <v>35</v>
      </c>
      <c r="L1153" s="44" t="s">
        <v>1179</v>
      </c>
      <c r="M1153" s="44" t="s">
        <v>380</v>
      </c>
      <c r="N1153" s="44">
        <v>-1.35E-2</v>
      </c>
      <c r="O1153" s="44">
        <v>1.2200000000000001E-2</v>
      </c>
      <c r="P1153" s="44">
        <f t="shared" si="615"/>
        <v>-1.1065573770491803</v>
      </c>
      <c r="Q1153" s="44" t="s">
        <v>312</v>
      </c>
      <c r="R1153" s="44">
        <f t="shared" si="616"/>
        <v>-3.7412000000000001E-2</v>
      </c>
      <c r="S1153" s="44">
        <f t="shared" si="617"/>
        <v>1.0412000000000003E-2</v>
      </c>
      <c r="T1153" s="44">
        <v>1</v>
      </c>
      <c r="U1153" s="44">
        <v>194337</v>
      </c>
      <c r="V1153" s="44" t="s">
        <v>312</v>
      </c>
      <c r="W1153" s="44" t="s">
        <v>312</v>
      </c>
      <c r="X1153" s="44">
        <f t="shared" si="601"/>
        <v>194337</v>
      </c>
      <c r="Y1153" s="44">
        <f t="shared" si="602"/>
        <v>-2.5101219562625628E-3</v>
      </c>
      <c r="Z1153" s="44">
        <f t="shared" si="603"/>
        <v>2.2684065086224642E-3</v>
      </c>
      <c r="AA1153" s="44">
        <f t="shared" si="604"/>
        <v>-2.5101219562625628E-3</v>
      </c>
      <c r="AB1153" s="44" t="s">
        <v>81</v>
      </c>
      <c r="AC1153" s="44">
        <f t="shared" si="618"/>
        <v>-2.0514566101730974E-4</v>
      </c>
      <c r="AD1153" s="44" cm="1">
        <f t="array" ref="AD1153">_xlfn.IFS(
AND(L1153="marginal_effect",M1153="level"),N1153*AN1153/BF1153,
AND(L1153="marginal_effect",M1153="sd (Y)"),N1153*BI1153*AN1153/BF1153,
AND(L1153="marginal_effect",M1153="sd (X)"),N1153/AQ1153*AN1153/BF1153,
AND(L1153="semi_elasticity",M1153="level"),N1153*AN1153,
AND(L1153="semi_elasticity",M1153="sd (Y)"),N1153*AN1153*BI1153,
AND(L1153="semi_elasticity",M1153="sd (X)"),N1153*AN1153/AQ1153,
AND(L1153="level-log",M1153="level"),N1153/BF1153,
AND(L1153="level-log",M1153="sd (X)"),N1153/BF1153/AQ1153,
AND(L1153="level-log",M1153="sd (Y)"),N1153/BF1153*BI1153,
AND(L1153="elasticity",M1153="level"),N1153,
AND(L1153="elasticity",M1153="sd (X)"),N1153/AQ1153,
AND(L1153="elasticity",M1153="sd (Y)"),N1153*BI1153,
AND(L1153="marginal_effect",M1153="percent_of_mean"),N1153*AN1153/BF1153/10)</f>
        <v>-2.0514566101730974E-4</v>
      </c>
      <c r="AE1153" s="44">
        <f t="shared" si="606"/>
        <v>1</v>
      </c>
      <c r="AF1153" s="44">
        <f t="shared" si="619"/>
        <v>1.8539089366008732E-4</v>
      </c>
      <c r="AG1153" s="44" cm="1">
        <f t="array" ref="AG1153">_xlfn.IFS(
AND(L1153="marginal_effect",M1153="level"),O1153*AN1153/BF1153,
AND(L1153="marginal_effect",M1153="sd (Y)"),O1153*BI1153*AN1153/BF1153,
AND(L1153="marginal_effect",M1153="sd (X)"),O1153/AQ1153*AN1153/BF1153,
AND(L1153="semi_elasticity",M1153="level"),O1153*AN1153,
AND(L1153="semi_elasticity",M1153="sd (Y)"),O1153*AN1153*BI1153,
AND(L1153="semi_elasticity",M1153="sd (X)"),O1153*AN1153/AQ1153,
AND(L1153="level-log",M1153="level"),O1153/BF1153,
AND(L1153="level-log",M1153="sd (X)"),O1153/BF1153/AQ1153,
AND(L1153="level-log",M1153="sd (Y)"),O1153/BF1153*BI1153,
AND(L1153="elasticity",M1153="level"),O1153,
AND(L1153="elasticity",M1153="sd (X)"),O1153/AQ1153,
AND(L1153="elasticity",M1153="sd (Y)"),O1153*BI1153,
AND(L1153="marginal_effect",M1153="percent_of_mean"),O1153*AN1153/BF1153/10)</f>
        <v>1.8539089366008732E-4</v>
      </c>
      <c r="AH1153" s="44">
        <f t="shared" si="608"/>
        <v>1</v>
      </c>
      <c r="AI1153" s="44">
        <f t="shared" si="609"/>
        <v>-2.0514566101730974E-4</v>
      </c>
      <c r="AJ1153" s="44">
        <v>0</v>
      </c>
      <c r="AK1153" s="44">
        <f t="shared" si="610"/>
        <v>1</v>
      </c>
      <c r="AL1153" s="44" t="s">
        <v>131</v>
      </c>
      <c r="AM1153" s="44" t="s">
        <v>410</v>
      </c>
      <c r="AN1153" s="44">
        <v>10.908099999999999</v>
      </c>
      <c r="AO1153" s="44">
        <v>1</v>
      </c>
      <c r="AP1153" s="44">
        <f t="shared" si="611"/>
        <v>10.908099999999999</v>
      </c>
      <c r="AQ1153" s="44">
        <v>8.5166000000000004</v>
      </c>
      <c r="AR1153" s="44" t="s">
        <v>312</v>
      </c>
      <c r="AS1153" s="44" t="s">
        <v>312</v>
      </c>
      <c r="AT1153" s="44" t="s">
        <v>83</v>
      </c>
      <c r="AU1153" s="44" t="s">
        <v>109</v>
      </c>
      <c r="AV1153" s="44" t="s">
        <v>133</v>
      </c>
      <c r="AW1153" s="44" t="s">
        <v>85</v>
      </c>
      <c r="AX1153" s="44" t="s">
        <v>86</v>
      </c>
      <c r="AY1153" s="44">
        <v>0</v>
      </c>
      <c r="AZ1153" s="44">
        <v>0</v>
      </c>
      <c r="BA1153" s="44" t="s">
        <v>111</v>
      </c>
      <c r="BB1153" s="44" t="s">
        <v>134</v>
      </c>
      <c r="BC1153" s="44" t="s">
        <v>113</v>
      </c>
      <c r="BD1153" s="44" t="s">
        <v>134</v>
      </c>
      <c r="BE1153" s="44" t="s">
        <v>2309</v>
      </c>
      <c r="BF1153" s="44">
        <v>65.806899999999999</v>
      </c>
      <c r="BG1153" s="44">
        <v>1</v>
      </c>
      <c r="BH1153" s="44">
        <v>37.671199999999999</v>
      </c>
      <c r="BI1153" s="44" t="s">
        <v>312</v>
      </c>
      <c r="BJ1153" s="44" t="s">
        <v>312</v>
      </c>
      <c r="BK1153" s="44" t="s">
        <v>91</v>
      </c>
      <c r="BL1153" s="44" t="s">
        <v>509</v>
      </c>
      <c r="BM1153" s="44" t="s">
        <v>1411</v>
      </c>
      <c r="BN1153" s="44" t="s">
        <v>312</v>
      </c>
      <c r="BO1153" s="44" t="s">
        <v>312</v>
      </c>
      <c r="BP1153" s="44" t="s">
        <v>312</v>
      </c>
      <c r="BQ1153" s="44" t="s">
        <v>92</v>
      </c>
      <c r="BR1153" s="44" t="s">
        <v>134</v>
      </c>
      <c r="BS1153" s="44" t="s">
        <v>312</v>
      </c>
      <c r="BT1153" s="44">
        <v>100</v>
      </c>
      <c r="BU1153" s="44">
        <v>2015</v>
      </c>
      <c r="BV1153" s="44">
        <v>2019</v>
      </c>
      <c r="BW1153" s="44" t="s">
        <v>2310</v>
      </c>
      <c r="BX1153" s="44" t="s">
        <v>95</v>
      </c>
      <c r="BY1153" s="44" t="s">
        <v>96</v>
      </c>
      <c r="BZ1153" s="44">
        <v>0</v>
      </c>
      <c r="CA1153" s="44">
        <v>0</v>
      </c>
      <c r="CB1153" s="44" t="s">
        <v>97</v>
      </c>
      <c r="CC1153" s="44" t="s">
        <v>314</v>
      </c>
      <c r="CD1153" s="44">
        <v>1</v>
      </c>
      <c r="CE1153" s="44" t="s">
        <v>2312</v>
      </c>
      <c r="CF1153" s="44">
        <v>0</v>
      </c>
      <c r="CG1153" s="44" t="s">
        <v>97</v>
      </c>
      <c r="CH1153" s="44">
        <v>1</v>
      </c>
      <c r="CI1153" s="44" t="s">
        <v>943</v>
      </c>
      <c r="CJ1153" s="44" t="s">
        <v>98</v>
      </c>
      <c r="CK1153" s="44">
        <v>32</v>
      </c>
      <c r="CL1153" s="44">
        <v>0</v>
      </c>
      <c r="CM1153" s="44">
        <v>0</v>
      </c>
      <c r="CN1153" s="44" t="s">
        <v>124</v>
      </c>
      <c r="CO1153" s="44" t="s">
        <v>1734</v>
      </c>
      <c r="CP1153" s="44" t="s">
        <v>100</v>
      </c>
      <c r="CQ1153" s="44" t="s">
        <v>126</v>
      </c>
      <c r="CR1153" s="45">
        <v>46267</v>
      </c>
      <c r="CT1153" s="44" t="s">
        <v>1262</v>
      </c>
    </row>
    <row r="1154" spans="1:98" s="44" customFormat="1" x14ac:dyDescent="0.35">
      <c r="A1154" s="43" t="s">
        <v>2305</v>
      </c>
      <c r="B1154" s="43" t="s">
        <v>2344</v>
      </c>
      <c r="C1154" s="44" t="s">
        <v>2306</v>
      </c>
      <c r="D1154" s="44">
        <v>2024</v>
      </c>
      <c r="E1154" s="64" t="s">
        <v>2307</v>
      </c>
      <c r="F1154" s="43" t="s">
        <v>2308</v>
      </c>
      <c r="G1154" s="44" t="s">
        <v>78</v>
      </c>
      <c r="H1154" s="44">
        <v>1</v>
      </c>
      <c r="I1154" s="44" t="s">
        <v>390</v>
      </c>
      <c r="J1154" s="44" t="s">
        <v>2210</v>
      </c>
      <c r="K1154" s="44">
        <v>35</v>
      </c>
      <c r="L1154" s="44" t="s">
        <v>1179</v>
      </c>
      <c r="M1154" s="44" t="s">
        <v>380</v>
      </c>
      <c r="N1154" s="44">
        <v>-6.3299999999999995E-2</v>
      </c>
      <c r="O1154" s="44">
        <v>2.06E-2</v>
      </c>
      <c r="P1154" s="44">
        <f t="shared" si="615"/>
        <v>-3.0728155339805823</v>
      </c>
      <c r="Q1154" s="44" t="s">
        <v>312</v>
      </c>
      <c r="R1154" s="44">
        <f t="shared" si="616"/>
        <v>-0.10367599999999999</v>
      </c>
      <c r="S1154" s="44">
        <f t="shared" si="617"/>
        <v>-2.2923999999999993E-2</v>
      </c>
      <c r="T1154" s="44">
        <v>1</v>
      </c>
      <c r="U1154" s="44">
        <v>102237</v>
      </c>
      <c r="V1154" s="44" t="s">
        <v>312</v>
      </c>
      <c r="W1154" s="44" t="s">
        <v>312</v>
      </c>
      <c r="X1154" s="44">
        <f t="shared" si="601"/>
        <v>102237</v>
      </c>
      <c r="Y1154" s="44">
        <f t="shared" si="602"/>
        <v>-9.6097565844991597E-3</v>
      </c>
      <c r="Z1154" s="44">
        <f t="shared" si="603"/>
        <v>3.1273457447185266E-3</v>
      </c>
      <c r="AA1154" s="44">
        <f t="shared" si="604"/>
        <v>-9.6097565844991597E-3</v>
      </c>
      <c r="AB1154" s="44" t="s">
        <v>81</v>
      </c>
      <c r="AC1154" s="44">
        <f t="shared" si="618"/>
        <v>-9.6190521054783003E-4</v>
      </c>
      <c r="AD1154" s="44" cm="1">
        <f t="array" ref="AD1154">_xlfn.IFS(
AND(L1154="marginal_effect",M1154="level"),N1154*AN1154/BF1154,
AND(L1154="marginal_effect",M1154="sd (Y)"),N1154*BI1154*AN1154/BF1154,
AND(L1154="marginal_effect",M1154="sd (X)"),N1154/AQ1154*AN1154/BF1154,
AND(L1154="semi_elasticity",M1154="level"),N1154*AN1154,
AND(L1154="semi_elasticity",M1154="sd (Y)"),N1154*AN1154*BI1154,
AND(L1154="semi_elasticity",M1154="sd (X)"),N1154*AN1154/AQ1154,
AND(L1154="level-log",M1154="level"),N1154/BF1154,
AND(L1154="level-log",M1154="sd (X)"),N1154/BF1154/AQ1154,
AND(L1154="level-log",M1154="sd (Y)"),N1154/BF1154*BI1154,
AND(L1154="elasticity",M1154="level"),N1154,
AND(L1154="elasticity",M1154="sd (X)"),N1154/AQ1154,
AND(L1154="elasticity",M1154="sd (Y)"),N1154*BI1154,
AND(L1154="marginal_effect",M1154="percent_of_mean"),N1154*AN1154/BF1154/10)</f>
        <v>-9.6190521054783003E-4</v>
      </c>
      <c r="AE1154" s="44">
        <f t="shared" si="606"/>
        <v>1</v>
      </c>
      <c r="AF1154" s="44">
        <f t="shared" si="619"/>
        <v>3.1303708273752452E-4</v>
      </c>
      <c r="AG1154" s="44" cm="1">
        <f t="array" ref="AG1154">_xlfn.IFS(
AND(L1154="marginal_effect",M1154="level"),O1154*AN1154/BF1154,
AND(L1154="marginal_effect",M1154="sd (Y)"),O1154*BI1154*AN1154/BF1154,
AND(L1154="marginal_effect",M1154="sd (X)"),O1154/AQ1154*AN1154/BF1154,
AND(L1154="semi_elasticity",M1154="level"),O1154*AN1154,
AND(L1154="semi_elasticity",M1154="sd (Y)"),O1154*AN1154*BI1154,
AND(L1154="semi_elasticity",M1154="sd (X)"),O1154*AN1154/AQ1154,
AND(L1154="level-log",M1154="level"),O1154/BF1154,
AND(L1154="level-log",M1154="sd (X)"),O1154/BF1154/AQ1154,
AND(L1154="level-log",M1154="sd (Y)"),O1154/BF1154*BI1154,
AND(L1154="elasticity",M1154="level"),O1154,
AND(L1154="elasticity",M1154="sd (X)"),O1154/AQ1154,
AND(L1154="elasticity",M1154="sd (Y)"),O1154*BI1154,
AND(L1154="marginal_effect",M1154="percent_of_mean"),O1154*AN1154/BF1154/10)</f>
        <v>3.1303708273752452E-4</v>
      </c>
      <c r="AH1154" s="44">
        <f t="shared" si="608"/>
        <v>1</v>
      </c>
      <c r="AI1154" s="44">
        <f t="shared" si="609"/>
        <v>-9.6190521054783003E-4</v>
      </c>
      <c r="AJ1154" s="44">
        <v>0</v>
      </c>
      <c r="AK1154" s="44">
        <f t="shared" si="610"/>
        <v>1</v>
      </c>
      <c r="AL1154" s="44" t="s">
        <v>131</v>
      </c>
      <c r="AM1154" s="44" t="s">
        <v>410</v>
      </c>
      <c r="AN1154" s="44">
        <v>10.908099999999999</v>
      </c>
      <c r="AO1154" s="44">
        <v>1</v>
      </c>
      <c r="AP1154" s="44">
        <f t="shared" si="611"/>
        <v>10.908099999999999</v>
      </c>
      <c r="AQ1154" s="44">
        <v>8.5166000000000004</v>
      </c>
      <c r="AR1154" s="44" t="s">
        <v>312</v>
      </c>
      <c r="AS1154" s="44" t="s">
        <v>312</v>
      </c>
      <c r="AT1154" s="44" t="s">
        <v>83</v>
      </c>
      <c r="AU1154" s="44" t="s">
        <v>109</v>
      </c>
      <c r="AV1154" s="44" t="s">
        <v>133</v>
      </c>
      <c r="AW1154" s="44" t="s">
        <v>85</v>
      </c>
      <c r="AX1154" s="44" t="s">
        <v>86</v>
      </c>
      <c r="AY1154" s="44">
        <v>0</v>
      </c>
      <c r="AZ1154" s="44">
        <v>0</v>
      </c>
      <c r="BA1154" s="44" t="s">
        <v>111</v>
      </c>
      <c r="BB1154" s="44" t="s">
        <v>134</v>
      </c>
      <c r="BC1154" s="44" t="s">
        <v>113</v>
      </c>
      <c r="BD1154" s="44" t="s">
        <v>134</v>
      </c>
      <c r="BE1154" s="44" t="s">
        <v>2309</v>
      </c>
      <c r="BF1154" s="44">
        <v>65.806899999999999</v>
      </c>
      <c r="BG1154" s="44">
        <v>1</v>
      </c>
      <c r="BH1154" s="44">
        <v>37.671199999999999</v>
      </c>
      <c r="BI1154" s="44" t="s">
        <v>312</v>
      </c>
      <c r="BJ1154" s="44" t="s">
        <v>312</v>
      </c>
      <c r="BK1154" s="44" t="s">
        <v>91</v>
      </c>
      <c r="BL1154" s="44" t="s">
        <v>509</v>
      </c>
      <c r="BM1154" s="44" t="s">
        <v>1411</v>
      </c>
      <c r="BN1154" s="44" t="s">
        <v>312</v>
      </c>
      <c r="BO1154" s="44" t="s">
        <v>312</v>
      </c>
      <c r="BP1154" s="44" t="s">
        <v>312</v>
      </c>
      <c r="BQ1154" s="44" t="s">
        <v>92</v>
      </c>
      <c r="BR1154" s="44" t="s">
        <v>134</v>
      </c>
      <c r="BS1154" s="44" t="s">
        <v>312</v>
      </c>
      <c r="BT1154" s="44">
        <v>0</v>
      </c>
      <c r="BU1154" s="44">
        <v>2015</v>
      </c>
      <c r="BV1154" s="44">
        <v>2019</v>
      </c>
      <c r="BW1154" s="44" t="s">
        <v>2310</v>
      </c>
      <c r="BX1154" s="44" t="s">
        <v>95</v>
      </c>
      <c r="BY1154" s="44" t="s">
        <v>96</v>
      </c>
      <c r="BZ1154" s="44">
        <v>0</v>
      </c>
      <c r="CA1154" s="44">
        <v>0</v>
      </c>
      <c r="CB1154" s="44" t="s">
        <v>97</v>
      </c>
      <c r="CC1154" s="44" t="s">
        <v>314</v>
      </c>
      <c r="CD1154" s="44">
        <v>1</v>
      </c>
      <c r="CE1154" s="44" t="s">
        <v>2312</v>
      </c>
      <c r="CF1154" s="44">
        <v>0</v>
      </c>
      <c r="CG1154" s="44" t="s">
        <v>97</v>
      </c>
      <c r="CH1154" s="44">
        <v>1</v>
      </c>
      <c r="CI1154" s="44" t="s">
        <v>943</v>
      </c>
      <c r="CJ1154" s="44" t="s">
        <v>98</v>
      </c>
      <c r="CK1154" s="44">
        <v>32</v>
      </c>
      <c r="CL1154" s="44">
        <v>0</v>
      </c>
      <c r="CM1154" s="44">
        <v>0</v>
      </c>
      <c r="CN1154" s="44" t="s">
        <v>124</v>
      </c>
      <c r="CO1154" s="44" t="s">
        <v>1734</v>
      </c>
      <c r="CP1154" s="44" t="s">
        <v>100</v>
      </c>
      <c r="CQ1154" s="44" t="s">
        <v>126</v>
      </c>
      <c r="CR1154" s="45">
        <v>46267</v>
      </c>
      <c r="CT1154" s="44" t="s">
        <v>2338</v>
      </c>
    </row>
    <row r="1155" spans="1:98" s="44" customFormat="1" x14ac:dyDescent="0.35">
      <c r="A1155" s="43" t="s">
        <v>2305</v>
      </c>
      <c r="B1155" s="43" t="s">
        <v>2346</v>
      </c>
      <c r="C1155" s="44" t="s">
        <v>2306</v>
      </c>
      <c r="D1155" s="44">
        <v>2024</v>
      </c>
      <c r="E1155" s="64" t="s">
        <v>2307</v>
      </c>
      <c r="F1155" s="43" t="s">
        <v>2308</v>
      </c>
      <c r="G1155" s="44" t="s">
        <v>78</v>
      </c>
      <c r="H1155" s="44">
        <v>1</v>
      </c>
      <c r="I1155" s="44" t="s">
        <v>390</v>
      </c>
      <c r="J1155" s="44" t="s">
        <v>2210</v>
      </c>
      <c r="K1155" s="44">
        <v>35</v>
      </c>
      <c r="L1155" s="44" t="s">
        <v>1179</v>
      </c>
      <c r="M1155" s="44" t="s">
        <v>380</v>
      </c>
      <c r="N1155" s="44">
        <v>-4.3200000000000002E-2</v>
      </c>
      <c r="O1155" s="44">
        <v>1.8200000000000001E-2</v>
      </c>
      <c r="P1155" s="44">
        <f t="shared" si="615"/>
        <v>-2.3736263736263736</v>
      </c>
      <c r="Q1155" s="44" t="s">
        <v>312</v>
      </c>
      <c r="R1155" s="44">
        <f t="shared" si="616"/>
        <v>-7.8871999999999998E-2</v>
      </c>
      <c r="S1155" s="44">
        <f t="shared" si="617"/>
        <v>-7.528E-3</v>
      </c>
      <c r="T1155" s="44">
        <v>1</v>
      </c>
      <c r="U1155" s="44">
        <v>261652</v>
      </c>
      <c r="V1155" s="44" t="s">
        <v>312</v>
      </c>
      <c r="W1155" s="44" t="s">
        <v>312</v>
      </c>
      <c r="X1155" s="44">
        <f t="shared" si="601"/>
        <v>261652</v>
      </c>
      <c r="Y1155" s="44">
        <f t="shared" si="602"/>
        <v>-4.6402956694699508E-3</v>
      </c>
      <c r="Z1155" s="44">
        <f t="shared" si="603"/>
        <v>1.9549393792674327E-3</v>
      </c>
      <c r="AA1155" s="44">
        <f t="shared" si="604"/>
        <v>-4.6402956694699508E-3</v>
      </c>
      <c r="AB1155" s="44" t="s">
        <v>81</v>
      </c>
      <c r="AC1155" s="44">
        <f t="shared" si="618"/>
        <v>-6.5646611525539125E-4</v>
      </c>
      <c r="AD1155" s="44" cm="1">
        <f t="array" ref="AD1155">_xlfn.IFS(
AND(L1155="marginal_effect",M1155="level"),N1155*AN1155/BF1155,
AND(L1155="marginal_effect",M1155="sd (Y)"),N1155*BI1155*AN1155/BF1155,
AND(L1155="marginal_effect",M1155="sd (X)"),N1155/AQ1155*AN1155/BF1155,
AND(L1155="semi_elasticity",M1155="level"),N1155*AN1155,
AND(L1155="semi_elasticity",M1155="sd (Y)"),N1155*AN1155*BI1155,
AND(L1155="semi_elasticity",M1155="sd (X)"),N1155*AN1155/AQ1155,
AND(L1155="level-log",M1155="level"),N1155/BF1155,
AND(L1155="level-log",M1155="sd (X)"),N1155/BF1155/AQ1155,
AND(L1155="level-log",M1155="sd (Y)"),N1155/BF1155*BI1155,
AND(L1155="elasticity",M1155="level"),N1155,
AND(L1155="elasticity",M1155="sd (X)"),N1155/AQ1155,
AND(L1155="elasticity",M1155="sd (Y)"),N1155*BI1155,
AND(L1155="marginal_effect",M1155="percent_of_mean"),N1155*AN1155/BF1155/10)</f>
        <v>-6.5646611525539125E-4</v>
      </c>
      <c r="AE1155" s="44">
        <f t="shared" si="606"/>
        <v>1</v>
      </c>
      <c r="AF1155" s="44">
        <f t="shared" si="619"/>
        <v>2.7656674300111388E-4</v>
      </c>
      <c r="AG1155" s="44" cm="1">
        <f t="array" ref="AG1155">_xlfn.IFS(
AND(L1155="marginal_effect",M1155="level"),O1155*AN1155/BF1155,
AND(L1155="marginal_effect",M1155="sd (Y)"),O1155*BI1155*AN1155/BF1155,
AND(L1155="marginal_effect",M1155="sd (X)"),O1155/AQ1155*AN1155/BF1155,
AND(L1155="semi_elasticity",M1155="level"),O1155*AN1155,
AND(L1155="semi_elasticity",M1155="sd (Y)"),O1155*AN1155*BI1155,
AND(L1155="semi_elasticity",M1155="sd (X)"),O1155*AN1155/AQ1155,
AND(L1155="level-log",M1155="level"),O1155/BF1155,
AND(L1155="level-log",M1155="sd (X)"),O1155/BF1155/AQ1155,
AND(L1155="level-log",M1155="sd (Y)"),O1155/BF1155*BI1155,
AND(L1155="elasticity",M1155="level"),O1155,
AND(L1155="elasticity",M1155="sd (X)"),O1155/AQ1155,
AND(L1155="elasticity",M1155="sd (Y)"),O1155*BI1155,
AND(L1155="marginal_effect",M1155="percent_of_mean"),O1155*AN1155/BF1155/10)</f>
        <v>2.7656674300111388E-4</v>
      </c>
      <c r="AH1155" s="44">
        <f t="shared" si="608"/>
        <v>1</v>
      </c>
      <c r="AI1155" s="44">
        <f t="shared" si="609"/>
        <v>-6.5646611525539125E-4</v>
      </c>
      <c r="AJ1155" s="44">
        <v>0</v>
      </c>
      <c r="AK1155" s="44">
        <f t="shared" si="610"/>
        <v>1</v>
      </c>
      <c r="AL1155" s="44" t="s">
        <v>131</v>
      </c>
      <c r="AM1155" s="44" t="s">
        <v>410</v>
      </c>
      <c r="AN1155" s="44">
        <v>10.908099999999999</v>
      </c>
      <c r="AO1155" s="44">
        <v>1</v>
      </c>
      <c r="AP1155" s="44">
        <f t="shared" si="611"/>
        <v>10.908099999999999</v>
      </c>
      <c r="AQ1155" s="44">
        <v>8.5166000000000004</v>
      </c>
      <c r="AR1155" s="44" t="s">
        <v>312</v>
      </c>
      <c r="AS1155" s="44" t="s">
        <v>312</v>
      </c>
      <c r="AT1155" s="44" t="s">
        <v>83</v>
      </c>
      <c r="AU1155" s="44" t="s">
        <v>109</v>
      </c>
      <c r="AV1155" s="44" t="s">
        <v>133</v>
      </c>
      <c r="AW1155" s="44" t="s">
        <v>85</v>
      </c>
      <c r="AX1155" s="44" t="s">
        <v>86</v>
      </c>
      <c r="AY1155" s="44">
        <v>0</v>
      </c>
      <c r="AZ1155" s="44">
        <v>0</v>
      </c>
      <c r="BA1155" s="44" t="s">
        <v>111</v>
      </c>
      <c r="BB1155" s="44" t="s">
        <v>134</v>
      </c>
      <c r="BC1155" s="44" t="s">
        <v>113</v>
      </c>
      <c r="BD1155" s="44" t="s">
        <v>134</v>
      </c>
      <c r="BE1155" s="44" t="s">
        <v>2309</v>
      </c>
      <c r="BF1155" s="44">
        <v>65.806899999999999</v>
      </c>
      <c r="BG1155" s="44">
        <v>1</v>
      </c>
      <c r="BH1155" s="44">
        <v>37.671199999999999</v>
      </c>
      <c r="BI1155" s="44" t="s">
        <v>312</v>
      </c>
      <c r="BJ1155" s="44" t="s">
        <v>312</v>
      </c>
      <c r="BK1155" s="44" t="s">
        <v>91</v>
      </c>
      <c r="BL1155" s="44" t="s">
        <v>509</v>
      </c>
      <c r="BM1155" s="44" t="s">
        <v>1411</v>
      </c>
      <c r="BN1155" s="44" t="s">
        <v>312</v>
      </c>
      <c r="BO1155" s="44" t="s">
        <v>312</v>
      </c>
      <c r="BP1155" s="44" t="s">
        <v>312</v>
      </c>
      <c r="BQ1155" s="44" t="s">
        <v>92</v>
      </c>
      <c r="BR1155" s="44" t="s">
        <v>134</v>
      </c>
      <c r="BS1155" s="44" t="s">
        <v>312</v>
      </c>
      <c r="BT1155" s="44" t="s">
        <v>312</v>
      </c>
      <c r="BU1155" s="44">
        <v>2015</v>
      </c>
      <c r="BV1155" s="44">
        <v>2019</v>
      </c>
      <c r="BW1155" s="44" t="s">
        <v>2310</v>
      </c>
      <c r="BX1155" s="44" t="s">
        <v>95</v>
      </c>
      <c r="BY1155" s="44" t="s">
        <v>96</v>
      </c>
      <c r="BZ1155" s="44">
        <v>0</v>
      </c>
      <c r="CA1155" s="44">
        <v>0</v>
      </c>
      <c r="CB1155" s="44" t="s">
        <v>97</v>
      </c>
      <c r="CC1155" s="44" t="s">
        <v>314</v>
      </c>
      <c r="CD1155" s="44">
        <v>1</v>
      </c>
      <c r="CE1155" s="44" t="s">
        <v>2312</v>
      </c>
      <c r="CF1155" s="44">
        <v>0</v>
      </c>
      <c r="CG1155" s="44" t="s">
        <v>97</v>
      </c>
      <c r="CH1155" s="44">
        <v>1</v>
      </c>
      <c r="CI1155" s="44" t="s">
        <v>943</v>
      </c>
      <c r="CJ1155" s="44" t="s">
        <v>98</v>
      </c>
      <c r="CK1155" s="44">
        <v>32</v>
      </c>
      <c r="CL1155" s="44">
        <v>0</v>
      </c>
      <c r="CM1155" s="44">
        <v>0</v>
      </c>
      <c r="CN1155" s="44" t="s">
        <v>124</v>
      </c>
      <c r="CO1155" s="44" t="s">
        <v>1367</v>
      </c>
      <c r="CP1155" s="44" t="s">
        <v>100</v>
      </c>
      <c r="CQ1155" s="44" t="s">
        <v>126</v>
      </c>
      <c r="CR1155" s="45">
        <v>46267</v>
      </c>
      <c r="CT1155" s="44" t="s">
        <v>2339</v>
      </c>
    </row>
    <row r="1156" spans="1:98" s="44" customFormat="1" x14ac:dyDescent="0.35">
      <c r="A1156" s="43" t="s">
        <v>2305</v>
      </c>
      <c r="B1156" s="43" t="s">
        <v>2345</v>
      </c>
      <c r="C1156" s="44" t="s">
        <v>2306</v>
      </c>
      <c r="D1156" s="44">
        <v>2024</v>
      </c>
      <c r="E1156" s="64" t="s">
        <v>2307</v>
      </c>
      <c r="F1156" s="43" t="s">
        <v>2308</v>
      </c>
      <c r="G1156" s="44" t="s">
        <v>78</v>
      </c>
      <c r="H1156" s="44">
        <v>1</v>
      </c>
      <c r="I1156" s="44" t="s">
        <v>390</v>
      </c>
      <c r="J1156" s="44" t="s">
        <v>2210</v>
      </c>
      <c r="K1156" s="44">
        <v>35</v>
      </c>
      <c r="L1156" s="44" t="s">
        <v>1179</v>
      </c>
      <c r="M1156" s="44" t="s">
        <v>380</v>
      </c>
      <c r="N1156" s="44">
        <v>-1.18E-2</v>
      </c>
      <c r="O1156" s="44">
        <v>1.77E-2</v>
      </c>
      <c r="P1156" s="44">
        <f t="shared" si="615"/>
        <v>-0.66666666666666663</v>
      </c>
      <c r="Q1156" s="44" t="s">
        <v>312</v>
      </c>
      <c r="R1156" s="44">
        <f t="shared" si="616"/>
        <v>-4.6491999999999999E-2</v>
      </c>
      <c r="S1156" s="44">
        <f t="shared" si="617"/>
        <v>2.2892000000000003E-2</v>
      </c>
      <c r="T1156" s="44">
        <v>1</v>
      </c>
      <c r="U1156" s="44">
        <v>34922</v>
      </c>
      <c r="V1156" s="44" t="s">
        <v>312</v>
      </c>
      <c r="W1156" s="44" t="s">
        <v>312</v>
      </c>
      <c r="X1156" s="44">
        <f t="shared" si="601"/>
        <v>34922</v>
      </c>
      <c r="Y1156" s="44">
        <f t="shared" si="602"/>
        <v>-3.5674379121875448E-3</v>
      </c>
      <c r="Z1156" s="44">
        <f t="shared" si="603"/>
        <v>5.3511568682813176E-3</v>
      </c>
      <c r="AA1156" s="44">
        <f t="shared" si="604"/>
        <v>-3.5674379121875448E-3</v>
      </c>
      <c r="AB1156" s="44" t="s">
        <v>81</v>
      </c>
      <c r="AC1156" s="44">
        <f t="shared" si="618"/>
        <v>-1.7931250370401889E-4</v>
      </c>
      <c r="AD1156" s="44" cm="1">
        <f t="array" ref="AD1156">_xlfn.IFS(
AND(L1156="marginal_effect",M1156="level"),N1156*AN1156/BF1156,
AND(L1156="marginal_effect",M1156="sd (Y)"),N1156*BI1156*AN1156/BF1156,
AND(L1156="marginal_effect",M1156="sd (X)"),N1156/AQ1156*AN1156/BF1156,
AND(L1156="semi_elasticity",M1156="level"),N1156*AN1156,
AND(L1156="semi_elasticity",M1156="sd (Y)"),N1156*AN1156*BI1156,
AND(L1156="semi_elasticity",M1156="sd (X)"),N1156*AN1156/AQ1156,
AND(L1156="level-log",M1156="level"),N1156/BF1156,
AND(L1156="level-log",M1156="sd (X)"),N1156/BF1156/AQ1156,
AND(L1156="level-log",M1156="sd (Y)"),N1156/BF1156*BI1156,
AND(L1156="elasticity",M1156="level"),N1156,
AND(L1156="elasticity",M1156="sd (X)"),N1156/AQ1156,
AND(L1156="elasticity",M1156="sd (Y)"),N1156*BI1156,
AND(L1156="marginal_effect",M1156="percent_of_mean"),N1156*AN1156/BF1156/10)</f>
        <v>-1.7931250370401889E-4</v>
      </c>
      <c r="AE1156" s="44">
        <f t="shared" si="606"/>
        <v>1</v>
      </c>
      <c r="AF1156" s="44">
        <f t="shared" si="619"/>
        <v>2.6896875555602835E-4</v>
      </c>
      <c r="AG1156" s="44" cm="1">
        <f t="array" ref="AG1156">_xlfn.IFS(
AND(L1156="marginal_effect",M1156="level"),O1156*AN1156/BF1156,
AND(L1156="marginal_effect",M1156="sd (Y)"),O1156*BI1156*AN1156/BF1156,
AND(L1156="marginal_effect",M1156="sd (X)"),O1156/AQ1156*AN1156/BF1156,
AND(L1156="semi_elasticity",M1156="level"),O1156*AN1156,
AND(L1156="semi_elasticity",M1156="sd (Y)"),O1156*AN1156*BI1156,
AND(L1156="semi_elasticity",M1156="sd (X)"),O1156*AN1156/AQ1156,
AND(L1156="level-log",M1156="level"),O1156/BF1156,
AND(L1156="level-log",M1156="sd (X)"),O1156/BF1156/AQ1156,
AND(L1156="level-log",M1156="sd (Y)"),O1156/BF1156*BI1156,
AND(L1156="elasticity",M1156="level"),O1156,
AND(L1156="elasticity",M1156="sd (X)"),O1156/AQ1156,
AND(L1156="elasticity",M1156="sd (Y)"),O1156*BI1156,
AND(L1156="marginal_effect",M1156="percent_of_mean"),O1156*AN1156/BF1156/10)</f>
        <v>2.6896875555602835E-4</v>
      </c>
      <c r="AH1156" s="44">
        <f t="shared" si="608"/>
        <v>1</v>
      </c>
      <c r="AI1156" s="44">
        <f t="shared" si="609"/>
        <v>-1.7931250370401889E-4</v>
      </c>
      <c r="AJ1156" s="44">
        <v>0</v>
      </c>
      <c r="AK1156" s="44">
        <f t="shared" si="610"/>
        <v>1</v>
      </c>
      <c r="AL1156" s="44" t="s">
        <v>131</v>
      </c>
      <c r="AM1156" s="44" t="s">
        <v>410</v>
      </c>
      <c r="AN1156" s="44">
        <v>10.908099999999999</v>
      </c>
      <c r="AO1156" s="44">
        <v>1</v>
      </c>
      <c r="AP1156" s="44">
        <f t="shared" si="611"/>
        <v>10.908099999999999</v>
      </c>
      <c r="AQ1156" s="44">
        <v>8.5166000000000004</v>
      </c>
      <c r="AR1156" s="44" t="s">
        <v>312</v>
      </c>
      <c r="AS1156" s="44" t="s">
        <v>312</v>
      </c>
      <c r="AT1156" s="44" t="s">
        <v>83</v>
      </c>
      <c r="AU1156" s="44" t="s">
        <v>109</v>
      </c>
      <c r="AV1156" s="44" t="s">
        <v>133</v>
      </c>
      <c r="AW1156" s="44" t="s">
        <v>85</v>
      </c>
      <c r="AX1156" s="44" t="s">
        <v>86</v>
      </c>
      <c r="AY1156" s="44">
        <v>0</v>
      </c>
      <c r="AZ1156" s="44">
        <v>0</v>
      </c>
      <c r="BA1156" s="44" t="s">
        <v>111</v>
      </c>
      <c r="BB1156" s="44" t="s">
        <v>134</v>
      </c>
      <c r="BC1156" s="44" t="s">
        <v>113</v>
      </c>
      <c r="BD1156" s="44" t="s">
        <v>134</v>
      </c>
      <c r="BE1156" s="44" t="s">
        <v>2309</v>
      </c>
      <c r="BF1156" s="44">
        <v>65.806899999999999</v>
      </c>
      <c r="BG1156" s="44">
        <v>1</v>
      </c>
      <c r="BH1156" s="44">
        <v>37.671199999999999</v>
      </c>
      <c r="BI1156" s="44" t="s">
        <v>312</v>
      </c>
      <c r="BJ1156" s="44" t="s">
        <v>312</v>
      </c>
      <c r="BK1156" s="44" t="s">
        <v>91</v>
      </c>
      <c r="BL1156" s="44" t="s">
        <v>509</v>
      </c>
      <c r="BM1156" s="44" t="s">
        <v>1411</v>
      </c>
      <c r="BN1156" s="44" t="s">
        <v>312</v>
      </c>
      <c r="BO1156" s="44" t="s">
        <v>312</v>
      </c>
      <c r="BP1156" s="44" t="s">
        <v>312</v>
      </c>
      <c r="BQ1156" s="44" t="s">
        <v>92</v>
      </c>
      <c r="BR1156" s="44" t="s">
        <v>134</v>
      </c>
      <c r="BS1156" s="44" t="s">
        <v>312</v>
      </c>
      <c r="BT1156" s="44" t="s">
        <v>312</v>
      </c>
      <c r="BU1156" s="44">
        <v>2015</v>
      </c>
      <c r="BV1156" s="44">
        <v>2019</v>
      </c>
      <c r="BW1156" s="44" t="s">
        <v>2310</v>
      </c>
      <c r="BX1156" s="44" t="s">
        <v>95</v>
      </c>
      <c r="BY1156" s="44" t="s">
        <v>96</v>
      </c>
      <c r="BZ1156" s="44">
        <v>0</v>
      </c>
      <c r="CA1156" s="44">
        <v>0</v>
      </c>
      <c r="CB1156" s="44" t="s">
        <v>97</v>
      </c>
      <c r="CC1156" s="44" t="s">
        <v>314</v>
      </c>
      <c r="CD1156" s="44">
        <v>1</v>
      </c>
      <c r="CE1156" s="44" t="s">
        <v>2312</v>
      </c>
      <c r="CF1156" s="44">
        <v>0</v>
      </c>
      <c r="CG1156" s="44" t="s">
        <v>97</v>
      </c>
      <c r="CH1156" s="44">
        <v>1</v>
      </c>
      <c r="CI1156" s="44" t="s">
        <v>943</v>
      </c>
      <c r="CJ1156" s="44" t="s">
        <v>98</v>
      </c>
      <c r="CK1156" s="44">
        <v>32</v>
      </c>
      <c r="CL1156" s="44">
        <v>0</v>
      </c>
      <c r="CM1156" s="44">
        <v>0</v>
      </c>
      <c r="CN1156" s="44" t="s">
        <v>124</v>
      </c>
      <c r="CO1156" s="44" t="s">
        <v>1367</v>
      </c>
      <c r="CP1156" s="44" t="s">
        <v>100</v>
      </c>
      <c r="CQ1156" s="44" t="s">
        <v>126</v>
      </c>
      <c r="CR1156" s="45">
        <v>46267</v>
      </c>
      <c r="CT1156" s="44" t="s">
        <v>2340</v>
      </c>
    </row>
    <row r="1157" spans="1:98" s="44" customFormat="1" x14ac:dyDescent="0.35">
      <c r="A1157" s="43" t="s">
        <v>2305</v>
      </c>
      <c r="B1157" s="43" t="s">
        <v>2347</v>
      </c>
      <c r="C1157" s="44" t="s">
        <v>2306</v>
      </c>
      <c r="D1157" s="44">
        <v>2024</v>
      </c>
      <c r="E1157" s="64" t="s">
        <v>2307</v>
      </c>
      <c r="F1157" s="43" t="s">
        <v>2308</v>
      </c>
      <c r="G1157" s="44" t="s">
        <v>78</v>
      </c>
      <c r="H1157" s="44">
        <v>1</v>
      </c>
      <c r="I1157" s="44" t="s">
        <v>390</v>
      </c>
      <c r="J1157" s="44" t="s">
        <v>2210</v>
      </c>
      <c r="K1157" s="44">
        <v>35</v>
      </c>
      <c r="L1157" s="44" t="s">
        <v>1179</v>
      </c>
      <c r="M1157" s="44" t="s">
        <v>380</v>
      </c>
      <c r="N1157" s="44">
        <v>-0.27289999999999998</v>
      </c>
      <c r="O1157" s="44">
        <v>0.1469</v>
      </c>
      <c r="P1157" s="44">
        <f t="shared" si="615"/>
        <v>-1.857726344452008</v>
      </c>
      <c r="Q1157" s="44" t="s">
        <v>312</v>
      </c>
      <c r="R1157" s="44">
        <f t="shared" si="616"/>
        <v>-0.56082399999999999</v>
      </c>
      <c r="S1157" s="44">
        <f t="shared" si="617"/>
        <v>1.5024000000000037E-2</v>
      </c>
      <c r="T1157" s="44">
        <v>1</v>
      </c>
      <c r="U1157" s="44">
        <v>124029</v>
      </c>
      <c r="V1157" s="44" t="s">
        <v>312</v>
      </c>
      <c r="W1157" s="44" t="s">
        <v>312</v>
      </c>
      <c r="X1157" s="44">
        <f t="shared" si="601"/>
        <v>124029</v>
      </c>
      <c r="Y1157" s="44">
        <f t="shared" si="602"/>
        <v>-5.2748981279687312E-3</v>
      </c>
      <c r="Z1157" s="44">
        <f t="shared" si="603"/>
        <v>2.8394376511491634E-3</v>
      </c>
      <c r="AA1157" s="44">
        <f t="shared" si="604"/>
        <v>-5.2748981279687312E-3</v>
      </c>
      <c r="AB1157" s="44" t="s">
        <v>81</v>
      </c>
      <c r="AC1157" s="44">
        <f t="shared" si="618"/>
        <v>-4.1469815475276908E-3</v>
      </c>
      <c r="AD1157" s="44" cm="1">
        <f t="array" ref="AD1157">_xlfn.IFS(
AND(L1157="marginal_effect",M1157="level"),N1157*AN1157/BF1157,
AND(L1157="marginal_effect",M1157="sd (Y)"),N1157*BI1157*AN1157/BF1157,
AND(L1157="marginal_effect",M1157="sd (X)"),N1157/AQ1157*AN1157/BF1157,
AND(L1157="semi_elasticity",M1157="level"),N1157*AN1157,
AND(L1157="semi_elasticity",M1157="sd (Y)"),N1157*AN1157*BI1157,
AND(L1157="semi_elasticity",M1157="sd (X)"),N1157*AN1157/AQ1157,
AND(L1157="level-log",M1157="level"),N1157/BF1157,
AND(L1157="level-log",M1157="sd (X)"),N1157/BF1157/AQ1157,
AND(L1157="level-log",M1157="sd (Y)"),N1157/BF1157*BI1157,
AND(L1157="elasticity",M1157="level"),N1157,
AND(L1157="elasticity",M1157="sd (X)"),N1157/AQ1157,
AND(L1157="elasticity",M1157="sd (Y)"),N1157*BI1157,
AND(L1157="marginal_effect",M1157="percent_of_mean"),N1157*AN1157/BF1157/10)</f>
        <v>-4.1469815475276908E-3</v>
      </c>
      <c r="AE1157" s="44">
        <f t="shared" si="606"/>
        <v>1</v>
      </c>
      <c r="AF1157" s="44">
        <f t="shared" si="619"/>
        <v>2.2322887113661333E-3</v>
      </c>
      <c r="AG1157" s="44" cm="1">
        <f t="array" ref="AG1157">_xlfn.IFS(
AND(L1157="marginal_effect",M1157="level"),O1157*AN1157/BF1157,
AND(L1157="marginal_effect",M1157="sd (Y)"),O1157*BI1157*AN1157/BF1157,
AND(L1157="marginal_effect",M1157="sd (X)"),O1157/AQ1157*AN1157/BF1157,
AND(L1157="semi_elasticity",M1157="level"),O1157*AN1157,
AND(L1157="semi_elasticity",M1157="sd (Y)"),O1157*AN1157*BI1157,
AND(L1157="semi_elasticity",M1157="sd (X)"),O1157*AN1157/AQ1157,
AND(L1157="level-log",M1157="level"),O1157/BF1157,
AND(L1157="level-log",M1157="sd (X)"),O1157/BF1157/AQ1157,
AND(L1157="level-log",M1157="sd (Y)"),O1157/BF1157*BI1157,
AND(L1157="elasticity",M1157="level"),O1157,
AND(L1157="elasticity",M1157="sd (X)"),O1157/AQ1157,
AND(L1157="elasticity",M1157="sd (Y)"),O1157*BI1157,
AND(L1157="marginal_effect",M1157="percent_of_mean"),O1157*AN1157/BF1157/10)</f>
        <v>2.2322887113661333E-3</v>
      </c>
      <c r="AH1157" s="44">
        <f t="shared" si="608"/>
        <v>1</v>
      </c>
      <c r="AI1157" s="44">
        <f t="shared" si="609"/>
        <v>-4.1469815475276908E-3</v>
      </c>
      <c r="AJ1157" s="44">
        <v>0</v>
      </c>
      <c r="AK1157" s="44">
        <f t="shared" si="610"/>
        <v>1</v>
      </c>
      <c r="AL1157" s="44" t="s">
        <v>131</v>
      </c>
      <c r="AM1157" s="44" t="s">
        <v>410</v>
      </c>
      <c r="AN1157" s="44">
        <v>10.908099999999999</v>
      </c>
      <c r="AO1157" s="44">
        <v>1</v>
      </c>
      <c r="AP1157" s="44">
        <f t="shared" si="611"/>
        <v>10.908099999999999</v>
      </c>
      <c r="AQ1157" s="44">
        <v>8.5166000000000004</v>
      </c>
      <c r="AR1157" s="44" t="s">
        <v>312</v>
      </c>
      <c r="AS1157" s="44" t="s">
        <v>312</v>
      </c>
      <c r="AT1157" s="44" t="s">
        <v>83</v>
      </c>
      <c r="AU1157" s="44" t="s">
        <v>109</v>
      </c>
      <c r="AV1157" s="44" t="s">
        <v>133</v>
      </c>
      <c r="AW1157" s="44" t="s">
        <v>85</v>
      </c>
      <c r="AX1157" s="44" t="s">
        <v>86</v>
      </c>
      <c r="AY1157" s="44">
        <v>0</v>
      </c>
      <c r="AZ1157" s="44">
        <v>0</v>
      </c>
      <c r="BA1157" s="44" t="s">
        <v>111</v>
      </c>
      <c r="BB1157" s="44" t="s">
        <v>134</v>
      </c>
      <c r="BC1157" s="44" t="s">
        <v>113</v>
      </c>
      <c r="BD1157" s="44" t="s">
        <v>134</v>
      </c>
      <c r="BE1157" s="44" t="s">
        <v>2309</v>
      </c>
      <c r="BF1157" s="44">
        <v>65.806899999999999</v>
      </c>
      <c r="BG1157" s="44">
        <v>1</v>
      </c>
      <c r="BH1157" s="44">
        <v>37.671199999999999</v>
      </c>
      <c r="BI1157" s="44" t="s">
        <v>312</v>
      </c>
      <c r="BJ1157" s="44" t="s">
        <v>312</v>
      </c>
      <c r="BK1157" s="44" t="s">
        <v>91</v>
      </c>
      <c r="BL1157" s="44" t="s">
        <v>509</v>
      </c>
      <c r="BM1157" s="44" t="s">
        <v>1411</v>
      </c>
      <c r="BN1157" s="44" t="s">
        <v>312</v>
      </c>
      <c r="BO1157" s="44" t="s">
        <v>312</v>
      </c>
      <c r="BP1157" s="44" t="s">
        <v>312</v>
      </c>
      <c r="BQ1157" s="44" t="s">
        <v>92</v>
      </c>
      <c r="BR1157" s="44" t="s">
        <v>134</v>
      </c>
      <c r="BS1157" s="44" t="s">
        <v>312</v>
      </c>
      <c r="BT1157" s="44" t="s">
        <v>312</v>
      </c>
      <c r="BU1157" s="44">
        <v>2015</v>
      </c>
      <c r="BV1157" s="44">
        <v>2019</v>
      </c>
      <c r="BW1157" s="44" t="s">
        <v>2310</v>
      </c>
      <c r="BX1157" s="44" t="s">
        <v>95</v>
      </c>
      <c r="BY1157" s="44" t="s">
        <v>748</v>
      </c>
      <c r="BZ1157" s="44">
        <v>1</v>
      </c>
      <c r="CA1157" s="44">
        <v>1</v>
      </c>
      <c r="CB1157" s="44" t="s">
        <v>2311</v>
      </c>
      <c r="CC1157" s="44" t="s">
        <v>314</v>
      </c>
      <c r="CD1157" s="44">
        <v>1</v>
      </c>
      <c r="CE1157" s="44" t="s">
        <v>2312</v>
      </c>
      <c r="CF1157" s="44">
        <v>0</v>
      </c>
      <c r="CG1157" s="44" t="s">
        <v>97</v>
      </c>
      <c r="CH1157" s="44">
        <v>1</v>
      </c>
      <c r="CI1157" s="44" t="s">
        <v>943</v>
      </c>
      <c r="CJ1157" s="44" t="s">
        <v>98</v>
      </c>
      <c r="CK1157" s="44">
        <v>32</v>
      </c>
      <c r="CL1157" s="44">
        <v>0</v>
      </c>
      <c r="CM1157" s="44">
        <v>0</v>
      </c>
      <c r="CN1157" s="44" t="s">
        <v>124</v>
      </c>
      <c r="CO1157" s="44" t="s">
        <v>940</v>
      </c>
      <c r="CP1157" s="44" t="s">
        <v>100</v>
      </c>
      <c r="CQ1157" s="44" t="s">
        <v>126</v>
      </c>
      <c r="CR1157" s="45">
        <v>46267</v>
      </c>
      <c r="CT1157" s="44" t="s">
        <v>1260</v>
      </c>
    </row>
    <row r="1158" spans="1:98" s="44" customFormat="1" x14ac:dyDescent="0.35">
      <c r="A1158" s="43" t="s">
        <v>2305</v>
      </c>
      <c r="B1158" s="43" t="s">
        <v>2348</v>
      </c>
      <c r="C1158" s="44" t="s">
        <v>2306</v>
      </c>
      <c r="D1158" s="44">
        <v>2024</v>
      </c>
      <c r="E1158" s="64" t="s">
        <v>2307</v>
      </c>
      <c r="F1158" s="43" t="s">
        <v>2308</v>
      </c>
      <c r="G1158" s="44" t="s">
        <v>78</v>
      </c>
      <c r="H1158" s="44">
        <v>1</v>
      </c>
      <c r="I1158" s="44" t="s">
        <v>390</v>
      </c>
      <c r="J1158" s="44" t="s">
        <v>2210</v>
      </c>
      <c r="K1158" s="44">
        <v>35</v>
      </c>
      <c r="L1158" s="44" t="s">
        <v>1179</v>
      </c>
      <c r="M1158" s="44" t="s">
        <v>380</v>
      </c>
      <c r="N1158" s="44">
        <v>-0.4965</v>
      </c>
      <c r="O1158" s="44">
        <v>0.25380000000000003</v>
      </c>
      <c r="P1158" s="44">
        <f t="shared" si="615"/>
        <v>-1.9562647754137115</v>
      </c>
      <c r="Q1158" s="44" t="s">
        <v>312</v>
      </c>
      <c r="R1158" s="44">
        <f t="shared" si="616"/>
        <v>-0.99394800000000005</v>
      </c>
      <c r="S1158" s="44">
        <f t="shared" si="617"/>
        <v>9.4800000000005991E-4</v>
      </c>
      <c r="T1158" s="44">
        <v>1</v>
      </c>
      <c r="U1158" s="44">
        <v>172545</v>
      </c>
      <c r="V1158" s="44" t="s">
        <v>312</v>
      </c>
      <c r="W1158" s="44" t="s">
        <v>312</v>
      </c>
      <c r="X1158" s="44">
        <f t="shared" si="601"/>
        <v>172545</v>
      </c>
      <c r="Y1158" s="44">
        <f t="shared" si="602"/>
        <v>-4.7094656054749388E-3</v>
      </c>
      <c r="Z1158" s="44">
        <f t="shared" si="603"/>
        <v>2.4073763759708752E-3</v>
      </c>
      <c r="AA1158" s="44">
        <f t="shared" si="604"/>
        <v>-4.7094656054749388E-3</v>
      </c>
      <c r="AB1158" s="44" t="s">
        <v>81</v>
      </c>
      <c r="AC1158" s="44">
        <f t="shared" si="618"/>
        <v>-7.5448015329699471E-3</v>
      </c>
      <c r="AD1158" s="44" cm="1">
        <f t="array" ref="AD1158">_xlfn.IFS(
AND(L1158="marginal_effect",M1158="level"),N1158*AN1158/BF1158,
AND(L1158="marginal_effect",M1158="sd (Y)"),N1158*BI1158*AN1158/BF1158,
AND(L1158="marginal_effect",M1158="sd (X)"),N1158/AQ1158*AN1158/BF1158,
AND(L1158="semi_elasticity",M1158="level"),N1158*AN1158,
AND(L1158="semi_elasticity",M1158="sd (Y)"),N1158*AN1158*BI1158,
AND(L1158="semi_elasticity",M1158="sd (X)"),N1158*AN1158/AQ1158,
AND(L1158="level-log",M1158="level"),N1158/BF1158,
AND(L1158="level-log",M1158="sd (X)"),N1158/BF1158/AQ1158,
AND(L1158="level-log",M1158="sd (Y)"),N1158/BF1158*BI1158,
AND(L1158="elasticity",M1158="level"),N1158,
AND(L1158="elasticity",M1158="sd (X)"),N1158/AQ1158,
AND(L1158="elasticity",M1158="sd (Y)"),N1158*BI1158,
AND(L1158="marginal_effect",M1158="percent_of_mean"),N1158*AN1158/BF1158/10)</f>
        <v>-7.5448015329699471E-3</v>
      </c>
      <c r="AE1158" s="44">
        <f t="shared" si="606"/>
        <v>1</v>
      </c>
      <c r="AF1158" s="44">
        <f t="shared" si="619"/>
        <v>3.8567384271254233E-3</v>
      </c>
      <c r="AG1158" s="44" cm="1">
        <f t="array" ref="AG1158">_xlfn.IFS(
AND(L1158="marginal_effect",M1158="level"),O1158*AN1158/BF1158,
AND(L1158="marginal_effect",M1158="sd (Y)"),O1158*BI1158*AN1158/BF1158,
AND(L1158="marginal_effect",M1158="sd (X)"),O1158/AQ1158*AN1158/BF1158,
AND(L1158="semi_elasticity",M1158="level"),O1158*AN1158,
AND(L1158="semi_elasticity",M1158="sd (Y)"),O1158*AN1158*BI1158,
AND(L1158="semi_elasticity",M1158="sd (X)"),O1158*AN1158/AQ1158,
AND(L1158="level-log",M1158="level"),O1158/BF1158,
AND(L1158="level-log",M1158="sd (X)"),O1158/BF1158/AQ1158,
AND(L1158="level-log",M1158="sd (Y)"),O1158/BF1158*BI1158,
AND(L1158="elasticity",M1158="level"),O1158,
AND(L1158="elasticity",M1158="sd (X)"),O1158/AQ1158,
AND(L1158="elasticity",M1158="sd (Y)"),O1158*BI1158,
AND(L1158="marginal_effect",M1158="percent_of_mean"),O1158*AN1158/BF1158/10)</f>
        <v>3.8567384271254233E-3</v>
      </c>
      <c r="AH1158" s="44">
        <f t="shared" si="608"/>
        <v>1</v>
      </c>
      <c r="AI1158" s="44">
        <f t="shared" si="609"/>
        <v>-7.5448015329699471E-3</v>
      </c>
      <c r="AJ1158" s="44">
        <v>0</v>
      </c>
      <c r="AK1158" s="44">
        <f t="shared" si="610"/>
        <v>1</v>
      </c>
      <c r="AL1158" s="44" t="s">
        <v>131</v>
      </c>
      <c r="AM1158" s="44" t="s">
        <v>410</v>
      </c>
      <c r="AN1158" s="44">
        <v>10.908099999999999</v>
      </c>
      <c r="AO1158" s="44">
        <v>1</v>
      </c>
      <c r="AP1158" s="44">
        <f t="shared" si="611"/>
        <v>10.908099999999999</v>
      </c>
      <c r="AQ1158" s="44">
        <v>8.5166000000000004</v>
      </c>
      <c r="AR1158" s="44" t="s">
        <v>312</v>
      </c>
      <c r="AS1158" s="44" t="s">
        <v>312</v>
      </c>
      <c r="AT1158" s="44" t="s">
        <v>83</v>
      </c>
      <c r="AU1158" s="44" t="s">
        <v>109</v>
      </c>
      <c r="AV1158" s="44" t="s">
        <v>133</v>
      </c>
      <c r="AW1158" s="44" t="s">
        <v>85</v>
      </c>
      <c r="AX1158" s="44" t="s">
        <v>86</v>
      </c>
      <c r="AY1158" s="44">
        <v>0</v>
      </c>
      <c r="AZ1158" s="44">
        <v>0</v>
      </c>
      <c r="BA1158" s="44" t="s">
        <v>111</v>
      </c>
      <c r="BB1158" s="44" t="s">
        <v>134</v>
      </c>
      <c r="BC1158" s="44" t="s">
        <v>113</v>
      </c>
      <c r="BD1158" s="44" t="s">
        <v>134</v>
      </c>
      <c r="BE1158" s="44" t="s">
        <v>2309</v>
      </c>
      <c r="BF1158" s="44">
        <v>65.806899999999999</v>
      </c>
      <c r="BG1158" s="44">
        <v>1</v>
      </c>
      <c r="BH1158" s="44">
        <v>37.671199999999999</v>
      </c>
      <c r="BI1158" s="44" t="s">
        <v>312</v>
      </c>
      <c r="BJ1158" s="44" t="s">
        <v>312</v>
      </c>
      <c r="BK1158" s="44" t="s">
        <v>91</v>
      </c>
      <c r="BL1158" s="44" t="s">
        <v>509</v>
      </c>
      <c r="BM1158" s="44" t="s">
        <v>1411</v>
      </c>
      <c r="BN1158" s="44" t="s">
        <v>312</v>
      </c>
      <c r="BO1158" s="44" t="s">
        <v>312</v>
      </c>
      <c r="BP1158" s="44" t="s">
        <v>312</v>
      </c>
      <c r="BQ1158" s="44" t="s">
        <v>92</v>
      </c>
      <c r="BR1158" s="44" t="s">
        <v>134</v>
      </c>
      <c r="BS1158" s="44" t="s">
        <v>312</v>
      </c>
      <c r="BT1158" s="44" t="s">
        <v>312</v>
      </c>
      <c r="BU1158" s="44">
        <v>2015</v>
      </c>
      <c r="BV1158" s="44">
        <v>2019</v>
      </c>
      <c r="BW1158" s="44" t="s">
        <v>2310</v>
      </c>
      <c r="BX1158" s="44" t="s">
        <v>95</v>
      </c>
      <c r="BY1158" s="44" t="s">
        <v>748</v>
      </c>
      <c r="BZ1158" s="44">
        <v>1</v>
      </c>
      <c r="CA1158" s="44">
        <v>1</v>
      </c>
      <c r="CB1158" s="44" t="s">
        <v>2311</v>
      </c>
      <c r="CC1158" s="44" t="s">
        <v>314</v>
      </c>
      <c r="CD1158" s="44">
        <v>1</v>
      </c>
      <c r="CE1158" s="44" t="s">
        <v>2312</v>
      </c>
      <c r="CF1158" s="44">
        <v>0</v>
      </c>
      <c r="CG1158" s="44" t="s">
        <v>97</v>
      </c>
      <c r="CH1158" s="44">
        <v>1</v>
      </c>
      <c r="CI1158" s="44" t="s">
        <v>943</v>
      </c>
      <c r="CJ1158" s="44" t="s">
        <v>98</v>
      </c>
      <c r="CK1158" s="44">
        <v>32</v>
      </c>
      <c r="CL1158" s="44">
        <v>0</v>
      </c>
      <c r="CM1158" s="44">
        <v>0</v>
      </c>
      <c r="CN1158" s="44" t="s">
        <v>124</v>
      </c>
      <c r="CO1158" s="44" t="s">
        <v>940</v>
      </c>
      <c r="CP1158" s="44" t="s">
        <v>100</v>
      </c>
      <c r="CQ1158" s="44" t="s">
        <v>126</v>
      </c>
      <c r="CR1158" s="45">
        <v>46267</v>
      </c>
      <c r="CT1158" s="44" t="s">
        <v>1261</v>
      </c>
    </row>
    <row r="1159" spans="1:98" s="44" customFormat="1" x14ac:dyDescent="0.35">
      <c r="A1159" s="43" t="s">
        <v>2305</v>
      </c>
      <c r="B1159" s="43" t="s">
        <v>2349</v>
      </c>
      <c r="C1159" s="44" t="s">
        <v>2306</v>
      </c>
      <c r="D1159" s="44">
        <v>2024</v>
      </c>
      <c r="E1159" s="64" t="s">
        <v>2307</v>
      </c>
      <c r="F1159" s="43" t="s">
        <v>2308</v>
      </c>
      <c r="G1159" s="44" t="s">
        <v>78</v>
      </c>
      <c r="H1159" s="44">
        <v>1</v>
      </c>
      <c r="I1159" s="44" t="s">
        <v>390</v>
      </c>
      <c r="J1159" s="44" t="s">
        <v>2210</v>
      </c>
      <c r="K1159" s="44">
        <v>35</v>
      </c>
      <c r="L1159" s="44" t="s">
        <v>1179</v>
      </c>
      <c r="M1159" s="44" t="s">
        <v>380</v>
      </c>
      <c r="N1159" s="44">
        <v>-0.54900000000000004</v>
      </c>
      <c r="O1159" s="44">
        <v>0.1512</v>
      </c>
      <c r="P1159" s="44">
        <f t="shared" si="615"/>
        <v>-3.6309523809523814</v>
      </c>
      <c r="Q1159" s="44" t="s">
        <v>312</v>
      </c>
      <c r="R1159" s="44">
        <f t="shared" si="616"/>
        <v>-0.8453520000000001</v>
      </c>
      <c r="S1159" s="44">
        <f t="shared" si="617"/>
        <v>-0.25264800000000004</v>
      </c>
      <c r="T1159" s="44">
        <v>1</v>
      </c>
      <c r="U1159" s="44">
        <v>194337</v>
      </c>
      <c r="V1159" s="44" t="s">
        <v>312</v>
      </c>
      <c r="W1159" s="44" t="s">
        <v>312</v>
      </c>
      <c r="X1159" s="44">
        <f t="shared" si="601"/>
        <v>194337</v>
      </c>
      <c r="Y1159" s="44">
        <f t="shared" si="602"/>
        <v>-8.2362225936193946E-3</v>
      </c>
      <c r="Z1159" s="44">
        <f t="shared" si="603"/>
        <v>2.2683367143082919E-3</v>
      </c>
      <c r="AA1159" s="44">
        <f t="shared" si="604"/>
        <v>-8.2362225936193946E-3</v>
      </c>
      <c r="AB1159" s="44" t="s">
        <v>81</v>
      </c>
      <c r="AC1159" s="44">
        <f t="shared" si="618"/>
        <v>-8.3425902147039304E-3</v>
      </c>
      <c r="AD1159" s="44" cm="1">
        <f t="array" ref="AD1159">_xlfn.IFS(
AND(L1159="marginal_effect",M1159="level"),N1159*AN1159/BF1159,
AND(L1159="marginal_effect",M1159="sd (Y)"),N1159*BI1159*AN1159/BF1159,
AND(L1159="marginal_effect",M1159="sd (X)"),N1159/AQ1159*AN1159/BF1159,
AND(L1159="semi_elasticity",M1159="level"),N1159*AN1159,
AND(L1159="semi_elasticity",M1159="sd (Y)"),N1159*AN1159*BI1159,
AND(L1159="semi_elasticity",M1159="sd (X)"),N1159*AN1159/AQ1159,
AND(L1159="level-log",M1159="level"),N1159/BF1159,
AND(L1159="level-log",M1159="sd (X)"),N1159/BF1159/AQ1159,
AND(L1159="level-log",M1159="sd (Y)"),N1159/BF1159*BI1159,
AND(L1159="elasticity",M1159="level"),N1159,
AND(L1159="elasticity",M1159="sd (X)"),N1159/AQ1159,
AND(L1159="elasticity",M1159="sd (Y)"),N1159*BI1159,
AND(L1159="marginal_effect",M1159="percent_of_mean"),N1159*AN1159/BF1159/10)</f>
        <v>-8.3425902147039304E-3</v>
      </c>
      <c r="AE1159" s="44">
        <f t="shared" si="606"/>
        <v>1</v>
      </c>
      <c r="AF1159" s="44">
        <f t="shared" si="619"/>
        <v>2.2976314033938692E-3</v>
      </c>
      <c r="AG1159" s="44" cm="1">
        <f t="array" ref="AG1159">_xlfn.IFS(
AND(L1159="marginal_effect",M1159="level"),O1159*AN1159/BF1159,
AND(L1159="marginal_effect",M1159="sd (Y)"),O1159*BI1159*AN1159/BF1159,
AND(L1159="marginal_effect",M1159="sd (X)"),O1159/AQ1159*AN1159/BF1159,
AND(L1159="semi_elasticity",M1159="level"),O1159*AN1159,
AND(L1159="semi_elasticity",M1159="sd (Y)"),O1159*AN1159*BI1159,
AND(L1159="semi_elasticity",M1159="sd (X)"),O1159*AN1159/AQ1159,
AND(L1159="level-log",M1159="level"),O1159/BF1159,
AND(L1159="level-log",M1159="sd (X)"),O1159/BF1159/AQ1159,
AND(L1159="level-log",M1159="sd (Y)"),O1159/BF1159*BI1159,
AND(L1159="elasticity",M1159="level"),O1159,
AND(L1159="elasticity",M1159="sd (X)"),O1159/AQ1159,
AND(L1159="elasticity",M1159="sd (Y)"),O1159*BI1159,
AND(L1159="marginal_effect",M1159="percent_of_mean"),O1159*AN1159/BF1159/10)</f>
        <v>2.2976314033938692E-3</v>
      </c>
      <c r="AH1159" s="44">
        <f t="shared" si="608"/>
        <v>1</v>
      </c>
      <c r="AI1159" s="44">
        <f t="shared" si="609"/>
        <v>-8.3425902147039304E-3</v>
      </c>
      <c r="AJ1159" s="44">
        <v>0</v>
      </c>
      <c r="AK1159" s="44">
        <f t="shared" si="610"/>
        <v>1</v>
      </c>
      <c r="AL1159" s="44" t="s">
        <v>131</v>
      </c>
      <c r="AM1159" s="44" t="s">
        <v>410</v>
      </c>
      <c r="AN1159" s="44">
        <v>10.908099999999999</v>
      </c>
      <c r="AO1159" s="44">
        <v>1</v>
      </c>
      <c r="AP1159" s="44">
        <f t="shared" si="611"/>
        <v>10.908099999999999</v>
      </c>
      <c r="AQ1159" s="44">
        <v>8.5166000000000004</v>
      </c>
      <c r="AR1159" s="44" t="s">
        <v>312</v>
      </c>
      <c r="AS1159" s="44" t="s">
        <v>312</v>
      </c>
      <c r="AT1159" s="44" t="s">
        <v>83</v>
      </c>
      <c r="AU1159" s="44" t="s">
        <v>109</v>
      </c>
      <c r="AV1159" s="44" t="s">
        <v>133</v>
      </c>
      <c r="AW1159" s="44" t="s">
        <v>85</v>
      </c>
      <c r="AX1159" s="44" t="s">
        <v>86</v>
      </c>
      <c r="AY1159" s="44">
        <v>0</v>
      </c>
      <c r="AZ1159" s="44">
        <v>0</v>
      </c>
      <c r="BA1159" s="44" t="s">
        <v>111</v>
      </c>
      <c r="BB1159" s="44" t="s">
        <v>134</v>
      </c>
      <c r="BC1159" s="44" t="s">
        <v>113</v>
      </c>
      <c r="BD1159" s="44" t="s">
        <v>134</v>
      </c>
      <c r="BE1159" s="44" t="s">
        <v>2309</v>
      </c>
      <c r="BF1159" s="44">
        <v>65.806899999999999</v>
      </c>
      <c r="BG1159" s="44">
        <v>1</v>
      </c>
      <c r="BH1159" s="44">
        <v>37.671199999999999</v>
      </c>
      <c r="BI1159" s="44" t="s">
        <v>312</v>
      </c>
      <c r="BJ1159" s="44" t="s">
        <v>312</v>
      </c>
      <c r="BK1159" s="44" t="s">
        <v>91</v>
      </c>
      <c r="BL1159" s="44" t="s">
        <v>509</v>
      </c>
      <c r="BM1159" s="44" t="s">
        <v>1411</v>
      </c>
      <c r="BN1159" s="44" t="s">
        <v>312</v>
      </c>
      <c r="BO1159" s="44" t="s">
        <v>312</v>
      </c>
      <c r="BP1159" s="44" t="s">
        <v>312</v>
      </c>
      <c r="BQ1159" s="44" t="s">
        <v>92</v>
      </c>
      <c r="BR1159" s="44" t="s">
        <v>134</v>
      </c>
      <c r="BS1159" s="44" t="s">
        <v>312</v>
      </c>
      <c r="BT1159" s="44">
        <v>100</v>
      </c>
      <c r="BU1159" s="44">
        <v>2015</v>
      </c>
      <c r="BV1159" s="44">
        <v>2019</v>
      </c>
      <c r="BW1159" s="44" t="s">
        <v>2310</v>
      </c>
      <c r="BX1159" s="44" t="s">
        <v>95</v>
      </c>
      <c r="BY1159" s="44" t="s">
        <v>748</v>
      </c>
      <c r="BZ1159" s="44">
        <v>1</v>
      </c>
      <c r="CA1159" s="44">
        <v>1</v>
      </c>
      <c r="CB1159" s="44" t="s">
        <v>2311</v>
      </c>
      <c r="CC1159" s="44" t="s">
        <v>314</v>
      </c>
      <c r="CD1159" s="44">
        <v>1</v>
      </c>
      <c r="CE1159" s="44" t="s">
        <v>2312</v>
      </c>
      <c r="CF1159" s="44">
        <v>0</v>
      </c>
      <c r="CG1159" s="44" t="s">
        <v>97</v>
      </c>
      <c r="CH1159" s="44">
        <v>1</v>
      </c>
      <c r="CI1159" s="44" t="s">
        <v>943</v>
      </c>
      <c r="CJ1159" s="44" t="s">
        <v>98</v>
      </c>
      <c r="CK1159" s="44">
        <v>32</v>
      </c>
      <c r="CL1159" s="44">
        <v>0</v>
      </c>
      <c r="CM1159" s="44">
        <v>0</v>
      </c>
      <c r="CN1159" s="44" t="s">
        <v>124</v>
      </c>
      <c r="CO1159" s="44" t="s">
        <v>1734</v>
      </c>
      <c r="CP1159" s="44" t="s">
        <v>100</v>
      </c>
      <c r="CQ1159" s="44" t="s">
        <v>126</v>
      </c>
      <c r="CR1159" s="45">
        <v>46267</v>
      </c>
      <c r="CT1159" s="44" t="s">
        <v>1262</v>
      </c>
    </row>
    <row r="1160" spans="1:98" s="44" customFormat="1" x14ac:dyDescent="0.35">
      <c r="A1160" s="43" t="s">
        <v>2305</v>
      </c>
      <c r="B1160" s="43" t="s">
        <v>2350</v>
      </c>
      <c r="C1160" s="44" t="s">
        <v>2306</v>
      </c>
      <c r="D1160" s="44">
        <v>2024</v>
      </c>
      <c r="E1160" s="64" t="s">
        <v>2307</v>
      </c>
      <c r="F1160" s="43" t="s">
        <v>2308</v>
      </c>
      <c r="G1160" s="44" t="s">
        <v>78</v>
      </c>
      <c r="H1160" s="44">
        <v>1</v>
      </c>
      <c r="I1160" s="44" t="s">
        <v>390</v>
      </c>
      <c r="J1160" s="44" t="s">
        <v>2210</v>
      </c>
      <c r="K1160" s="44">
        <v>35</v>
      </c>
      <c r="L1160" s="44" t="s">
        <v>1179</v>
      </c>
      <c r="M1160" s="44" t="s">
        <v>380</v>
      </c>
      <c r="N1160" s="44">
        <v>-5.5899999999999998E-2</v>
      </c>
      <c r="O1160" s="44">
        <v>0.188</v>
      </c>
      <c r="P1160" s="44">
        <f t="shared" si="615"/>
        <v>-0.29734042553191486</v>
      </c>
      <c r="Q1160" s="44" t="s">
        <v>312</v>
      </c>
      <c r="R1160" s="44">
        <f t="shared" si="616"/>
        <v>-0.42437999999999998</v>
      </c>
      <c r="S1160" s="44">
        <f t="shared" si="617"/>
        <v>0.31257999999999997</v>
      </c>
      <c r="T1160" s="44">
        <v>1</v>
      </c>
      <c r="U1160" s="44">
        <v>102237</v>
      </c>
      <c r="V1160" s="44" t="s">
        <v>312</v>
      </c>
      <c r="W1160" s="44" t="s">
        <v>312</v>
      </c>
      <c r="X1160" s="44">
        <f t="shared" si="601"/>
        <v>102237</v>
      </c>
      <c r="Y1160" s="44">
        <f t="shared" si="602"/>
        <v>-9.2992885170935734E-4</v>
      </c>
      <c r="Z1160" s="44">
        <f t="shared" si="603"/>
        <v>3.1274888036021322E-3</v>
      </c>
      <c r="AA1160" s="44">
        <f t="shared" si="604"/>
        <v>-9.2992885170935734E-4</v>
      </c>
      <c r="AB1160" s="44" t="s">
        <v>81</v>
      </c>
      <c r="AC1160" s="44">
        <f>N1160/BF1160</f>
        <v>-8.4945499636056396E-4</v>
      </c>
      <c r="AD1160" s="44" cm="1">
        <f t="array" ref="AD1160">_xlfn.IFS(
AND(L1160="marginal_effect",M1160="level"),N1160*AN1160/BF1160,
AND(L1160="marginal_effect",M1160="sd (Y)"),N1160*BI1160*AN1160/BF1160,
AND(L1160="marginal_effect",M1160="sd (X)"),N1160/AQ1160*AN1160/BF1160,
AND(L1160="semi_elasticity",M1160="level"),N1160*AN1160,
AND(L1160="semi_elasticity",M1160="sd (Y)"),N1160*AN1160*BI1160,
AND(L1160="semi_elasticity",M1160="sd (X)"),N1160*AN1160/AQ1160,
AND(L1160="level-log",M1160="level"),N1160/BF1160,
AND(L1160="level-log",M1160="sd (X)"),N1160/BF1160/AQ1160,
AND(L1160="level-log",M1160="sd (Y)"),N1160/BF1160*BI1160,
AND(L1160="elasticity",M1160="level"),N1160,
AND(L1160="elasticity",M1160="sd (X)"),N1160/AQ1160,
AND(L1160="elasticity",M1160="sd (Y)"),N1160*BI1160,
AND(L1160="marginal_effect",M1160="percent_of_mean"),N1160*AN1160/BF1160/10)</f>
        <v>-8.4945499636056396E-4</v>
      </c>
      <c r="AE1160" s="44">
        <f t="shared" si="606"/>
        <v>1</v>
      </c>
      <c r="AF1160" s="44">
        <f t="shared" si="619"/>
        <v>2.8568432793521651E-3</v>
      </c>
      <c r="AG1160" s="44" cm="1">
        <f t="array" ref="AG1160">_xlfn.IFS(
AND(L1160="marginal_effect",M1160="level"),O1160*AN1160/BF1160,
AND(L1160="marginal_effect",M1160="sd (Y)"),O1160*BI1160*AN1160/BF1160,
AND(L1160="marginal_effect",M1160="sd (X)"),O1160/AQ1160*AN1160/BF1160,
AND(L1160="semi_elasticity",M1160="level"),O1160*AN1160,
AND(L1160="semi_elasticity",M1160="sd (Y)"),O1160*AN1160*BI1160,
AND(L1160="semi_elasticity",M1160="sd (X)"),O1160*AN1160/AQ1160,
AND(L1160="level-log",M1160="level"),O1160/BF1160,
AND(L1160="level-log",M1160="sd (X)"),O1160/BF1160/AQ1160,
AND(L1160="level-log",M1160="sd (Y)"),O1160/BF1160*BI1160,
AND(L1160="elasticity",M1160="level"),O1160,
AND(L1160="elasticity",M1160="sd (X)"),O1160/AQ1160,
AND(L1160="elasticity",M1160="sd (Y)"),O1160*BI1160,
AND(L1160="marginal_effect",M1160="percent_of_mean"),O1160*AN1160/BF1160/10)</f>
        <v>2.8568432793521651E-3</v>
      </c>
      <c r="AH1160" s="44">
        <f t="shared" si="608"/>
        <v>1</v>
      </c>
      <c r="AI1160" s="44">
        <f t="shared" si="609"/>
        <v>-8.4945499636056396E-4</v>
      </c>
      <c r="AJ1160" s="44">
        <v>0</v>
      </c>
      <c r="AK1160" s="44">
        <f t="shared" si="610"/>
        <v>1</v>
      </c>
      <c r="AL1160" s="44" t="s">
        <v>131</v>
      </c>
      <c r="AM1160" s="44" t="s">
        <v>410</v>
      </c>
      <c r="AN1160" s="44">
        <v>10.908099999999999</v>
      </c>
      <c r="AO1160" s="44">
        <v>1</v>
      </c>
      <c r="AP1160" s="44">
        <f t="shared" si="611"/>
        <v>10.908099999999999</v>
      </c>
      <c r="AQ1160" s="44">
        <v>8.5166000000000004</v>
      </c>
      <c r="AR1160" s="44" t="s">
        <v>312</v>
      </c>
      <c r="AS1160" s="44" t="s">
        <v>312</v>
      </c>
      <c r="AT1160" s="44" t="s">
        <v>83</v>
      </c>
      <c r="AU1160" s="44" t="s">
        <v>109</v>
      </c>
      <c r="AV1160" s="44" t="s">
        <v>133</v>
      </c>
      <c r="AW1160" s="44" t="s">
        <v>85</v>
      </c>
      <c r="AX1160" s="44" t="s">
        <v>86</v>
      </c>
      <c r="AY1160" s="44">
        <v>0</v>
      </c>
      <c r="AZ1160" s="44">
        <v>0</v>
      </c>
      <c r="BA1160" s="44" t="s">
        <v>111</v>
      </c>
      <c r="BB1160" s="44" t="s">
        <v>134</v>
      </c>
      <c r="BC1160" s="44" t="s">
        <v>113</v>
      </c>
      <c r="BD1160" s="44" t="s">
        <v>134</v>
      </c>
      <c r="BE1160" s="44" t="s">
        <v>2309</v>
      </c>
      <c r="BF1160" s="44">
        <v>65.806899999999999</v>
      </c>
      <c r="BG1160" s="44">
        <v>1</v>
      </c>
      <c r="BH1160" s="44">
        <v>37.671199999999999</v>
      </c>
      <c r="BI1160" s="44" t="s">
        <v>312</v>
      </c>
      <c r="BJ1160" s="44" t="s">
        <v>312</v>
      </c>
      <c r="BK1160" s="44" t="s">
        <v>91</v>
      </c>
      <c r="BL1160" s="44" t="s">
        <v>509</v>
      </c>
      <c r="BM1160" s="44" t="s">
        <v>1411</v>
      </c>
      <c r="BN1160" s="44" t="s">
        <v>312</v>
      </c>
      <c r="BO1160" s="44" t="s">
        <v>312</v>
      </c>
      <c r="BP1160" s="44" t="s">
        <v>312</v>
      </c>
      <c r="BQ1160" s="44" t="s">
        <v>92</v>
      </c>
      <c r="BR1160" s="44" t="s">
        <v>134</v>
      </c>
      <c r="BS1160" s="44" t="s">
        <v>312</v>
      </c>
      <c r="BT1160" s="44">
        <v>0</v>
      </c>
      <c r="BU1160" s="44">
        <v>2015</v>
      </c>
      <c r="BV1160" s="44">
        <v>2019</v>
      </c>
      <c r="BW1160" s="44" t="s">
        <v>2310</v>
      </c>
      <c r="BX1160" s="44" t="s">
        <v>95</v>
      </c>
      <c r="BY1160" s="44" t="s">
        <v>748</v>
      </c>
      <c r="BZ1160" s="44">
        <v>1</v>
      </c>
      <c r="CA1160" s="44">
        <v>1</v>
      </c>
      <c r="CB1160" s="44" t="s">
        <v>2311</v>
      </c>
      <c r="CC1160" s="44" t="s">
        <v>314</v>
      </c>
      <c r="CD1160" s="44">
        <v>1</v>
      </c>
      <c r="CE1160" s="44" t="s">
        <v>2312</v>
      </c>
      <c r="CF1160" s="44">
        <v>0</v>
      </c>
      <c r="CG1160" s="44" t="s">
        <v>97</v>
      </c>
      <c r="CH1160" s="44">
        <v>1</v>
      </c>
      <c r="CI1160" s="44" t="s">
        <v>943</v>
      </c>
      <c r="CJ1160" s="44" t="s">
        <v>98</v>
      </c>
      <c r="CK1160" s="44">
        <v>32</v>
      </c>
      <c r="CL1160" s="44">
        <v>0</v>
      </c>
      <c r="CM1160" s="44">
        <v>0</v>
      </c>
      <c r="CN1160" s="44" t="s">
        <v>124</v>
      </c>
      <c r="CO1160" s="44" t="s">
        <v>1734</v>
      </c>
      <c r="CP1160" s="44" t="s">
        <v>100</v>
      </c>
      <c r="CQ1160" s="44" t="s">
        <v>126</v>
      </c>
      <c r="CR1160" s="45">
        <v>46267</v>
      </c>
      <c r="CT1160" s="44" t="s">
        <v>2338</v>
      </c>
    </row>
    <row r="1161" spans="1:98" s="44" customFormat="1" x14ac:dyDescent="0.35">
      <c r="A1161" s="43" t="s">
        <v>2305</v>
      </c>
      <c r="B1161" s="43" t="s">
        <v>2351</v>
      </c>
      <c r="C1161" s="44" t="s">
        <v>2306</v>
      </c>
      <c r="D1161" s="44">
        <v>2024</v>
      </c>
      <c r="E1161" s="64" t="s">
        <v>2307</v>
      </c>
      <c r="F1161" s="43" t="s">
        <v>2308</v>
      </c>
      <c r="G1161" s="44" t="s">
        <v>78</v>
      </c>
      <c r="H1161" s="44">
        <v>1</v>
      </c>
      <c r="I1161" s="44" t="s">
        <v>390</v>
      </c>
      <c r="J1161" s="44" t="s">
        <v>2210</v>
      </c>
      <c r="K1161" s="44">
        <v>35</v>
      </c>
      <c r="L1161" s="44" t="s">
        <v>1179</v>
      </c>
      <c r="M1161" s="44" t="s">
        <v>380</v>
      </c>
      <c r="N1161" s="44">
        <v>-0.37990000000000002</v>
      </c>
      <c r="O1161" s="44">
        <v>0.1386</v>
      </c>
      <c r="P1161" s="44">
        <f t="shared" si="615"/>
        <v>-2.7409812409812409</v>
      </c>
      <c r="Q1161" s="44" t="s">
        <v>312</v>
      </c>
      <c r="R1161" s="44">
        <f t="shared" si="616"/>
        <v>-0.65155600000000002</v>
      </c>
      <c r="S1161" s="44">
        <f t="shared" si="617"/>
        <v>-0.10824400000000001</v>
      </c>
      <c r="T1161" s="44">
        <v>1</v>
      </c>
      <c r="U1161" s="44">
        <v>261652</v>
      </c>
      <c r="V1161" s="44" t="s">
        <v>312</v>
      </c>
      <c r="W1161" s="44" t="s">
        <v>312</v>
      </c>
      <c r="X1161" s="44">
        <f t="shared" si="601"/>
        <v>261652</v>
      </c>
      <c r="Y1161" s="44">
        <f t="shared" si="602"/>
        <v>-5.3584329273042826E-3</v>
      </c>
      <c r="Z1161" s="44">
        <f t="shared" si="603"/>
        <v>1.9549323604221465E-3</v>
      </c>
      <c r="AA1161" s="44">
        <f t="shared" si="604"/>
        <v>-5.3584329273042826E-3</v>
      </c>
      <c r="AB1161" s="44" t="s">
        <v>81</v>
      </c>
      <c r="AC1161" s="44">
        <f t="shared" si="618"/>
        <v>-5.772950860775998E-3</v>
      </c>
      <c r="AD1161" s="44" cm="1">
        <f t="array" ref="AD1161">_xlfn.IFS(
AND(L1161="marginal_effect",M1161="level"),N1161*AN1161/BF1161,
AND(L1161="marginal_effect",M1161="sd (Y)"),N1161*BI1161*AN1161/BF1161,
AND(L1161="marginal_effect",M1161="sd (X)"),N1161/AQ1161*AN1161/BF1161,
AND(L1161="semi_elasticity",M1161="level"),N1161*AN1161,
AND(L1161="semi_elasticity",M1161="sd (Y)"),N1161*AN1161*BI1161,
AND(L1161="semi_elasticity",M1161="sd (X)"),N1161*AN1161/AQ1161,
AND(L1161="level-log",M1161="level"),N1161/BF1161,
AND(L1161="level-log",M1161="sd (X)"),N1161/BF1161/AQ1161,
AND(L1161="level-log",M1161="sd (Y)"),N1161/BF1161*BI1161,
AND(L1161="elasticity",M1161="level"),N1161,
AND(L1161="elasticity",M1161="sd (X)"),N1161/AQ1161,
AND(L1161="elasticity",M1161="sd (Y)"),N1161*BI1161,
AND(L1161="marginal_effect",M1161="percent_of_mean"),N1161*AN1161/BF1161/10)</f>
        <v>-5.772950860775998E-3</v>
      </c>
      <c r="AE1161" s="44">
        <f t="shared" si="606"/>
        <v>1</v>
      </c>
      <c r="AF1161" s="44">
        <f t="shared" si="619"/>
        <v>2.1061621197777133E-3</v>
      </c>
      <c r="AG1161" s="44" cm="1">
        <f t="array" ref="AG1161">_xlfn.IFS(
AND(L1161="marginal_effect",M1161="level"),O1161*AN1161/BF1161,
AND(L1161="marginal_effect",M1161="sd (Y)"),O1161*BI1161*AN1161/BF1161,
AND(L1161="marginal_effect",M1161="sd (X)"),O1161/AQ1161*AN1161/BF1161,
AND(L1161="semi_elasticity",M1161="level"),O1161*AN1161,
AND(L1161="semi_elasticity",M1161="sd (Y)"),O1161*AN1161*BI1161,
AND(L1161="semi_elasticity",M1161="sd (X)"),O1161*AN1161/AQ1161,
AND(L1161="level-log",M1161="level"),O1161/BF1161,
AND(L1161="level-log",M1161="sd (X)"),O1161/BF1161/AQ1161,
AND(L1161="level-log",M1161="sd (Y)"),O1161/BF1161*BI1161,
AND(L1161="elasticity",M1161="level"),O1161,
AND(L1161="elasticity",M1161="sd (X)"),O1161/AQ1161,
AND(L1161="elasticity",M1161="sd (Y)"),O1161*BI1161,
AND(L1161="marginal_effect",M1161="percent_of_mean"),O1161*AN1161/BF1161/10)</f>
        <v>2.1061621197777133E-3</v>
      </c>
      <c r="AH1161" s="44">
        <f t="shared" si="608"/>
        <v>1</v>
      </c>
      <c r="AI1161" s="44">
        <f t="shared" si="609"/>
        <v>-5.772950860775998E-3</v>
      </c>
      <c r="AJ1161" s="44">
        <v>0</v>
      </c>
      <c r="AK1161" s="44">
        <f t="shared" si="610"/>
        <v>1</v>
      </c>
      <c r="AL1161" s="44" t="s">
        <v>131</v>
      </c>
      <c r="AM1161" s="44" t="s">
        <v>410</v>
      </c>
      <c r="AN1161" s="44">
        <v>10.908099999999999</v>
      </c>
      <c r="AO1161" s="44">
        <v>1</v>
      </c>
      <c r="AP1161" s="44">
        <f t="shared" si="611"/>
        <v>10.908099999999999</v>
      </c>
      <c r="AQ1161" s="44">
        <v>8.5166000000000004</v>
      </c>
      <c r="AR1161" s="44" t="s">
        <v>312</v>
      </c>
      <c r="AS1161" s="44" t="s">
        <v>312</v>
      </c>
      <c r="AT1161" s="44" t="s">
        <v>83</v>
      </c>
      <c r="AU1161" s="44" t="s">
        <v>109</v>
      </c>
      <c r="AV1161" s="44" t="s">
        <v>133</v>
      </c>
      <c r="AW1161" s="44" t="s">
        <v>85</v>
      </c>
      <c r="AX1161" s="44" t="s">
        <v>86</v>
      </c>
      <c r="AY1161" s="44">
        <v>0</v>
      </c>
      <c r="AZ1161" s="44">
        <v>0</v>
      </c>
      <c r="BA1161" s="44" t="s">
        <v>111</v>
      </c>
      <c r="BB1161" s="44" t="s">
        <v>134</v>
      </c>
      <c r="BC1161" s="44" t="s">
        <v>113</v>
      </c>
      <c r="BD1161" s="44" t="s">
        <v>134</v>
      </c>
      <c r="BE1161" s="44" t="s">
        <v>2309</v>
      </c>
      <c r="BF1161" s="44">
        <v>65.806899999999999</v>
      </c>
      <c r="BG1161" s="44">
        <v>1</v>
      </c>
      <c r="BH1161" s="44">
        <v>37.671199999999999</v>
      </c>
      <c r="BI1161" s="44" t="s">
        <v>312</v>
      </c>
      <c r="BJ1161" s="44" t="s">
        <v>312</v>
      </c>
      <c r="BK1161" s="44" t="s">
        <v>91</v>
      </c>
      <c r="BL1161" s="44" t="s">
        <v>509</v>
      </c>
      <c r="BM1161" s="44" t="s">
        <v>1411</v>
      </c>
      <c r="BN1161" s="44" t="s">
        <v>312</v>
      </c>
      <c r="BO1161" s="44" t="s">
        <v>312</v>
      </c>
      <c r="BP1161" s="44" t="s">
        <v>312</v>
      </c>
      <c r="BQ1161" s="44" t="s">
        <v>92</v>
      </c>
      <c r="BR1161" s="44" t="s">
        <v>134</v>
      </c>
      <c r="BS1161" s="44" t="s">
        <v>312</v>
      </c>
      <c r="BT1161" s="44" t="s">
        <v>312</v>
      </c>
      <c r="BU1161" s="44">
        <v>2015</v>
      </c>
      <c r="BV1161" s="44">
        <v>2019</v>
      </c>
      <c r="BW1161" s="44" t="s">
        <v>2310</v>
      </c>
      <c r="BX1161" s="44" t="s">
        <v>95</v>
      </c>
      <c r="BY1161" s="44" t="s">
        <v>748</v>
      </c>
      <c r="BZ1161" s="44">
        <v>1</v>
      </c>
      <c r="CA1161" s="44">
        <v>1</v>
      </c>
      <c r="CB1161" s="44" t="s">
        <v>2311</v>
      </c>
      <c r="CC1161" s="44" t="s">
        <v>314</v>
      </c>
      <c r="CD1161" s="44">
        <v>1</v>
      </c>
      <c r="CE1161" s="44" t="s">
        <v>2312</v>
      </c>
      <c r="CF1161" s="44">
        <v>0</v>
      </c>
      <c r="CG1161" s="44" t="s">
        <v>97</v>
      </c>
      <c r="CH1161" s="44">
        <v>1</v>
      </c>
      <c r="CI1161" s="44" t="s">
        <v>943</v>
      </c>
      <c r="CJ1161" s="44" t="s">
        <v>98</v>
      </c>
      <c r="CK1161" s="44">
        <v>32</v>
      </c>
      <c r="CL1161" s="44">
        <v>0</v>
      </c>
      <c r="CM1161" s="44">
        <v>0</v>
      </c>
      <c r="CN1161" s="44" t="s">
        <v>124</v>
      </c>
      <c r="CO1161" s="44" t="s">
        <v>1367</v>
      </c>
      <c r="CP1161" s="44" t="s">
        <v>100</v>
      </c>
      <c r="CQ1161" s="44" t="s">
        <v>126</v>
      </c>
      <c r="CR1161" s="45">
        <v>46267</v>
      </c>
      <c r="CT1161" s="44" t="s">
        <v>2339</v>
      </c>
    </row>
    <row r="1162" spans="1:98" s="44" customFormat="1" x14ac:dyDescent="0.35">
      <c r="A1162" s="43" t="s">
        <v>2305</v>
      </c>
      <c r="B1162" s="43" t="s">
        <v>2352</v>
      </c>
      <c r="C1162" s="44" t="s">
        <v>2306</v>
      </c>
      <c r="D1162" s="44">
        <v>2024</v>
      </c>
      <c r="E1162" s="64" t="s">
        <v>2307</v>
      </c>
      <c r="F1162" s="43" t="s">
        <v>2308</v>
      </c>
      <c r="G1162" s="44" t="s">
        <v>78</v>
      </c>
      <c r="H1162" s="44">
        <v>1</v>
      </c>
      <c r="I1162" s="44" t="s">
        <v>390</v>
      </c>
      <c r="J1162" s="44" t="s">
        <v>2210</v>
      </c>
      <c r="K1162" s="44">
        <v>35</v>
      </c>
      <c r="L1162" s="44" t="s">
        <v>1179</v>
      </c>
      <c r="M1162" s="44" t="s">
        <v>380</v>
      </c>
      <c r="N1162" s="44">
        <v>-0.63160000000000005</v>
      </c>
      <c r="O1162" s="44">
        <v>0.27400000000000002</v>
      </c>
      <c r="P1162" s="44">
        <f t="shared" si="615"/>
        <v>-2.305109489051095</v>
      </c>
      <c r="Q1162" s="44" t="s">
        <v>312</v>
      </c>
      <c r="R1162" s="44">
        <f t="shared" si="616"/>
        <v>-1.1686400000000001</v>
      </c>
      <c r="S1162" s="44">
        <f t="shared" si="617"/>
        <v>-9.4559999999999977E-2</v>
      </c>
      <c r="T1162" s="44">
        <v>1</v>
      </c>
      <c r="U1162" s="44">
        <v>34922</v>
      </c>
      <c r="V1162" s="44" t="s">
        <v>312</v>
      </c>
      <c r="W1162" s="44" t="s">
        <v>312</v>
      </c>
      <c r="X1162" s="44">
        <f t="shared" si="601"/>
        <v>34922</v>
      </c>
      <c r="Y1162" s="44">
        <f t="shared" si="602"/>
        <v>-1.2334142656376274E-2</v>
      </c>
      <c r="Z1162" s="44">
        <f t="shared" si="603"/>
        <v>5.3507838629624754E-3</v>
      </c>
      <c r="AA1162" s="44">
        <f t="shared" si="604"/>
        <v>-1.2334142656376274E-2</v>
      </c>
      <c r="AB1162" s="44" t="s">
        <v>81</v>
      </c>
      <c r="AC1162" s="44">
        <f t="shared" si="618"/>
        <v>-9.5977777406320627E-3</v>
      </c>
      <c r="AD1162" s="44" cm="1">
        <f t="array" ref="AD1162">_xlfn.IFS(
AND(L1162="marginal_effect",M1162="level"),N1162*AN1162/BF1162,
AND(L1162="marginal_effect",M1162="sd (Y)"),N1162*BI1162*AN1162/BF1162,
AND(L1162="marginal_effect",M1162="sd (X)"),N1162/AQ1162*AN1162/BF1162,
AND(L1162="semi_elasticity",M1162="level"),N1162*AN1162,
AND(L1162="semi_elasticity",M1162="sd (Y)"),N1162*AN1162*BI1162,
AND(L1162="semi_elasticity",M1162="sd (X)"),N1162*AN1162/AQ1162,
AND(L1162="level-log",M1162="level"),N1162/BF1162,
AND(L1162="level-log",M1162="sd (X)"),N1162/BF1162/AQ1162,
AND(L1162="level-log",M1162="sd (Y)"),N1162/BF1162*BI1162,
AND(L1162="elasticity",M1162="level"),N1162,
AND(L1162="elasticity",M1162="sd (X)"),N1162/AQ1162,
AND(L1162="elasticity",M1162="sd (Y)"),N1162*BI1162,
AND(L1162="marginal_effect",M1162="percent_of_mean"),N1162*AN1162/BF1162/10)</f>
        <v>-9.5977777406320627E-3</v>
      </c>
      <c r="AE1162" s="44">
        <f t="shared" si="606"/>
        <v>1</v>
      </c>
      <c r="AF1162" s="44">
        <f t="shared" si="619"/>
        <v>4.1636971199068796E-3</v>
      </c>
      <c r="AG1162" s="44" cm="1">
        <f t="array" ref="AG1162">_xlfn.IFS(
AND(L1162="marginal_effect",M1162="level"),O1162*AN1162/BF1162,
AND(L1162="marginal_effect",M1162="sd (Y)"),O1162*BI1162*AN1162/BF1162,
AND(L1162="marginal_effect",M1162="sd (X)"),O1162/AQ1162*AN1162/BF1162,
AND(L1162="semi_elasticity",M1162="level"),O1162*AN1162,
AND(L1162="semi_elasticity",M1162="sd (Y)"),O1162*AN1162*BI1162,
AND(L1162="semi_elasticity",M1162="sd (X)"),O1162*AN1162/AQ1162,
AND(L1162="level-log",M1162="level"),O1162/BF1162,
AND(L1162="level-log",M1162="sd (X)"),O1162/BF1162/AQ1162,
AND(L1162="level-log",M1162="sd (Y)"),O1162/BF1162*BI1162,
AND(L1162="elasticity",M1162="level"),O1162,
AND(L1162="elasticity",M1162="sd (X)"),O1162/AQ1162,
AND(L1162="elasticity",M1162="sd (Y)"),O1162*BI1162,
AND(L1162="marginal_effect",M1162="percent_of_mean"),O1162*AN1162/BF1162/10)</f>
        <v>4.1636971199068796E-3</v>
      </c>
      <c r="AH1162" s="44">
        <f t="shared" si="608"/>
        <v>1</v>
      </c>
      <c r="AI1162" s="44">
        <f t="shared" si="609"/>
        <v>-9.5977777406320627E-3</v>
      </c>
      <c r="AJ1162" s="44">
        <v>0</v>
      </c>
      <c r="AK1162" s="44">
        <f t="shared" si="610"/>
        <v>1</v>
      </c>
      <c r="AL1162" s="44" t="s">
        <v>131</v>
      </c>
      <c r="AM1162" s="44" t="s">
        <v>410</v>
      </c>
      <c r="AN1162" s="44">
        <v>10.908099999999999</v>
      </c>
      <c r="AO1162" s="44">
        <v>1</v>
      </c>
      <c r="AP1162" s="44">
        <f t="shared" si="611"/>
        <v>10.908099999999999</v>
      </c>
      <c r="AQ1162" s="44">
        <v>8.5166000000000004</v>
      </c>
      <c r="AR1162" s="44" t="s">
        <v>312</v>
      </c>
      <c r="AS1162" s="44" t="s">
        <v>312</v>
      </c>
      <c r="AT1162" s="44" t="s">
        <v>83</v>
      </c>
      <c r="AU1162" s="44" t="s">
        <v>109</v>
      </c>
      <c r="AV1162" s="44" t="s">
        <v>133</v>
      </c>
      <c r="AW1162" s="44" t="s">
        <v>85</v>
      </c>
      <c r="AX1162" s="44" t="s">
        <v>86</v>
      </c>
      <c r="AY1162" s="44">
        <v>0</v>
      </c>
      <c r="AZ1162" s="44">
        <v>0</v>
      </c>
      <c r="BA1162" s="44" t="s">
        <v>111</v>
      </c>
      <c r="BB1162" s="44" t="s">
        <v>134</v>
      </c>
      <c r="BC1162" s="44" t="s">
        <v>113</v>
      </c>
      <c r="BD1162" s="44" t="s">
        <v>134</v>
      </c>
      <c r="BE1162" s="44" t="s">
        <v>2309</v>
      </c>
      <c r="BF1162" s="44">
        <v>65.806899999999999</v>
      </c>
      <c r="BG1162" s="44">
        <v>1</v>
      </c>
      <c r="BH1162" s="44">
        <v>37.671199999999999</v>
      </c>
      <c r="BI1162" s="44" t="s">
        <v>312</v>
      </c>
      <c r="BJ1162" s="44" t="s">
        <v>312</v>
      </c>
      <c r="BK1162" s="44" t="s">
        <v>91</v>
      </c>
      <c r="BL1162" s="44" t="s">
        <v>509</v>
      </c>
      <c r="BM1162" s="44" t="s">
        <v>1411</v>
      </c>
      <c r="BN1162" s="44" t="s">
        <v>312</v>
      </c>
      <c r="BO1162" s="44" t="s">
        <v>312</v>
      </c>
      <c r="BP1162" s="44" t="s">
        <v>312</v>
      </c>
      <c r="BQ1162" s="44" t="s">
        <v>92</v>
      </c>
      <c r="BR1162" s="44" t="s">
        <v>134</v>
      </c>
      <c r="BS1162" s="44" t="s">
        <v>312</v>
      </c>
      <c r="BT1162" s="44" t="s">
        <v>312</v>
      </c>
      <c r="BU1162" s="44">
        <v>2015</v>
      </c>
      <c r="BV1162" s="44">
        <v>2019</v>
      </c>
      <c r="BW1162" s="44" t="s">
        <v>2310</v>
      </c>
      <c r="BX1162" s="44" t="s">
        <v>95</v>
      </c>
      <c r="BY1162" s="44" t="s">
        <v>748</v>
      </c>
      <c r="BZ1162" s="44">
        <v>1</v>
      </c>
      <c r="CA1162" s="44">
        <v>1</v>
      </c>
      <c r="CB1162" s="44" t="s">
        <v>2311</v>
      </c>
      <c r="CC1162" s="44" t="s">
        <v>314</v>
      </c>
      <c r="CD1162" s="44">
        <v>1</v>
      </c>
      <c r="CE1162" s="44" t="s">
        <v>2312</v>
      </c>
      <c r="CF1162" s="44">
        <v>0</v>
      </c>
      <c r="CG1162" s="44" t="s">
        <v>97</v>
      </c>
      <c r="CH1162" s="44">
        <v>1</v>
      </c>
      <c r="CI1162" s="44" t="s">
        <v>943</v>
      </c>
      <c r="CJ1162" s="44" t="s">
        <v>98</v>
      </c>
      <c r="CK1162" s="44">
        <v>32</v>
      </c>
      <c r="CL1162" s="44">
        <v>0</v>
      </c>
      <c r="CM1162" s="44">
        <v>0</v>
      </c>
      <c r="CN1162" s="44" t="s">
        <v>124</v>
      </c>
      <c r="CO1162" s="44" t="s">
        <v>1367</v>
      </c>
      <c r="CP1162" s="44" t="s">
        <v>100</v>
      </c>
      <c r="CQ1162" s="44" t="s">
        <v>126</v>
      </c>
      <c r="CR1162" s="45">
        <v>46267</v>
      </c>
      <c r="CT1162" s="44" t="s">
        <v>2340</v>
      </c>
    </row>
    <row r="1163" spans="1:98" s="47" customFormat="1" x14ac:dyDescent="0.35">
      <c r="A1163" s="46" t="s">
        <v>2353</v>
      </c>
      <c r="B1163" s="46" t="s">
        <v>2354</v>
      </c>
      <c r="C1163" s="47" t="s">
        <v>2355</v>
      </c>
      <c r="D1163" s="47">
        <v>2025</v>
      </c>
      <c r="E1163" s="66" t="s">
        <v>2356</v>
      </c>
      <c r="F1163" s="46" t="s">
        <v>2357</v>
      </c>
      <c r="G1163" s="47" t="s">
        <v>78</v>
      </c>
      <c r="H1163" s="47">
        <v>1</v>
      </c>
      <c r="I1163" s="47" t="s">
        <v>390</v>
      </c>
      <c r="J1163" s="47" t="s">
        <v>2210</v>
      </c>
      <c r="K1163" s="47">
        <v>6</v>
      </c>
      <c r="L1163" s="47" t="s">
        <v>129</v>
      </c>
      <c r="M1163" s="47" t="s">
        <v>380</v>
      </c>
      <c r="N1163" s="47">
        <v>-0.129</v>
      </c>
      <c r="O1163" s="47">
        <f>N1163/P1163</f>
        <v>4.3288590604026844E-2</v>
      </c>
      <c r="P1163" s="47">
        <v>-2.98</v>
      </c>
      <c r="Q1163" s="47" t="s">
        <v>312</v>
      </c>
      <c r="R1163" s="47">
        <f t="shared" ref="R1163:R1168" si="620">N1163-1.96*O1163</f>
        <v>-0.21384563758389263</v>
      </c>
      <c r="S1163" s="47">
        <f t="shared" ref="S1163:S1168" si="621">N1163+1.96*O1163</f>
        <v>-4.4154362416107387E-2</v>
      </c>
      <c r="T1163" s="47">
        <v>1</v>
      </c>
      <c r="U1163" s="47">
        <v>10959</v>
      </c>
      <c r="V1163" s="47">
        <v>24</v>
      </c>
      <c r="W1163" s="47">
        <v>1</v>
      </c>
      <c r="X1163" s="47">
        <f>U1163-V1163</f>
        <v>10935</v>
      </c>
      <c r="Y1163" s="47">
        <f t="shared" ref="Y1163:Y1168" si="622">P1163/(P1163^2 + X1163)^(1/2)</f>
        <v>-2.8485942608374542E-2</v>
      </c>
      <c r="Z1163" s="47">
        <f t="shared" ref="Z1163:Z1168" si="623">((1-Y1163^2)/X1163)^(1/2)</f>
        <v>9.5590411437498461E-3</v>
      </c>
      <c r="AA1163" s="47">
        <f t="shared" ref="AA1163:AA1168" si="624">Y1163</f>
        <v>-2.8485942608374542E-2</v>
      </c>
      <c r="AB1163" s="47" t="s">
        <v>81</v>
      </c>
      <c r="AC1163" s="47">
        <f>N1163/BF1163*AN1163</f>
        <v>0.10890613138686132</v>
      </c>
      <c r="AD1163" s="47" cm="1">
        <f t="array" ref="AD1163">_xlfn.IFS(
AND(L1163="marginal_effect",M1163="level"),N1163*AN1163/BH1163,
AND(L1163="marginal_effect",M1163="sd (Y)"),N1163*BI1163*AN1163/BH1163,
AND(L1163="marginal_effect",M1163="sd (X)"),N1163/AQ1163*AN1163/BH1163,
AND(L1163="semi_elasticity",M1163="level"),N1163*AN1163,
AND(L1163="semi_elasticity",M1163="sd (Y)"),N1163*AN1163*BI1163,
AND(L1163="semi_elasticity",M1163="sd (X)"),N1163*AN1163/AQ1163,
AND(L1163="level-log",M1163="level"),N1163/BH1163,
AND(L1163="level-log",M1163="sd (X)"),N1163/BH1163/AQ1163,
AND(L1163="level-log",M1163="sd (Y)"),N1163/BH1163*BI1163,
AND(L1163="elasticity",M1163="level"),N1163,
AND(L1163="elasticity",M1163="sd (X)"),N1163/AQ1163,
AND(L1163="elasticity",M1163="sd (Y)"),N1163*BI1163,
AND(L1163="marginal_effect",M1163="percent_of_mean"),N1163*AN1163/BH1163/10)</f>
        <v>-5.0539055619537983E-2</v>
      </c>
      <c r="AE1163" s="47">
        <f t="shared" ref="AE1163:AE1168" si="625">IF(AC1163=AD1163,1,0)</f>
        <v>0</v>
      </c>
      <c r="AF1163" s="47">
        <f>O1163/BH1163*AN1163</f>
        <v>1.6959414637428852E-2</v>
      </c>
      <c r="AG1163" s="47" cm="1">
        <f t="array" ref="AG1163">_xlfn.IFS(
AND(L1163="marginal_effect",M1163="level"),O1163*AN1163/BH1163,
AND(L1163="marginal_effect",M1163="sd (Y)"),O1163*BI1163*AN1163/BH1163,
AND(L1163="marginal_effect",M1163="sd (X)"),O1163/AQ1163*AN1163/BH1163,
AND(L1163="semi_elasticity",M1163="level"),O1163*AN1163,
AND(L1163="semi_elasticity",M1163="sd (Y)"),O1163*AN1163*BI1163,
AND(L1163="semi_elasticity",M1163="sd (X)"),O1163*AN1163/AQ1163,
AND(L1163="level-log",M1163="level"),O1163/BH1163,
AND(L1163="level-log",M1163="sd (X)"),O1163/BH1163/AQ1163,
AND(L1163="level-log",M1163="sd (Y)"),O1163/BH1163*BI1163,
AND(L1163="elasticity",M1163="level"),O1163,
AND(L1163="elasticity",M1163="sd (X)"),O1163/AQ1163,
AND(L1163="elasticity",M1163="sd (Y)"),O1163*BI1163,
AND(L1163="marginal_effect",M1163="percent_of_mean"),O1163*AN1163/BH1163/10)</f>
        <v>1.6959414637428852E-2</v>
      </c>
      <c r="AH1163" s="47">
        <f t="shared" ref="AH1163:AH1168" si="626">IF(AF1163=AG1163,1,0)</f>
        <v>1</v>
      </c>
      <c r="AI1163" s="47">
        <f>-AC1163</f>
        <v>-0.10890613138686132</v>
      </c>
      <c r="AJ1163" s="47">
        <v>0</v>
      </c>
      <c r="AK1163" s="47">
        <f t="shared" ref="AK1163:AK1168" si="627">IF(P1163=(AC1163/AF1163),1,0)</f>
        <v>0</v>
      </c>
      <c r="AL1163" s="47" t="s">
        <v>82</v>
      </c>
      <c r="AM1163" s="47" t="s">
        <v>1333</v>
      </c>
      <c r="AN1163" s="47">
        <v>11.566000000000001</v>
      </c>
      <c r="AO1163" s="47">
        <v>0</v>
      </c>
      <c r="AP1163" s="47">
        <f>AN1163</f>
        <v>11.566000000000001</v>
      </c>
      <c r="AQ1163" s="47">
        <v>5.6040000000000001</v>
      </c>
      <c r="AR1163" s="47" t="s">
        <v>312</v>
      </c>
      <c r="AS1163" s="47" t="s">
        <v>312</v>
      </c>
      <c r="AT1163" s="47" t="s">
        <v>83</v>
      </c>
      <c r="AU1163" s="47" t="s">
        <v>109</v>
      </c>
      <c r="AV1163" s="47" t="s">
        <v>133</v>
      </c>
      <c r="AW1163" s="47" t="s">
        <v>85</v>
      </c>
      <c r="AX1163" s="47" t="s">
        <v>86</v>
      </c>
      <c r="AY1163" s="47">
        <v>0</v>
      </c>
      <c r="AZ1163" s="47">
        <v>6</v>
      </c>
      <c r="BA1163" s="47" t="s">
        <v>111</v>
      </c>
      <c r="BB1163" s="47" t="s">
        <v>134</v>
      </c>
      <c r="BC1163" s="47" t="s">
        <v>113</v>
      </c>
      <c r="BD1163" s="47" t="s">
        <v>114</v>
      </c>
      <c r="BE1163" s="47" t="s">
        <v>2362</v>
      </c>
      <c r="BF1163" s="47">
        <v>-13.7</v>
      </c>
      <c r="BG1163" s="47">
        <v>0</v>
      </c>
      <c r="BH1163" s="47">
        <v>29.521999999999998</v>
      </c>
      <c r="BI1163" s="47" t="s">
        <v>312</v>
      </c>
      <c r="BJ1163" s="47" t="s">
        <v>312</v>
      </c>
      <c r="BK1163" s="47" t="s">
        <v>91</v>
      </c>
      <c r="BL1163" s="47" t="s">
        <v>1065</v>
      </c>
      <c r="BM1163" s="47" t="s">
        <v>1411</v>
      </c>
      <c r="BN1163" s="47" t="s">
        <v>428</v>
      </c>
      <c r="BO1163" s="47" t="s">
        <v>2363</v>
      </c>
      <c r="BP1163" s="47" t="s">
        <v>2364</v>
      </c>
      <c r="BQ1163" s="47" t="s">
        <v>92</v>
      </c>
      <c r="BR1163" s="47" t="s">
        <v>93</v>
      </c>
      <c r="BS1163" s="47">
        <v>35.667999999999999</v>
      </c>
      <c r="BT1163" s="47">
        <f>1-0.489</f>
        <v>0.51100000000000001</v>
      </c>
      <c r="BU1163" s="47">
        <v>1999</v>
      </c>
      <c r="BV1163" s="47">
        <v>2018</v>
      </c>
      <c r="BW1163" s="47" t="s">
        <v>2365</v>
      </c>
      <c r="BX1163" s="47" t="s">
        <v>95</v>
      </c>
      <c r="BY1163" s="47" t="s">
        <v>96</v>
      </c>
      <c r="BZ1163" s="47">
        <v>0</v>
      </c>
      <c r="CA1163" s="47">
        <v>0</v>
      </c>
      <c r="CB1163" s="47" t="s">
        <v>97</v>
      </c>
      <c r="CC1163" s="47" t="s">
        <v>1375</v>
      </c>
      <c r="CD1163" s="47">
        <v>0</v>
      </c>
      <c r="CE1163" s="47" t="s">
        <v>97</v>
      </c>
      <c r="CF1163" s="47">
        <v>0</v>
      </c>
      <c r="CG1163" s="47" t="s">
        <v>97</v>
      </c>
      <c r="CH1163" s="47">
        <v>0</v>
      </c>
      <c r="CI1163" s="47" t="s">
        <v>2089</v>
      </c>
      <c r="CJ1163" s="47" t="s">
        <v>98</v>
      </c>
      <c r="CK1163" s="47">
        <v>10</v>
      </c>
      <c r="CL1163" s="47">
        <v>0</v>
      </c>
      <c r="CM1163" s="47">
        <v>0</v>
      </c>
      <c r="CN1163" s="47" t="s">
        <v>99</v>
      </c>
      <c r="CO1163" s="47" t="s">
        <v>97</v>
      </c>
      <c r="CP1163" s="47" t="s">
        <v>717</v>
      </c>
      <c r="CQ1163" s="47" t="s">
        <v>126</v>
      </c>
      <c r="CR1163" s="48">
        <v>46267</v>
      </c>
      <c r="CT1163" s="47" t="s">
        <v>2366</v>
      </c>
    </row>
    <row r="1164" spans="1:98" s="47" customFormat="1" x14ac:dyDescent="0.35">
      <c r="A1164" s="46" t="s">
        <v>2353</v>
      </c>
      <c r="B1164" s="46" t="s">
        <v>2358</v>
      </c>
      <c r="C1164" s="47" t="s">
        <v>2355</v>
      </c>
      <c r="D1164" s="47">
        <v>2025</v>
      </c>
      <c r="E1164" s="66" t="s">
        <v>2356</v>
      </c>
      <c r="F1164" s="46" t="s">
        <v>2357</v>
      </c>
      <c r="G1164" s="47" t="s">
        <v>78</v>
      </c>
      <c r="H1164" s="47">
        <v>1</v>
      </c>
      <c r="I1164" s="47" t="s">
        <v>390</v>
      </c>
      <c r="J1164" s="47" t="s">
        <v>2210</v>
      </c>
      <c r="K1164" s="47">
        <v>6</v>
      </c>
      <c r="L1164" s="47" t="s">
        <v>129</v>
      </c>
      <c r="M1164" s="47" t="s">
        <v>380</v>
      </c>
      <c r="N1164" s="47">
        <v>-0.14599999999999999</v>
      </c>
      <c r="O1164" s="47">
        <f t="shared" ref="O1164:O1172" si="628">N1164/P1164</f>
        <v>4.932432432432432E-2</v>
      </c>
      <c r="P1164" s="47">
        <v>-2.96</v>
      </c>
      <c r="Q1164" s="47" t="s">
        <v>312</v>
      </c>
      <c r="R1164" s="47">
        <f t="shared" si="620"/>
        <v>-0.24267567567567566</v>
      </c>
      <c r="S1164" s="47">
        <f t="shared" si="621"/>
        <v>-4.932432432432432E-2</v>
      </c>
      <c r="T1164" s="47">
        <v>1</v>
      </c>
      <c r="U1164" s="47">
        <v>11052</v>
      </c>
      <c r="V1164" s="47">
        <v>24</v>
      </c>
      <c r="W1164" s="47">
        <v>1</v>
      </c>
      <c r="X1164" s="47">
        <f t="shared" ref="X1164:X1168" si="629">U1164-V1164</f>
        <v>11028</v>
      </c>
      <c r="Y1164" s="47">
        <f t="shared" si="622"/>
        <v>-2.8175451244797586E-2</v>
      </c>
      <c r="Z1164" s="47">
        <f t="shared" si="623"/>
        <v>9.5187335286478335E-3</v>
      </c>
      <c r="AA1164" s="47">
        <f t="shared" si="624"/>
        <v>-2.8175451244797586E-2</v>
      </c>
      <c r="AB1164" s="47" t="s">
        <v>81</v>
      </c>
      <c r="AC1164" s="47">
        <f t="shared" ref="AC1164:AC1168" si="630">N1164/BF1164*AN1164</f>
        <v>0.12317284671532847</v>
      </c>
      <c r="AD1164" s="47" cm="1">
        <f t="array" ref="AD1164">_xlfn.IFS(
AND(L1164="marginal_effect",M1164="level"),N1164*AN1164/BF1164,
AND(L1164="marginal_effect",M1164="sd (Y)"),N1164*BI1164*AN1164/BF1164,
AND(L1164="marginal_effect",M1164="sd (X)"),N1164/AQ1164*AN1164/BF1164,
AND(L1164="semi_elasticity",M1164="level"),N1164*AN1164,
AND(L1164="semi_elasticity",M1164="sd (Y)"),N1164*AN1164*BI1164,
AND(L1164="semi_elasticity",M1164="sd (X)"),N1164*AN1164/AQ1164,
AND(L1164="level-log",M1164="level"),N1164/BF1164,
AND(L1164="level-log",M1164="sd (X)"),N1164/BF1164/AQ1164,
AND(L1164="level-log",M1164="sd (Y)"),N1164/BF1164*BI1164,
AND(L1164="elasticity",M1164="level"),N1164,
AND(L1164="elasticity",M1164="sd (X)"),N1164/AQ1164,
AND(L1164="elasticity",M1164="sd (Y)"),N1164*BI1164,
AND(L1164="marginal_effect",M1164="percent_of_mean"),N1164*AN1164/BF1164/10)</f>
        <v>0.12317284671532847</v>
      </c>
      <c r="AE1164" s="47">
        <f t="shared" si="625"/>
        <v>1</v>
      </c>
      <c r="AF1164" s="47">
        <f t="shared" ref="AF1164:AF1168" si="631">O1164/BF1164*AN1164</f>
        <v>-4.1612448214637998E-2</v>
      </c>
      <c r="AG1164" s="47" cm="1">
        <f t="array" ref="AG1164">_xlfn.IFS(
AND(L1164="marginal_effect",M1164="level"),O1164*AN1164/BF1164,
AND(L1164="marginal_effect",M1164="sd (Y)"),O1164*BI1164*AN1164/BF1164,
AND(L1164="marginal_effect",M1164="sd (X)"),O1164/AQ1164*AN1164/BF1164,
AND(L1164="semi_elasticity",M1164="level"),O1164*AN1164,
AND(L1164="semi_elasticity",M1164="sd (Y)"),O1164*AN1164*BI1164,
AND(L1164="semi_elasticity",M1164="sd (X)"),O1164*AN1164/AQ1164,
AND(L1164="level-log",M1164="level"),O1164/BF1164,
AND(L1164="level-log",M1164="sd (X)"),O1164/BF1164/AQ1164,
AND(L1164="level-log",M1164="sd (Y)"),O1164/BF1164*BI1164,
AND(L1164="elasticity",M1164="level"),O1164,
AND(L1164="elasticity",M1164="sd (X)"),O1164/AQ1164,
AND(L1164="elasticity",M1164="sd (Y)"),O1164*BI1164,
AND(L1164="marginal_effect",M1164="percent_of_mean"),O1164*AN1164/BF1164/10)</f>
        <v>-4.1612448214637998E-2</v>
      </c>
      <c r="AH1164" s="47">
        <f t="shared" si="626"/>
        <v>1</v>
      </c>
      <c r="AI1164" s="47">
        <f t="shared" ref="AI1164:AI1168" si="632">-AC1164</f>
        <v>-0.12317284671532847</v>
      </c>
      <c r="AJ1164" s="47">
        <v>0</v>
      </c>
      <c r="AK1164" s="47">
        <f t="shared" si="627"/>
        <v>1</v>
      </c>
      <c r="AL1164" s="47" t="s">
        <v>82</v>
      </c>
      <c r="AM1164" s="47" t="s">
        <v>1333</v>
      </c>
      <c r="AN1164" s="47">
        <v>11.558</v>
      </c>
      <c r="AO1164" s="47">
        <v>0</v>
      </c>
      <c r="AP1164" s="47">
        <f t="shared" ref="AP1164:AP1167" si="633">AN1164</f>
        <v>11.558</v>
      </c>
      <c r="AQ1164" s="47">
        <v>4.859</v>
      </c>
      <c r="AR1164" s="47" t="s">
        <v>312</v>
      </c>
      <c r="AS1164" s="47" t="s">
        <v>312</v>
      </c>
      <c r="AT1164" s="47" t="s">
        <v>83</v>
      </c>
      <c r="AU1164" s="47" t="s">
        <v>109</v>
      </c>
      <c r="AV1164" s="47" t="s">
        <v>133</v>
      </c>
      <c r="AW1164" s="47" t="s">
        <v>85</v>
      </c>
      <c r="AX1164" s="47" t="s">
        <v>86</v>
      </c>
      <c r="AY1164" s="47">
        <v>0</v>
      </c>
      <c r="AZ1164" s="47">
        <v>12</v>
      </c>
      <c r="BA1164" s="47" t="s">
        <v>111</v>
      </c>
      <c r="BB1164" s="47" t="s">
        <v>134</v>
      </c>
      <c r="BC1164" s="47" t="s">
        <v>113</v>
      </c>
      <c r="BD1164" s="47" t="s">
        <v>114</v>
      </c>
      <c r="BE1164" s="47" t="s">
        <v>2362</v>
      </c>
      <c r="BF1164" s="47">
        <v>-13.7</v>
      </c>
      <c r="BG1164" s="47">
        <v>0</v>
      </c>
      <c r="BH1164" s="47">
        <v>29.521999999999998</v>
      </c>
      <c r="BI1164" s="47" t="s">
        <v>312</v>
      </c>
      <c r="BJ1164" s="47" t="s">
        <v>312</v>
      </c>
      <c r="BK1164" s="47" t="s">
        <v>91</v>
      </c>
      <c r="BL1164" s="47" t="s">
        <v>1065</v>
      </c>
      <c r="BM1164" s="47" t="s">
        <v>1411</v>
      </c>
      <c r="BN1164" s="47" t="s">
        <v>428</v>
      </c>
      <c r="BO1164" s="47" t="s">
        <v>2363</v>
      </c>
      <c r="BP1164" s="47" t="s">
        <v>2364</v>
      </c>
      <c r="BQ1164" s="47" t="s">
        <v>92</v>
      </c>
      <c r="BR1164" s="47" t="s">
        <v>93</v>
      </c>
      <c r="BS1164" s="47">
        <v>35.667999999999999</v>
      </c>
      <c r="BT1164" s="47">
        <f t="shared" ref="BT1164:BT1172" si="634">1-0.489</f>
        <v>0.51100000000000001</v>
      </c>
      <c r="BU1164" s="47">
        <v>1999</v>
      </c>
      <c r="BV1164" s="47">
        <v>2018</v>
      </c>
      <c r="BW1164" s="47" t="s">
        <v>2365</v>
      </c>
      <c r="BX1164" s="47" t="s">
        <v>95</v>
      </c>
      <c r="BY1164" s="47" t="s">
        <v>96</v>
      </c>
      <c r="BZ1164" s="47">
        <v>0</v>
      </c>
      <c r="CA1164" s="47">
        <v>0</v>
      </c>
      <c r="CB1164" s="47" t="s">
        <v>97</v>
      </c>
      <c r="CC1164" s="47" t="s">
        <v>1375</v>
      </c>
      <c r="CD1164" s="47">
        <v>0</v>
      </c>
      <c r="CE1164" s="47" t="s">
        <v>97</v>
      </c>
      <c r="CF1164" s="47">
        <v>0</v>
      </c>
      <c r="CG1164" s="47" t="s">
        <v>97</v>
      </c>
      <c r="CH1164" s="47">
        <v>0</v>
      </c>
      <c r="CI1164" s="47" t="s">
        <v>2089</v>
      </c>
      <c r="CJ1164" s="47" t="s">
        <v>98</v>
      </c>
      <c r="CK1164" s="47">
        <v>10</v>
      </c>
      <c r="CL1164" s="47">
        <v>1</v>
      </c>
      <c r="CM1164" s="47">
        <v>1</v>
      </c>
      <c r="CN1164" s="47" t="s">
        <v>99</v>
      </c>
      <c r="CO1164" s="47" t="s">
        <v>97</v>
      </c>
      <c r="CP1164" s="47" t="s">
        <v>717</v>
      </c>
      <c r="CQ1164" s="47" t="s">
        <v>126</v>
      </c>
      <c r="CR1164" s="48">
        <v>46267</v>
      </c>
      <c r="CT1164" s="47" t="s">
        <v>2367</v>
      </c>
    </row>
    <row r="1165" spans="1:98" s="47" customFormat="1" x14ac:dyDescent="0.35">
      <c r="A1165" s="46" t="s">
        <v>2353</v>
      </c>
      <c r="B1165" s="46" t="s">
        <v>2359</v>
      </c>
      <c r="C1165" s="47" t="s">
        <v>2355</v>
      </c>
      <c r="D1165" s="47">
        <v>2025</v>
      </c>
      <c r="E1165" s="66" t="s">
        <v>2356</v>
      </c>
      <c r="F1165" s="46" t="s">
        <v>2357</v>
      </c>
      <c r="G1165" s="47" t="s">
        <v>78</v>
      </c>
      <c r="H1165" s="47">
        <v>1</v>
      </c>
      <c r="I1165" s="47" t="s">
        <v>390</v>
      </c>
      <c r="J1165" s="47" t="s">
        <v>2210</v>
      </c>
      <c r="K1165" s="47">
        <v>6</v>
      </c>
      <c r="L1165" s="47" t="s">
        <v>129</v>
      </c>
      <c r="M1165" s="47" t="s">
        <v>380</v>
      </c>
      <c r="N1165" s="47">
        <v>-0.13700000000000001</v>
      </c>
      <c r="O1165" s="47">
        <f t="shared" si="628"/>
        <v>7.5690607734806639E-2</v>
      </c>
      <c r="P1165" s="47">
        <v>-1.81</v>
      </c>
      <c r="Q1165" s="47" t="s">
        <v>312</v>
      </c>
      <c r="R1165" s="47">
        <f t="shared" si="620"/>
        <v>-0.28535359116022102</v>
      </c>
      <c r="S1165" s="47">
        <f t="shared" si="621"/>
        <v>1.1353591160220999E-2</v>
      </c>
      <c r="T1165" s="47">
        <v>1</v>
      </c>
      <c r="U1165" s="47">
        <v>11069</v>
      </c>
      <c r="V1165" s="47">
        <v>24</v>
      </c>
      <c r="W1165" s="47">
        <v>1</v>
      </c>
      <c r="X1165" s="47">
        <f t="shared" si="629"/>
        <v>11045</v>
      </c>
      <c r="Y1165" s="47">
        <f t="shared" si="622"/>
        <v>-1.7219927373039193E-2</v>
      </c>
      <c r="Z1165" s="47">
        <f t="shared" si="623"/>
        <v>9.5137720293034193E-3</v>
      </c>
      <c r="AA1165" s="47">
        <f t="shared" si="624"/>
        <v>-1.7219927373039193E-2</v>
      </c>
      <c r="AB1165" s="47" t="s">
        <v>81</v>
      </c>
      <c r="AC1165" s="47">
        <f t="shared" si="630"/>
        <v>0.11573000000000003</v>
      </c>
      <c r="AD1165" s="47" cm="1">
        <f t="array" ref="AD1165">_xlfn.IFS(
AND(L1165="marginal_effect",M1165="level"),N1165*AN1165/BF1165,
AND(L1165="marginal_effect",M1165="sd (Y)"),N1165*BI1165*AN1165/BF1165,
AND(L1165="marginal_effect",M1165="sd (X)"),N1165/AQ1165*AN1165/BF1165,
AND(L1165="semi_elasticity",M1165="level"),N1165*AN1165,
AND(L1165="semi_elasticity",M1165="sd (Y)"),N1165*AN1165*BI1165,
AND(L1165="semi_elasticity",M1165="sd (X)"),N1165*AN1165/AQ1165,
AND(L1165="level-log",M1165="level"),N1165/BF1165,
AND(L1165="level-log",M1165="sd (X)"),N1165/BF1165/AQ1165,
AND(L1165="level-log",M1165="sd (Y)"),N1165/BF1165*BI1165,
AND(L1165="elasticity",M1165="level"),N1165,
AND(L1165="elasticity",M1165="sd (X)"),N1165/AQ1165,
AND(L1165="elasticity",M1165="sd (Y)"),N1165*BI1165,
AND(L1165="marginal_effect",M1165="percent_of_mean"),N1165*AN1165/BF1165/10)</f>
        <v>0.11573000000000003</v>
      </c>
      <c r="AE1165" s="47">
        <f t="shared" si="625"/>
        <v>1</v>
      </c>
      <c r="AF1165" s="47">
        <f t="shared" si="631"/>
        <v>-6.393922651933702E-2</v>
      </c>
      <c r="AG1165" s="47" cm="1">
        <f t="array" ref="AG1165">_xlfn.IFS(
AND(L1165="marginal_effect",M1165="level"),O1165*AN1165/BF1165,
AND(L1165="marginal_effect",M1165="sd (Y)"),O1165*BI1165*AN1165/BF1165,
AND(L1165="marginal_effect",M1165="sd (X)"),O1165/AQ1165*AN1165/BF1165,
AND(L1165="semi_elasticity",M1165="level"),O1165*AN1165,
AND(L1165="semi_elasticity",M1165="sd (Y)"),O1165*AN1165*BI1165,
AND(L1165="semi_elasticity",M1165="sd (X)"),O1165*AN1165/AQ1165,
AND(L1165="level-log",M1165="level"),O1165/BF1165,
AND(L1165="level-log",M1165="sd (X)"),O1165/BF1165/AQ1165,
AND(L1165="level-log",M1165="sd (Y)"),O1165/BF1165*BI1165,
AND(L1165="elasticity",M1165="level"),O1165,
AND(L1165="elasticity",M1165="sd (X)"),O1165/AQ1165,
AND(L1165="elasticity",M1165="sd (Y)"),O1165*BI1165,
AND(L1165="marginal_effect",M1165="percent_of_mean"),O1165*AN1165/BF1165/10)</f>
        <v>-6.3939226519337033E-2</v>
      </c>
      <c r="AH1165" s="47">
        <f t="shared" si="626"/>
        <v>1</v>
      </c>
      <c r="AI1165" s="47">
        <f t="shared" si="632"/>
        <v>-0.11573000000000003</v>
      </c>
      <c r="AJ1165" s="47">
        <v>0</v>
      </c>
      <c r="AK1165" s="47">
        <f t="shared" si="627"/>
        <v>1</v>
      </c>
      <c r="AL1165" s="47" t="s">
        <v>82</v>
      </c>
      <c r="AM1165" s="47" t="s">
        <v>1333</v>
      </c>
      <c r="AN1165" s="47">
        <v>11.573</v>
      </c>
      <c r="AO1165" s="47">
        <v>0</v>
      </c>
      <c r="AP1165" s="47">
        <f t="shared" si="633"/>
        <v>11.573</v>
      </c>
      <c r="AQ1165" s="47">
        <v>4.5359999999999996</v>
      </c>
      <c r="AR1165" s="47" t="s">
        <v>312</v>
      </c>
      <c r="AS1165" s="47" t="s">
        <v>312</v>
      </c>
      <c r="AT1165" s="47" t="s">
        <v>83</v>
      </c>
      <c r="AU1165" s="47" t="s">
        <v>109</v>
      </c>
      <c r="AV1165" s="47" t="s">
        <v>133</v>
      </c>
      <c r="AW1165" s="47" t="s">
        <v>85</v>
      </c>
      <c r="AX1165" s="47" t="s">
        <v>86</v>
      </c>
      <c r="AY1165" s="47">
        <v>0</v>
      </c>
      <c r="AZ1165" s="47">
        <v>18</v>
      </c>
      <c r="BA1165" s="47" t="s">
        <v>111</v>
      </c>
      <c r="BB1165" s="47" t="s">
        <v>134</v>
      </c>
      <c r="BC1165" s="47" t="s">
        <v>113</v>
      </c>
      <c r="BD1165" s="47" t="s">
        <v>114</v>
      </c>
      <c r="BE1165" s="47" t="s">
        <v>2362</v>
      </c>
      <c r="BF1165" s="47">
        <v>-13.7</v>
      </c>
      <c r="BG1165" s="47">
        <v>0</v>
      </c>
      <c r="BH1165" s="47">
        <v>29.521999999999998</v>
      </c>
      <c r="BI1165" s="47" t="s">
        <v>312</v>
      </c>
      <c r="BJ1165" s="47" t="s">
        <v>312</v>
      </c>
      <c r="BK1165" s="47" t="s">
        <v>91</v>
      </c>
      <c r="BL1165" s="47" t="s">
        <v>1065</v>
      </c>
      <c r="BM1165" s="47" t="s">
        <v>1411</v>
      </c>
      <c r="BN1165" s="47" t="s">
        <v>428</v>
      </c>
      <c r="BO1165" s="47" t="s">
        <v>2363</v>
      </c>
      <c r="BP1165" s="47" t="s">
        <v>2364</v>
      </c>
      <c r="BQ1165" s="47" t="s">
        <v>92</v>
      </c>
      <c r="BR1165" s="47" t="s">
        <v>93</v>
      </c>
      <c r="BS1165" s="47">
        <v>35.667999999999999</v>
      </c>
      <c r="BT1165" s="47">
        <f t="shared" si="634"/>
        <v>0.51100000000000001</v>
      </c>
      <c r="BU1165" s="47">
        <v>1999</v>
      </c>
      <c r="BV1165" s="47">
        <v>2018</v>
      </c>
      <c r="BW1165" s="47" t="s">
        <v>2365</v>
      </c>
      <c r="BX1165" s="47" t="s">
        <v>95</v>
      </c>
      <c r="BY1165" s="47" t="s">
        <v>96</v>
      </c>
      <c r="BZ1165" s="47">
        <v>0</v>
      </c>
      <c r="CA1165" s="47">
        <v>0</v>
      </c>
      <c r="CB1165" s="47" t="s">
        <v>97</v>
      </c>
      <c r="CC1165" s="47" t="s">
        <v>1375</v>
      </c>
      <c r="CD1165" s="47">
        <v>0</v>
      </c>
      <c r="CE1165" s="47" t="s">
        <v>97</v>
      </c>
      <c r="CF1165" s="47">
        <v>0</v>
      </c>
      <c r="CG1165" s="47" t="s">
        <v>97</v>
      </c>
      <c r="CH1165" s="47">
        <v>0</v>
      </c>
      <c r="CI1165" s="47" t="s">
        <v>2089</v>
      </c>
      <c r="CJ1165" s="47" t="s">
        <v>98</v>
      </c>
      <c r="CK1165" s="47">
        <v>10</v>
      </c>
      <c r="CL1165" s="47">
        <v>0</v>
      </c>
      <c r="CM1165" s="47">
        <v>0</v>
      </c>
      <c r="CN1165" s="47" t="s">
        <v>99</v>
      </c>
      <c r="CO1165" s="47" t="s">
        <v>97</v>
      </c>
      <c r="CP1165" s="47" t="s">
        <v>717</v>
      </c>
      <c r="CQ1165" s="47" t="s">
        <v>126</v>
      </c>
      <c r="CR1165" s="48">
        <v>46267</v>
      </c>
      <c r="CT1165" s="47" t="s">
        <v>2368</v>
      </c>
    </row>
    <row r="1166" spans="1:98" s="47" customFormat="1" x14ac:dyDescent="0.35">
      <c r="A1166" s="46" t="s">
        <v>2353</v>
      </c>
      <c r="B1166" s="46" t="s">
        <v>2360</v>
      </c>
      <c r="C1166" s="47" t="s">
        <v>2355</v>
      </c>
      <c r="D1166" s="47">
        <v>2025</v>
      </c>
      <c r="E1166" s="66" t="s">
        <v>2356</v>
      </c>
      <c r="F1166" s="46" t="s">
        <v>2357</v>
      </c>
      <c r="G1166" s="47" t="s">
        <v>78</v>
      </c>
      <c r="H1166" s="47">
        <v>1</v>
      </c>
      <c r="I1166" s="47" t="s">
        <v>390</v>
      </c>
      <c r="J1166" s="47" t="s">
        <v>2210</v>
      </c>
      <c r="K1166" s="47">
        <v>6</v>
      </c>
      <c r="L1166" s="47" t="s">
        <v>129</v>
      </c>
      <c r="M1166" s="47" t="s">
        <v>380</v>
      </c>
      <c r="N1166" s="47">
        <v>-0.104</v>
      </c>
      <c r="O1166" s="47">
        <f t="shared" si="628"/>
        <v>9.1228070175438603E-2</v>
      </c>
      <c r="P1166" s="47">
        <v>-1.1399999999999999</v>
      </c>
      <c r="Q1166" s="47" t="s">
        <v>312</v>
      </c>
      <c r="R1166" s="47">
        <f t="shared" si="620"/>
        <v>-0.28280701754385967</v>
      </c>
      <c r="S1166" s="47">
        <f t="shared" si="621"/>
        <v>7.4807017543859669E-2</v>
      </c>
      <c r="T1166" s="47">
        <v>1</v>
      </c>
      <c r="U1166" s="47">
        <v>11087</v>
      </c>
      <c r="V1166" s="47">
        <v>24</v>
      </c>
      <c r="W1166" s="47">
        <v>1</v>
      </c>
      <c r="X1166" s="47">
        <f t="shared" si="629"/>
        <v>11063</v>
      </c>
      <c r="Y1166" s="47">
        <f t="shared" si="622"/>
        <v>-1.0837843807647058E-2</v>
      </c>
      <c r="Z1166" s="47">
        <f t="shared" si="623"/>
        <v>9.5068805330237351E-3</v>
      </c>
      <c r="AA1166" s="47">
        <f t="shared" si="624"/>
        <v>-1.0837843807647058E-2</v>
      </c>
      <c r="AB1166" s="47" t="s">
        <v>81</v>
      </c>
      <c r="AC1166" s="47">
        <f t="shared" si="630"/>
        <v>8.8088759124087576E-2</v>
      </c>
      <c r="AD1166" s="47" cm="1">
        <f t="array" ref="AD1166">_xlfn.IFS(
AND(L1166="marginal_effect",M1166="level"),N1166*AN1166/BF1166,
AND(L1166="marginal_effect",M1166="sd (Y)"),N1166*BI1166*AN1166/BF1166,
AND(L1166="marginal_effect",M1166="sd (X)"),N1166/AQ1166*AN1166/BF1166,
AND(L1166="semi_elasticity",M1166="level"),N1166*AN1166,
AND(L1166="semi_elasticity",M1166="sd (Y)"),N1166*AN1166*BI1166,
AND(L1166="semi_elasticity",M1166="sd (X)"),N1166*AN1166/AQ1166,
AND(L1166="level-log",M1166="level"),N1166/BF1166,
AND(L1166="level-log",M1166="sd (X)"),N1166/BF1166/AQ1166,
AND(L1166="level-log",M1166="sd (Y)"),N1166/BF1166*BI1166,
AND(L1166="elasticity",M1166="level"),N1166,
AND(L1166="elasticity",M1166="sd (X)"),N1166/AQ1166,
AND(L1166="elasticity",M1166="sd (Y)"),N1166*BI1166,
AND(L1166="marginal_effect",M1166="percent_of_mean"),N1166*AN1166/BF1166/10)</f>
        <v>8.808875912408759E-2</v>
      </c>
      <c r="AE1166" s="47">
        <f t="shared" si="625"/>
        <v>1</v>
      </c>
      <c r="AF1166" s="47">
        <f t="shared" si="631"/>
        <v>-7.7270841336918944E-2</v>
      </c>
      <c r="AG1166" s="47" cm="1">
        <f t="array" ref="AG1166">_xlfn.IFS(
AND(L1166="marginal_effect",M1166="level"),O1166*AN1166/BF1166,
AND(L1166="marginal_effect",M1166="sd (Y)"),O1166*BI1166*AN1166/BF1166,
AND(L1166="marginal_effect",M1166="sd (X)"),O1166/AQ1166*AN1166/BF1166,
AND(L1166="semi_elasticity",M1166="level"),O1166*AN1166,
AND(L1166="semi_elasticity",M1166="sd (Y)"),O1166*AN1166*BI1166,
AND(L1166="semi_elasticity",M1166="sd (X)"),O1166*AN1166/AQ1166,
AND(L1166="level-log",M1166="level"),O1166/BF1166,
AND(L1166="level-log",M1166="sd (X)"),O1166/BF1166/AQ1166,
AND(L1166="level-log",M1166="sd (Y)"),O1166/BF1166*BI1166,
AND(L1166="elasticity",M1166="level"),O1166,
AND(L1166="elasticity",M1166="sd (X)"),O1166/AQ1166,
AND(L1166="elasticity",M1166="sd (Y)"),O1166*BI1166,
AND(L1166="marginal_effect",M1166="percent_of_mean"),O1166*AN1166/BF1166/10)</f>
        <v>-7.7270841336918944E-2</v>
      </c>
      <c r="AH1166" s="47">
        <f t="shared" si="626"/>
        <v>1</v>
      </c>
      <c r="AI1166" s="47">
        <f t="shared" si="632"/>
        <v>-8.8088759124087576E-2</v>
      </c>
      <c r="AJ1166" s="47">
        <v>0</v>
      </c>
      <c r="AK1166" s="47">
        <f t="shared" si="627"/>
        <v>1</v>
      </c>
      <c r="AL1166" s="47" t="s">
        <v>82</v>
      </c>
      <c r="AM1166" s="47" t="s">
        <v>1333</v>
      </c>
      <c r="AN1166" s="47">
        <v>11.603999999999999</v>
      </c>
      <c r="AO1166" s="47">
        <v>0</v>
      </c>
      <c r="AP1166" s="47">
        <f t="shared" si="633"/>
        <v>11.603999999999999</v>
      </c>
      <c r="AQ1166" s="47">
        <v>4.3499999999999996</v>
      </c>
      <c r="AR1166" s="47" t="s">
        <v>312</v>
      </c>
      <c r="AS1166" s="47" t="s">
        <v>312</v>
      </c>
      <c r="AT1166" s="47" t="s">
        <v>83</v>
      </c>
      <c r="AU1166" s="47" t="s">
        <v>109</v>
      </c>
      <c r="AV1166" s="47" t="s">
        <v>133</v>
      </c>
      <c r="AW1166" s="47" t="s">
        <v>85</v>
      </c>
      <c r="AX1166" s="47" t="s">
        <v>86</v>
      </c>
      <c r="AY1166" s="47">
        <v>0</v>
      </c>
      <c r="AZ1166" s="47">
        <v>24</v>
      </c>
      <c r="BA1166" s="47" t="s">
        <v>111</v>
      </c>
      <c r="BB1166" s="47" t="s">
        <v>134</v>
      </c>
      <c r="BC1166" s="47" t="s">
        <v>113</v>
      </c>
      <c r="BD1166" s="47" t="s">
        <v>114</v>
      </c>
      <c r="BE1166" s="47" t="s">
        <v>2362</v>
      </c>
      <c r="BF1166" s="47">
        <v>-13.7</v>
      </c>
      <c r="BG1166" s="47">
        <v>0</v>
      </c>
      <c r="BH1166" s="47">
        <v>29.521999999999998</v>
      </c>
      <c r="BI1166" s="47" t="s">
        <v>312</v>
      </c>
      <c r="BJ1166" s="47" t="s">
        <v>312</v>
      </c>
      <c r="BK1166" s="47" t="s">
        <v>91</v>
      </c>
      <c r="BL1166" s="47" t="s">
        <v>1065</v>
      </c>
      <c r="BM1166" s="47" t="s">
        <v>1411</v>
      </c>
      <c r="BN1166" s="47" t="s">
        <v>428</v>
      </c>
      <c r="BO1166" s="47" t="s">
        <v>2363</v>
      </c>
      <c r="BP1166" s="47" t="s">
        <v>2364</v>
      </c>
      <c r="BQ1166" s="47" t="s">
        <v>92</v>
      </c>
      <c r="BR1166" s="47" t="s">
        <v>93</v>
      </c>
      <c r="BS1166" s="47">
        <v>35.667999999999999</v>
      </c>
      <c r="BT1166" s="47">
        <f t="shared" si="634"/>
        <v>0.51100000000000001</v>
      </c>
      <c r="BU1166" s="47">
        <v>1999</v>
      </c>
      <c r="BV1166" s="47">
        <v>2018</v>
      </c>
      <c r="BW1166" s="47" t="s">
        <v>2365</v>
      </c>
      <c r="BX1166" s="47" t="s">
        <v>95</v>
      </c>
      <c r="BY1166" s="47" t="s">
        <v>96</v>
      </c>
      <c r="BZ1166" s="47">
        <v>0</v>
      </c>
      <c r="CA1166" s="47">
        <v>0</v>
      </c>
      <c r="CB1166" s="47" t="s">
        <v>97</v>
      </c>
      <c r="CC1166" s="47" t="s">
        <v>1375</v>
      </c>
      <c r="CD1166" s="47">
        <v>0</v>
      </c>
      <c r="CE1166" s="47" t="s">
        <v>97</v>
      </c>
      <c r="CF1166" s="47">
        <v>0</v>
      </c>
      <c r="CG1166" s="47" t="s">
        <v>97</v>
      </c>
      <c r="CH1166" s="47">
        <v>0</v>
      </c>
      <c r="CI1166" s="47" t="s">
        <v>2089</v>
      </c>
      <c r="CJ1166" s="47" t="s">
        <v>98</v>
      </c>
      <c r="CK1166" s="47">
        <v>10</v>
      </c>
      <c r="CL1166" s="47">
        <v>0</v>
      </c>
      <c r="CM1166" s="47">
        <v>0</v>
      </c>
      <c r="CN1166" s="47" t="s">
        <v>99</v>
      </c>
      <c r="CO1166" s="47" t="s">
        <v>97</v>
      </c>
      <c r="CP1166" s="47" t="s">
        <v>717</v>
      </c>
      <c r="CQ1166" s="47" t="s">
        <v>126</v>
      </c>
      <c r="CR1166" s="48">
        <v>46267</v>
      </c>
      <c r="CT1166" s="47" t="s">
        <v>2369</v>
      </c>
    </row>
    <row r="1167" spans="1:98" s="47" customFormat="1" x14ac:dyDescent="0.35">
      <c r="A1167" s="46" t="s">
        <v>2353</v>
      </c>
      <c r="B1167" s="46" t="s">
        <v>2361</v>
      </c>
      <c r="C1167" s="47" t="s">
        <v>2355</v>
      </c>
      <c r="D1167" s="47">
        <v>2025</v>
      </c>
      <c r="E1167" s="66" t="s">
        <v>2356</v>
      </c>
      <c r="F1167" s="46" t="s">
        <v>2357</v>
      </c>
      <c r="G1167" s="47" t="s">
        <v>78</v>
      </c>
      <c r="H1167" s="47">
        <v>1</v>
      </c>
      <c r="I1167" s="47" t="s">
        <v>390</v>
      </c>
      <c r="J1167" s="47" t="s">
        <v>2210</v>
      </c>
      <c r="K1167" s="47">
        <v>6</v>
      </c>
      <c r="L1167" s="47" t="s">
        <v>129</v>
      </c>
      <c r="M1167" s="47" t="s">
        <v>380</v>
      </c>
      <c r="N1167" s="47">
        <v>-8.2000000000000003E-2</v>
      </c>
      <c r="O1167" s="47">
        <f t="shared" si="628"/>
        <v>9.5348837209302331E-2</v>
      </c>
      <c r="P1167" s="47">
        <v>-0.86</v>
      </c>
      <c r="Q1167" s="47" t="s">
        <v>312</v>
      </c>
      <c r="R1167" s="47">
        <f t="shared" si="620"/>
        <v>-0.26888372093023255</v>
      </c>
      <c r="S1167" s="47">
        <f t="shared" si="621"/>
        <v>0.10488372093023256</v>
      </c>
      <c r="T1167" s="47">
        <v>1</v>
      </c>
      <c r="U1167" s="47">
        <v>11111</v>
      </c>
      <c r="V1167" s="47">
        <v>24</v>
      </c>
      <c r="W1167" s="47">
        <v>1</v>
      </c>
      <c r="X1167" s="47">
        <f t="shared" si="629"/>
        <v>11087</v>
      </c>
      <c r="Y1167" s="47">
        <f t="shared" si="622"/>
        <v>-8.1672705503928345E-3</v>
      </c>
      <c r="Z1167" s="47">
        <f t="shared" si="623"/>
        <v>9.496826221387018E-3</v>
      </c>
      <c r="AA1167" s="47">
        <f t="shared" si="624"/>
        <v>-8.1672705503928345E-3</v>
      </c>
      <c r="AB1167" s="47" t="s">
        <v>81</v>
      </c>
      <c r="AC1167" s="47">
        <f t="shared" si="630"/>
        <v>6.9532408759124101E-2</v>
      </c>
      <c r="AD1167" s="47" cm="1">
        <f t="array" ref="AD1167">_xlfn.IFS(
AND(L1167="marginal_effect",M1167="level"),N1167*AN1167/BF1167,
AND(L1167="marginal_effect",M1167="sd (Y)"),N1167*BI1167*AN1167/BF1167,
AND(L1167="marginal_effect",M1167="sd (X)"),N1167/AQ1167*AN1167/BF1167,
AND(L1167="semi_elasticity",M1167="level"),N1167*AN1167,
AND(L1167="semi_elasticity",M1167="sd (Y)"),N1167*AN1167*BI1167,
AND(L1167="semi_elasticity",M1167="sd (X)"),N1167*AN1167/AQ1167,
AND(L1167="level-log",M1167="level"),N1167/BF1167,
AND(L1167="level-log",M1167="sd (X)"),N1167/BF1167/AQ1167,
AND(L1167="level-log",M1167="sd (Y)"),N1167/BF1167*BI1167,
AND(L1167="elasticity",M1167="level"),N1167,
AND(L1167="elasticity",M1167="sd (X)"),N1167/AQ1167,
AND(L1167="elasticity",M1167="sd (Y)"),N1167*BI1167,
AND(L1167="marginal_effect",M1167="percent_of_mean"),N1167*AN1167/BF1167/10)</f>
        <v>6.9532408759124101E-2</v>
      </c>
      <c r="AE1167" s="47">
        <f t="shared" si="625"/>
        <v>1</v>
      </c>
      <c r="AF1167" s="47">
        <f t="shared" si="631"/>
        <v>-8.0851638092004768E-2</v>
      </c>
      <c r="AG1167" s="47" cm="1">
        <f t="array" ref="AG1167">_xlfn.IFS(
AND(L1167="marginal_effect",M1167="level"),O1167*AN1167/BF1167,
AND(L1167="marginal_effect",M1167="sd (Y)"),O1167*BI1167*AN1167/BF1167,
AND(L1167="marginal_effect",M1167="sd (X)"),O1167/AQ1167*AN1167/BF1167,
AND(L1167="semi_elasticity",M1167="level"),O1167*AN1167,
AND(L1167="semi_elasticity",M1167="sd (Y)"),O1167*AN1167*BI1167,
AND(L1167="semi_elasticity",M1167="sd (X)"),O1167*AN1167/AQ1167,
AND(L1167="level-log",M1167="level"),O1167/BF1167,
AND(L1167="level-log",M1167="sd (X)"),O1167/BF1167/AQ1167,
AND(L1167="level-log",M1167="sd (Y)"),O1167/BF1167*BI1167,
AND(L1167="elasticity",M1167="level"),O1167,
AND(L1167="elasticity",M1167="sd (X)"),O1167/AQ1167,
AND(L1167="elasticity",M1167="sd (Y)"),O1167*BI1167,
AND(L1167="marginal_effect",M1167="percent_of_mean"),O1167*AN1167/BF1167/10)</f>
        <v>-8.0851638092004768E-2</v>
      </c>
      <c r="AH1167" s="47">
        <f t="shared" si="626"/>
        <v>1</v>
      </c>
      <c r="AI1167" s="47">
        <f t="shared" si="632"/>
        <v>-6.9532408759124101E-2</v>
      </c>
      <c r="AJ1167" s="47">
        <v>0</v>
      </c>
      <c r="AK1167" s="47">
        <f t="shared" si="627"/>
        <v>1</v>
      </c>
      <c r="AL1167" s="47" t="s">
        <v>82</v>
      </c>
      <c r="AM1167" s="47" t="s">
        <v>1333</v>
      </c>
      <c r="AN1167" s="47">
        <v>11.617000000000001</v>
      </c>
      <c r="AO1167" s="47">
        <v>0</v>
      </c>
      <c r="AP1167" s="47">
        <f t="shared" si="633"/>
        <v>11.617000000000001</v>
      </c>
      <c r="AQ1167" s="47">
        <v>4.1929999999999996</v>
      </c>
      <c r="AR1167" s="47" t="s">
        <v>312</v>
      </c>
      <c r="AS1167" s="47" t="s">
        <v>312</v>
      </c>
      <c r="AT1167" s="47" t="s">
        <v>83</v>
      </c>
      <c r="AU1167" s="47" t="s">
        <v>109</v>
      </c>
      <c r="AV1167" s="47" t="s">
        <v>133</v>
      </c>
      <c r="AW1167" s="47" t="s">
        <v>85</v>
      </c>
      <c r="AX1167" s="47" t="s">
        <v>86</v>
      </c>
      <c r="AY1167" s="47">
        <v>0</v>
      </c>
      <c r="AZ1167" s="47">
        <v>30</v>
      </c>
      <c r="BA1167" s="47" t="s">
        <v>111</v>
      </c>
      <c r="BB1167" s="47" t="s">
        <v>134</v>
      </c>
      <c r="BC1167" s="47" t="s">
        <v>113</v>
      </c>
      <c r="BD1167" s="47" t="s">
        <v>114</v>
      </c>
      <c r="BE1167" s="47" t="s">
        <v>2362</v>
      </c>
      <c r="BF1167" s="47">
        <v>-13.7</v>
      </c>
      <c r="BG1167" s="47">
        <v>0</v>
      </c>
      <c r="BH1167" s="47">
        <v>29.521999999999998</v>
      </c>
      <c r="BI1167" s="47" t="s">
        <v>312</v>
      </c>
      <c r="BJ1167" s="47" t="s">
        <v>312</v>
      </c>
      <c r="BK1167" s="47" t="s">
        <v>91</v>
      </c>
      <c r="BL1167" s="47" t="s">
        <v>1065</v>
      </c>
      <c r="BM1167" s="47" t="s">
        <v>1411</v>
      </c>
      <c r="BN1167" s="47" t="s">
        <v>428</v>
      </c>
      <c r="BO1167" s="47" t="s">
        <v>2363</v>
      </c>
      <c r="BP1167" s="47" t="s">
        <v>2364</v>
      </c>
      <c r="BQ1167" s="47" t="s">
        <v>92</v>
      </c>
      <c r="BR1167" s="47" t="s">
        <v>93</v>
      </c>
      <c r="BS1167" s="47">
        <v>35.667999999999999</v>
      </c>
      <c r="BT1167" s="47">
        <f t="shared" si="634"/>
        <v>0.51100000000000001</v>
      </c>
      <c r="BU1167" s="47">
        <v>1999</v>
      </c>
      <c r="BV1167" s="47">
        <v>2018</v>
      </c>
      <c r="BW1167" s="47" t="s">
        <v>2365</v>
      </c>
      <c r="BX1167" s="47" t="s">
        <v>95</v>
      </c>
      <c r="BY1167" s="47" t="s">
        <v>96</v>
      </c>
      <c r="BZ1167" s="47">
        <v>0</v>
      </c>
      <c r="CA1167" s="47">
        <v>0</v>
      </c>
      <c r="CB1167" s="47" t="s">
        <v>97</v>
      </c>
      <c r="CC1167" s="47" t="s">
        <v>1375</v>
      </c>
      <c r="CD1167" s="47">
        <v>0</v>
      </c>
      <c r="CE1167" s="47" t="s">
        <v>97</v>
      </c>
      <c r="CF1167" s="47">
        <v>0</v>
      </c>
      <c r="CG1167" s="47" t="s">
        <v>97</v>
      </c>
      <c r="CH1167" s="47">
        <v>0</v>
      </c>
      <c r="CI1167" s="47" t="s">
        <v>2089</v>
      </c>
      <c r="CJ1167" s="47" t="s">
        <v>98</v>
      </c>
      <c r="CK1167" s="47">
        <v>10</v>
      </c>
      <c r="CL1167" s="47">
        <v>0</v>
      </c>
      <c r="CM1167" s="47">
        <v>0</v>
      </c>
      <c r="CN1167" s="47" t="s">
        <v>99</v>
      </c>
      <c r="CO1167" s="47" t="s">
        <v>97</v>
      </c>
      <c r="CP1167" s="47" t="s">
        <v>717</v>
      </c>
      <c r="CQ1167" s="47" t="s">
        <v>126</v>
      </c>
      <c r="CR1167" s="48">
        <v>46267</v>
      </c>
      <c r="CT1167" s="47" t="s">
        <v>2370</v>
      </c>
    </row>
    <row r="1168" spans="1:98" s="47" customFormat="1" x14ac:dyDescent="0.35">
      <c r="A1168" s="46" t="s">
        <v>2353</v>
      </c>
      <c r="B1168" s="46" t="s">
        <v>2358</v>
      </c>
      <c r="C1168" s="47" t="s">
        <v>2355</v>
      </c>
      <c r="D1168" s="47">
        <v>2025</v>
      </c>
      <c r="E1168" s="66" t="s">
        <v>2356</v>
      </c>
      <c r="F1168" s="46" t="s">
        <v>2357</v>
      </c>
      <c r="G1168" s="47" t="s">
        <v>78</v>
      </c>
      <c r="H1168" s="47">
        <v>1</v>
      </c>
      <c r="I1168" s="47" t="s">
        <v>390</v>
      </c>
      <c r="J1168" s="47" t="s">
        <v>2210</v>
      </c>
      <c r="K1168" s="47">
        <v>6</v>
      </c>
      <c r="L1168" s="47" t="s">
        <v>129</v>
      </c>
      <c r="M1168" s="47" t="s">
        <v>380</v>
      </c>
      <c r="N1168" s="47">
        <v>-0.14199999999999999</v>
      </c>
      <c r="O1168" s="47">
        <f t="shared" si="628"/>
        <v>4.6254071661237781E-2</v>
      </c>
      <c r="P1168" s="47">
        <v>-3.07</v>
      </c>
      <c r="Q1168" s="47" t="s">
        <v>312</v>
      </c>
      <c r="R1168" s="47">
        <f t="shared" si="620"/>
        <v>-0.23265798045602604</v>
      </c>
      <c r="S1168" s="47">
        <f t="shared" si="621"/>
        <v>-5.1342019543973938E-2</v>
      </c>
      <c r="T1168" s="47">
        <v>1</v>
      </c>
      <c r="U1168" s="47">
        <v>11052</v>
      </c>
      <c r="V1168" s="47">
        <v>1</v>
      </c>
      <c r="W1168" s="47">
        <v>1</v>
      </c>
      <c r="X1168" s="47">
        <f t="shared" si="629"/>
        <v>11051</v>
      </c>
      <c r="Y1168" s="47">
        <f t="shared" si="622"/>
        <v>-2.9191235045839987E-2</v>
      </c>
      <c r="Z1168" s="47">
        <f t="shared" si="623"/>
        <v>9.5085456175374554E-3</v>
      </c>
      <c r="AA1168" s="47">
        <f t="shared" si="624"/>
        <v>-2.9191235045839987E-2</v>
      </c>
      <c r="AB1168" s="47" t="s">
        <v>81</v>
      </c>
      <c r="AC1168" s="47">
        <f t="shared" si="630"/>
        <v>0.11979824817518249</v>
      </c>
      <c r="AD1168" s="47" cm="1">
        <f t="array" ref="AD1168">_xlfn.IFS(
AND(L1168="marginal_effect",M1168="level"),N1168*AN1168/BF1168,
AND(L1168="marginal_effect",M1168="sd (Y)"),N1168*BI1168*AN1168/BF1168,
AND(L1168="marginal_effect",M1168="sd (X)"),N1168/AQ1168*AN1168/BF1168,
AND(L1168="semi_elasticity",M1168="level"),N1168*AN1168,
AND(L1168="semi_elasticity",M1168="sd (Y)"),N1168*AN1168*BI1168,
AND(L1168="semi_elasticity",M1168="sd (X)"),N1168*AN1168/AQ1168,
AND(L1168="level-log",M1168="level"),N1168/BF1168,
AND(L1168="level-log",M1168="sd (X)"),N1168/BF1168/AQ1168,
AND(L1168="level-log",M1168="sd (Y)"),N1168/BF1168*BI1168,
AND(L1168="elasticity",M1168="level"),N1168,
AND(L1168="elasticity",M1168="sd (X)"),N1168/AQ1168,
AND(L1168="elasticity",M1168="sd (Y)"),N1168*BI1168,
AND(L1168="marginal_effect",M1168="percent_of_mean"),N1168*AN1168/BF1168/10)</f>
        <v>0.11979824817518248</v>
      </c>
      <c r="AE1168" s="47">
        <f t="shared" si="625"/>
        <v>1</v>
      </c>
      <c r="AF1168" s="47">
        <f t="shared" si="631"/>
        <v>-3.9022230675955207E-2</v>
      </c>
      <c r="AG1168" s="47" cm="1">
        <f t="array" ref="AG1168">_xlfn.IFS(
AND(L1168="marginal_effect",M1168="level"),O1168*AN1168/BF1168,
AND(L1168="marginal_effect",M1168="sd (Y)"),O1168*BI1168*AN1168/BF1168,
AND(L1168="marginal_effect",M1168="sd (X)"),O1168/AQ1168*AN1168/BF1168,
AND(L1168="semi_elasticity",M1168="level"),O1168*AN1168,
AND(L1168="semi_elasticity",M1168="sd (Y)"),O1168*AN1168*BI1168,
AND(L1168="semi_elasticity",M1168="sd (X)"),O1168*AN1168/AQ1168,
AND(L1168="level-log",M1168="level"),O1168/BF1168,
AND(L1168="level-log",M1168="sd (X)"),O1168/BF1168/AQ1168,
AND(L1168="level-log",M1168="sd (Y)"),O1168/BF1168*BI1168,
AND(L1168="elasticity",M1168="level"),O1168,
AND(L1168="elasticity",M1168="sd (X)"),O1168/AQ1168,
AND(L1168="elasticity",M1168="sd (Y)"),O1168*BI1168,
AND(L1168="marginal_effect",M1168="percent_of_mean"),O1168*AN1168/BF1168/10)</f>
        <v>-3.90222306759552E-2</v>
      </c>
      <c r="AH1168" s="47">
        <f t="shared" si="626"/>
        <v>1</v>
      </c>
      <c r="AI1168" s="47">
        <f t="shared" si="632"/>
        <v>-0.11979824817518249</v>
      </c>
      <c r="AJ1168" s="47">
        <v>0</v>
      </c>
      <c r="AK1168" s="47">
        <f t="shared" si="627"/>
        <v>1</v>
      </c>
      <c r="AL1168" s="47" t="s">
        <v>82</v>
      </c>
      <c r="AM1168" s="47" t="s">
        <v>1333</v>
      </c>
      <c r="AN1168" s="47">
        <v>11.558</v>
      </c>
      <c r="AO1168" s="47">
        <v>0</v>
      </c>
      <c r="AP1168" s="47">
        <f t="shared" ref="AP1168:AP1172" si="635">AN1168</f>
        <v>11.558</v>
      </c>
      <c r="AQ1168" s="47">
        <v>4.859</v>
      </c>
      <c r="AR1168" s="47" t="s">
        <v>312</v>
      </c>
      <c r="AS1168" s="47" t="s">
        <v>312</v>
      </c>
      <c r="AT1168" s="47" t="s">
        <v>83</v>
      </c>
      <c r="AU1168" s="47" t="s">
        <v>109</v>
      </c>
      <c r="AV1168" s="47" t="s">
        <v>133</v>
      </c>
      <c r="AW1168" s="47" t="s">
        <v>85</v>
      </c>
      <c r="AX1168" s="47" t="s">
        <v>86</v>
      </c>
      <c r="AY1168" s="47">
        <v>0</v>
      </c>
      <c r="AZ1168" s="47">
        <v>12</v>
      </c>
      <c r="BA1168" s="47" t="s">
        <v>111</v>
      </c>
      <c r="BB1168" s="47" t="s">
        <v>134</v>
      </c>
      <c r="BC1168" s="47" t="s">
        <v>113</v>
      </c>
      <c r="BD1168" s="47" t="s">
        <v>114</v>
      </c>
      <c r="BE1168" s="47" t="s">
        <v>2362</v>
      </c>
      <c r="BF1168" s="47">
        <v>-13.7</v>
      </c>
      <c r="BG1168" s="47">
        <v>0</v>
      </c>
      <c r="BH1168" s="47">
        <v>29.521999999999998</v>
      </c>
      <c r="BI1168" s="47" t="s">
        <v>312</v>
      </c>
      <c r="BJ1168" s="47" t="s">
        <v>312</v>
      </c>
      <c r="BK1168" s="47" t="s">
        <v>91</v>
      </c>
      <c r="BL1168" s="47" t="s">
        <v>1065</v>
      </c>
      <c r="BM1168" s="47" t="s">
        <v>1411</v>
      </c>
      <c r="BN1168" s="47" t="s">
        <v>428</v>
      </c>
      <c r="BO1168" s="47" t="s">
        <v>2363</v>
      </c>
      <c r="BP1168" s="47" t="s">
        <v>2364</v>
      </c>
      <c r="BQ1168" s="47" t="s">
        <v>92</v>
      </c>
      <c r="BR1168" s="47" t="s">
        <v>93</v>
      </c>
      <c r="BS1168" s="47">
        <v>35.667999999999999</v>
      </c>
      <c r="BT1168" s="47">
        <f t="shared" si="634"/>
        <v>0.51100000000000001</v>
      </c>
      <c r="BU1168" s="47">
        <v>1999</v>
      </c>
      <c r="BV1168" s="47">
        <v>2018</v>
      </c>
      <c r="BW1168" s="47" t="s">
        <v>2365</v>
      </c>
      <c r="BX1168" s="47" t="s">
        <v>95</v>
      </c>
      <c r="BY1168" s="47" t="s">
        <v>96</v>
      </c>
      <c r="BZ1168" s="47">
        <v>0</v>
      </c>
      <c r="CA1168" s="47">
        <v>0</v>
      </c>
      <c r="CB1168" s="47" t="s">
        <v>97</v>
      </c>
      <c r="CC1168" s="47" t="s">
        <v>1375</v>
      </c>
      <c r="CD1168" s="47">
        <v>0</v>
      </c>
      <c r="CE1168" s="47" t="s">
        <v>97</v>
      </c>
      <c r="CF1168" s="47">
        <v>0</v>
      </c>
      <c r="CG1168" s="47" t="s">
        <v>97</v>
      </c>
      <c r="CH1168" s="47">
        <v>0</v>
      </c>
      <c r="CI1168" s="47" t="s">
        <v>2089</v>
      </c>
      <c r="CJ1168" s="47" t="s">
        <v>98</v>
      </c>
      <c r="CK1168" s="47">
        <v>10</v>
      </c>
      <c r="CL1168" s="47">
        <v>0</v>
      </c>
      <c r="CM1168" s="47">
        <v>0</v>
      </c>
      <c r="CN1168" s="47" t="s">
        <v>99</v>
      </c>
      <c r="CO1168" s="47" t="s">
        <v>97</v>
      </c>
      <c r="CP1168" s="47" t="s">
        <v>717</v>
      </c>
      <c r="CQ1168" s="47" t="s">
        <v>126</v>
      </c>
      <c r="CR1168" s="48">
        <v>46267</v>
      </c>
      <c r="CT1168" s="47" t="s">
        <v>2371</v>
      </c>
    </row>
    <row r="1169" spans="1:98" s="47" customFormat="1" x14ac:dyDescent="0.35">
      <c r="A1169" s="46" t="s">
        <v>2353</v>
      </c>
      <c r="B1169" s="46" t="s">
        <v>2372</v>
      </c>
      <c r="C1169" s="47" t="s">
        <v>2355</v>
      </c>
      <c r="D1169" s="47">
        <v>2025</v>
      </c>
      <c r="E1169" s="66" t="s">
        <v>2356</v>
      </c>
      <c r="F1169" s="46" t="s">
        <v>2357</v>
      </c>
      <c r="G1169" s="47" t="s">
        <v>78</v>
      </c>
      <c r="H1169" s="47">
        <v>1</v>
      </c>
      <c r="I1169" s="47" t="s">
        <v>390</v>
      </c>
      <c r="J1169" s="47" t="s">
        <v>2210</v>
      </c>
      <c r="K1169" s="47">
        <v>6</v>
      </c>
      <c r="L1169" s="47" t="s">
        <v>129</v>
      </c>
      <c r="M1169" s="47" t="s">
        <v>380</v>
      </c>
      <c r="N1169" s="47">
        <v>-0.40899999999999997</v>
      </c>
      <c r="O1169" s="47">
        <f t="shared" si="628"/>
        <v>0.14555160142348753</v>
      </c>
      <c r="P1169" s="47">
        <v>-2.81</v>
      </c>
      <c r="Q1169" s="47" t="s">
        <v>312</v>
      </c>
      <c r="R1169" s="47">
        <f t="shared" ref="R1169:R1172" si="636">N1169-1.96*O1169</f>
        <v>-0.6942811387900355</v>
      </c>
      <c r="S1169" s="47">
        <f t="shared" ref="S1169:S1172" si="637">N1169+1.96*O1169</f>
        <v>-0.12371886120996445</v>
      </c>
      <c r="T1169" s="47">
        <v>1</v>
      </c>
      <c r="U1169" s="47">
        <v>11029</v>
      </c>
      <c r="V1169" s="47">
        <v>24</v>
      </c>
      <c r="W1169" s="47">
        <v>1</v>
      </c>
      <c r="X1169" s="47">
        <f t="shared" ref="X1169:X1172" si="638">U1169-V1169</f>
        <v>11005</v>
      </c>
      <c r="Y1169" s="47">
        <f t="shared" ref="Y1169:Y1172" si="639">P1169/(P1169^2 + X1169)^(1/2)</f>
        <v>-2.6776607273472895E-2</v>
      </c>
      <c r="Z1169" s="47">
        <f t="shared" ref="Z1169:Z1172" si="640">((1-Y1169^2)/X1169)^(1/2)</f>
        <v>9.5290417343319896E-3</v>
      </c>
      <c r="AA1169" s="47">
        <f t="shared" ref="AA1169:AA1172" si="641">Y1169</f>
        <v>-2.6776607273472895E-2</v>
      </c>
      <c r="AB1169" s="47" t="s">
        <v>81</v>
      </c>
      <c r="AC1169" s="47">
        <f t="shared" ref="AC1169:AC1172" si="642">N1169/BF1169*AN1169</f>
        <v>0.345052700729927</v>
      </c>
      <c r="AD1169" s="47" cm="1">
        <f t="array" ref="AD1169">_xlfn.IFS(
AND(L1169="marginal_effect",M1169="level"),N1169*AN1169/BF1169,
AND(L1169="marginal_effect",M1169="sd (Y)"),N1169*BI1169*AN1169/BF1169,
AND(L1169="marginal_effect",M1169="sd (X)"),N1169/AQ1169*AN1169/BF1169,
AND(L1169="semi_elasticity",M1169="level"),N1169*AN1169,
AND(L1169="semi_elasticity",M1169="sd (Y)"),N1169*AN1169*BI1169,
AND(L1169="semi_elasticity",M1169="sd (X)"),N1169*AN1169/AQ1169,
AND(L1169="level-log",M1169="level"),N1169/BF1169,
AND(L1169="level-log",M1169="sd (X)"),N1169/BF1169/AQ1169,
AND(L1169="level-log",M1169="sd (Y)"),N1169/BF1169*BI1169,
AND(L1169="elasticity",M1169="level"),N1169,
AND(L1169="elasticity",M1169="sd (X)"),N1169/AQ1169,
AND(L1169="elasticity",M1169="sd (Y)"),N1169*BI1169,
AND(L1169="marginal_effect",M1169="percent_of_mean"),N1169*AN1169/BF1169/10)</f>
        <v>0.345052700729927</v>
      </c>
      <c r="AE1169" s="47">
        <f t="shared" ref="AE1169:AE1172" si="643">IF(AC1169=AD1169,1,0)</f>
        <v>1</v>
      </c>
      <c r="AF1169" s="47">
        <f t="shared" ref="AF1169:AF1172" si="644">O1169/BF1169*AN1169</f>
        <v>-0.12279455541990283</v>
      </c>
      <c r="AG1169" s="47" cm="1">
        <f t="array" ref="AG1169">_xlfn.IFS(
AND(L1169="marginal_effect",M1169="level"),O1169*AN1169/BF1169,
AND(L1169="marginal_effect",M1169="sd (Y)"),O1169*BI1169*AN1169/BF1169,
AND(L1169="marginal_effect",M1169="sd (X)"),O1169/AQ1169*AN1169/BF1169,
AND(L1169="semi_elasticity",M1169="level"),O1169*AN1169,
AND(L1169="semi_elasticity",M1169="sd (Y)"),O1169*AN1169*BI1169,
AND(L1169="semi_elasticity",M1169="sd (X)"),O1169*AN1169/AQ1169,
AND(L1169="level-log",M1169="level"),O1169/BF1169,
AND(L1169="level-log",M1169="sd (X)"),O1169/BF1169/AQ1169,
AND(L1169="level-log",M1169="sd (Y)"),O1169/BF1169*BI1169,
AND(L1169="elasticity",M1169="level"),O1169,
AND(L1169="elasticity",M1169="sd (X)"),O1169/AQ1169,
AND(L1169="elasticity",M1169="sd (Y)"),O1169*BI1169,
AND(L1169="marginal_effect",M1169="percent_of_mean"),O1169*AN1169/BF1169/10)</f>
        <v>-0.12279455541990285</v>
      </c>
      <c r="AH1169" s="47">
        <f t="shared" ref="AH1169:AH1172" si="645">IF(AF1169=AG1169,1,0)</f>
        <v>1</v>
      </c>
      <c r="AI1169" s="47">
        <f t="shared" ref="AI1169:AI1172" si="646">-AC1169</f>
        <v>-0.345052700729927</v>
      </c>
      <c r="AJ1169" s="47">
        <v>0</v>
      </c>
      <c r="AK1169" s="47">
        <f t="shared" ref="AK1169:AK1172" si="647">IF(P1169=(AC1169/AF1169),1,0)</f>
        <v>1</v>
      </c>
      <c r="AL1169" s="47" t="s">
        <v>82</v>
      </c>
      <c r="AM1169" s="47" t="s">
        <v>1333</v>
      </c>
      <c r="AN1169" s="47">
        <v>11.558</v>
      </c>
      <c r="AO1169" s="47">
        <v>0</v>
      </c>
      <c r="AP1169" s="47">
        <f t="shared" si="635"/>
        <v>11.558</v>
      </c>
      <c r="AQ1169" s="47">
        <v>4.859</v>
      </c>
      <c r="AR1169" s="47" t="s">
        <v>312</v>
      </c>
      <c r="AS1169" s="47" t="s">
        <v>312</v>
      </c>
      <c r="AT1169" s="47" t="s">
        <v>83</v>
      </c>
      <c r="AU1169" s="47" t="s">
        <v>109</v>
      </c>
      <c r="AV1169" s="47" t="s">
        <v>133</v>
      </c>
      <c r="AW1169" s="47" t="s">
        <v>85</v>
      </c>
      <c r="AX1169" s="47" t="s">
        <v>86</v>
      </c>
      <c r="AY1169" s="47">
        <v>0</v>
      </c>
      <c r="AZ1169" s="47">
        <v>12</v>
      </c>
      <c r="BA1169" s="47" t="s">
        <v>111</v>
      </c>
      <c r="BB1169" s="47" t="s">
        <v>134</v>
      </c>
      <c r="BC1169" s="47" t="s">
        <v>113</v>
      </c>
      <c r="BD1169" s="47" t="s">
        <v>114</v>
      </c>
      <c r="BE1169" s="47" t="s">
        <v>2362</v>
      </c>
      <c r="BF1169" s="47">
        <v>-13.7</v>
      </c>
      <c r="BG1169" s="47">
        <v>0</v>
      </c>
      <c r="BH1169" s="47">
        <v>29.521999999999998</v>
      </c>
      <c r="BI1169" s="47" t="s">
        <v>312</v>
      </c>
      <c r="BJ1169" s="47" t="s">
        <v>312</v>
      </c>
      <c r="BK1169" s="47" t="s">
        <v>91</v>
      </c>
      <c r="BL1169" s="47" t="s">
        <v>1065</v>
      </c>
      <c r="BM1169" s="47" t="s">
        <v>1411</v>
      </c>
      <c r="BN1169" s="47" t="s">
        <v>428</v>
      </c>
      <c r="BO1169" s="47" t="s">
        <v>2363</v>
      </c>
      <c r="BP1169" s="47" t="s">
        <v>2364</v>
      </c>
      <c r="BQ1169" s="47" t="s">
        <v>92</v>
      </c>
      <c r="BR1169" s="47" t="s">
        <v>93</v>
      </c>
      <c r="BS1169" s="47">
        <v>35.667999999999999</v>
      </c>
      <c r="BT1169" s="47">
        <f t="shared" si="634"/>
        <v>0.51100000000000001</v>
      </c>
      <c r="BU1169" s="47">
        <v>1999</v>
      </c>
      <c r="BV1169" s="47">
        <v>2018</v>
      </c>
      <c r="BW1169" s="47" t="s">
        <v>2365</v>
      </c>
      <c r="BX1169" s="47" t="s">
        <v>95</v>
      </c>
      <c r="BY1169" s="47" t="s">
        <v>748</v>
      </c>
      <c r="BZ1169" s="47">
        <v>1</v>
      </c>
      <c r="CA1169" s="47">
        <v>1</v>
      </c>
      <c r="CB1169" s="47" t="s">
        <v>2281</v>
      </c>
      <c r="CC1169" s="47" t="s">
        <v>1375</v>
      </c>
      <c r="CD1169" s="47">
        <v>0</v>
      </c>
      <c r="CE1169" s="47" t="s">
        <v>97</v>
      </c>
      <c r="CF1169" s="47">
        <v>0</v>
      </c>
      <c r="CG1169" s="47" t="s">
        <v>97</v>
      </c>
      <c r="CH1169" s="47">
        <v>0</v>
      </c>
      <c r="CI1169" s="47" t="s">
        <v>2089</v>
      </c>
      <c r="CJ1169" s="47" t="s">
        <v>98</v>
      </c>
      <c r="CK1169" s="47">
        <v>10</v>
      </c>
      <c r="CL1169" s="47">
        <v>0</v>
      </c>
      <c r="CM1169" s="47">
        <v>0</v>
      </c>
      <c r="CN1169" s="47" t="s">
        <v>124</v>
      </c>
      <c r="CO1169" s="47" t="s">
        <v>97</v>
      </c>
      <c r="CP1169" s="47" t="s">
        <v>717</v>
      </c>
      <c r="CQ1169" s="47" t="s">
        <v>126</v>
      </c>
      <c r="CR1169" s="48">
        <v>46267</v>
      </c>
      <c r="CT1169" s="47" t="s">
        <v>2373</v>
      </c>
    </row>
    <row r="1170" spans="1:98" s="47" customFormat="1" x14ac:dyDescent="0.35">
      <c r="A1170" s="46" t="s">
        <v>2353</v>
      </c>
      <c r="B1170" s="46" t="s">
        <v>2374</v>
      </c>
      <c r="C1170" s="47" t="s">
        <v>2355</v>
      </c>
      <c r="D1170" s="47">
        <v>2025</v>
      </c>
      <c r="E1170" s="66" t="s">
        <v>2356</v>
      </c>
      <c r="F1170" s="46" t="s">
        <v>2357</v>
      </c>
      <c r="G1170" s="47" t="s">
        <v>78</v>
      </c>
      <c r="H1170" s="47">
        <v>1</v>
      </c>
      <c r="I1170" s="47" t="s">
        <v>390</v>
      </c>
      <c r="J1170" s="47" t="s">
        <v>2210</v>
      </c>
      <c r="K1170" s="47">
        <v>6</v>
      </c>
      <c r="L1170" s="47" t="s">
        <v>129</v>
      </c>
      <c r="M1170" s="47" t="s">
        <v>380</v>
      </c>
      <c r="N1170" s="47">
        <v>-0.13900000000000001</v>
      </c>
      <c r="O1170" s="47">
        <f t="shared" si="628"/>
        <v>7.020202020202021E-2</v>
      </c>
      <c r="P1170" s="47">
        <v>-1.98</v>
      </c>
      <c r="Q1170" s="47" t="s">
        <v>312</v>
      </c>
      <c r="R1170" s="47">
        <f t="shared" si="636"/>
        <v>-0.27659595959595962</v>
      </c>
      <c r="S1170" s="47">
        <f t="shared" si="637"/>
        <v>-1.4040404040404075E-3</v>
      </c>
      <c r="T1170" s="47">
        <v>1</v>
      </c>
      <c r="U1170" s="47">
        <v>6287</v>
      </c>
      <c r="V1170" s="47">
        <v>24</v>
      </c>
      <c r="W1170" s="47">
        <v>1</v>
      </c>
      <c r="X1170" s="47">
        <f t="shared" si="638"/>
        <v>6263</v>
      </c>
      <c r="Y1170" s="47">
        <f t="shared" si="639"/>
        <v>-2.5011405712874638E-2</v>
      </c>
      <c r="Z1170" s="47">
        <f t="shared" si="640"/>
        <v>1.2632023087310425E-2</v>
      </c>
      <c r="AA1170" s="47">
        <f t="shared" si="641"/>
        <v>-2.5011405712874638E-2</v>
      </c>
      <c r="AB1170" s="47" t="s">
        <v>81</v>
      </c>
      <c r="AC1170" s="47">
        <f t="shared" si="642"/>
        <v>0.117267299270073</v>
      </c>
      <c r="AD1170" s="47" cm="1">
        <f t="array" ref="AD1170">_xlfn.IFS(
AND(L1170="marginal_effect",M1170="level"),N1170*AN1170/BF1170,
AND(L1170="marginal_effect",M1170="sd (Y)"),N1170*BI1170*AN1170/BF1170,
AND(L1170="marginal_effect",M1170="sd (X)"),N1170/AQ1170*AN1170/BF1170,
AND(L1170="semi_elasticity",M1170="level"),N1170*AN1170,
AND(L1170="semi_elasticity",M1170="sd (Y)"),N1170*AN1170*BI1170,
AND(L1170="semi_elasticity",M1170="sd (X)"),N1170*AN1170/AQ1170,
AND(L1170="level-log",M1170="level"),N1170/BF1170,
AND(L1170="level-log",M1170="sd (X)"),N1170/BF1170/AQ1170,
AND(L1170="level-log",M1170="sd (Y)"),N1170/BF1170*BI1170,
AND(L1170="elasticity",M1170="level"),N1170,
AND(L1170="elasticity",M1170="sd (X)"),N1170/AQ1170,
AND(L1170="elasticity",M1170="sd (Y)"),N1170*BI1170,
AND(L1170="marginal_effect",M1170="percent_of_mean"),N1170*AN1170/BF1170/10)</f>
        <v>0.117267299270073</v>
      </c>
      <c r="AE1170" s="47">
        <f t="shared" si="643"/>
        <v>1</v>
      </c>
      <c r="AF1170" s="47">
        <f t="shared" si="644"/>
        <v>-5.9225908722259094E-2</v>
      </c>
      <c r="AG1170" s="47" cm="1">
        <f t="array" ref="AG1170">_xlfn.IFS(
AND(L1170="marginal_effect",M1170="level"),O1170*AN1170/BF1170,
AND(L1170="marginal_effect",M1170="sd (Y)"),O1170*BI1170*AN1170/BF1170,
AND(L1170="marginal_effect",M1170="sd (X)"),O1170/AQ1170*AN1170/BF1170,
AND(L1170="semi_elasticity",M1170="level"),O1170*AN1170,
AND(L1170="semi_elasticity",M1170="sd (Y)"),O1170*AN1170*BI1170,
AND(L1170="semi_elasticity",M1170="sd (X)"),O1170*AN1170/AQ1170,
AND(L1170="level-log",M1170="level"),O1170/BF1170,
AND(L1170="level-log",M1170="sd (X)"),O1170/BF1170/AQ1170,
AND(L1170="level-log",M1170="sd (Y)"),O1170/BF1170*BI1170,
AND(L1170="elasticity",M1170="level"),O1170,
AND(L1170="elasticity",M1170="sd (X)"),O1170/AQ1170,
AND(L1170="elasticity",M1170="sd (Y)"),O1170*BI1170,
AND(L1170="marginal_effect",M1170="percent_of_mean"),O1170*AN1170/BF1170/10)</f>
        <v>-5.92259087222591E-2</v>
      </c>
      <c r="AH1170" s="47">
        <f t="shared" si="645"/>
        <v>1</v>
      </c>
      <c r="AI1170" s="47">
        <f t="shared" si="646"/>
        <v>-0.117267299270073</v>
      </c>
      <c r="AJ1170" s="47">
        <v>0</v>
      </c>
      <c r="AK1170" s="47">
        <f t="shared" si="647"/>
        <v>1</v>
      </c>
      <c r="AL1170" s="47" t="s">
        <v>82</v>
      </c>
      <c r="AM1170" s="47" t="s">
        <v>1333</v>
      </c>
      <c r="AN1170" s="47">
        <v>11.558</v>
      </c>
      <c r="AO1170" s="47">
        <v>1</v>
      </c>
      <c r="AP1170" s="47">
        <f t="shared" si="635"/>
        <v>11.558</v>
      </c>
      <c r="AQ1170" s="47">
        <v>4.859</v>
      </c>
      <c r="AR1170" s="47" t="s">
        <v>312</v>
      </c>
      <c r="AS1170" s="47" t="s">
        <v>312</v>
      </c>
      <c r="AT1170" s="47" t="s">
        <v>83</v>
      </c>
      <c r="AU1170" s="47" t="s">
        <v>109</v>
      </c>
      <c r="AV1170" s="47" t="s">
        <v>133</v>
      </c>
      <c r="AW1170" s="47" t="s">
        <v>85</v>
      </c>
      <c r="AX1170" s="47" t="s">
        <v>86</v>
      </c>
      <c r="AY1170" s="47">
        <v>0</v>
      </c>
      <c r="AZ1170" s="47">
        <v>12</v>
      </c>
      <c r="BA1170" s="47" t="s">
        <v>111</v>
      </c>
      <c r="BB1170" s="47" t="s">
        <v>134</v>
      </c>
      <c r="BC1170" s="47" t="s">
        <v>113</v>
      </c>
      <c r="BD1170" s="47" t="s">
        <v>114</v>
      </c>
      <c r="BE1170" s="47" t="s">
        <v>2362</v>
      </c>
      <c r="BF1170" s="47">
        <v>-13.7</v>
      </c>
      <c r="BG1170" s="47">
        <v>1</v>
      </c>
      <c r="BH1170" s="47">
        <v>29.521999999999998</v>
      </c>
      <c r="BI1170" s="47" t="s">
        <v>312</v>
      </c>
      <c r="BJ1170" s="47" t="s">
        <v>312</v>
      </c>
      <c r="BK1170" s="47" t="s">
        <v>91</v>
      </c>
      <c r="BL1170" s="47" t="s">
        <v>1065</v>
      </c>
      <c r="BM1170" s="47" t="s">
        <v>1411</v>
      </c>
      <c r="BN1170" s="47" t="s">
        <v>428</v>
      </c>
      <c r="BO1170" s="47" t="s">
        <v>2363</v>
      </c>
      <c r="BP1170" s="47" t="s">
        <v>2364</v>
      </c>
      <c r="BQ1170" s="47" t="s">
        <v>92</v>
      </c>
      <c r="BR1170" s="47" t="s">
        <v>93</v>
      </c>
      <c r="BS1170" s="47">
        <v>35.667999999999999</v>
      </c>
      <c r="BT1170" s="47">
        <f t="shared" si="634"/>
        <v>0.51100000000000001</v>
      </c>
      <c r="BU1170" s="47">
        <v>1999</v>
      </c>
      <c r="BV1170" s="47">
        <v>2018</v>
      </c>
      <c r="BW1170" s="47" t="s">
        <v>2365</v>
      </c>
      <c r="BX1170" s="47" t="s">
        <v>95</v>
      </c>
      <c r="BY1170" s="47" t="s">
        <v>96</v>
      </c>
      <c r="BZ1170" s="47">
        <v>0</v>
      </c>
      <c r="CA1170" s="47">
        <v>0</v>
      </c>
      <c r="CB1170" s="47" t="s">
        <v>97</v>
      </c>
      <c r="CC1170" s="47" t="s">
        <v>1375</v>
      </c>
      <c r="CD1170" s="47">
        <v>0</v>
      </c>
      <c r="CE1170" s="47" t="s">
        <v>97</v>
      </c>
      <c r="CF1170" s="47">
        <v>0</v>
      </c>
      <c r="CG1170" s="47" t="s">
        <v>97</v>
      </c>
      <c r="CH1170" s="47">
        <v>0</v>
      </c>
      <c r="CI1170" s="47" t="s">
        <v>2089</v>
      </c>
      <c r="CJ1170" s="47" t="s">
        <v>98</v>
      </c>
      <c r="CK1170" s="47">
        <v>10</v>
      </c>
      <c r="CL1170" s="47">
        <v>0</v>
      </c>
      <c r="CM1170" s="47">
        <v>0</v>
      </c>
      <c r="CN1170" s="47" t="s">
        <v>124</v>
      </c>
      <c r="CO1170" s="47" t="s">
        <v>97</v>
      </c>
      <c r="CP1170" s="47" t="s">
        <v>717</v>
      </c>
      <c r="CQ1170" s="47" t="s">
        <v>126</v>
      </c>
      <c r="CR1170" s="48">
        <v>46267</v>
      </c>
      <c r="CT1170" s="47" t="s">
        <v>2375</v>
      </c>
    </row>
    <row r="1171" spans="1:98" s="47" customFormat="1" x14ac:dyDescent="0.35">
      <c r="A1171" s="46" t="s">
        <v>2353</v>
      </c>
      <c r="B1171" s="46" t="s">
        <v>2376</v>
      </c>
      <c r="C1171" s="47" t="s">
        <v>2355</v>
      </c>
      <c r="D1171" s="47">
        <v>2025</v>
      </c>
      <c r="E1171" s="66" t="s">
        <v>2356</v>
      </c>
      <c r="F1171" s="46" t="s">
        <v>2357</v>
      </c>
      <c r="G1171" s="47" t="s">
        <v>78</v>
      </c>
      <c r="H1171" s="47">
        <v>1</v>
      </c>
      <c r="I1171" s="47" t="s">
        <v>390</v>
      </c>
      <c r="J1171" s="47" t="s">
        <v>2210</v>
      </c>
      <c r="K1171" s="47">
        <v>6</v>
      </c>
      <c r="L1171" s="47" t="s">
        <v>129</v>
      </c>
      <c r="M1171" s="47" t="s">
        <v>380</v>
      </c>
      <c r="N1171" s="47">
        <v>-1.7999999999999999E-2</v>
      </c>
      <c r="O1171" s="47">
        <f t="shared" si="628"/>
        <v>5.4545454545454536E-2</v>
      </c>
      <c r="P1171" s="47">
        <v>-0.33</v>
      </c>
      <c r="Q1171" s="47" t="s">
        <v>312</v>
      </c>
      <c r="R1171" s="47">
        <f t="shared" si="636"/>
        <v>-0.12490909090909089</v>
      </c>
      <c r="S1171" s="47">
        <f t="shared" si="637"/>
        <v>8.8909090909090882E-2</v>
      </c>
      <c r="T1171" s="47">
        <v>1</v>
      </c>
      <c r="U1171" s="47">
        <v>11052</v>
      </c>
      <c r="V1171" s="47">
        <v>24</v>
      </c>
      <c r="W1171" s="47">
        <v>1</v>
      </c>
      <c r="X1171" s="47">
        <f t="shared" si="638"/>
        <v>11028</v>
      </c>
      <c r="Y1171" s="47">
        <f t="shared" si="639"/>
        <v>-3.1424141150736351E-3</v>
      </c>
      <c r="Z1171" s="47">
        <f t="shared" si="640"/>
        <v>9.5224670153746509E-3</v>
      </c>
      <c r="AA1171" s="47">
        <f t="shared" si="641"/>
        <v>-3.1424141150736351E-3</v>
      </c>
      <c r="AB1171" s="47" t="s">
        <v>81</v>
      </c>
      <c r="AC1171" s="47">
        <f t="shared" si="642"/>
        <v>1.5185693430656932E-2</v>
      </c>
      <c r="AD1171" s="47" cm="1">
        <f t="array" ref="AD1171">_xlfn.IFS(
AND(L1171="marginal_effect",M1171="level"),N1171*AN1171/BF1171,
AND(L1171="marginal_effect",M1171="sd (Y)"),N1171*BI1171*AN1171/BF1171,
AND(L1171="marginal_effect",M1171="sd (X)"),N1171/AQ1171*AN1171/BF1171,
AND(L1171="semi_elasticity",M1171="level"),N1171*AN1171,
AND(L1171="semi_elasticity",M1171="sd (Y)"),N1171*AN1171*BI1171,
AND(L1171="semi_elasticity",M1171="sd (X)"),N1171*AN1171/AQ1171,
AND(L1171="level-log",M1171="level"),N1171/BF1171,
AND(L1171="level-log",M1171="sd (X)"),N1171/BF1171/AQ1171,
AND(L1171="level-log",M1171="sd (Y)"),N1171/BF1171*BI1171,
AND(L1171="elasticity",M1171="level"),N1171,
AND(L1171="elasticity",M1171="sd (X)"),N1171/AQ1171,
AND(L1171="elasticity",M1171="sd (Y)"),N1171*BI1171,
AND(L1171="marginal_effect",M1171="percent_of_mean"),N1171*AN1171/BF1171/10)</f>
        <v>1.5185693430656934E-2</v>
      </c>
      <c r="AE1171" s="47">
        <f t="shared" si="643"/>
        <v>1</v>
      </c>
      <c r="AF1171" s="47">
        <f t="shared" si="644"/>
        <v>-4.6017252820172522E-2</v>
      </c>
      <c r="AG1171" s="47" cm="1">
        <f t="array" ref="AG1171">_xlfn.IFS(
AND(L1171="marginal_effect",M1171="level"),O1171*AN1171/BF1171,
AND(L1171="marginal_effect",M1171="sd (Y)"),O1171*BI1171*AN1171/BF1171,
AND(L1171="marginal_effect",M1171="sd (X)"),O1171/AQ1171*AN1171/BF1171,
AND(L1171="semi_elasticity",M1171="level"),O1171*AN1171,
AND(L1171="semi_elasticity",M1171="sd (Y)"),O1171*AN1171*BI1171,
AND(L1171="semi_elasticity",M1171="sd (X)"),O1171*AN1171/AQ1171,
AND(L1171="level-log",M1171="level"),O1171/BF1171,
AND(L1171="level-log",M1171="sd (X)"),O1171/BF1171/AQ1171,
AND(L1171="level-log",M1171="sd (Y)"),O1171/BF1171*BI1171,
AND(L1171="elasticity",M1171="level"),O1171,
AND(L1171="elasticity",M1171="sd (X)"),O1171/AQ1171,
AND(L1171="elasticity",M1171="sd (Y)"),O1171*BI1171,
AND(L1171="marginal_effect",M1171="percent_of_mean"),O1171*AN1171/BF1171/10)</f>
        <v>-4.6017252820172515E-2</v>
      </c>
      <c r="AH1171" s="47">
        <f t="shared" si="645"/>
        <v>1</v>
      </c>
      <c r="AI1171" s="47">
        <f t="shared" si="646"/>
        <v>-1.5185693430656932E-2</v>
      </c>
      <c r="AJ1171" s="47">
        <v>0</v>
      </c>
      <c r="AK1171" s="47">
        <f t="shared" si="647"/>
        <v>1</v>
      </c>
      <c r="AL1171" s="47" t="s">
        <v>82</v>
      </c>
      <c r="AM1171" s="47" t="s">
        <v>1333</v>
      </c>
      <c r="AN1171" s="47">
        <v>11.558</v>
      </c>
      <c r="AO1171" s="47">
        <v>0</v>
      </c>
      <c r="AP1171" s="47">
        <f t="shared" si="635"/>
        <v>11.558</v>
      </c>
      <c r="AQ1171" s="47">
        <v>4.859</v>
      </c>
      <c r="AR1171" s="47" t="s">
        <v>312</v>
      </c>
      <c r="AS1171" s="47" t="s">
        <v>312</v>
      </c>
      <c r="AT1171" s="47" t="s">
        <v>83</v>
      </c>
      <c r="AU1171" s="47" t="s">
        <v>109</v>
      </c>
      <c r="AV1171" s="47" t="s">
        <v>133</v>
      </c>
      <c r="AW1171" s="47" t="s">
        <v>85</v>
      </c>
      <c r="AX1171" s="47" t="s">
        <v>86</v>
      </c>
      <c r="AY1171" s="47">
        <v>0</v>
      </c>
      <c r="AZ1171" s="47">
        <v>12</v>
      </c>
      <c r="BA1171" s="47" t="s">
        <v>111</v>
      </c>
      <c r="BB1171" s="47" t="s">
        <v>134</v>
      </c>
      <c r="BC1171" s="47" t="s">
        <v>113</v>
      </c>
      <c r="BD1171" s="47" t="s">
        <v>114</v>
      </c>
      <c r="BE1171" s="47" t="s">
        <v>2362</v>
      </c>
      <c r="BF1171" s="47">
        <v>-13.7</v>
      </c>
      <c r="BG1171" s="47">
        <v>0</v>
      </c>
      <c r="BH1171" s="47">
        <v>29.521999999999998</v>
      </c>
      <c r="BI1171" s="47" t="s">
        <v>312</v>
      </c>
      <c r="BJ1171" s="47" t="s">
        <v>312</v>
      </c>
      <c r="BK1171" s="47" t="s">
        <v>91</v>
      </c>
      <c r="BL1171" s="47" t="s">
        <v>1065</v>
      </c>
      <c r="BM1171" s="47" t="s">
        <v>1411</v>
      </c>
      <c r="BN1171" s="47" t="s">
        <v>428</v>
      </c>
      <c r="BO1171" s="47" t="s">
        <v>2363</v>
      </c>
      <c r="BP1171" s="47" t="s">
        <v>2364</v>
      </c>
      <c r="BQ1171" s="47" t="s">
        <v>92</v>
      </c>
      <c r="BR1171" s="47" t="s">
        <v>93</v>
      </c>
      <c r="BS1171" s="47">
        <v>35.667999999999999</v>
      </c>
      <c r="BT1171" s="47">
        <f t="shared" si="634"/>
        <v>0.51100000000000001</v>
      </c>
      <c r="BU1171" s="47">
        <v>1999</v>
      </c>
      <c r="BV1171" s="47">
        <v>2018</v>
      </c>
      <c r="BW1171" s="47" t="s">
        <v>2365</v>
      </c>
      <c r="BX1171" s="47" t="s">
        <v>95</v>
      </c>
      <c r="BY1171" s="47" t="s">
        <v>96</v>
      </c>
      <c r="BZ1171" s="47">
        <v>0</v>
      </c>
      <c r="CA1171" s="47">
        <v>0</v>
      </c>
      <c r="CB1171" s="47" t="s">
        <v>97</v>
      </c>
      <c r="CC1171" s="47" t="s">
        <v>1375</v>
      </c>
      <c r="CD1171" s="47">
        <v>0</v>
      </c>
      <c r="CE1171" s="47" t="s">
        <v>97</v>
      </c>
      <c r="CF1171" s="47">
        <v>0</v>
      </c>
      <c r="CG1171" s="47" t="s">
        <v>97</v>
      </c>
      <c r="CH1171" s="47">
        <v>0</v>
      </c>
      <c r="CI1171" s="47" t="s">
        <v>2089</v>
      </c>
      <c r="CJ1171" s="47" t="s">
        <v>98</v>
      </c>
      <c r="CK1171" s="47">
        <v>10</v>
      </c>
      <c r="CL1171" s="47">
        <v>0</v>
      </c>
      <c r="CM1171" s="47">
        <v>0</v>
      </c>
      <c r="CN1171" s="47" t="s">
        <v>124</v>
      </c>
      <c r="CO1171" s="47" t="s">
        <v>1065</v>
      </c>
      <c r="CP1171" s="47" t="s">
        <v>717</v>
      </c>
      <c r="CQ1171" s="47" t="s">
        <v>126</v>
      </c>
      <c r="CR1171" s="48">
        <v>46267</v>
      </c>
      <c r="CT1171" s="47" t="s">
        <v>2378</v>
      </c>
    </row>
    <row r="1172" spans="1:98" s="47" customFormat="1" x14ac:dyDescent="0.35">
      <c r="A1172" s="46" t="s">
        <v>2353</v>
      </c>
      <c r="B1172" s="46" t="s">
        <v>2377</v>
      </c>
      <c r="C1172" s="47" t="s">
        <v>2355</v>
      </c>
      <c r="D1172" s="47">
        <v>2025</v>
      </c>
      <c r="E1172" s="66" t="s">
        <v>2356</v>
      </c>
      <c r="F1172" s="46" t="s">
        <v>2357</v>
      </c>
      <c r="G1172" s="47" t="s">
        <v>78</v>
      </c>
      <c r="H1172" s="47">
        <v>1</v>
      </c>
      <c r="I1172" s="47" t="s">
        <v>390</v>
      </c>
      <c r="J1172" s="47" t="s">
        <v>2210</v>
      </c>
      <c r="K1172" s="47">
        <v>6</v>
      </c>
      <c r="L1172" s="47" t="s">
        <v>129</v>
      </c>
      <c r="M1172" s="47" t="s">
        <v>380</v>
      </c>
      <c r="N1172" s="47">
        <v>-1.4E-2</v>
      </c>
      <c r="O1172" s="47">
        <f t="shared" si="628"/>
        <v>1.7721518987341773E-2</v>
      </c>
      <c r="P1172" s="47">
        <v>-0.79</v>
      </c>
      <c r="Q1172" s="47" t="s">
        <v>312</v>
      </c>
      <c r="R1172" s="47">
        <f t="shared" si="636"/>
        <v>-4.8734177215189869E-2</v>
      </c>
      <c r="S1172" s="47">
        <f t="shared" si="637"/>
        <v>2.0734177215189872E-2</v>
      </c>
      <c r="T1172" s="47">
        <v>1</v>
      </c>
      <c r="U1172" s="47">
        <v>11052</v>
      </c>
      <c r="V1172" s="47">
        <v>24</v>
      </c>
      <c r="W1172" s="47">
        <v>1</v>
      </c>
      <c r="X1172" s="47">
        <f t="shared" si="638"/>
        <v>11028</v>
      </c>
      <c r="Y1172" s="47">
        <f t="shared" si="639"/>
        <v>-7.5225732282271614E-3</v>
      </c>
      <c r="Z1172" s="47">
        <f t="shared" si="640"/>
        <v>9.5222445926926094E-3</v>
      </c>
      <c r="AA1172" s="47">
        <f t="shared" si="641"/>
        <v>-7.5225732282271614E-3</v>
      </c>
      <c r="AB1172" s="47" t="s">
        <v>81</v>
      </c>
      <c r="AC1172" s="47">
        <f t="shared" si="642"/>
        <v>1.1811094890510949E-2</v>
      </c>
      <c r="AD1172" s="47" cm="1">
        <f t="array" ref="AD1172">_xlfn.IFS(
AND(L1172="marginal_effect",M1172="level"),N1172*AN1172/BF1172,
AND(L1172="marginal_effect",M1172="sd (Y)"),N1172*BI1172*AN1172/BF1172,
AND(L1172="marginal_effect",M1172="sd (X)"),N1172/AQ1172*AN1172/BF1172,
AND(L1172="semi_elasticity",M1172="level"),N1172*AN1172,
AND(L1172="semi_elasticity",M1172="sd (Y)"),N1172*AN1172*BI1172,
AND(L1172="semi_elasticity",M1172="sd (X)"),N1172*AN1172/AQ1172,
AND(L1172="level-log",M1172="level"),N1172/BF1172,
AND(L1172="level-log",M1172="sd (X)"),N1172/BF1172/AQ1172,
AND(L1172="level-log",M1172="sd (Y)"),N1172/BF1172*BI1172,
AND(L1172="elasticity",M1172="level"),N1172,
AND(L1172="elasticity",M1172="sd (X)"),N1172/AQ1172,
AND(L1172="elasticity",M1172="sd (Y)"),N1172*BI1172,
AND(L1172="marginal_effect",M1172="percent_of_mean"),N1172*AN1172/BF1172/10)</f>
        <v>1.1811094890510951E-2</v>
      </c>
      <c r="AE1172" s="47">
        <f t="shared" si="643"/>
        <v>0</v>
      </c>
      <c r="AF1172" s="47">
        <f t="shared" si="644"/>
        <v>-1.4950753025963227E-2</v>
      </c>
      <c r="AG1172" s="47" cm="1">
        <f t="array" ref="AG1172">_xlfn.IFS(
AND(L1172="marginal_effect",M1172="level"),O1172*AN1172/BF1172,
AND(L1172="marginal_effect",M1172="sd (Y)"),O1172*BI1172*AN1172/BF1172,
AND(L1172="marginal_effect",M1172="sd (X)"),O1172/AQ1172*AN1172/BF1172,
AND(L1172="semi_elasticity",M1172="level"),O1172*AN1172,
AND(L1172="semi_elasticity",M1172="sd (Y)"),O1172*AN1172*BI1172,
AND(L1172="semi_elasticity",M1172="sd (X)"),O1172*AN1172/AQ1172,
AND(L1172="level-log",M1172="level"),O1172/BF1172,
AND(L1172="level-log",M1172="sd (X)"),O1172/BF1172/AQ1172,
AND(L1172="level-log",M1172="sd (Y)"),O1172/BF1172*BI1172,
AND(L1172="elasticity",M1172="level"),O1172,
AND(L1172="elasticity",M1172="sd (X)"),O1172/AQ1172,
AND(L1172="elasticity",M1172="sd (Y)"),O1172*BI1172,
AND(L1172="marginal_effect",M1172="percent_of_mean"),O1172*AN1172/BF1172/10)</f>
        <v>-1.4950753025963227E-2</v>
      </c>
      <c r="AH1172" s="47">
        <f t="shared" si="645"/>
        <v>1</v>
      </c>
      <c r="AI1172" s="47">
        <f t="shared" si="646"/>
        <v>-1.1811094890510949E-2</v>
      </c>
      <c r="AJ1172" s="47">
        <v>0</v>
      </c>
      <c r="AK1172" s="47">
        <f t="shared" si="647"/>
        <v>1</v>
      </c>
      <c r="AL1172" s="47" t="s">
        <v>82</v>
      </c>
      <c r="AM1172" s="47" t="s">
        <v>1333</v>
      </c>
      <c r="AN1172" s="47">
        <v>11.558</v>
      </c>
      <c r="AO1172" s="47">
        <v>0</v>
      </c>
      <c r="AP1172" s="47">
        <f t="shared" si="635"/>
        <v>11.558</v>
      </c>
      <c r="AQ1172" s="47">
        <v>4.859</v>
      </c>
      <c r="AR1172" s="47" t="s">
        <v>312</v>
      </c>
      <c r="AS1172" s="47" t="s">
        <v>312</v>
      </c>
      <c r="AT1172" s="47" t="s">
        <v>83</v>
      </c>
      <c r="AU1172" s="47" t="s">
        <v>109</v>
      </c>
      <c r="AV1172" s="47" t="s">
        <v>133</v>
      </c>
      <c r="AW1172" s="47" t="s">
        <v>85</v>
      </c>
      <c r="AX1172" s="47" t="s">
        <v>86</v>
      </c>
      <c r="AY1172" s="47">
        <v>0</v>
      </c>
      <c r="AZ1172" s="47">
        <v>12</v>
      </c>
      <c r="BA1172" s="47" t="s">
        <v>111</v>
      </c>
      <c r="BB1172" s="47" t="s">
        <v>134</v>
      </c>
      <c r="BC1172" s="47" t="s">
        <v>113</v>
      </c>
      <c r="BD1172" s="47" t="s">
        <v>114</v>
      </c>
      <c r="BE1172" s="47" t="s">
        <v>2362</v>
      </c>
      <c r="BF1172" s="47">
        <v>-13.7</v>
      </c>
      <c r="BG1172" s="47">
        <v>0</v>
      </c>
      <c r="BH1172" s="47">
        <v>29.521999999999998</v>
      </c>
      <c r="BI1172" s="47" t="s">
        <v>312</v>
      </c>
      <c r="BJ1172" s="47" t="s">
        <v>312</v>
      </c>
      <c r="BK1172" s="47" t="s">
        <v>91</v>
      </c>
      <c r="BL1172" s="47" t="s">
        <v>1065</v>
      </c>
      <c r="BM1172" s="47" t="s">
        <v>1411</v>
      </c>
      <c r="BN1172" s="47" t="s">
        <v>428</v>
      </c>
      <c r="BO1172" s="47" t="s">
        <v>2363</v>
      </c>
      <c r="BP1172" s="47" t="s">
        <v>2364</v>
      </c>
      <c r="BQ1172" s="47" t="s">
        <v>92</v>
      </c>
      <c r="BR1172" s="47" t="s">
        <v>93</v>
      </c>
      <c r="BS1172" s="47">
        <v>35.667999999999999</v>
      </c>
      <c r="BT1172" s="47">
        <f t="shared" si="634"/>
        <v>0.51100000000000001</v>
      </c>
      <c r="BU1172" s="47">
        <v>1999</v>
      </c>
      <c r="BV1172" s="47">
        <v>2018</v>
      </c>
      <c r="BW1172" s="47" t="s">
        <v>2365</v>
      </c>
      <c r="BX1172" s="47" t="s">
        <v>95</v>
      </c>
      <c r="BY1172" s="47" t="s">
        <v>96</v>
      </c>
      <c r="BZ1172" s="47">
        <v>0</v>
      </c>
      <c r="CA1172" s="47">
        <v>0</v>
      </c>
      <c r="CB1172" s="47" t="s">
        <v>97</v>
      </c>
      <c r="CC1172" s="47" t="s">
        <v>1375</v>
      </c>
      <c r="CD1172" s="47">
        <v>0</v>
      </c>
      <c r="CE1172" s="47" t="s">
        <v>97</v>
      </c>
      <c r="CF1172" s="47">
        <v>0</v>
      </c>
      <c r="CG1172" s="47" t="s">
        <v>97</v>
      </c>
      <c r="CH1172" s="47">
        <v>0</v>
      </c>
      <c r="CI1172" s="47" t="s">
        <v>2089</v>
      </c>
      <c r="CJ1172" s="47" t="s">
        <v>98</v>
      </c>
      <c r="CK1172" s="47">
        <v>10</v>
      </c>
      <c r="CL1172" s="47">
        <v>0</v>
      </c>
      <c r="CM1172" s="47">
        <v>0</v>
      </c>
      <c r="CN1172" s="47" t="s">
        <v>124</v>
      </c>
      <c r="CO1172" s="47" t="s">
        <v>1065</v>
      </c>
      <c r="CP1172" s="47" t="s">
        <v>717</v>
      </c>
      <c r="CQ1172" s="47" t="s">
        <v>126</v>
      </c>
      <c r="CR1172" s="48">
        <v>46267</v>
      </c>
      <c r="CT1172" s="47" t="s">
        <v>2379</v>
      </c>
    </row>
  </sheetData>
  <autoFilter ref="A1:CT1172" xr:uid="{00000000-0009-0000-0000-000000000000}"/>
  <phoneticPr fontId="9" type="noConversion"/>
  <dataValidations count="2">
    <dataValidation type="list" allowBlank="1" sqref="CS2 BZ12:BZ14 BZ2 BZ4:BZ6 CA4:CA9 BZ8:BZ10 CS4:CS17 CA12:CA17 BZ16:BZ17 H2:H101 CD2:CD101 CH2:CH101 CS42:CS101 BZ42:CA101 CF2:CF101 CL2:CM101 CD239:CD304 CH119:CH304 CF119:CF304 H119:H304 CS119:CS304 BZ119:CA304 CD119:CD237 CL119:CM304" xr:uid="{00000000-0002-0000-0000-000001000000}">
      <formula1>"1,0"</formula1>
    </dataValidation>
    <dataValidation type="date" allowBlank="1" sqref="CR2:CR101 CR119:CR304" xr:uid="{00000000-0002-0000-0000-000021000000}"/>
  </dataValidations>
  <hyperlinks>
    <hyperlink ref="F161" r:id="rId1" display="https://www.journals.uchicago.edu/toc/jaere/current" xr:uid="{8E83DD44-5546-4C7B-88BF-77E9750452F9}"/>
    <hyperlink ref="F162" r:id="rId2" display="https://www.journals.uchicago.edu/toc/jaere/current" xr:uid="{E7A4C45E-AF99-495A-A06B-850C82BF72A6}"/>
    <hyperlink ref="F163" r:id="rId3" display="https://www.journals.uchicago.edu/toc/jaere/current" xr:uid="{855E6674-637D-4696-99EA-E3617D93B2D6}"/>
    <hyperlink ref="F164" r:id="rId4" display="https://www.journals.uchicago.edu/toc/jaere/current" xr:uid="{84EC76DB-5AAD-4D27-B98A-EF50C3532886}"/>
    <hyperlink ref="F165" r:id="rId5" display="https://www.journals.uchicago.edu/toc/jaere/current" xr:uid="{0D761E8A-DCBE-4486-8474-A26E14EFBDB8}"/>
    <hyperlink ref="F166" r:id="rId6" display="https://www.journals.uchicago.edu/toc/jaere/current" xr:uid="{C3F6C13F-D65A-4F76-A4CB-21A4E3936E6A}"/>
    <hyperlink ref="F167" r:id="rId7" display="https://www.journals.uchicago.edu/toc/jaere/current" xr:uid="{AA69FB18-99F7-429E-8C66-0CDA5D1A7A8A}"/>
    <hyperlink ref="F168" r:id="rId8" display="https://www.journals.uchicago.edu/toc/jaere/current" xr:uid="{95CCD016-6717-47FB-BA9F-7916FCC1953A}"/>
    <hyperlink ref="F169" r:id="rId9" display="https://www.journals.uchicago.edu/toc/jaere/current" xr:uid="{2C85F1F6-E3AA-4C53-BFD6-56A41DFDAFAE}"/>
    <hyperlink ref="F170" r:id="rId10" display="https://www.journals.uchicago.edu/toc/jaere/current" xr:uid="{16B5FD7D-C184-405B-A13C-F67CE0898D6B}"/>
    <hyperlink ref="F171" r:id="rId11" display="https://www.journals.uchicago.edu/toc/jaere/current" xr:uid="{1DBBEA1E-FDA2-484B-B9F2-4531073A5F5B}"/>
    <hyperlink ref="F172" r:id="rId12" display="https://www.journals.uchicago.edu/toc/jaere/current" xr:uid="{975BD1A1-D092-4EB8-8AFC-59618F31413E}"/>
    <hyperlink ref="F173" r:id="rId13" display="https://www.journals.uchicago.edu/toc/jaere/current" xr:uid="{D5F8B2FC-E8DD-49CC-923F-65FC33D126DD}"/>
    <hyperlink ref="F174" r:id="rId14" display="https://www.journals.uchicago.edu/toc/jaere/current" xr:uid="{CC5AAD77-ACAD-4783-9F08-C9D7E5416E65}"/>
    <hyperlink ref="F175" r:id="rId15" display="https://www.journals.uchicago.edu/toc/jaere/current" xr:uid="{39E40BBF-4987-4A08-9FDE-411C6751FA0A}"/>
    <hyperlink ref="F176" r:id="rId16" display="https://www.journals.uchicago.edu/toc/jaere/current" xr:uid="{7992FAB4-7C87-409E-853E-7C093419FE15}"/>
    <hyperlink ref="F177" r:id="rId17" display="https://www.journals.uchicago.edu/toc/jaere/current" xr:uid="{2CCED7C6-C2CD-4E0F-845F-C68765A4932D}"/>
    <hyperlink ref="F178" r:id="rId18" display="https://www.journals.uchicago.edu/toc/jaere/current" xr:uid="{B9C787CD-CD48-409F-B6A8-8165730EE374}"/>
    <hyperlink ref="F179" r:id="rId19" display="https://www.journals.uchicago.edu/toc/jaere/current" xr:uid="{A4C79B11-678C-490E-A2F0-A22BBDFB6A07}"/>
    <hyperlink ref="F180" r:id="rId20" display="https://www.journals.uchicago.edu/toc/jaere/current" xr:uid="{B3FBB880-7F3B-4622-8CB8-87CE8087F2AE}"/>
    <hyperlink ref="F181" r:id="rId21" display="https://www.journals.uchicago.edu/toc/jaere/current" xr:uid="{E1BF0569-4A84-4AC6-A87F-BA849ABFDB08}"/>
    <hyperlink ref="F182" r:id="rId22" display="https://www.journals.uchicago.edu/toc/jaere/current" xr:uid="{D5CD7945-10B6-47A4-BD1C-B017CA66B1A7}"/>
    <hyperlink ref="F183" r:id="rId23" display="https://www.journals.uchicago.edu/toc/jaere/current" xr:uid="{4B1664DC-BAFA-491A-9225-F801952C6661}"/>
    <hyperlink ref="F184" r:id="rId24" display="https://www.journals.uchicago.edu/toc/jaere/current" xr:uid="{36D12192-5CFA-4C43-AE20-0214333FA553}"/>
    <hyperlink ref="F185" r:id="rId25" display="https://www.journals.uchicago.edu/toc/jaere/current" xr:uid="{39EEA9F0-B0F8-4C86-B44F-223F184E4393}"/>
    <hyperlink ref="F186" r:id="rId26" display="https://www.journals.uchicago.edu/toc/jaere/current" xr:uid="{12564803-6E5A-46BB-B425-05ED97C3F8AD}"/>
    <hyperlink ref="F187" r:id="rId27" display="https://www.journals.uchicago.edu/toc/jaere/current" xr:uid="{533592AF-BF2A-4E4A-A308-32448FEC8045}"/>
    <hyperlink ref="F188" r:id="rId28" display="https://www.journals.uchicago.edu/toc/jaere/current" xr:uid="{17D371E1-5E46-4523-AA50-83C550D26E87}"/>
    <hyperlink ref="F189" r:id="rId29" display="https://www.journals.uchicago.edu/toc/jaere/current" xr:uid="{FDE00B7F-9F96-4824-BD3C-91C247FCBE5C}"/>
    <hyperlink ref="F190" r:id="rId30" display="https://www.journals.uchicago.edu/toc/jaere/current" xr:uid="{49C165ED-5F20-4319-8E7D-354CBEF9BB5B}"/>
    <hyperlink ref="F191" r:id="rId31" display="https://www.journals.uchicago.edu/toc/jaere/current" xr:uid="{41C69448-26B6-4387-91FD-62F783797880}"/>
    <hyperlink ref="F192" r:id="rId32" display="https://www.journals.uchicago.edu/toc/jaere/current" xr:uid="{68BFF837-1FE3-4BE0-A66B-E374E2279856}"/>
    <hyperlink ref="F193" r:id="rId33" display="https://www.journals.uchicago.edu/toc/jaere/current" xr:uid="{5B72E154-7C7E-4DEB-B317-70B28DD9813C}"/>
    <hyperlink ref="F194" r:id="rId34" display="https://www.journals.uchicago.edu/toc/jaere/current" xr:uid="{8D06B317-0856-4562-BCB4-D31B52ECD3A8}"/>
    <hyperlink ref="F195" r:id="rId35" display="https://www.journals.uchicago.edu/toc/jaere/current" xr:uid="{D8C2E048-AEC3-4DD2-95F5-7A111DD3E650}"/>
    <hyperlink ref="F196" r:id="rId36" display="https://www.journals.uchicago.edu/toc/jaere/current" xr:uid="{E9878BDD-44DC-4DF1-B701-E07062727B01}"/>
    <hyperlink ref="F197" r:id="rId37" display="https://www.journals.uchicago.edu/toc/jaere/current" xr:uid="{58EB3204-F0A9-4819-B23D-7EFBEDF7EC24}"/>
    <hyperlink ref="F198" r:id="rId38" display="https://www.journals.uchicago.edu/toc/jaere/current" xr:uid="{B3CA35BA-0AC6-4CAE-B693-A5A55066D0D9}"/>
    <hyperlink ref="F199" r:id="rId39" display="https://www.journals.uchicago.edu/toc/jaere/current" xr:uid="{62B04FA3-DDA9-40DA-8446-2F9A80F1E609}"/>
    <hyperlink ref="F200" r:id="rId40" display="https://www.journals.uchicago.edu/toc/jaere/current" xr:uid="{16826386-E4BD-4F37-8BC7-087EDDF72008}"/>
    <hyperlink ref="F201" r:id="rId41" display="https://www.journals.uchicago.edu/toc/jaere/current" xr:uid="{E5BD42AE-9C0B-465B-98FD-913491FCC74E}"/>
    <hyperlink ref="F202" r:id="rId42" display="https://www.journals.uchicago.edu/toc/jaere/current" xr:uid="{862A28B8-3105-4CEF-BC9E-CD447481839F}"/>
    <hyperlink ref="F203" r:id="rId43" display="https://www.journals.uchicago.edu/toc/jaere/current" xr:uid="{08E73F4E-2ED8-43A8-8008-8F0A04B290C8}"/>
    <hyperlink ref="F204" r:id="rId44" display="https://www.journals.uchicago.edu/toc/jaere/current" xr:uid="{4DAD69DC-1B53-417B-89C8-F77E97DF3BAD}"/>
    <hyperlink ref="F205" r:id="rId45" display="https://www.journals.uchicago.edu/toc/jaere/current" xr:uid="{D9661191-63E2-41A9-88D5-92AF74453707}"/>
    <hyperlink ref="F206" r:id="rId46" display="https://www.journals.uchicago.edu/toc/jaere/current" xr:uid="{8083FA79-9611-45DA-B5BC-DBE959DA4272}"/>
    <hyperlink ref="F207" r:id="rId47" display="https://www.journals.uchicago.edu/toc/jaere/current" xr:uid="{32709F42-4AFC-4127-BB2D-AA60FA8293C6}"/>
    <hyperlink ref="F208" r:id="rId48" display="https://www.journals.uchicago.edu/toc/jaere/current" xr:uid="{CC2664E9-D17F-4720-AAF5-9398C6A490C3}"/>
    <hyperlink ref="F209" r:id="rId49" display="https://www.journals.uchicago.edu/toc/jaere/current" xr:uid="{03E281FF-B92D-4248-BE90-2DAF8097B54A}"/>
    <hyperlink ref="F210" r:id="rId50" display="https://www.journals.uchicago.edu/toc/jaere/current" xr:uid="{729A3FDA-9AF9-4690-AE78-039FD2C44012}"/>
    <hyperlink ref="F211" r:id="rId51" display="https://www.journals.uchicago.edu/toc/jaere/current" xr:uid="{7EF39872-C69E-45EA-9521-2A44BF46DE8E}"/>
    <hyperlink ref="F212" r:id="rId52" display="https://www.journals.uchicago.edu/toc/jaere/current" xr:uid="{3C0FB3A0-ECA4-4FC4-8FDE-7DF1D79AB1B9}"/>
    <hyperlink ref="F213" r:id="rId53" display="https://www.journals.uchicago.edu/toc/jaere/current" xr:uid="{676B53F7-B457-4C3C-ADE9-1FD1A8CCDE7A}"/>
    <hyperlink ref="F214" r:id="rId54" display="https://www.journals.uchicago.edu/toc/jaere/current" xr:uid="{98432860-F4EF-4839-AE69-0447295DB659}"/>
    <hyperlink ref="F216" r:id="rId55" display="https://www.journals.uchicago.edu/toc/jaere/current" xr:uid="{CD72D1D0-4718-4B65-96A2-FAA75AFC5819}"/>
    <hyperlink ref="F215" r:id="rId56" display="https://www.journals.uchicago.edu/toc/jaere/current" xr:uid="{4559EE42-8F60-4B9F-B619-B2027AEFD292}"/>
    <hyperlink ref="F218" r:id="rId57" display="https://www.journals.uchicago.edu/toc/jaere/current" xr:uid="{A3612F80-653D-4E24-AA78-707C7B7E4492}"/>
    <hyperlink ref="F217" r:id="rId58" display="https://www.journals.uchicago.edu/toc/jaere/current" xr:uid="{19AD5F46-2489-4683-8A8F-65FB016370A1}"/>
    <hyperlink ref="F220" r:id="rId59" display="https://www.journals.uchicago.edu/toc/jaere/current" xr:uid="{07F7B5B0-C80C-4974-8DB2-5FF5E28B3750}"/>
    <hyperlink ref="F219" r:id="rId60" display="https://www.journals.uchicago.edu/toc/jaere/current" xr:uid="{8B800938-F917-4E10-A246-68A9A3A49695}"/>
    <hyperlink ref="F222" r:id="rId61" display="https://www.journals.uchicago.edu/toc/jaere/current" xr:uid="{7467FE26-1B88-4C45-B511-9F1B59AE10AB}"/>
    <hyperlink ref="F221" r:id="rId62" display="https://www.journals.uchicago.edu/toc/jaere/current" xr:uid="{8DE88839-20D5-43FF-A57F-559FE081A0AB}"/>
  </hyperlinks>
  <pageMargins left="0.75" right="0.75" top="1" bottom="1" header="0.5" footer="0.5"/>
  <pageSetup paperSize="9" orientation="portrait" r:id="rId63"/>
  <legacyDrawing r:id="rId64"/>
  <extLst>
    <ext xmlns:x14="http://schemas.microsoft.com/office/spreadsheetml/2009/9/main" uri="{CCE6A557-97BC-4b89-ADB6-D9C93CAAB3DF}">
      <x14:dataValidations xmlns:xm="http://schemas.microsoft.com/office/excel/2006/main" count="27">
        <x14:dataValidation type="list" allowBlank="1" errorTitle="Valeur non autorisee" error="Valeur hors liste - voir feuille Listes" xr:uid="{00000000-0002-0000-0000-000000000000}">
          <x14:formula1>
            <xm:f>Listes!$A$3:$A$13</xm:f>
          </x14:formula1>
          <xm:sqref>G2:G101 G119:G304</xm:sqref>
        </x14:dataValidation>
        <x14:dataValidation type="list" allowBlank="1" errorTitle="Valeur non autorisee" error="Valeur hors liste - voir feuille Listes" xr:uid="{00000000-0002-0000-0000-000002000000}">
          <x14:formula1>
            <xm:f>Listes!$B$3:$B$13</xm:f>
          </x14:formula1>
          <xm:sqref>J2:J101 J119:J304</xm:sqref>
        </x14:dataValidation>
        <x14:dataValidation type="list" allowBlank="1" errorTitle="Valeur non autorisee" error="Valeur hors liste - voir feuille Listes" xr:uid="{00000000-0002-0000-0000-000003000000}">
          <x14:formula1>
            <xm:f>Listes!$C$3:$C$14</xm:f>
          </x14:formula1>
          <xm:sqref>L81:L83 L2:L67 L70:L78 L119:L304</xm:sqref>
        </x14:dataValidation>
        <x14:dataValidation type="list" allowBlank="1" errorTitle="Valeur non autorisee" error="Valeur hors liste - voir feuille Listes" xr:uid="{00000000-0002-0000-0000-000004000000}">
          <x14:formula1>
            <xm:f>Listes!$D$3:$D$12</xm:f>
          </x14:formula1>
          <xm:sqref>AB2:AB101 AB161:AB304</xm:sqref>
        </x14:dataValidation>
        <x14:dataValidation type="list" allowBlank="1" errorTitle="Valeur non autorisee" error="Valeur hors liste - voir feuille Listes" xr:uid="{00000000-0002-0000-0000-000007000000}">
          <x14:formula1>
            <xm:f>Listes!$G$3:$G$11</xm:f>
          </x14:formula1>
          <xm:sqref>AV2:AV101 AV119:AV304</xm:sqref>
        </x14:dataValidation>
        <x14:dataValidation type="list" allowBlank="1" errorTitle="Valeur non autorisee" error="Valeur hors liste - voir feuille Listes" xr:uid="{00000000-0002-0000-0000-000008000000}">
          <x14:formula1>
            <xm:f>Listes!$H$3:$H$11</xm:f>
          </x14:formula1>
          <xm:sqref>AW2:AW101 AW119:AW304</xm:sqref>
        </x14:dataValidation>
        <x14:dataValidation type="list" allowBlank="1" errorTitle="Valeur non autorisee" error="Valeur hors liste - voir feuille Listes" xr:uid="{00000000-0002-0000-0000-000009000000}">
          <x14:formula1>
            <xm:f>Listes!$I$3:$I$11</xm:f>
          </x14:formula1>
          <xm:sqref>AX2:AX101 AX119:AX304</xm:sqref>
        </x14:dataValidation>
        <x14:dataValidation type="list" allowBlank="1" errorTitle="Valeur non autorisee" error="Valeur hors liste - voir feuille Listes" xr:uid="{00000000-0002-0000-0000-00000A000000}">
          <x14:formula1>
            <xm:f>Listes!$J$3:$J$14</xm:f>
          </x14:formula1>
          <xm:sqref>BA2:BA101 BA119:BA304 BA474:BA534</xm:sqref>
        </x14:dataValidation>
        <x14:dataValidation type="list" allowBlank="1" errorTitle="Valeur non autorisee" error="Valeur hors liste - voir feuille Listes" xr:uid="{00000000-0002-0000-0000-00000B000000}">
          <x14:formula1>
            <xm:f>Listes!$K$3:$K$10</xm:f>
          </x14:formula1>
          <xm:sqref>BB2:BB101 BB119:BB304</xm:sqref>
        </x14:dataValidation>
        <x14:dataValidation type="list" allowBlank="1" errorTitle="Valeur non autorisee" error="Valeur hors liste - voir feuille Listes" xr:uid="{00000000-0002-0000-0000-00000C000000}">
          <x14:formula1>
            <xm:f>Listes!$L$3:$L$11</xm:f>
          </x14:formula1>
          <xm:sqref>BC2:BC101 BC119:BC304</xm:sqref>
        </x14:dataValidation>
        <x14:dataValidation type="list" allowBlank="1" errorTitle="Valeur non autorisee" error="Valeur hors liste - voir feuille Listes" xr:uid="{00000000-0002-0000-0000-00000D000000}">
          <x14:formula1>
            <xm:f>Listes!$M$3:$M$11</xm:f>
          </x14:formula1>
          <xm:sqref>BD2:BD101 BD119:BD304</xm:sqref>
        </x14:dataValidation>
        <x14:dataValidation type="list" allowBlank="1" errorTitle="Valeur non autorisee" error="Valeur hors liste - voir feuille Listes" xr:uid="{00000000-0002-0000-0000-00000E000000}">
          <x14:formula1>
            <xm:f>Listes!$N$3:$N$10</xm:f>
          </x14:formula1>
          <xm:sqref>BK2:BK101 BK119:BK304</xm:sqref>
        </x14:dataValidation>
        <x14:dataValidation type="list" allowBlank="1" errorTitle="Valeur non autorisee" error="Valeur hors liste - voir feuille Listes" xr:uid="{00000000-0002-0000-0000-00000F000000}">
          <x14:formula1>
            <xm:f>Listes!$O$3:$O$11</xm:f>
          </x14:formula1>
          <xm:sqref>BL2:BM101 BL119:BM304</xm:sqref>
        </x14:dataValidation>
        <x14:dataValidation type="list" allowBlank="1" errorTitle="Valeur non autorisee" error="Valeur hors liste - voir feuille Listes" xr:uid="{00000000-0002-0000-0000-000010000000}">
          <x14:formula1>
            <xm:f>Listes!$P$3:$P$10</xm:f>
          </x14:formula1>
          <xm:sqref>BQ584:BQ589 BQ362:BQ397 BQ316:BQ326 BQ2:BQ101 BQ119:BQ314</xm:sqref>
        </x14:dataValidation>
        <x14:dataValidation type="list" allowBlank="1" errorTitle="Valeur non autorisee" error="Valeur hors liste - voir feuille Listes" xr:uid="{00000000-0002-0000-0000-000011000000}">
          <x14:formula1>
            <xm:f>Listes!$Q$3:$Q$11</xm:f>
          </x14:formula1>
          <xm:sqref>BR2:BR101 BR119:BR304</xm:sqref>
        </x14:dataValidation>
        <x14:dataValidation type="list" allowBlank="1" errorTitle="Valeur non autorisee" error="Valeur hors liste - voir feuille Listes" xr:uid="{00000000-0002-0000-0000-000012000000}">
          <x14:formula1>
            <xm:f>Listes!$R$3:$R$13</xm:f>
          </x14:formula1>
          <xm:sqref>BW2:BW101 BW119:BW304</xm:sqref>
        </x14:dataValidation>
        <x14:dataValidation type="list" allowBlank="1" errorTitle="Valeur non autorisee" error="Valeur hors liste - voir feuille Listes" xr:uid="{00000000-0002-0000-0000-000013000000}">
          <x14:formula1>
            <xm:f>Listes!$S$3:$S$12</xm:f>
          </x14:formula1>
          <xm:sqref>BX2:BX101 BX119:BX304</xm:sqref>
        </x14:dataValidation>
        <x14:dataValidation type="list" allowBlank="1" errorTitle="Valeur non autorisee" error="Valeur hors liste - voir feuille Listes" xr:uid="{00000000-0002-0000-0000-000014000000}">
          <x14:formula1>
            <xm:f>Listes!$T$3:$T$15</xm:f>
          </x14:formula1>
          <xm:sqref>BY2:BY101 BY119:BY304</xm:sqref>
        </x14:dataValidation>
        <x14:dataValidation type="list" allowBlank="1" errorTitle="Valeur non autorisee" error="Valeur hors liste - voir feuille Listes" xr:uid="{00000000-0002-0000-0000-000018000000}">
          <x14:formula1>
            <xm:f>Listes!$U$3:$U$12</xm:f>
          </x14:formula1>
          <xm:sqref>CE2:CE101 CE239:CE304 CE119:CE237</xm:sqref>
        </x14:dataValidation>
        <x14:dataValidation type="list" allowBlank="1" errorTitle="Valeur non autorisee" error="Valeur hors liste - voir feuille Listes" xr:uid="{00000000-0002-0000-0000-00001A000000}">
          <x14:formula1>
            <xm:f>Listes!$V$3:$V$11</xm:f>
          </x14:formula1>
          <xm:sqref>CG2:CG101 CG119:CG304</xm:sqref>
        </x14:dataValidation>
        <x14:dataValidation type="list" allowBlank="1" errorTitle="Valeur non autorisee" error="Valeur hors liste - voir feuille Listes" xr:uid="{00000000-0002-0000-0000-00001C000000}">
          <x14:formula1>
            <xm:f>Listes!$W$3:$W$13</xm:f>
          </x14:formula1>
          <xm:sqref>CJ2:CJ101 CJ119:CJ304</xm:sqref>
        </x14:dataValidation>
        <x14:dataValidation type="list" allowBlank="1" errorTitle="Valeur non autorisee" error="Valeur hors liste - voir feuille Listes" xr:uid="{00000000-0002-0000-0000-00001E000000}">
          <x14:formula1>
            <xm:f>Listes!$X$3:$X$10</xm:f>
          </x14:formula1>
          <xm:sqref>CN2:CO101 CN119:CO304</xm:sqref>
        </x14:dataValidation>
        <x14:dataValidation type="list" allowBlank="1" errorTitle="Valeur non autorisee" error="Valeur hors liste - voir feuille Listes" xr:uid="{00000000-0002-0000-0000-00001F000000}">
          <x14:formula1>
            <xm:f>Listes!$Y$3:$Y$10</xm:f>
          </x14:formula1>
          <xm:sqref>CP2:CP101 CP119:CP304</xm:sqref>
        </x14:dataValidation>
        <x14:dataValidation type="list" allowBlank="1" errorTitle="Valeur non autorisee" error="Valeur hors liste - voir feuille Listes" xr:uid="{00000000-0002-0000-0000-000020000000}">
          <x14:formula1>
            <xm:f>Listes!$AA$3:$AA$10</xm:f>
          </x14:formula1>
          <xm:sqref>CQ2:CQ101 CQ119:CQ304</xm:sqref>
        </x14:dataValidation>
        <x14:dataValidation type="list" allowBlank="1" errorTitle="Valeur non autorisee" error="Valeur hors liste - voir feuille Listes" xr:uid="{B6925412-A9F5-4982-BB9F-EEC087FE60A5}">
          <x14:formula1>
            <xm:f>Listes!$D$3:$D$6</xm:f>
          </x14:formula1>
          <xm:sqref>L68:M69 L84:M101 M1:M67 L79:L80 M70:M83 M119:M1066 M1068:M1074 M1097:M1048576</xm:sqref>
        </x14:dataValidation>
        <x14:dataValidation type="list" allowBlank="1" errorTitle="Valeur non autorisee" error="Valeur hors liste - voir feuille Listes" xr:uid="{00000000-0002-0000-0000-000005000000}">
          <x14:formula1>
            <xm:f>Listes!$E$3:$E$17</xm:f>
          </x14:formula1>
          <xm:sqref>AL2:AL101 AL119:AL304</xm:sqref>
        </x14:dataValidation>
        <x14:dataValidation type="list" allowBlank="1" errorTitle="Valeur non autorisee" error="Valeur hors liste - voir feuille Listes" xr:uid="{00000000-0002-0000-0000-000006000000}">
          <x14:formula1>
            <xm:f>Listes!$F$3:$F$13</xm:f>
          </x14:formula1>
          <xm:sqref>AT2:AU101 AT119:AU304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7"/>
  <sheetViews>
    <sheetView workbookViewId="0">
      <pane ySplit="2" topLeftCell="A3" activePane="bottomLeft" state="frozen"/>
      <selection pane="bottomLeft" activeCell="Z18" sqref="Z18"/>
    </sheetView>
  </sheetViews>
  <sheetFormatPr baseColWidth="10" defaultColWidth="8.90625" defaultRowHeight="14.5" x14ac:dyDescent="0.35"/>
  <cols>
    <col min="1" max="2" width="14" customWidth="1"/>
    <col min="3" max="3" width="17" customWidth="1"/>
    <col min="4" max="5" width="14" customWidth="1"/>
    <col min="6" max="6" width="18" customWidth="1"/>
    <col min="7" max="7" width="21" customWidth="1"/>
    <col min="8" max="8" width="16" customWidth="1"/>
    <col min="9" max="9" width="15" customWidth="1"/>
    <col min="10" max="13" width="14" customWidth="1"/>
    <col min="14" max="14" width="19" customWidth="1"/>
    <col min="15" max="15" width="15" customWidth="1"/>
    <col min="16" max="17" width="14" customWidth="1"/>
    <col min="18" max="19" width="16" customWidth="1"/>
    <col min="20" max="20" width="14" customWidth="1"/>
    <col min="21" max="21" width="23" customWidth="1"/>
    <col min="22" max="22" width="30" customWidth="1"/>
    <col min="23" max="23" width="17" customWidth="1"/>
    <col min="24" max="24" width="24" customWidth="1"/>
    <col min="25" max="26" width="16" customWidth="1"/>
    <col min="27" max="27" width="14" customWidth="1"/>
  </cols>
  <sheetData>
    <row r="1" spans="1:28" ht="30" customHeight="1" x14ac:dyDescent="0.35">
      <c r="A1" s="108" t="s">
        <v>77</v>
      </c>
      <c r="B1" s="109"/>
      <c r="C1" s="109"/>
      <c r="D1" s="109"/>
      <c r="E1" s="109"/>
      <c r="F1" s="109"/>
      <c r="G1" s="109"/>
      <c r="H1" s="109"/>
    </row>
    <row r="2" spans="1:28" ht="24" x14ac:dyDescent="0.35">
      <c r="A2" s="9" t="s">
        <v>6</v>
      </c>
      <c r="B2" s="9" t="s">
        <v>9</v>
      </c>
      <c r="C2" s="9" t="s">
        <v>11</v>
      </c>
      <c r="D2" s="30" t="s">
        <v>379</v>
      </c>
      <c r="E2" s="9" t="s">
        <v>20</v>
      </c>
      <c r="F2" s="9" t="s">
        <v>24</v>
      </c>
      <c r="G2" s="9" t="s">
        <v>30</v>
      </c>
      <c r="H2" s="9" t="s">
        <v>31</v>
      </c>
      <c r="I2" s="9" t="s">
        <v>32</v>
      </c>
      <c r="J2" s="9" t="s">
        <v>33</v>
      </c>
      <c r="K2" s="9" t="s">
        <v>36</v>
      </c>
      <c r="L2" s="9" t="s">
        <v>37</v>
      </c>
      <c r="M2" s="9" t="s">
        <v>38</v>
      </c>
      <c r="N2" s="9" t="s">
        <v>39</v>
      </c>
      <c r="O2" s="9" t="s">
        <v>45</v>
      </c>
      <c r="P2" s="9" t="s">
        <v>46</v>
      </c>
      <c r="Q2" s="9" t="s">
        <v>49</v>
      </c>
      <c r="R2" s="9" t="s">
        <v>50</v>
      </c>
      <c r="S2" s="9" t="s">
        <v>55</v>
      </c>
      <c r="T2" s="9" t="s">
        <v>56</v>
      </c>
      <c r="U2" s="9" t="s">
        <v>57</v>
      </c>
      <c r="V2" s="9" t="s">
        <v>63</v>
      </c>
      <c r="W2" s="9" t="s">
        <v>65</v>
      </c>
      <c r="X2" s="9" t="s">
        <v>68</v>
      </c>
      <c r="Y2" s="9" t="s">
        <v>71</v>
      </c>
      <c r="Z2" s="9" t="s">
        <v>925</v>
      </c>
      <c r="AA2" s="9" t="s">
        <v>72</v>
      </c>
      <c r="AB2" s="9" t="s">
        <v>73</v>
      </c>
    </row>
    <row r="3" spans="1:28" x14ac:dyDescent="0.35">
      <c r="A3" s="10" t="s">
        <v>78</v>
      </c>
      <c r="B3" s="10" t="s">
        <v>79</v>
      </c>
      <c r="C3" s="10" t="s">
        <v>80</v>
      </c>
      <c r="D3" s="31" t="s">
        <v>380</v>
      </c>
      <c r="E3" s="10" t="s">
        <v>81</v>
      </c>
      <c r="F3" s="10" t="s">
        <v>82</v>
      </c>
      <c r="G3" s="10" t="s">
        <v>83</v>
      </c>
      <c r="H3" s="10" t="s">
        <v>84</v>
      </c>
      <c r="I3" s="10" t="s">
        <v>85</v>
      </c>
      <c r="J3" s="10" t="s">
        <v>86</v>
      </c>
      <c r="K3" s="10" t="s">
        <v>87</v>
      </c>
      <c r="L3" s="10" t="s">
        <v>88</v>
      </c>
      <c r="M3" s="10" t="s">
        <v>89</v>
      </c>
      <c r="N3" s="10" t="s">
        <v>90</v>
      </c>
      <c r="O3" s="10" t="s">
        <v>91</v>
      </c>
      <c r="P3" s="10" t="s">
        <v>84</v>
      </c>
      <c r="Q3" s="10" t="s">
        <v>92</v>
      </c>
      <c r="R3" s="10" t="s">
        <v>93</v>
      </c>
      <c r="S3" s="10" t="s">
        <v>94</v>
      </c>
      <c r="T3" s="10" t="s">
        <v>95</v>
      </c>
      <c r="U3" s="10" t="s">
        <v>96</v>
      </c>
      <c r="V3" s="10" t="s">
        <v>97</v>
      </c>
      <c r="W3" s="10" t="s">
        <v>97</v>
      </c>
      <c r="X3" s="10" t="s">
        <v>98</v>
      </c>
      <c r="Y3" s="10" t="s">
        <v>99</v>
      </c>
      <c r="Z3" s="10" t="s">
        <v>940</v>
      </c>
      <c r="AA3" s="10" t="s">
        <v>100</v>
      </c>
      <c r="AB3" s="10" t="s">
        <v>101</v>
      </c>
    </row>
    <row r="4" spans="1:28" x14ac:dyDescent="0.35">
      <c r="A4" s="10" t="s">
        <v>102</v>
      </c>
      <c r="B4" s="10" t="s">
        <v>103</v>
      </c>
      <c r="C4" s="10" t="s">
        <v>104</v>
      </c>
      <c r="D4" s="31" t="s">
        <v>381</v>
      </c>
      <c r="E4" s="10" t="s">
        <v>105</v>
      </c>
      <c r="F4" s="10" t="s">
        <v>106</v>
      </c>
      <c r="G4" s="10" t="s">
        <v>107</v>
      </c>
      <c r="H4" s="10" t="s">
        <v>108</v>
      </c>
      <c r="I4" s="10" t="s">
        <v>109</v>
      </c>
      <c r="J4" s="10" t="s">
        <v>110</v>
      </c>
      <c r="K4" s="10" t="s">
        <v>111</v>
      </c>
      <c r="L4" s="10" t="s">
        <v>112</v>
      </c>
      <c r="M4" s="10" t="s">
        <v>113</v>
      </c>
      <c r="N4" s="10" t="s">
        <v>114</v>
      </c>
      <c r="O4" s="10" t="s">
        <v>115</v>
      </c>
      <c r="P4" s="10" t="s">
        <v>116</v>
      </c>
      <c r="Q4" s="10" t="s">
        <v>117</v>
      </c>
      <c r="R4" s="10" t="s">
        <v>118</v>
      </c>
      <c r="S4" s="10" t="s">
        <v>119</v>
      </c>
      <c r="T4" s="10" t="s">
        <v>120</v>
      </c>
      <c r="U4" s="10" t="s">
        <v>61</v>
      </c>
      <c r="V4" s="10" t="s">
        <v>121</v>
      </c>
      <c r="W4" s="10" t="s">
        <v>122</v>
      </c>
      <c r="X4" s="10" t="s">
        <v>123</v>
      </c>
      <c r="Y4" s="10" t="s">
        <v>124</v>
      </c>
      <c r="Z4" s="10" t="s">
        <v>941</v>
      </c>
      <c r="AA4" s="10" t="s">
        <v>125</v>
      </c>
      <c r="AB4" s="10" t="s">
        <v>126</v>
      </c>
    </row>
    <row r="5" spans="1:28" x14ac:dyDescent="0.35">
      <c r="A5" s="10" t="s">
        <v>127</v>
      </c>
      <c r="B5" s="10" t="s">
        <v>128</v>
      </c>
      <c r="C5" s="10" t="s">
        <v>129</v>
      </c>
      <c r="D5" s="31" t="s">
        <v>157</v>
      </c>
      <c r="E5" s="10" t="s">
        <v>130</v>
      </c>
      <c r="F5" s="10" t="s">
        <v>131</v>
      </c>
      <c r="G5" s="10" t="s">
        <v>132</v>
      </c>
      <c r="H5" s="10" t="s">
        <v>133</v>
      </c>
      <c r="I5" s="10" t="s">
        <v>134</v>
      </c>
      <c r="J5" s="10" t="s">
        <v>135</v>
      </c>
      <c r="K5" s="10" t="s">
        <v>136</v>
      </c>
      <c r="M5" s="10" t="s">
        <v>134</v>
      </c>
      <c r="N5" s="10" t="s">
        <v>134</v>
      </c>
      <c r="P5" s="10" t="s">
        <v>137</v>
      </c>
      <c r="R5" s="10" t="s">
        <v>134</v>
      </c>
      <c r="S5" s="10" t="s">
        <v>138</v>
      </c>
      <c r="T5" s="10" t="s">
        <v>139</v>
      </c>
      <c r="U5" s="10" t="s">
        <v>140</v>
      </c>
      <c r="V5" s="10" t="s">
        <v>141</v>
      </c>
      <c r="W5" s="10" t="s">
        <v>142</v>
      </c>
      <c r="X5" s="10" t="s">
        <v>143</v>
      </c>
      <c r="Z5" s="62" t="s">
        <v>961</v>
      </c>
    </row>
    <row r="6" spans="1:28" x14ac:dyDescent="0.35">
      <c r="A6" s="10" t="s">
        <v>144</v>
      </c>
      <c r="B6" s="10" t="s">
        <v>145</v>
      </c>
      <c r="C6" s="10" t="s">
        <v>146</v>
      </c>
      <c r="D6" s="10"/>
      <c r="E6" s="10" t="s">
        <v>147</v>
      </c>
      <c r="F6" s="10" t="s">
        <v>148</v>
      </c>
      <c r="G6" s="10" t="s">
        <v>149</v>
      </c>
      <c r="H6" s="22"/>
      <c r="K6" s="10" t="s">
        <v>150</v>
      </c>
      <c r="S6" s="10" t="s">
        <v>151</v>
      </c>
      <c r="T6" s="10" t="s">
        <v>152</v>
      </c>
      <c r="U6" s="10" t="s">
        <v>153</v>
      </c>
      <c r="V6" s="10" t="s">
        <v>154</v>
      </c>
      <c r="X6" s="10" t="s">
        <v>155</v>
      </c>
      <c r="Z6" s="63" t="s">
        <v>380</v>
      </c>
    </row>
    <row r="7" spans="1:28" x14ac:dyDescent="0.35">
      <c r="A7" s="10" t="s">
        <v>156</v>
      </c>
      <c r="B7" s="10" t="s">
        <v>157</v>
      </c>
      <c r="C7" s="10" t="s">
        <v>158</v>
      </c>
      <c r="D7" s="10"/>
      <c r="F7" s="10" t="s">
        <v>159</v>
      </c>
      <c r="G7" s="10" t="s">
        <v>157</v>
      </c>
      <c r="K7" s="10" t="s">
        <v>160</v>
      </c>
      <c r="S7" s="10" t="s">
        <v>157</v>
      </c>
      <c r="U7" s="10" t="s">
        <v>161</v>
      </c>
      <c r="X7" s="10" t="s">
        <v>157</v>
      </c>
      <c r="Z7" s="63" t="s">
        <v>943</v>
      </c>
    </row>
    <row r="8" spans="1:28" x14ac:dyDescent="0.35">
      <c r="C8" s="10" t="s">
        <v>157</v>
      </c>
      <c r="D8" s="10"/>
      <c r="F8" s="10" t="s">
        <v>162</v>
      </c>
      <c r="G8" s="22"/>
      <c r="K8" s="10" t="s">
        <v>157</v>
      </c>
      <c r="U8" s="10" t="s">
        <v>139</v>
      </c>
      <c r="X8" s="28" t="s">
        <v>377</v>
      </c>
      <c r="Z8" s="63" t="s">
        <v>97</v>
      </c>
    </row>
    <row r="9" spans="1:28" x14ac:dyDescent="0.35">
      <c r="F9" s="10" t="s">
        <v>163</v>
      </c>
      <c r="T9" s="10" t="s">
        <v>157</v>
      </c>
      <c r="X9" s="28" t="s">
        <v>397</v>
      </c>
      <c r="Z9" s="63" t="s">
        <v>947</v>
      </c>
    </row>
    <row r="10" spans="1:28" x14ac:dyDescent="0.35">
      <c r="F10" s="10" t="s">
        <v>142</v>
      </c>
      <c r="Z10" s="63" t="s">
        <v>946</v>
      </c>
    </row>
    <row r="11" spans="1:28" x14ac:dyDescent="0.35">
      <c r="Z11" s="63" t="s">
        <v>956</v>
      </c>
    </row>
    <row r="12" spans="1:28" x14ac:dyDescent="0.35">
      <c r="Z12" s="63" t="s">
        <v>957</v>
      </c>
    </row>
    <row r="13" spans="1:28" x14ac:dyDescent="0.35">
      <c r="Z13" s="63" t="s">
        <v>944</v>
      </c>
    </row>
    <row r="14" spans="1:28" x14ac:dyDescent="0.35">
      <c r="Z14" s="63" t="s">
        <v>945</v>
      </c>
    </row>
    <row r="15" spans="1:28" x14ac:dyDescent="0.35">
      <c r="Z15" s="63" t="s">
        <v>942</v>
      </c>
    </row>
    <row r="16" spans="1:28" x14ac:dyDescent="0.35">
      <c r="Z16" s="63" t="s">
        <v>1264</v>
      </c>
    </row>
    <row r="17" spans="26:26" x14ac:dyDescent="0.35">
      <c r="Z17" s="63" t="s">
        <v>1318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1"/>
  <sheetViews>
    <sheetView zoomScale="117" workbookViewId="0">
      <pane ySplit="5" topLeftCell="A49" activePane="bottomLeft" state="frozen"/>
      <selection pane="bottomLeft" activeCell="E59" sqref="E59"/>
    </sheetView>
  </sheetViews>
  <sheetFormatPr baseColWidth="10" defaultColWidth="8.90625" defaultRowHeight="14.5" x14ac:dyDescent="0.35"/>
  <cols>
    <col min="1" max="1" width="28" customWidth="1"/>
    <col min="2" max="2" width="20" customWidth="1"/>
    <col min="3" max="3" width="62" customWidth="1"/>
    <col min="4" max="4" width="14" customWidth="1"/>
    <col min="5" max="5" width="42" customWidth="1"/>
  </cols>
  <sheetData>
    <row r="1" spans="1:5" x14ac:dyDescent="0.35">
      <c r="A1" s="110" t="s">
        <v>164</v>
      </c>
      <c r="B1" s="109"/>
      <c r="C1" s="109"/>
      <c r="D1" s="109"/>
      <c r="E1" s="109"/>
    </row>
    <row r="2" spans="1:5" x14ac:dyDescent="0.35">
      <c r="A2" s="108" t="s">
        <v>165</v>
      </c>
      <c r="B2" s="109"/>
      <c r="C2" s="109"/>
      <c r="D2" s="109"/>
      <c r="E2" s="109"/>
    </row>
    <row r="3" spans="1:5" x14ac:dyDescent="0.35">
      <c r="A3" s="111" t="s">
        <v>166</v>
      </c>
      <c r="B3" s="109"/>
      <c r="C3" s="109"/>
      <c r="D3" s="109"/>
      <c r="E3" s="109"/>
    </row>
    <row r="5" spans="1:5" x14ac:dyDescent="0.35">
      <c r="A5" s="11" t="s">
        <v>167</v>
      </c>
      <c r="B5" s="11" t="s">
        <v>168</v>
      </c>
      <c r="C5" s="11" t="s">
        <v>169</v>
      </c>
      <c r="D5" s="11" t="s">
        <v>170</v>
      </c>
      <c r="E5" s="11" t="s">
        <v>171</v>
      </c>
    </row>
    <row r="6" spans="1:5" ht="23" x14ac:dyDescent="0.35">
      <c r="A6" s="12" t="s">
        <v>0</v>
      </c>
      <c r="B6" s="13" t="s">
        <v>172</v>
      </c>
      <c r="C6" s="14" t="s">
        <v>173</v>
      </c>
      <c r="D6" s="14" t="s">
        <v>174</v>
      </c>
      <c r="E6" s="14"/>
    </row>
    <row r="7" spans="1:5" x14ac:dyDescent="0.35">
      <c r="A7" s="12" t="s">
        <v>1</v>
      </c>
      <c r="B7" s="13" t="s">
        <v>172</v>
      </c>
      <c r="C7" s="14" t="s">
        <v>175</v>
      </c>
      <c r="D7" s="14" t="s">
        <v>174</v>
      </c>
      <c r="E7" s="14"/>
    </row>
    <row r="8" spans="1:5" x14ac:dyDescent="0.35">
      <c r="A8" s="12" t="s">
        <v>2</v>
      </c>
      <c r="B8" s="13" t="s">
        <v>172</v>
      </c>
      <c r="C8" s="14" t="s">
        <v>176</v>
      </c>
      <c r="D8" s="14" t="s">
        <v>174</v>
      </c>
      <c r="E8" s="14"/>
    </row>
    <row r="9" spans="1:5" x14ac:dyDescent="0.35">
      <c r="A9" s="12" t="s">
        <v>3</v>
      </c>
      <c r="B9" s="13" t="s">
        <v>172</v>
      </c>
      <c r="C9" s="14" t="s">
        <v>177</v>
      </c>
      <c r="D9" s="14" t="s">
        <v>178</v>
      </c>
      <c r="E9" s="14"/>
    </row>
    <row r="10" spans="1:5" x14ac:dyDescent="0.35">
      <c r="A10" s="12" t="s">
        <v>4</v>
      </c>
      <c r="B10" s="13" t="s">
        <v>172</v>
      </c>
      <c r="C10" s="14" t="s">
        <v>179</v>
      </c>
      <c r="D10" s="14" t="s">
        <v>174</v>
      </c>
      <c r="E10" s="14"/>
    </row>
    <row r="11" spans="1:5" x14ac:dyDescent="0.35">
      <c r="A11" s="12" t="s">
        <v>5</v>
      </c>
      <c r="B11" s="13" t="s">
        <v>172</v>
      </c>
      <c r="C11" s="14" t="s">
        <v>180</v>
      </c>
      <c r="D11" s="14" t="s">
        <v>174</v>
      </c>
      <c r="E11" s="14"/>
    </row>
    <row r="12" spans="1:5" x14ac:dyDescent="0.35">
      <c r="A12" s="12" t="s">
        <v>6</v>
      </c>
      <c r="B12" s="13" t="s">
        <v>172</v>
      </c>
      <c r="C12" s="14" t="s">
        <v>282</v>
      </c>
      <c r="D12" s="14" t="s">
        <v>181</v>
      </c>
      <c r="E12" s="14" t="s">
        <v>182</v>
      </c>
    </row>
    <row r="13" spans="1:5" x14ac:dyDescent="0.35">
      <c r="A13" s="12" t="s">
        <v>7</v>
      </c>
      <c r="B13" s="13" t="s">
        <v>172</v>
      </c>
      <c r="C13" s="14" t="s">
        <v>183</v>
      </c>
      <c r="D13" s="14" t="s">
        <v>184</v>
      </c>
      <c r="E13" s="14" t="s">
        <v>185</v>
      </c>
    </row>
    <row r="14" spans="1:5" x14ac:dyDescent="0.35">
      <c r="A14" s="12" t="s">
        <v>8</v>
      </c>
      <c r="B14" s="13" t="s">
        <v>172</v>
      </c>
      <c r="C14" s="14" t="s">
        <v>186</v>
      </c>
      <c r="D14" s="14" t="s">
        <v>174</v>
      </c>
      <c r="E14" s="14"/>
    </row>
    <row r="15" spans="1:5" x14ac:dyDescent="0.35">
      <c r="A15" s="12" t="s">
        <v>9</v>
      </c>
      <c r="B15" s="13" t="s">
        <v>172</v>
      </c>
      <c r="C15" s="14" t="s">
        <v>283</v>
      </c>
      <c r="D15" s="14" t="s">
        <v>181</v>
      </c>
      <c r="E15" s="14" t="s">
        <v>187</v>
      </c>
    </row>
    <row r="16" spans="1:5" x14ac:dyDescent="0.35">
      <c r="A16" s="12" t="s">
        <v>10</v>
      </c>
      <c r="B16" s="13" t="s">
        <v>172</v>
      </c>
      <c r="C16" s="14" t="s">
        <v>188</v>
      </c>
      <c r="D16" s="14" t="s">
        <v>178</v>
      </c>
      <c r="E16" s="14"/>
    </row>
    <row r="17" spans="1:5" ht="23" x14ac:dyDescent="0.35">
      <c r="A17" s="12" t="s">
        <v>11</v>
      </c>
      <c r="B17" s="15" t="s">
        <v>189</v>
      </c>
      <c r="C17" s="14" t="s">
        <v>190</v>
      </c>
      <c r="D17" s="14" t="s">
        <v>181</v>
      </c>
      <c r="E17" s="14" t="s">
        <v>191</v>
      </c>
    </row>
    <row r="18" spans="1:5" ht="23" x14ac:dyDescent="0.35">
      <c r="A18" s="32" t="s">
        <v>378</v>
      </c>
      <c r="B18" s="15" t="s">
        <v>189</v>
      </c>
      <c r="C18" s="14" t="s">
        <v>382</v>
      </c>
      <c r="D18" s="33" t="s">
        <v>181</v>
      </c>
      <c r="E18" s="33" t="s">
        <v>383</v>
      </c>
    </row>
    <row r="19" spans="1:5" x14ac:dyDescent="0.35">
      <c r="A19" s="12" t="s">
        <v>12</v>
      </c>
      <c r="B19" s="15" t="s">
        <v>189</v>
      </c>
      <c r="C19" s="33" t="s">
        <v>192</v>
      </c>
      <c r="D19" s="14" t="s">
        <v>193</v>
      </c>
      <c r="E19" s="14"/>
    </row>
    <row r="20" spans="1:5" x14ac:dyDescent="0.35">
      <c r="A20" s="12" t="s">
        <v>13</v>
      </c>
      <c r="B20" s="15" t="s">
        <v>189</v>
      </c>
      <c r="C20" s="14" t="s">
        <v>284</v>
      </c>
      <c r="D20" s="14" t="s">
        <v>193</v>
      </c>
      <c r="E20" s="14"/>
    </row>
    <row r="21" spans="1:5" x14ac:dyDescent="0.35">
      <c r="A21" s="12" t="s">
        <v>14</v>
      </c>
      <c r="B21" s="15" t="s">
        <v>189</v>
      </c>
      <c r="C21" s="14" t="s">
        <v>194</v>
      </c>
      <c r="D21" s="14" t="s">
        <v>193</v>
      </c>
      <c r="E21" s="14"/>
    </row>
    <row r="22" spans="1:5" x14ac:dyDescent="0.35">
      <c r="A22" s="12" t="s">
        <v>15</v>
      </c>
      <c r="B22" s="15" t="s">
        <v>189</v>
      </c>
      <c r="C22" s="14" t="s">
        <v>195</v>
      </c>
      <c r="D22" s="14" t="s">
        <v>193</v>
      </c>
      <c r="E22" s="14"/>
    </row>
    <row r="23" spans="1:5" x14ac:dyDescent="0.35">
      <c r="A23" s="12" t="s">
        <v>16</v>
      </c>
      <c r="B23" s="15" t="s">
        <v>189</v>
      </c>
      <c r="C23" s="14" t="s">
        <v>196</v>
      </c>
      <c r="D23" s="14" t="s">
        <v>193</v>
      </c>
      <c r="E23" s="14"/>
    </row>
    <row r="24" spans="1:5" x14ac:dyDescent="0.35">
      <c r="A24" s="12" t="s">
        <v>17</v>
      </c>
      <c r="B24" s="15" t="s">
        <v>189</v>
      </c>
      <c r="C24" s="14" t="s">
        <v>197</v>
      </c>
      <c r="D24" s="14" t="s">
        <v>193</v>
      </c>
      <c r="E24" s="14"/>
    </row>
    <row r="25" spans="1:5" x14ac:dyDescent="0.35">
      <c r="A25" s="12" t="s">
        <v>18</v>
      </c>
      <c r="B25" s="15" t="s">
        <v>189</v>
      </c>
      <c r="C25" s="14" t="s">
        <v>198</v>
      </c>
      <c r="D25" s="14" t="s">
        <v>178</v>
      </c>
      <c r="E25" s="14"/>
    </row>
    <row r="26" spans="1:5" x14ac:dyDescent="0.35">
      <c r="A26" s="12" t="s">
        <v>527</v>
      </c>
      <c r="B26" s="15" t="s">
        <v>189</v>
      </c>
      <c r="C26" s="14" t="s">
        <v>528</v>
      </c>
      <c r="D26" s="14" t="s">
        <v>184</v>
      </c>
      <c r="E26" s="14"/>
    </row>
    <row r="27" spans="1:5" x14ac:dyDescent="0.35">
      <c r="A27" s="12" t="s">
        <v>19</v>
      </c>
      <c r="B27" s="15" t="s">
        <v>189</v>
      </c>
      <c r="C27" s="14" t="s">
        <v>199</v>
      </c>
      <c r="D27" s="14" t="s">
        <v>178</v>
      </c>
      <c r="E27" s="14"/>
    </row>
    <row r="28" spans="1:5" x14ac:dyDescent="0.35">
      <c r="A28" s="12" t="s">
        <v>20</v>
      </c>
      <c r="B28" s="15" t="s">
        <v>189</v>
      </c>
      <c r="C28" s="14" t="s">
        <v>200</v>
      </c>
      <c r="D28" s="14" t="s">
        <v>181</v>
      </c>
      <c r="E28" s="14" t="s">
        <v>201</v>
      </c>
    </row>
    <row r="29" spans="1:5" x14ac:dyDescent="0.35">
      <c r="A29" s="12" t="s">
        <v>21</v>
      </c>
      <c r="B29" s="15" t="s">
        <v>189</v>
      </c>
      <c r="C29" s="14" t="s">
        <v>202</v>
      </c>
      <c r="D29" s="14" t="s">
        <v>193</v>
      </c>
      <c r="E29" s="14"/>
    </row>
    <row r="30" spans="1:5" x14ac:dyDescent="0.35">
      <c r="A30" s="12" t="s">
        <v>22</v>
      </c>
      <c r="B30" s="15" t="s">
        <v>189</v>
      </c>
      <c r="C30" s="14" t="s">
        <v>203</v>
      </c>
      <c r="D30" s="14" t="s">
        <v>193</v>
      </c>
      <c r="E30" s="14"/>
    </row>
    <row r="31" spans="1:5" x14ac:dyDescent="0.35">
      <c r="A31" s="12" t="s">
        <v>23</v>
      </c>
      <c r="B31" s="15" t="s">
        <v>189</v>
      </c>
      <c r="C31" s="14" t="s">
        <v>204</v>
      </c>
      <c r="D31" s="14" t="s">
        <v>193</v>
      </c>
      <c r="E31" s="14"/>
    </row>
    <row r="32" spans="1:5" ht="23" x14ac:dyDescent="0.35">
      <c r="A32" s="12" t="s">
        <v>525</v>
      </c>
      <c r="B32" s="15" t="s">
        <v>189</v>
      </c>
      <c r="C32" s="14" t="s">
        <v>526</v>
      </c>
      <c r="D32" s="14" t="s">
        <v>193</v>
      </c>
      <c r="E32" s="14"/>
    </row>
    <row r="33" spans="1:5" ht="23" x14ac:dyDescent="0.35">
      <c r="A33" s="12" t="s">
        <v>24</v>
      </c>
      <c r="B33" s="16" t="s">
        <v>205</v>
      </c>
      <c r="C33" s="14" t="s">
        <v>206</v>
      </c>
      <c r="D33" s="14" t="s">
        <v>181</v>
      </c>
      <c r="E33" s="14" t="s">
        <v>207</v>
      </c>
    </row>
    <row r="34" spans="1:5" x14ac:dyDescent="0.35">
      <c r="A34" s="12" t="s">
        <v>25</v>
      </c>
      <c r="B34" s="16" t="s">
        <v>205</v>
      </c>
      <c r="C34" s="14" t="s">
        <v>208</v>
      </c>
      <c r="D34" s="14" t="s">
        <v>174</v>
      </c>
      <c r="E34" s="14"/>
    </row>
    <row r="35" spans="1:5" x14ac:dyDescent="0.35">
      <c r="A35" s="12" t="s">
        <v>26</v>
      </c>
      <c r="B35" s="16" t="s">
        <v>205</v>
      </c>
      <c r="C35" s="14" t="s">
        <v>209</v>
      </c>
      <c r="D35" s="14" t="s">
        <v>193</v>
      </c>
      <c r="E35" s="14"/>
    </row>
    <row r="36" spans="1:5" x14ac:dyDescent="0.35">
      <c r="A36" s="12" t="s">
        <v>503</v>
      </c>
      <c r="B36" s="16" t="s">
        <v>205</v>
      </c>
      <c r="C36" s="14" t="s">
        <v>504</v>
      </c>
      <c r="D36" s="14" t="s">
        <v>184</v>
      </c>
      <c r="E36" s="14" t="s">
        <v>185</v>
      </c>
    </row>
    <row r="37" spans="1:5" x14ac:dyDescent="0.35">
      <c r="A37" s="12" t="s">
        <v>27</v>
      </c>
      <c r="B37" s="16" t="s">
        <v>205</v>
      </c>
      <c r="C37" s="14" t="s">
        <v>210</v>
      </c>
      <c r="D37" s="14" t="s">
        <v>193</v>
      </c>
      <c r="E37" s="14"/>
    </row>
    <row r="38" spans="1:5" x14ac:dyDescent="0.35">
      <c r="A38" s="12" t="s">
        <v>28</v>
      </c>
      <c r="B38" s="16" t="s">
        <v>205</v>
      </c>
      <c r="C38" s="14" t="s">
        <v>211</v>
      </c>
      <c r="D38" s="14" t="s">
        <v>193</v>
      </c>
      <c r="E38" s="14"/>
    </row>
    <row r="39" spans="1:5" x14ac:dyDescent="0.35">
      <c r="A39" s="12" t="s">
        <v>29</v>
      </c>
      <c r="B39" s="16" t="s">
        <v>205</v>
      </c>
      <c r="C39" s="14" t="s">
        <v>212</v>
      </c>
      <c r="D39" s="14" t="s">
        <v>193</v>
      </c>
      <c r="E39" s="14"/>
    </row>
    <row r="40" spans="1:5" ht="23" x14ac:dyDescent="0.35">
      <c r="A40" s="12" t="s">
        <v>30</v>
      </c>
      <c r="B40" s="16" t="s">
        <v>205</v>
      </c>
      <c r="C40" s="14" t="s">
        <v>213</v>
      </c>
      <c r="D40" s="14" t="s">
        <v>181</v>
      </c>
      <c r="E40" s="14" t="s">
        <v>214</v>
      </c>
    </row>
    <row r="41" spans="1:5" x14ac:dyDescent="0.35">
      <c r="A41" s="12" t="s">
        <v>506</v>
      </c>
      <c r="B41" s="16" t="s">
        <v>205</v>
      </c>
      <c r="C41" s="14" t="s">
        <v>507</v>
      </c>
      <c r="D41" s="14" t="s">
        <v>181</v>
      </c>
      <c r="E41" s="14" t="s">
        <v>217</v>
      </c>
    </row>
    <row r="42" spans="1:5" x14ac:dyDescent="0.35">
      <c r="A42" s="12" t="s">
        <v>31</v>
      </c>
      <c r="B42" s="16" t="s">
        <v>205</v>
      </c>
      <c r="C42" s="14" t="s">
        <v>215</v>
      </c>
      <c r="D42" s="14" t="s">
        <v>181</v>
      </c>
      <c r="E42" s="14" t="s">
        <v>216</v>
      </c>
    </row>
    <row r="43" spans="1:5" x14ac:dyDescent="0.35">
      <c r="A43" s="12" t="s">
        <v>32</v>
      </c>
      <c r="B43" s="16" t="s">
        <v>205</v>
      </c>
      <c r="C43" s="14" t="s">
        <v>505</v>
      </c>
      <c r="D43" s="14" t="s">
        <v>181</v>
      </c>
      <c r="E43" s="14" t="s">
        <v>217</v>
      </c>
    </row>
    <row r="44" spans="1:5" ht="23" x14ac:dyDescent="0.35">
      <c r="A44" s="12" t="s">
        <v>33</v>
      </c>
      <c r="B44" s="16" t="s">
        <v>205</v>
      </c>
      <c r="C44" s="14" t="s">
        <v>218</v>
      </c>
      <c r="D44" s="14" t="s">
        <v>181</v>
      </c>
      <c r="E44" s="14" t="s">
        <v>219</v>
      </c>
    </row>
    <row r="45" spans="1:5" x14ac:dyDescent="0.35">
      <c r="A45" s="12" t="s">
        <v>34</v>
      </c>
      <c r="B45" s="16" t="s">
        <v>205</v>
      </c>
      <c r="C45" s="14" t="s">
        <v>220</v>
      </c>
      <c r="D45" s="14" t="s">
        <v>178</v>
      </c>
      <c r="E45" s="14"/>
    </row>
    <row r="46" spans="1:5" ht="23" x14ac:dyDescent="0.35">
      <c r="A46" s="12" t="s">
        <v>35</v>
      </c>
      <c r="B46" s="16" t="s">
        <v>205</v>
      </c>
      <c r="C46" s="14" t="s">
        <v>221</v>
      </c>
      <c r="D46" s="14" t="s">
        <v>178</v>
      </c>
      <c r="E46" s="14"/>
    </row>
    <row r="47" spans="1:5" ht="23" x14ac:dyDescent="0.35">
      <c r="A47" s="12" t="s">
        <v>36</v>
      </c>
      <c r="B47" s="17" t="s">
        <v>222</v>
      </c>
      <c r="C47" s="14" t="s">
        <v>223</v>
      </c>
      <c r="D47" s="14" t="s">
        <v>181</v>
      </c>
      <c r="E47" s="14" t="s">
        <v>224</v>
      </c>
    </row>
    <row r="48" spans="1:5" x14ac:dyDescent="0.35">
      <c r="A48" s="12" t="s">
        <v>37</v>
      </c>
      <c r="B48" s="17" t="s">
        <v>222</v>
      </c>
      <c r="C48" s="14" t="s">
        <v>285</v>
      </c>
      <c r="D48" s="14" t="s">
        <v>181</v>
      </c>
      <c r="E48" s="14" t="s">
        <v>225</v>
      </c>
    </row>
    <row r="49" spans="1:5" x14ac:dyDescent="0.35">
      <c r="A49" s="12" t="s">
        <v>38</v>
      </c>
      <c r="B49" s="17" t="s">
        <v>222</v>
      </c>
      <c r="C49" s="14" t="s">
        <v>286</v>
      </c>
      <c r="D49" s="14" t="s">
        <v>181</v>
      </c>
      <c r="E49" s="14" t="s">
        <v>226</v>
      </c>
    </row>
    <row r="50" spans="1:5" x14ac:dyDescent="0.35">
      <c r="A50" s="12" t="s">
        <v>39</v>
      </c>
      <c r="B50" s="17" t="s">
        <v>222</v>
      </c>
      <c r="C50" s="14" t="s">
        <v>227</v>
      </c>
      <c r="D50" s="14" t="s">
        <v>181</v>
      </c>
      <c r="E50" s="14" t="s">
        <v>228</v>
      </c>
    </row>
    <row r="51" spans="1:5" x14ac:dyDescent="0.35">
      <c r="A51" s="12" t="s">
        <v>40</v>
      </c>
      <c r="B51" s="17" t="s">
        <v>222</v>
      </c>
      <c r="C51" s="14" t="s">
        <v>229</v>
      </c>
      <c r="D51" s="14" t="s">
        <v>174</v>
      </c>
      <c r="E51" s="14"/>
    </row>
    <row r="52" spans="1:5" x14ac:dyDescent="0.35">
      <c r="A52" s="12" t="s">
        <v>41</v>
      </c>
      <c r="B52" s="17" t="s">
        <v>222</v>
      </c>
      <c r="C52" s="14" t="s">
        <v>230</v>
      </c>
      <c r="D52" s="14" t="s">
        <v>193</v>
      </c>
      <c r="E52" s="14"/>
    </row>
    <row r="53" spans="1:5" x14ac:dyDescent="0.35">
      <c r="A53" s="12" t="s">
        <v>502</v>
      </c>
      <c r="B53" s="17" t="s">
        <v>222</v>
      </c>
      <c r="C53" s="14" t="s">
        <v>504</v>
      </c>
      <c r="D53" s="14" t="s">
        <v>184</v>
      </c>
      <c r="E53" s="14" t="s">
        <v>185</v>
      </c>
    </row>
    <row r="54" spans="1:5" x14ac:dyDescent="0.35">
      <c r="A54" s="12" t="s">
        <v>42</v>
      </c>
      <c r="B54" s="17" t="s">
        <v>222</v>
      </c>
      <c r="C54" s="14" t="s">
        <v>231</v>
      </c>
      <c r="D54" s="14" t="s">
        <v>193</v>
      </c>
      <c r="E54" s="14"/>
    </row>
    <row r="55" spans="1:5" x14ac:dyDescent="0.35">
      <c r="A55" s="12" t="s">
        <v>43</v>
      </c>
      <c r="B55" s="17" t="s">
        <v>222</v>
      </c>
      <c r="C55" s="14" t="s">
        <v>232</v>
      </c>
      <c r="D55" s="14" t="s">
        <v>193</v>
      </c>
      <c r="E55" s="14"/>
    </row>
    <row r="56" spans="1:5" x14ac:dyDescent="0.35">
      <c r="A56" s="12" t="s">
        <v>44</v>
      </c>
      <c r="B56" s="17" t="s">
        <v>222</v>
      </c>
      <c r="C56" s="14" t="s">
        <v>233</v>
      </c>
      <c r="D56" s="14" t="s">
        <v>193</v>
      </c>
      <c r="E56" s="14"/>
    </row>
    <row r="57" spans="1:5" x14ac:dyDescent="0.35">
      <c r="A57" s="12" t="s">
        <v>45</v>
      </c>
      <c r="B57" s="17" t="s">
        <v>222</v>
      </c>
      <c r="C57" s="14" t="s">
        <v>234</v>
      </c>
      <c r="D57" s="14" t="s">
        <v>181</v>
      </c>
      <c r="E57" s="14" t="s">
        <v>235</v>
      </c>
    </row>
    <row r="58" spans="1:5" x14ac:dyDescent="0.35">
      <c r="A58" s="12" t="s">
        <v>46</v>
      </c>
      <c r="B58" s="17" t="s">
        <v>222</v>
      </c>
      <c r="C58" s="14" t="s">
        <v>236</v>
      </c>
      <c r="D58" s="14" t="s">
        <v>181</v>
      </c>
      <c r="E58" s="14" t="s">
        <v>237</v>
      </c>
    </row>
    <row r="59" spans="1:5" x14ac:dyDescent="0.35">
      <c r="A59" s="12" t="s">
        <v>962</v>
      </c>
      <c r="B59" s="17" t="s">
        <v>222</v>
      </c>
      <c r="C59" s="14" t="s">
        <v>963</v>
      </c>
      <c r="D59" s="14" t="s">
        <v>184</v>
      </c>
      <c r="E59" s="14" t="s">
        <v>185</v>
      </c>
    </row>
    <row r="60" spans="1:5" x14ac:dyDescent="0.35">
      <c r="A60" s="12" t="s">
        <v>47</v>
      </c>
      <c r="B60" s="18" t="s">
        <v>238</v>
      </c>
      <c r="C60" s="14" t="s">
        <v>239</v>
      </c>
      <c r="D60" s="14" t="s">
        <v>174</v>
      </c>
      <c r="E60" s="14"/>
    </row>
    <row r="61" spans="1:5" x14ac:dyDescent="0.35">
      <c r="A61" s="32" t="s">
        <v>374</v>
      </c>
      <c r="B61" s="18" t="s">
        <v>238</v>
      </c>
      <c r="C61" s="33" t="s">
        <v>385</v>
      </c>
      <c r="D61" s="33" t="s">
        <v>174</v>
      </c>
      <c r="E61" s="14"/>
    </row>
    <row r="62" spans="1:5" x14ac:dyDescent="0.35">
      <c r="A62" s="12" t="s">
        <v>48</v>
      </c>
      <c r="B62" s="18" t="s">
        <v>238</v>
      </c>
      <c r="C62" s="14" t="s">
        <v>240</v>
      </c>
      <c r="D62" s="14" t="s">
        <v>174</v>
      </c>
      <c r="E62" s="14"/>
    </row>
    <row r="63" spans="1:5" x14ac:dyDescent="0.35">
      <c r="A63" s="12" t="s">
        <v>49</v>
      </c>
      <c r="B63" s="18" t="s">
        <v>238</v>
      </c>
      <c r="C63" s="14" t="s">
        <v>241</v>
      </c>
      <c r="D63" s="14" t="s">
        <v>181</v>
      </c>
      <c r="E63" s="14" t="s">
        <v>242</v>
      </c>
    </row>
    <row r="64" spans="1:5" x14ac:dyDescent="0.35">
      <c r="A64" s="12" t="s">
        <v>50</v>
      </c>
      <c r="B64" s="18" t="s">
        <v>238</v>
      </c>
      <c r="C64" s="14" t="s">
        <v>243</v>
      </c>
      <c r="D64" s="14" t="s">
        <v>181</v>
      </c>
      <c r="E64" s="14" t="s">
        <v>244</v>
      </c>
    </row>
    <row r="65" spans="1:5" x14ac:dyDescent="0.35">
      <c r="A65" s="12" t="s">
        <v>51</v>
      </c>
      <c r="B65" s="18" t="s">
        <v>238</v>
      </c>
      <c r="C65" s="14" t="s">
        <v>245</v>
      </c>
      <c r="D65" s="14" t="s">
        <v>193</v>
      </c>
      <c r="E65" s="14"/>
    </row>
    <row r="66" spans="1:5" x14ac:dyDescent="0.35">
      <c r="A66" s="12" t="s">
        <v>52</v>
      </c>
      <c r="B66" s="18" t="s">
        <v>238</v>
      </c>
      <c r="C66" s="14" t="s">
        <v>246</v>
      </c>
      <c r="D66" s="14" t="s">
        <v>193</v>
      </c>
      <c r="E66" s="14"/>
    </row>
    <row r="67" spans="1:5" x14ac:dyDescent="0.35">
      <c r="A67" s="12" t="s">
        <v>53</v>
      </c>
      <c r="B67" s="18" t="s">
        <v>238</v>
      </c>
      <c r="C67" s="14" t="s">
        <v>247</v>
      </c>
      <c r="D67" s="14" t="s">
        <v>178</v>
      </c>
      <c r="E67" s="14"/>
    </row>
    <row r="68" spans="1:5" x14ac:dyDescent="0.35">
      <c r="A68" s="12" t="s">
        <v>54</v>
      </c>
      <c r="B68" s="18" t="s">
        <v>238</v>
      </c>
      <c r="C68" s="14" t="s">
        <v>248</v>
      </c>
      <c r="D68" s="14" t="s">
        <v>178</v>
      </c>
      <c r="E68" s="14"/>
    </row>
    <row r="69" spans="1:5" x14ac:dyDescent="0.35">
      <c r="A69" s="12" t="s">
        <v>55</v>
      </c>
      <c r="B69" s="18" t="s">
        <v>238</v>
      </c>
      <c r="C69" s="14" t="s">
        <v>249</v>
      </c>
      <c r="D69" s="14" t="s">
        <v>181</v>
      </c>
      <c r="E69" s="14" t="s">
        <v>250</v>
      </c>
    </row>
    <row r="70" spans="1:5" ht="23" x14ac:dyDescent="0.35">
      <c r="A70" s="12" t="s">
        <v>56</v>
      </c>
      <c r="B70" s="19" t="s">
        <v>251</v>
      </c>
      <c r="C70" s="14" t="s">
        <v>252</v>
      </c>
      <c r="D70" s="14" t="s">
        <v>181</v>
      </c>
      <c r="E70" s="14" t="s">
        <v>253</v>
      </c>
    </row>
    <row r="71" spans="1:5" ht="23" x14ac:dyDescent="0.35">
      <c r="A71" s="12" t="s">
        <v>57</v>
      </c>
      <c r="B71" s="19" t="s">
        <v>251</v>
      </c>
      <c r="C71" s="14" t="s">
        <v>254</v>
      </c>
      <c r="D71" s="14" t="s">
        <v>181</v>
      </c>
      <c r="E71" s="14" t="s">
        <v>255</v>
      </c>
    </row>
    <row r="72" spans="1:5" ht="23" x14ac:dyDescent="0.35">
      <c r="A72" s="12" t="s">
        <v>58</v>
      </c>
      <c r="B72" s="19" t="s">
        <v>251</v>
      </c>
      <c r="C72" s="14" t="s">
        <v>256</v>
      </c>
      <c r="D72" s="14" t="s">
        <v>184</v>
      </c>
      <c r="E72" s="14" t="s">
        <v>185</v>
      </c>
    </row>
    <row r="73" spans="1:5" ht="23" x14ac:dyDescent="0.35">
      <c r="A73" s="12" t="s">
        <v>59</v>
      </c>
      <c r="B73" s="19" t="s">
        <v>251</v>
      </c>
      <c r="C73" s="14" t="s">
        <v>257</v>
      </c>
      <c r="D73" s="14" t="s">
        <v>184</v>
      </c>
      <c r="E73" s="14" t="s">
        <v>185</v>
      </c>
    </row>
    <row r="74" spans="1:5" ht="23" x14ac:dyDescent="0.35">
      <c r="A74" s="12" t="s">
        <v>60</v>
      </c>
      <c r="B74" s="19" t="s">
        <v>251</v>
      </c>
      <c r="C74" s="14" t="s">
        <v>258</v>
      </c>
      <c r="D74" s="14" t="s">
        <v>174</v>
      </c>
      <c r="E74" s="14"/>
    </row>
    <row r="75" spans="1:5" ht="23" x14ac:dyDescent="0.35">
      <c r="A75" s="12" t="s">
        <v>61</v>
      </c>
      <c r="B75" s="19" t="s">
        <v>251</v>
      </c>
      <c r="C75" s="14" t="s">
        <v>259</v>
      </c>
      <c r="D75" s="14" t="s">
        <v>174</v>
      </c>
      <c r="E75" s="14"/>
    </row>
    <row r="76" spans="1:5" ht="23" x14ac:dyDescent="0.35">
      <c r="A76" s="12" t="s">
        <v>62</v>
      </c>
      <c r="B76" s="19" t="s">
        <v>251</v>
      </c>
      <c r="C76" s="14" t="s">
        <v>288</v>
      </c>
      <c r="D76" s="14" t="s">
        <v>184</v>
      </c>
      <c r="E76" s="14" t="s">
        <v>185</v>
      </c>
    </row>
    <row r="77" spans="1:5" ht="23" x14ac:dyDescent="0.35">
      <c r="A77" s="12" t="s">
        <v>63</v>
      </c>
      <c r="B77" s="19" t="s">
        <v>251</v>
      </c>
      <c r="C77" s="14" t="s">
        <v>260</v>
      </c>
      <c r="D77" s="14" t="s">
        <v>181</v>
      </c>
      <c r="E77" s="14" t="s">
        <v>261</v>
      </c>
    </row>
    <row r="78" spans="1:5" ht="23" x14ac:dyDescent="0.35">
      <c r="A78" s="12" t="s">
        <v>64</v>
      </c>
      <c r="B78" s="19" t="s">
        <v>251</v>
      </c>
      <c r="C78" s="14" t="s">
        <v>262</v>
      </c>
      <c r="D78" s="14" t="s">
        <v>184</v>
      </c>
      <c r="E78" s="14" t="s">
        <v>185</v>
      </c>
    </row>
    <row r="79" spans="1:5" ht="23" x14ac:dyDescent="0.35">
      <c r="A79" s="12" t="s">
        <v>65</v>
      </c>
      <c r="B79" s="19" t="s">
        <v>251</v>
      </c>
      <c r="C79" s="14" t="s">
        <v>263</v>
      </c>
      <c r="D79" s="14" t="s">
        <v>181</v>
      </c>
      <c r="E79" s="14" t="s">
        <v>264</v>
      </c>
    </row>
    <row r="80" spans="1:5" ht="23" x14ac:dyDescent="0.35">
      <c r="A80" s="12" t="s">
        <v>66</v>
      </c>
      <c r="B80" s="19" t="s">
        <v>251</v>
      </c>
      <c r="C80" s="14" t="s">
        <v>287</v>
      </c>
      <c r="D80" s="14" t="s">
        <v>184</v>
      </c>
      <c r="E80" s="14" t="s">
        <v>185</v>
      </c>
    </row>
    <row r="81" spans="1:5" ht="23" x14ac:dyDescent="0.35">
      <c r="A81" s="12" t="s">
        <v>67</v>
      </c>
      <c r="B81" s="19" t="s">
        <v>251</v>
      </c>
      <c r="C81" s="14" t="s">
        <v>265</v>
      </c>
      <c r="D81" s="14" t="s">
        <v>174</v>
      </c>
      <c r="E81" s="14"/>
    </row>
    <row r="82" spans="1:5" ht="23" x14ac:dyDescent="0.35">
      <c r="A82" s="12" t="s">
        <v>68</v>
      </c>
      <c r="B82" s="19" t="s">
        <v>251</v>
      </c>
      <c r="C82" s="14" t="s">
        <v>266</v>
      </c>
      <c r="D82" s="14" t="s">
        <v>181</v>
      </c>
      <c r="E82" s="14" t="s">
        <v>267</v>
      </c>
    </row>
    <row r="83" spans="1:5" ht="23" x14ac:dyDescent="0.35">
      <c r="A83" s="12" t="s">
        <v>69</v>
      </c>
      <c r="B83" s="20" t="s">
        <v>268</v>
      </c>
      <c r="C83" s="14" t="s">
        <v>269</v>
      </c>
      <c r="D83" s="14" t="s">
        <v>178</v>
      </c>
      <c r="E83" s="14"/>
    </row>
    <row r="84" spans="1:5" ht="23" x14ac:dyDescent="0.35">
      <c r="A84" s="12" t="s">
        <v>70</v>
      </c>
      <c r="B84" s="20" t="s">
        <v>268</v>
      </c>
      <c r="C84" s="14" t="s">
        <v>270</v>
      </c>
      <c r="D84" s="14" t="s">
        <v>184</v>
      </c>
      <c r="E84" s="14" t="s">
        <v>185</v>
      </c>
    </row>
    <row r="85" spans="1:5" ht="23" x14ac:dyDescent="0.35">
      <c r="A85" s="12" t="s">
        <v>71</v>
      </c>
      <c r="B85" s="20" t="s">
        <v>268</v>
      </c>
      <c r="C85" s="14" t="s">
        <v>271</v>
      </c>
      <c r="D85" s="14" t="s">
        <v>181</v>
      </c>
      <c r="E85" s="14" t="s">
        <v>272</v>
      </c>
    </row>
    <row r="86" spans="1:5" ht="23" x14ac:dyDescent="0.35">
      <c r="A86" s="12" t="s">
        <v>958</v>
      </c>
      <c r="B86" s="20" t="s">
        <v>268</v>
      </c>
      <c r="C86" s="14" t="s">
        <v>959</v>
      </c>
      <c r="D86" s="14" t="s">
        <v>960</v>
      </c>
      <c r="E86" s="14"/>
    </row>
    <row r="87" spans="1:5" ht="23" x14ac:dyDescent="0.35">
      <c r="A87" s="12" t="s">
        <v>72</v>
      </c>
      <c r="B87" s="20" t="s">
        <v>268</v>
      </c>
      <c r="C87" s="14" t="s">
        <v>273</v>
      </c>
      <c r="D87" s="14" t="s">
        <v>181</v>
      </c>
      <c r="E87" s="14" t="s">
        <v>274</v>
      </c>
    </row>
    <row r="88" spans="1:5" x14ac:dyDescent="0.35">
      <c r="A88" s="12" t="s">
        <v>73</v>
      </c>
      <c r="B88" s="21" t="s">
        <v>275</v>
      </c>
      <c r="C88" s="14" t="s">
        <v>276</v>
      </c>
      <c r="D88" s="14" t="s">
        <v>181</v>
      </c>
      <c r="E88" s="14" t="s">
        <v>277</v>
      </c>
    </row>
    <row r="89" spans="1:5" x14ac:dyDescent="0.35">
      <c r="A89" s="12" t="s">
        <v>74</v>
      </c>
      <c r="B89" s="21" t="s">
        <v>275</v>
      </c>
      <c r="C89" s="14" t="s">
        <v>278</v>
      </c>
      <c r="D89" s="14" t="s">
        <v>279</v>
      </c>
      <c r="E89" s="14"/>
    </row>
    <row r="90" spans="1:5" x14ac:dyDescent="0.35">
      <c r="A90" s="12" t="s">
        <v>75</v>
      </c>
      <c r="B90" s="21" t="s">
        <v>275</v>
      </c>
      <c r="C90" s="14" t="s">
        <v>280</v>
      </c>
      <c r="D90" s="14" t="s">
        <v>184</v>
      </c>
      <c r="E90" s="14" t="s">
        <v>185</v>
      </c>
    </row>
    <row r="91" spans="1:5" x14ac:dyDescent="0.35">
      <c r="A91" s="12" t="s">
        <v>76</v>
      </c>
      <c r="B91" s="21" t="s">
        <v>275</v>
      </c>
      <c r="C91" s="14" t="s">
        <v>281</v>
      </c>
      <c r="D91" s="14" t="s">
        <v>174</v>
      </c>
      <c r="E91" s="14"/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79140-71F4-487C-A2E7-5B9E543CD214}">
  <dimension ref="A1:CZ20"/>
  <sheetViews>
    <sheetView workbookViewId="0">
      <selection activeCell="G2" sqref="G2:G20"/>
    </sheetView>
  </sheetViews>
  <sheetFormatPr baseColWidth="10" defaultRowHeight="14.5" x14ac:dyDescent="0.35"/>
  <cols>
    <col min="7" max="7" width="13.36328125" bestFit="1" customWidth="1"/>
  </cols>
  <sheetData>
    <row r="1" spans="1:104" s="23" customFormat="1" x14ac:dyDescent="0.35">
      <c r="A1" s="46" t="s">
        <v>2123</v>
      </c>
      <c r="B1" s="46" t="s">
        <v>2126</v>
      </c>
      <c r="C1" s="47" t="s">
        <v>2124</v>
      </c>
      <c r="D1" s="47">
        <v>2022</v>
      </c>
      <c r="E1" s="66" t="s">
        <v>2125</v>
      </c>
      <c r="F1" s="46" t="s">
        <v>312</v>
      </c>
      <c r="G1" s="47" t="s">
        <v>102</v>
      </c>
      <c r="H1" s="47">
        <v>0</v>
      </c>
      <c r="I1" s="47" t="s">
        <v>1967</v>
      </c>
      <c r="J1" s="47" t="s">
        <v>312</v>
      </c>
      <c r="K1" s="47">
        <v>6</v>
      </c>
      <c r="L1" s="47" t="s">
        <v>104</v>
      </c>
      <c r="M1" s="47" t="s">
        <v>380</v>
      </c>
      <c r="N1" s="47">
        <v>-2.7400000000000001E-2</v>
      </c>
      <c r="O1" s="47">
        <v>0.04</v>
      </c>
      <c r="P1" s="47">
        <v>-0.68500000000000005</v>
      </c>
      <c r="Q1" s="47" t="s">
        <v>312</v>
      </c>
      <c r="R1" s="47">
        <v>-0.10580000000000001</v>
      </c>
      <c r="S1" s="47">
        <v>5.0999999999999997E-2</v>
      </c>
      <c r="T1" s="47">
        <v>1</v>
      </c>
      <c r="U1" s="47">
        <v>2491151</v>
      </c>
      <c r="V1" s="47">
        <v>1</v>
      </c>
      <c r="W1" s="47">
        <v>1</v>
      </c>
      <c r="X1" s="47">
        <v>2491150</v>
      </c>
      <c r="Y1" s="47">
        <v>-4.3400099999999999E-4</v>
      </c>
      <c r="Z1" s="47">
        <v>6.3357799999999998E-4</v>
      </c>
      <c r="AA1" s="47">
        <v>-4.3400099999999999E-4</v>
      </c>
      <c r="AB1" s="47" t="s">
        <v>81</v>
      </c>
      <c r="AC1" s="47">
        <v>-0.28742600000000001</v>
      </c>
      <c r="AD1" s="47">
        <v>-0.28742600000000001</v>
      </c>
      <c r="AE1" s="47">
        <v>1</v>
      </c>
      <c r="AF1" s="47">
        <v>0.41959999999999997</v>
      </c>
      <c r="AG1" s="47">
        <v>0.41959999999999997</v>
      </c>
      <c r="AH1" s="47">
        <v>1</v>
      </c>
      <c r="AI1" s="47">
        <v>-0.28742600000000001</v>
      </c>
      <c r="AJ1" s="47">
        <v>0</v>
      </c>
      <c r="AK1" s="47">
        <v>1</v>
      </c>
      <c r="AL1" s="47" t="s">
        <v>82</v>
      </c>
      <c r="AM1" s="47" t="s">
        <v>1333</v>
      </c>
      <c r="AN1" s="47">
        <v>10.49</v>
      </c>
      <c r="AO1" s="47">
        <v>1</v>
      </c>
      <c r="AP1" s="47">
        <v>10.49</v>
      </c>
      <c r="AQ1" s="47">
        <v>3.1</v>
      </c>
      <c r="AR1" s="47">
        <v>5.59</v>
      </c>
      <c r="AS1" s="47">
        <v>15.73</v>
      </c>
      <c r="AT1" s="47" t="s">
        <v>107</v>
      </c>
      <c r="AU1" s="47" t="s">
        <v>109</v>
      </c>
      <c r="AV1" s="47" t="s">
        <v>133</v>
      </c>
      <c r="AW1" s="47" t="s">
        <v>134</v>
      </c>
      <c r="AX1" s="47" t="s">
        <v>86</v>
      </c>
      <c r="AY1" s="47">
        <v>0</v>
      </c>
      <c r="AZ1" s="47">
        <v>0</v>
      </c>
      <c r="BA1" s="47" t="s">
        <v>391</v>
      </c>
      <c r="BB1" s="47" t="s">
        <v>88</v>
      </c>
      <c r="BC1" s="47" t="s">
        <v>134</v>
      </c>
      <c r="BD1" s="47" t="s">
        <v>134</v>
      </c>
      <c r="BE1" s="47" t="s">
        <v>1374</v>
      </c>
      <c r="BF1" s="47" t="s">
        <v>312</v>
      </c>
      <c r="BG1" s="47" t="s">
        <v>312</v>
      </c>
      <c r="BH1" s="47" t="s">
        <v>312</v>
      </c>
      <c r="BI1" s="47" t="s">
        <v>312</v>
      </c>
      <c r="BJ1" s="47" t="s">
        <v>312</v>
      </c>
      <c r="BK1" s="47" t="s">
        <v>91</v>
      </c>
      <c r="BL1" s="47" t="s">
        <v>116</v>
      </c>
      <c r="BM1" s="47">
        <v>1</v>
      </c>
      <c r="BN1" s="47" t="s">
        <v>134</v>
      </c>
      <c r="BO1" s="47" t="s">
        <v>312</v>
      </c>
      <c r="BP1" s="47" t="s">
        <v>312</v>
      </c>
      <c r="BQ1" s="47" t="s">
        <v>92</v>
      </c>
      <c r="BR1" s="47" t="s">
        <v>134</v>
      </c>
      <c r="BS1" s="47" t="s">
        <v>312</v>
      </c>
      <c r="BT1" s="47" t="s">
        <v>312</v>
      </c>
      <c r="BU1" s="47">
        <v>2001</v>
      </c>
      <c r="BV1" s="47">
        <v>2018</v>
      </c>
      <c r="BW1" s="47" t="s">
        <v>901</v>
      </c>
      <c r="BX1" s="47" t="s">
        <v>95</v>
      </c>
      <c r="BY1" s="47" t="s">
        <v>96</v>
      </c>
      <c r="BZ1" s="47">
        <v>0</v>
      </c>
      <c r="CA1" s="47">
        <v>0</v>
      </c>
      <c r="CB1" s="47" t="s">
        <v>97</v>
      </c>
      <c r="CC1" s="47" t="s">
        <v>2127</v>
      </c>
      <c r="CD1" s="47">
        <v>0</v>
      </c>
      <c r="CE1" s="47" t="s">
        <v>97</v>
      </c>
      <c r="CF1" s="47">
        <v>0</v>
      </c>
      <c r="CG1" s="47" t="s">
        <v>97</v>
      </c>
      <c r="CH1" s="47">
        <v>0</v>
      </c>
      <c r="CI1" s="47" t="s">
        <v>2128</v>
      </c>
      <c r="CJ1" s="47" t="s">
        <v>98</v>
      </c>
      <c r="CK1" s="47">
        <v>20</v>
      </c>
      <c r="CL1" s="47">
        <v>0</v>
      </c>
      <c r="CM1" s="47" t="s">
        <v>99</v>
      </c>
      <c r="CN1" s="47" t="s">
        <v>97</v>
      </c>
      <c r="CO1" s="47" t="s">
        <v>717</v>
      </c>
      <c r="CP1" s="47" t="s">
        <v>126</v>
      </c>
      <c r="CQ1" s="48">
        <v>46259</v>
      </c>
      <c r="CR1" s="47"/>
      <c r="CS1" s="47" t="s">
        <v>2129</v>
      </c>
      <c r="CT1" s="47"/>
      <c r="CU1" s="47"/>
      <c r="CV1" s="47"/>
      <c r="CW1" s="47"/>
      <c r="CX1" s="47"/>
      <c r="CY1" s="47"/>
      <c r="CZ1" s="47"/>
    </row>
    <row r="2" spans="1:104" s="23" customFormat="1" x14ac:dyDescent="0.35">
      <c r="A2" s="46" t="s">
        <v>2123</v>
      </c>
      <c r="B2" s="46" t="s">
        <v>2130</v>
      </c>
      <c r="C2" s="47" t="s">
        <v>2124</v>
      </c>
      <c r="D2" s="47">
        <v>2022</v>
      </c>
      <c r="E2" s="46" t="s">
        <v>2125</v>
      </c>
      <c r="F2" s="46" t="s">
        <v>312</v>
      </c>
      <c r="G2" s="47" t="s">
        <v>102</v>
      </c>
      <c r="H2" s="47">
        <v>0</v>
      </c>
      <c r="I2" s="47" t="s">
        <v>1967</v>
      </c>
      <c r="J2" s="47" t="s">
        <v>312</v>
      </c>
      <c r="K2" s="47">
        <v>6</v>
      </c>
      <c r="L2" s="47" t="s">
        <v>104</v>
      </c>
      <c r="M2" s="47" t="s">
        <v>380</v>
      </c>
      <c r="N2" s="47">
        <v>-1.4999999999999999E-2</v>
      </c>
      <c r="O2" s="47">
        <v>0</v>
      </c>
      <c r="P2" s="47" t="e">
        <v>#DIV/0!</v>
      </c>
      <c r="Q2" s="47" t="s">
        <v>312</v>
      </c>
      <c r="R2" s="47">
        <v>-1.4999999999999999E-2</v>
      </c>
      <c r="S2" s="47">
        <v>-1.4999999999999999E-2</v>
      </c>
      <c r="T2" s="47">
        <v>1</v>
      </c>
      <c r="U2" s="47">
        <v>2491151</v>
      </c>
      <c r="V2" s="47">
        <v>1</v>
      </c>
      <c r="W2" s="47">
        <v>1</v>
      </c>
      <c r="X2" s="47">
        <v>2491150</v>
      </c>
      <c r="Y2" s="47" t="e">
        <v>#DIV/0!</v>
      </c>
      <c r="Z2" s="47" t="e">
        <v>#DIV/0!</v>
      </c>
      <c r="AA2" s="47" t="e">
        <v>#DIV/0!</v>
      </c>
      <c r="AB2" s="47" t="s">
        <v>81</v>
      </c>
      <c r="AC2" s="47">
        <v>-0.15734999999999999</v>
      </c>
      <c r="AD2" s="47">
        <v>-0.15734999999999999</v>
      </c>
      <c r="AE2" s="47">
        <v>1</v>
      </c>
      <c r="AF2" s="47">
        <v>0</v>
      </c>
      <c r="AG2" s="47">
        <v>0</v>
      </c>
      <c r="AH2" s="47">
        <v>1</v>
      </c>
      <c r="AI2" s="47">
        <v>-0.15734999999999999</v>
      </c>
      <c r="AJ2" s="47">
        <v>0</v>
      </c>
      <c r="AK2" s="47" t="e">
        <v>#DIV/0!</v>
      </c>
      <c r="AL2" s="47" t="s">
        <v>82</v>
      </c>
      <c r="AM2" s="47" t="s">
        <v>1333</v>
      </c>
      <c r="AN2" s="47">
        <v>10.49</v>
      </c>
      <c r="AO2" s="47">
        <v>1</v>
      </c>
      <c r="AP2" s="47">
        <v>10.49</v>
      </c>
      <c r="AQ2" s="47">
        <v>3.1</v>
      </c>
      <c r="AR2" s="47">
        <v>5.59</v>
      </c>
      <c r="AS2" s="47">
        <v>15.73</v>
      </c>
      <c r="AT2" s="47" t="s">
        <v>107</v>
      </c>
      <c r="AU2" s="47" t="s">
        <v>109</v>
      </c>
      <c r="AV2" s="47" t="s">
        <v>133</v>
      </c>
      <c r="AW2" s="47" t="s">
        <v>134</v>
      </c>
      <c r="AX2" s="47" t="s">
        <v>86</v>
      </c>
      <c r="AY2" s="47">
        <v>0</v>
      </c>
      <c r="AZ2" s="47">
        <v>0</v>
      </c>
      <c r="BA2" s="47" t="s">
        <v>391</v>
      </c>
      <c r="BB2" s="47" t="s">
        <v>88</v>
      </c>
      <c r="BC2" s="47" t="s">
        <v>134</v>
      </c>
      <c r="BD2" s="47" t="s">
        <v>134</v>
      </c>
      <c r="BE2" s="47" t="s">
        <v>1374</v>
      </c>
      <c r="BF2" s="47" t="s">
        <v>312</v>
      </c>
      <c r="BG2" s="47" t="s">
        <v>312</v>
      </c>
      <c r="BH2" s="47" t="s">
        <v>312</v>
      </c>
      <c r="BI2" s="47" t="s">
        <v>312</v>
      </c>
      <c r="BJ2" s="47" t="s">
        <v>312</v>
      </c>
      <c r="BK2" s="47" t="s">
        <v>91</v>
      </c>
      <c r="BL2" s="47" t="s">
        <v>116</v>
      </c>
      <c r="BM2" s="47">
        <v>1</v>
      </c>
      <c r="BN2" s="47" t="s">
        <v>134</v>
      </c>
      <c r="BO2" s="47" t="s">
        <v>312</v>
      </c>
      <c r="BP2" s="47" t="s">
        <v>312</v>
      </c>
      <c r="BQ2" s="47" t="s">
        <v>92</v>
      </c>
      <c r="BR2" s="47" t="s">
        <v>134</v>
      </c>
      <c r="BS2" s="47" t="s">
        <v>312</v>
      </c>
      <c r="BT2" s="47" t="s">
        <v>312</v>
      </c>
      <c r="BU2" s="47">
        <v>2001</v>
      </c>
      <c r="BV2" s="47">
        <v>2018</v>
      </c>
      <c r="BW2" s="47" t="s">
        <v>901</v>
      </c>
      <c r="BX2" s="47" t="s">
        <v>95</v>
      </c>
      <c r="BY2" s="47" t="s">
        <v>748</v>
      </c>
      <c r="BZ2" s="47">
        <v>1</v>
      </c>
      <c r="CA2" s="47">
        <v>1</v>
      </c>
      <c r="CB2" s="47" t="s">
        <v>2131</v>
      </c>
      <c r="CC2" s="47" t="s">
        <v>2127</v>
      </c>
      <c r="CD2" s="47">
        <v>0</v>
      </c>
      <c r="CE2" s="47" t="s">
        <v>97</v>
      </c>
      <c r="CF2" s="47">
        <v>0</v>
      </c>
      <c r="CG2" s="47" t="s">
        <v>97</v>
      </c>
      <c r="CH2" s="47">
        <v>0</v>
      </c>
      <c r="CI2" s="47" t="s">
        <v>2128</v>
      </c>
      <c r="CJ2" s="47" t="s">
        <v>98</v>
      </c>
      <c r="CK2" s="47">
        <v>20</v>
      </c>
      <c r="CL2" s="47">
        <v>1</v>
      </c>
      <c r="CM2" s="47" t="s">
        <v>99</v>
      </c>
      <c r="CN2" s="47" t="s">
        <v>97</v>
      </c>
      <c r="CO2" s="47" t="s">
        <v>717</v>
      </c>
      <c r="CP2" s="47" t="s">
        <v>126</v>
      </c>
      <c r="CQ2" s="48">
        <v>46259</v>
      </c>
      <c r="CR2" s="47"/>
      <c r="CS2" s="47" t="s">
        <v>437</v>
      </c>
      <c r="CT2" s="47"/>
      <c r="CU2" s="47"/>
      <c r="CV2" s="47"/>
      <c r="CW2" s="47"/>
      <c r="CX2" s="47"/>
      <c r="CY2" s="47"/>
      <c r="CZ2" s="47"/>
    </row>
    <row r="3" spans="1:104" s="23" customFormat="1" x14ac:dyDescent="0.35">
      <c r="A3" s="46" t="s">
        <v>2123</v>
      </c>
      <c r="B3" s="46" t="s">
        <v>2132</v>
      </c>
      <c r="C3" s="47" t="s">
        <v>2124</v>
      </c>
      <c r="D3" s="47">
        <v>2022</v>
      </c>
      <c r="E3" s="46" t="s">
        <v>2125</v>
      </c>
      <c r="F3" s="46" t="s">
        <v>312</v>
      </c>
      <c r="G3" s="47" t="s">
        <v>102</v>
      </c>
      <c r="H3" s="47">
        <v>0</v>
      </c>
      <c r="I3" s="47" t="s">
        <v>1967</v>
      </c>
      <c r="J3" s="47" t="s">
        <v>312</v>
      </c>
      <c r="K3" s="47">
        <v>6</v>
      </c>
      <c r="L3" s="47" t="s">
        <v>104</v>
      </c>
      <c r="M3" s="47" t="s">
        <v>380</v>
      </c>
      <c r="N3" s="47">
        <v>-1.4E-2</v>
      </c>
      <c r="O3" s="47">
        <v>0.01</v>
      </c>
      <c r="P3" s="47">
        <v>-1.4</v>
      </c>
      <c r="Q3" s="47" t="s">
        <v>312</v>
      </c>
      <c r="R3" s="47">
        <v>-3.3599999999999998E-2</v>
      </c>
      <c r="S3" s="47">
        <v>5.5999999999999999E-3</v>
      </c>
      <c r="T3" s="47">
        <v>1</v>
      </c>
      <c r="U3" s="47">
        <v>2491151</v>
      </c>
      <c r="V3" s="47">
        <v>1</v>
      </c>
      <c r="W3" s="47">
        <v>1</v>
      </c>
      <c r="X3" s="47">
        <v>2491150</v>
      </c>
      <c r="Y3" s="47">
        <v>-8.8700900000000002E-4</v>
      </c>
      <c r="Z3" s="47">
        <v>6.3357799999999998E-4</v>
      </c>
      <c r="AA3" s="47">
        <v>-8.8700900000000002E-4</v>
      </c>
      <c r="AB3" s="47" t="s">
        <v>81</v>
      </c>
      <c r="AC3" s="47">
        <v>-0.14685999999999999</v>
      </c>
      <c r="AD3" s="47">
        <v>-0.14685999999999999</v>
      </c>
      <c r="AE3" s="47">
        <v>1</v>
      </c>
      <c r="AF3" s="47">
        <v>0.10489999999999999</v>
      </c>
      <c r="AG3" s="47">
        <v>0.10489999999999999</v>
      </c>
      <c r="AH3" s="47">
        <v>1</v>
      </c>
      <c r="AI3" s="47">
        <v>-0.14685999999999999</v>
      </c>
      <c r="AJ3" s="47">
        <v>0</v>
      </c>
      <c r="AK3" s="47">
        <v>1</v>
      </c>
      <c r="AL3" s="47" t="s">
        <v>82</v>
      </c>
      <c r="AM3" s="47" t="s">
        <v>1333</v>
      </c>
      <c r="AN3" s="47">
        <v>10.49</v>
      </c>
      <c r="AO3" s="47">
        <v>1</v>
      </c>
      <c r="AP3" s="47">
        <v>10.49</v>
      </c>
      <c r="AQ3" s="47">
        <v>3.1</v>
      </c>
      <c r="AR3" s="47">
        <v>5.59</v>
      </c>
      <c r="AS3" s="47">
        <v>15.73</v>
      </c>
      <c r="AT3" s="47" t="s">
        <v>107</v>
      </c>
      <c r="AU3" s="47" t="s">
        <v>109</v>
      </c>
      <c r="AV3" s="47" t="s">
        <v>133</v>
      </c>
      <c r="AW3" s="47" t="s">
        <v>134</v>
      </c>
      <c r="AX3" s="47" t="s">
        <v>86</v>
      </c>
      <c r="AY3" s="47">
        <v>0</v>
      </c>
      <c r="AZ3" s="47">
        <v>0</v>
      </c>
      <c r="BA3" s="47" t="s">
        <v>391</v>
      </c>
      <c r="BB3" s="47" t="s">
        <v>88</v>
      </c>
      <c r="BC3" s="47" t="s">
        <v>134</v>
      </c>
      <c r="BD3" s="47" t="s">
        <v>134</v>
      </c>
      <c r="BE3" s="47" t="s">
        <v>1374</v>
      </c>
      <c r="BF3" s="47" t="s">
        <v>312</v>
      </c>
      <c r="BG3" s="47" t="s">
        <v>312</v>
      </c>
      <c r="BH3" s="47" t="s">
        <v>312</v>
      </c>
      <c r="BI3" s="47" t="s">
        <v>312</v>
      </c>
      <c r="BJ3" s="47" t="s">
        <v>312</v>
      </c>
      <c r="BK3" s="47" t="s">
        <v>91</v>
      </c>
      <c r="BL3" s="47" t="s">
        <v>116</v>
      </c>
      <c r="BM3" s="47">
        <v>1</v>
      </c>
      <c r="BN3" s="47" t="s">
        <v>134</v>
      </c>
      <c r="BO3" s="47" t="s">
        <v>312</v>
      </c>
      <c r="BP3" s="47" t="s">
        <v>312</v>
      </c>
      <c r="BQ3" s="47" t="s">
        <v>92</v>
      </c>
      <c r="BR3" s="47" t="s">
        <v>134</v>
      </c>
      <c r="BS3" s="47" t="s">
        <v>312</v>
      </c>
      <c r="BT3" s="47" t="s">
        <v>312</v>
      </c>
      <c r="BU3" s="47">
        <v>2001</v>
      </c>
      <c r="BV3" s="47">
        <v>2018</v>
      </c>
      <c r="BW3" s="47" t="s">
        <v>901</v>
      </c>
      <c r="BX3" s="47" t="s">
        <v>95</v>
      </c>
      <c r="BY3" s="47" t="s">
        <v>748</v>
      </c>
      <c r="BZ3" s="47">
        <v>1</v>
      </c>
      <c r="CA3" s="47">
        <v>1</v>
      </c>
      <c r="CB3" s="47" t="s">
        <v>2131</v>
      </c>
      <c r="CC3" s="47" t="s">
        <v>2127</v>
      </c>
      <c r="CD3" s="47">
        <v>0</v>
      </c>
      <c r="CE3" s="47" t="s">
        <v>97</v>
      </c>
      <c r="CF3" s="47">
        <v>0</v>
      </c>
      <c r="CG3" s="47" t="s">
        <v>97</v>
      </c>
      <c r="CH3" s="47">
        <v>0</v>
      </c>
      <c r="CI3" s="47" t="s">
        <v>2128</v>
      </c>
      <c r="CJ3" s="47" t="s">
        <v>98</v>
      </c>
      <c r="CK3" s="47">
        <v>20</v>
      </c>
      <c r="CL3" s="47">
        <v>0</v>
      </c>
      <c r="CM3" s="47" t="s">
        <v>99</v>
      </c>
      <c r="CN3" s="47" t="s">
        <v>97</v>
      </c>
      <c r="CO3" s="47" t="s">
        <v>717</v>
      </c>
      <c r="CP3" s="47" t="s">
        <v>126</v>
      </c>
      <c r="CQ3" s="48">
        <v>46259</v>
      </c>
      <c r="CR3" s="47"/>
      <c r="CS3" s="47" t="s">
        <v>438</v>
      </c>
      <c r="CT3" s="47"/>
      <c r="CU3" s="47"/>
      <c r="CV3" s="47"/>
      <c r="CW3" s="47"/>
      <c r="CX3" s="47"/>
      <c r="CY3" s="47"/>
      <c r="CZ3" s="47"/>
    </row>
    <row r="4" spans="1:104" s="23" customFormat="1" x14ac:dyDescent="0.35">
      <c r="A4" s="46" t="s">
        <v>2123</v>
      </c>
      <c r="B4" s="46" t="s">
        <v>2133</v>
      </c>
      <c r="C4" s="47" t="s">
        <v>2124</v>
      </c>
      <c r="D4" s="47">
        <v>2022</v>
      </c>
      <c r="E4" s="46" t="s">
        <v>2125</v>
      </c>
      <c r="F4" s="46" t="s">
        <v>312</v>
      </c>
      <c r="G4" s="47" t="s">
        <v>102</v>
      </c>
      <c r="H4" s="47">
        <v>0</v>
      </c>
      <c r="I4" s="47" t="s">
        <v>1967</v>
      </c>
      <c r="J4" s="47" t="s">
        <v>312</v>
      </c>
      <c r="K4" s="47">
        <v>6</v>
      </c>
      <c r="L4" s="47" t="s">
        <v>104</v>
      </c>
      <c r="M4" s="47" t="s">
        <v>380</v>
      </c>
      <c r="N4" s="47">
        <v>-3.2000000000000001E-2</v>
      </c>
      <c r="O4" s="47" t="s">
        <v>312</v>
      </c>
      <c r="P4" s="47" t="s">
        <v>312</v>
      </c>
      <c r="Q4" s="47" t="s">
        <v>312</v>
      </c>
      <c r="R4" s="47" t="s">
        <v>312</v>
      </c>
      <c r="S4" s="47" t="s">
        <v>312</v>
      </c>
      <c r="T4" s="47">
        <v>1</v>
      </c>
      <c r="U4" s="47">
        <v>2491151</v>
      </c>
      <c r="V4" s="47">
        <v>3</v>
      </c>
      <c r="W4" s="47">
        <v>1</v>
      </c>
      <c r="X4" s="47">
        <v>2491148</v>
      </c>
      <c r="Y4" s="47" t="s">
        <v>312</v>
      </c>
      <c r="Z4" s="47" t="s">
        <v>312</v>
      </c>
      <c r="AA4" s="47" t="s">
        <v>312</v>
      </c>
      <c r="AB4" s="47" t="s">
        <v>81</v>
      </c>
      <c r="AC4" s="47">
        <v>-0.33567999999999998</v>
      </c>
      <c r="AD4" s="47">
        <v>-0.33567999999999998</v>
      </c>
      <c r="AE4" s="47">
        <v>1</v>
      </c>
      <c r="AF4" s="47" t="s">
        <v>312</v>
      </c>
      <c r="AG4" s="47" t="s">
        <v>312</v>
      </c>
      <c r="AH4" s="47">
        <v>1</v>
      </c>
      <c r="AI4" s="47">
        <v>-0.33567999999999998</v>
      </c>
      <c r="AJ4" s="47">
        <v>0</v>
      </c>
      <c r="AK4" s="47" t="s">
        <v>312</v>
      </c>
      <c r="AL4" s="47" t="s">
        <v>82</v>
      </c>
      <c r="AM4" s="47" t="s">
        <v>1333</v>
      </c>
      <c r="AN4" s="47">
        <v>10.49</v>
      </c>
      <c r="AO4" s="47">
        <v>1</v>
      </c>
      <c r="AP4" s="47">
        <v>10.49</v>
      </c>
      <c r="AQ4" s="47">
        <v>3.1</v>
      </c>
      <c r="AR4" s="47">
        <v>5.59</v>
      </c>
      <c r="AS4" s="47">
        <v>15.73</v>
      </c>
      <c r="AT4" s="47" t="s">
        <v>107</v>
      </c>
      <c r="AU4" s="47" t="s">
        <v>109</v>
      </c>
      <c r="AV4" s="47" t="s">
        <v>133</v>
      </c>
      <c r="AW4" s="47" t="s">
        <v>134</v>
      </c>
      <c r="AX4" s="47" t="s">
        <v>86</v>
      </c>
      <c r="AY4" s="47">
        <v>0</v>
      </c>
      <c r="AZ4" s="47">
        <v>0</v>
      </c>
      <c r="BA4" s="47" t="s">
        <v>391</v>
      </c>
      <c r="BB4" s="47" t="s">
        <v>88</v>
      </c>
      <c r="BC4" s="47" t="s">
        <v>134</v>
      </c>
      <c r="BD4" s="47" t="s">
        <v>134</v>
      </c>
      <c r="BE4" s="47" t="s">
        <v>1374</v>
      </c>
      <c r="BF4" s="47" t="s">
        <v>312</v>
      </c>
      <c r="BG4" s="47" t="s">
        <v>312</v>
      </c>
      <c r="BH4" s="47" t="s">
        <v>312</v>
      </c>
      <c r="BI4" s="47" t="s">
        <v>312</v>
      </c>
      <c r="BJ4" s="47" t="s">
        <v>312</v>
      </c>
      <c r="BK4" s="47" t="s">
        <v>91</v>
      </c>
      <c r="BL4" s="47" t="s">
        <v>116</v>
      </c>
      <c r="BM4" s="47">
        <v>1</v>
      </c>
      <c r="BN4" s="47" t="s">
        <v>134</v>
      </c>
      <c r="BO4" s="47" t="s">
        <v>312</v>
      </c>
      <c r="BP4" s="47" t="s">
        <v>312</v>
      </c>
      <c r="BQ4" s="47" t="s">
        <v>92</v>
      </c>
      <c r="BR4" s="47" t="s">
        <v>134</v>
      </c>
      <c r="BS4" s="47" t="s">
        <v>312</v>
      </c>
      <c r="BT4" s="47" t="s">
        <v>312</v>
      </c>
      <c r="BU4" s="47">
        <v>2001</v>
      </c>
      <c r="BV4" s="47">
        <v>2018</v>
      </c>
      <c r="BW4" s="47" t="s">
        <v>901</v>
      </c>
      <c r="BX4" s="47" t="s">
        <v>95</v>
      </c>
      <c r="BY4" s="47" t="s">
        <v>748</v>
      </c>
      <c r="BZ4" s="47">
        <v>1</v>
      </c>
      <c r="CA4" s="47">
        <v>1</v>
      </c>
      <c r="CB4" s="47" t="s">
        <v>2131</v>
      </c>
      <c r="CC4" s="47" t="s">
        <v>2127</v>
      </c>
      <c r="CD4" s="47">
        <v>0</v>
      </c>
      <c r="CE4" s="47" t="s">
        <v>97</v>
      </c>
      <c r="CF4" s="47">
        <v>0</v>
      </c>
      <c r="CG4" s="47" t="s">
        <v>97</v>
      </c>
      <c r="CH4" s="47">
        <v>0</v>
      </c>
      <c r="CI4" s="47" t="s">
        <v>2128</v>
      </c>
      <c r="CJ4" s="47" t="s">
        <v>98</v>
      </c>
      <c r="CK4" s="47">
        <v>20</v>
      </c>
      <c r="CL4" s="47">
        <v>0</v>
      </c>
      <c r="CM4" s="47" t="s">
        <v>99</v>
      </c>
      <c r="CN4" s="47" t="s">
        <v>2134</v>
      </c>
      <c r="CO4" s="47" t="s">
        <v>717</v>
      </c>
      <c r="CP4" s="47" t="s">
        <v>126</v>
      </c>
      <c r="CQ4" s="48">
        <v>46259</v>
      </c>
      <c r="CR4" s="47"/>
      <c r="CS4" s="47" t="s">
        <v>449</v>
      </c>
      <c r="CT4" s="47"/>
      <c r="CU4" s="47"/>
      <c r="CV4" s="47"/>
      <c r="CW4" s="47"/>
      <c r="CX4" s="47"/>
      <c r="CY4" s="47"/>
      <c r="CZ4" s="47"/>
    </row>
    <row r="5" spans="1:104" s="23" customFormat="1" x14ac:dyDescent="0.35">
      <c r="A5" s="46" t="s">
        <v>2123</v>
      </c>
      <c r="B5" s="46" t="s">
        <v>2135</v>
      </c>
      <c r="C5" s="47" t="s">
        <v>2124</v>
      </c>
      <c r="D5" s="47">
        <v>2022</v>
      </c>
      <c r="E5" s="46" t="s">
        <v>2125</v>
      </c>
      <c r="F5" s="46" t="s">
        <v>312</v>
      </c>
      <c r="G5" s="47" t="s">
        <v>102</v>
      </c>
      <c r="H5" s="47">
        <v>0</v>
      </c>
      <c r="I5" s="47" t="s">
        <v>1967</v>
      </c>
      <c r="J5" s="47" t="s">
        <v>312</v>
      </c>
      <c r="K5" s="47">
        <v>6</v>
      </c>
      <c r="L5" s="47" t="s">
        <v>104</v>
      </c>
      <c r="M5" s="47" t="s">
        <v>380</v>
      </c>
      <c r="N5" s="47">
        <v>-8.9999999999999993E-3</v>
      </c>
      <c r="O5" s="47">
        <v>0</v>
      </c>
      <c r="P5" s="47" t="e">
        <v>#DIV/0!</v>
      </c>
      <c r="Q5" s="47" t="s">
        <v>312</v>
      </c>
      <c r="R5" s="47">
        <v>-8.9999999999999993E-3</v>
      </c>
      <c r="S5" s="47">
        <v>-8.9999999999999993E-3</v>
      </c>
      <c r="T5" s="47">
        <v>1</v>
      </c>
      <c r="U5" s="47">
        <v>2491151</v>
      </c>
      <c r="V5" s="47">
        <v>3</v>
      </c>
      <c r="W5" s="47">
        <v>1</v>
      </c>
      <c r="X5" s="47">
        <v>2491148</v>
      </c>
      <c r="Y5" s="47" t="e">
        <v>#DIV/0!</v>
      </c>
      <c r="Z5" s="47" t="e">
        <v>#DIV/0!</v>
      </c>
      <c r="AA5" s="47" t="e">
        <v>#DIV/0!</v>
      </c>
      <c r="AB5" s="47" t="s">
        <v>81</v>
      </c>
      <c r="AC5" s="47">
        <v>-9.4409999999999994E-2</v>
      </c>
      <c r="AD5" s="47">
        <v>-9.4409999999999994E-2</v>
      </c>
      <c r="AE5" s="47">
        <v>1</v>
      </c>
      <c r="AF5" s="47">
        <v>0</v>
      </c>
      <c r="AG5" s="47">
        <v>0</v>
      </c>
      <c r="AH5" s="47">
        <v>1</v>
      </c>
      <c r="AI5" s="47">
        <v>-9.4409999999999994E-2</v>
      </c>
      <c r="AJ5" s="47">
        <v>0</v>
      </c>
      <c r="AK5" s="47" t="e">
        <v>#DIV/0!</v>
      </c>
      <c r="AL5" s="47" t="s">
        <v>82</v>
      </c>
      <c r="AM5" s="47" t="s">
        <v>1333</v>
      </c>
      <c r="AN5" s="47">
        <v>10.49</v>
      </c>
      <c r="AO5" s="47">
        <v>1</v>
      </c>
      <c r="AP5" s="47">
        <v>10.49</v>
      </c>
      <c r="AQ5" s="47">
        <v>3.1</v>
      </c>
      <c r="AR5" s="47">
        <v>5.59</v>
      </c>
      <c r="AS5" s="47">
        <v>15.73</v>
      </c>
      <c r="AT5" s="47" t="s">
        <v>107</v>
      </c>
      <c r="AU5" s="47" t="s">
        <v>109</v>
      </c>
      <c r="AV5" s="47" t="s">
        <v>133</v>
      </c>
      <c r="AW5" s="47" t="s">
        <v>134</v>
      </c>
      <c r="AX5" s="47" t="s">
        <v>86</v>
      </c>
      <c r="AY5" s="47">
        <v>0</v>
      </c>
      <c r="AZ5" s="47">
        <v>0</v>
      </c>
      <c r="BA5" s="47" t="s">
        <v>391</v>
      </c>
      <c r="BB5" s="47" t="s">
        <v>88</v>
      </c>
      <c r="BC5" s="47" t="s">
        <v>134</v>
      </c>
      <c r="BD5" s="47" t="s">
        <v>134</v>
      </c>
      <c r="BE5" s="47" t="s">
        <v>1374</v>
      </c>
      <c r="BF5" s="47" t="s">
        <v>312</v>
      </c>
      <c r="BG5" s="47" t="s">
        <v>312</v>
      </c>
      <c r="BH5" s="47" t="s">
        <v>312</v>
      </c>
      <c r="BI5" s="47" t="s">
        <v>312</v>
      </c>
      <c r="BJ5" s="47" t="s">
        <v>312</v>
      </c>
      <c r="BK5" s="47" t="s">
        <v>91</v>
      </c>
      <c r="BL5" s="47" t="s">
        <v>116</v>
      </c>
      <c r="BM5" s="47">
        <v>1</v>
      </c>
      <c r="BN5" s="47" t="s">
        <v>134</v>
      </c>
      <c r="BO5" s="47" t="s">
        <v>312</v>
      </c>
      <c r="BP5" s="47" t="s">
        <v>312</v>
      </c>
      <c r="BQ5" s="47" t="s">
        <v>92</v>
      </c>
      <c r="BR5" s="47" t="s">
        <v>134</v>
      </c>
      <c r="BS5" s="47" t="s">
        <v>312</v>
      </c>
      <c r="BT5" s="47" t="s">
        <v>312</v>
      </c>
      <c r="BU5" s="47">
        <v>2001</v>
      </c>
      <c r="BV5" s="47">
        <v>2018</v>
      </c>
      <c r="BW5" s="47" t="s">
        <v>901</v>
      </c>
      <c r="BX5" s="47" t="s">
        <v>95</v>
      </c>
      <c r="BY5" s="47" t="s">
        <v>748</v>
      </c>
      <c r="BZ5" s="47">
        <v>1</v>
      </c>
      <c r="CA5" s="47">
        <v>1</v>
      </c>
      <c r="CB5" s="47" t="s">
        <v>2131</v>
      </c>
      <c r="CC5" s="47" t="s">
        <v>2127</v>
      </c>
      <c r="CD5" s="47">
        <v>0</v>
      </c>
      <c r="CE5" s="47" t="s">
        <v>97</v>
      </c>
      <c r="CF5" s="47">
        <v>0</v>
      </c>
      <c r="CG5" s="47" t="s">
        <v>97</v>
      </c>
      <c r="CH5" s="47">
        <v>0</v>
      </c>
      <c r="CI5" s="47" t="s">
        <v>2128</v>
      </c>
      <c r="CJ5" s="47" t="s">
        <v>98</v>
      </c>
      <c r="CK5" s="47">
        <v>20</v>
      </c>
      <c r="CL5" s="47">
        <v>0</v>
      </c>
      <c r="CM5" s="47" t="s">
        <v>99</v>
      </c>
      <c r="CN5" s="47" t="s">
        <v>2134</v>
      </c>
      <c r="CO5" s="47" t="s">
        <v>717</v>
      </c>
      <c r="CP5" s="47" t="s">
        <v>126</v>
      </c>
      <c r="CQ5" s="48">
        <v>46259</v>
      </c>
      <c r="CR5" s="47"/>
      <c r="CS5" s="47" t="s">
        <v>449</v>
      </c>
      <c r="CT5" s="47"/>
      <c r="CU5" s="47"/>
      <c r="CV5" s="47"/>
      <c r="CW5" s="47"/>
      <c r="CX5" s="47"/>
      <c r="CY5" s="47"/>
      <c r="CZ5" s="47"/>
    </row>
    <row r="6" spans="1:104" s="23" customFormat="1" x14ac:dyDescent="0.35">
      <c r="A6" s="46" t="s">
        <v>2123</v>
      </c>
      <c r="B6" s="46" t="s">
        <v>2136</v>
      </c>
      <c r="C6" s="47" t="s">
        <v>2124</v>
      </c>
      <c r="D6" s="47">
        <v>2022</v>
      </c>
      <c r="E6" s="46" t="s">
        <v>2125</v>
      </c>
      <c r="F6" s="46" t="s">
        <v>312</v>
      </c>
      <c r="G6" s="47" t="s">
        <v>102</v>
      </c>
      <c r="H6" s="47">
        <v>0</v>
      </c>
      <c r="I6" s="47" t="s">
        <v>1967</v>
      </c>
      <c r="J6" s="47" t="s">
        <v>312</v>
      </c>
      <c r="K6" s="47">
        <v>6</v>
      </c>
      <c r="L6" s="47" t="s">
        <v>104</v>
      </c>
      <c r="M6" s="47" t="s">
        <v>380</v>
      </c>
      <c r="N6" s="47">
        <v>-1.46E-2</v>
      </c>
      <c r="O6" s="47">
        <v>0</v>
      </c>
      <c r="P6" s="47" t="e">
        <v>#DIV/0!</v>
      </c>
      <c r="Q6" s="47" t="s">
        <v>312</v>
      </c>
      <c r="R6" s="47">
        <v>-1.46E-2</v>
      </c>
      <c r="S6" s="47">
        <v>-1.46E-2</v>
      </c>
      <c r="T6" s="47">
        <v>1</v>
      </c>
      <c r="U6" s="47">
        <v>2491151</v>
      </c>
      <c r="V6" s="47">
        <v>2</v>
      </c>
      <c r="W6" s="47">
        <v>1</v>
      </c>
      <c r="X6" s="47">
        <v>2491149</v>
      </c>
      <c r="Y6" s="47" t="e">
        <v>#DIV/0!</v>
      </c>
      <c r="Z6" s="47" t="e">
        <v>#DIV/0!</v>
      </c>
      <c r="AA6" s="47" t="e">
        <v>#DIV/0!</v>
      </c>
      <c r="AB6" s="47" t="s">
        <v>81</v>
      </c>
      <c r="AC6" s="47">
        <v>-0.15315400000000001</v>
      </c>
      <c r="AD6" s="47">
        <v>-0.15315400000000001</v>
      </c>
      <c r="AE6" s="47">
        <v>1</v>
      </c>
      <c r="AF6" s="47">
        <v>0</v>
      </c>
      <c r="AG6" s="47">
        <v>0</v>
      </c>
      <c r="AH6" s="47">
        <v>1</v>
      </c>
      <c r="AI6" s="47">
        <v>-0.15315400000000001</v>
      </c>
      <c r="AJ6" s="47">
        <v>0</v>
      </c>
      <c r="AK6" s="47" t="e">
        <v>#DIV/0!</v>
      </c>
      <c r="AL6" s="47" t="s">
        <v>82</v>
      </c>
      <c r="AM6" s="47" t="s">
        <v>1333</v>
      </c>
      <c r="AN6" s="47">
        <v>10.49</v>
      </c>
      <c r="AO6" s="47">
        <v>1</v>
      </c>
      <c r="AP6" s="47">
        <v>10.49</v>
      </c>
      <c r="AQ6" s="47">
        <v>3.1</v>
      </c>
      <c r="AR6" s="47">
        <v>5.59</v>
      </c>
      <c r="AS6" s="47">
        <v>15.73</v>
      </c>
      <c r="AT6" s="47" t="s">
        <v>107</v>
      </c>
      <c r="AU6" s="47" t="s">
        <v>109</v>
      </c>
      <c r="AV6" s="47" t="s">
        <v>133</v>
      </c>
      <c r="AW6" s="47" t="s">
        <v>134</v>
      </c>
      <c r="AX6" s="47" t="s">
        <v>86</v>
      </c>
      <c r="AY6" s="47">
        <v>0</v>
      </c>
      <c r="AZ6" s="47">
        <v>0</v>
      </c>
      <c r="BA6" s="47" t="s">
        <v>391</v>
      </c>
      <c r="BB6" s="47" t="s">
        <v>88</v>
      </c>
      <c r="BC6" s="47" t="s">
        <v>134</v>
      </c>
      <c r="BD6" s="47" t="s">
        <v>134</v>
      </c>
      <c r="BE6" s="47" t="s">
        <v>1374</v>
      </c>
      <c r="BF6" s="47" t="s">
        <v>312</v>
      </c>
      <c r="BG6" s="47" t="s">
        <v>312</v>
      </c>
      <c r="BH6" s="47" t="s">
        <v>312</v>
      </c>
      <c r="BI6" s="47" t="s">
        <v>312</v>
      </c>
      <c r="BJ6" s="47" t="s">
        <v>312</v>
      </c>
      <c r="BK6" s="47" t="s">
        <v>91</v>
      </c>
      <c r="BL6" s="47" t="s">
        <v>116</v>
      </c>
      <c r="BM6" s="47">
        <v>1</v>
      </c>
      <c r="BN6" s="47" t="s">
        <v>134</v>
      </c>
      <c r="BO6" s="47" t="s">
        <v>312</v>
      </c>
      <c r="BP6" s="47" t="s">
        <v>312</v>
      </c>
      <c r="BQ6" s="47" t="s">
        <v>92</v>
      </c>
      <c r="BR6" s="47" t="s">
        <v>134</v>
      </c>
      <c r="BS6" s="47" t="s">
        <v>312</v>
      </c>
      <c r="BT6" s="47" t="s">
        <v>312</v>
      </c>
      <c r="BU6" s="47">
        <v>2001</v>
      </c>
      <c r="BV6" s="47">
        <v>2018</v>
      </c>
      <c r="BW6" s="47" t="s">
        <v>901</v>
      </c>
      <c r="BX6" s="47" t="s">
        <v>95</v>
      </c>
      <c r="BY6" s="47" t="s">
        <v>748</v>
      </c>
      <c r="BZ6" s="47">
        <v>1</v>
      </c>
      <c r="CA6" s="47">
        <v>1</v>
      </c>
      <c r="CB6" s="47" t="s">
        <v>2131</v>
      </c>
      <c r="CC6" s="47" t="s">
        <v>2127</v>
      </c>
      <c r="CD6" s="47">
        <v>0</v>
      </c>
      <c r="CE6" s="47" t="s">
        <v>97</v>
      </c>
      <c r="CF6" s="47">
        <v>0</v>
      </c>
      <c r="CG6" s="47" t="s">
        <v>97</v>
      </c>
      <c r="CH6" s="47">
        <v>0</v>
      </c>
      <c r="CI6" s="47" t="s">
        <v>2128</v>
      </c>
      <c r="CJ6" s="47" t="s">
        <v>98</v>
      </c>
      <c r="CK6" s="47">
        <v>20</v>
      </c>
      <c r="CL6" s="47">
        <v>0</v>
      </c>
      <c r="CM6" s="47" t="s">
        <v>99</v>
      </c>
      <c r="CN6" s="47" t="s">
        <v>97</v>
      </c>
      <c r="CO6" s="47" t="s">
        <v>717</v>
      </c>
      <c r="CP6" s="47" t="s">
        <v>126</v>
      </c>
      <c r="CQ6" s="48">
        <v>46259</v>
      </c>
      <c r="CR6" s="47"/>
      <c r="CS6" s="47" t="s">
        <v>2137</v>
      </c>
      <c r="CT6" s="47"/>
      <c r="CU6" s="47"/>
      <c r="CV6" s="47"/>
      <c r="CW6" s="47"/>
      <c r="CX6" s="47"/>
      <c r="CY6" s="47"/>
      <c r="CZ6" s="47"/>
    </row>
    <row r="7" spans="1:104" s="23" customFormat="1" x14ac:dyDescent="0.35">
      <c r="A7" s="46" t="s">
        <v>2123</v>
      </c>
      <c r="B7" s="46" t="s">
        <v>2138</v>
      </c>
      <c r="C7" s="47" t="s">
        <v>2124</v>
      </c>
      <c r="D7" s="47">
        <v>2022</v>
      </c>
      <c r="E7" s="46" t="s">
        <v>2125</v>
      </c>
      <c r="F7" s="46" t="s">
        <v>312</v>
      </c>
      <c r="G7" s="47" t="s">
        <v>102</v>
      </c>
      <c r="H7" s="47">
        <v>0</v>
      </c>
      <c r="I7" s="47" t="s">
        <v>1967</v>
      </c>
      <c r="J7" s="47" t="s">
        <v>312</v>
      </c>
      <c r="K7" s="47">
        <v>6</v>
      </c>
      <c r="L7" s="47" t="s">
        <v>104</v>
      </c>
      <c r="M7" s="47" t="s">
        <v>380</v>
      </c>
      <c r="N7" s="47">
        <v>-0.02</v>
      </c>
      <c r="O7" s="47" t="s">
        <v>312</v>
      </c>
      <c r="P7" s="47" t="s">
        <v>312</v>
      </c>
      <c r="Q7" s="47" t="s">
        <v>312</v>
      </c>
      <c r="R7" s="47" t="s">
        <v>312</v>
      </c>
      <c r="S7" s="47" t="s">
        <v>312</v>
      </c>
      <c r="T7" s="47">
        <v>1</v>
      </c>
      <c r="U7" s="47">
        <v>2491151</v>
      </c>
      <c r="V7" s="47">
        <v>3</v>
      </c>
      <c r="W7" s="47">
        <v>1</v>
      </c>
      <c r="X7" s="47">
        <v>2491148</v>
      </c>
      <c r="Y7" s="47" t="s">
        <v>312</v>
      </c>
      <c r="Z7" s="47" t="s">
        <v>312</v>
      </c>
      <c r="AA7" s="47" t="s">
        <v>312</v>
      </c>
      <c r="AB7" s="47" t="s">
        <v>81</v>
      </c>
      <c r="AC7" s="47">
        <v>-0.20979999999999999</v>
      </c>
      <c r="AD7" s="47">
        <v>-0.20979999999999999</v>
      </c>
      <c r="AE7" s="47">
        <v>1</v>
      </c>
      <c r="AF7" s="47" t="s">
        <v>312</v>
      </c>
      <c r="AG7" s="47" t="s">
        <v>312</v>
      </c>
      <c r="AH7" s="47">
        <v>1</v>
      </c>
      <c r="AI7" s="47">
        <v>-0.20979999999999999</v>
      </c>
      <c r="AJ7" s="47">
        <v>0</v>
      </c>
      <c r="AK7" s="47" t="s">
        <v>312</v>
      </c>
      <c r="AL7" s="47" t="s">
        <v>82</v>
      </c>
      <c r="AM7" s="47" t="s">
        <v>1333</v>
      </c>
      <c r="AN7" s="47">
        <v>10.49</v>
      </c>
      <c r="AO7" s="47">
        <v>1</v>
      </c>
      <c r="AP7" s="47">
        <v>10.49</v>
      </c>
      <c r="AQ7" s="47">
        <v>3.1</v>
      </c>
      <c r="AR7" s="47">
        <v>5.59</v>
      </c>
      <c r="AS7" s="47">
        <v>15.73</v>
      </c>
      <c r="AT7" s="47" t="s">
        <v>107</v>
      </c>
      <c r="AU7" s="47" t="s">
        <v>109</v>
      </c>
      <c r="AV7" s="47" t="s">
        <v>133</v>
      </c>
      <c r="AW7" s="47" t="s">
        <v>134</v>
      </c>
      <c r="AX7" s="47" t="s">
        <v>86</v>
      </c>
      <c r="AY7" s="47">
        <v>0</v>
      </c>
      <c r="AZ7" s="47">
        <v>0</v>
      </c>
      <c r="BA7" s="47" t="s">
        <v>391</v>
      </c>
      <c r="BB7" s="47" t="s">
        <v>88</v>
      </c>
      <c r="BC7" s="47" t="s">
        <v>134</v>
      </c>
      <c r="BD7" s="47" t="s">
        <v>114</v>
      </c>
      <c r="BE7" s="47" t="s">
        <v>1374</v>
      </c>
      <c r="BF7" s="47" t="s">
        <v>312</v>
      </c>
      <c r="BG7" s="47" t="s">
        <v>312</v>
      </c>
      <c r="BH7" s="47" t="s">
        <v>312</v>
      </c>
      <c r="BI7" s="47" t="s">
        <v>312</v>
      </c>
      <c r="BJ7" s="47" t="s">
        <v>312</v>
      </c>
      <c r="BK7" s="47" t="s">
        <v>91</v>
      </c>
      <c r="BL7" s="47" t="s">
        <v>116</v>
      </c>
      <c r="BM7" s="47">
        <v>1</v>
      </c>
      <c r="BN7" s="47" t="s">
        <v>134</v>
      </c>
      <c r="BO7" s="47" t="s">
        <v>312</v>
      </c>
      <c r="BP7" s="47" t="s">
        <v>312</v>
      </c>
      <c r="BQ7" s="47" t="s">
        <v>92</v>
      </c>
      <c r="BR7" s="47" t="s">
        <v>134</v>
      </c>
      <c r="BS7" s="47" t="s">
        <v>312</v>
      </c>
      <c r="BT7" s="47" t="s">
        <v>312</v>
      </c>
      <c r="BU7" s="47">
        <v>2001</v>
      </c>
      <c r="BV7" s="47">
        <v>2018</v>
      </c>
      <c r="BW7" s="47" t="s">
        <v>901</v>
      </c>
      <c r="BX7" s="47" t="s">
        <v>95</v>
      </c>
      <c r="BY7" s="47" t="s">
        <v>748</v>
      </c>
      <c r="BZ7" s="47">
        <v>1</v>
      </c>
      <c r="CA7" s="47">
        <v>1</v>
      </c>
      <c r="CB7" s="47" t="s">
        <v>2131</v>
      </c>
      <c r="CC7" s="47" t="s">
        <v>2127</v>
      </c>
      <c r="CD7" s="47">
        <v>0</v>
      </c>
      <c r="CE7" s="47" t="s">
        <v>97</v>
      </c>
      <c r="CF7" s="47">
        <v>0</v>
      </c>
      <c r="CG7" s="47" t="s">
        <v>97</v>
      </c>
      <c r="CH7" s="47">
        <v>0</v>
      </c>
      <c r="CI7" s="47" t="s">
        <v>2128</v>
      </c>
      <c r="CJ7" s="47" t="s">
        <v>98</v>
      </c>
      <c r="CK7" s="47">
        <v>20</v>
      </c>
      <c r="CL7" s="47">
        <v>0</v>
      </c>
      <c r="CM7" s="47" t="s">
        <v>99</v>
      </c>
      <c r="CN7" s="47" t="s">
        <v>1457</v>
      </c>
      <c r="CO7" s="47" t="s">
        <v>717</v>
      </c>
      <c r="CP7" s="47" t="s">
        <v>126</v>
      </c>
      <c r="CQ7" s="48">
        <v>46259</v>
      </c>
      <c r="CR7" s="47"/>
      <c r="CS7" s="47" t="s">
        <v>2139</v>
      </c>
      <c r="CT7" s="47"/>
      <c r="CU7" s="47"/>
      <c r="CV7" s="47"/>
      <c r="CW7" s="47"/>
      <c r="CX7" s="47"/>
      <c r="CY7" s="47"/>
      <c r="CZ7" s="47"/>
    </row>
    <row r="8" spans="1:104" s="23" customFormat="1" x14ac:dyDescent="0.35">
      <c r="A8" s="46" t="s">
        <v>2123</v>
      </c>
      <c r="B8" s="46" t="s">
        <v>2140</v>
      </c>
      <c r="C8" s="47" t="s">
        <v>2124</v>
      </c>
      <c r="D8" s="47">
        <v>2022</v>
      </c>
      <c r="E8" s="46" t="s">
        <v>2125</v>
      </c>
      <c r="F8" s="46" t="s">
        <v>312</v>
      </c>
      <c r="G8" s="47" t="s">
        <v>102</v>
      </c>
      <c r="H8" s="47">
        <v>0</v>
      </c>
      <c r="I8" s="47" t="s">
        <v>1967</v>
      </c>
      <c r="J8" s="47" t="s">
        <v>312</v>
      </c>
      <c r="K8" s="47">
        <v>6</v>
      </c>
      <c r="L8" s="47" t="s">
        <v>104</v>
      </c>
      <c r="M8" s="47" t="s">
        <v>380</v>
      </c>
      <c r="N8" s="47">
        <v>-7.0000000000000001E-3</v>
      </c>
      <c r="O8" s="47">
        <v>0.01</v>
      </c>
      <c r="P8" s="47">
        <v>-0.7</v>
      </c>
      <c r="Q8" s="47" t="s">
        <v>312</v>
      </c>
      <c r="R8" s="47">
        <v>-2.6599999999999999E-2</v>
      </c>
      <c r="S8" s="47">
        <v>1.26E-2</v>
      </c>
      <c r="T8" s="47">
        <v>1</v>
      </c>
      <c r="U8" s="47">
        <v>2491151</v>
      </c>
      <c r="V8" s="47">
        <v>3</v>
      </c>
      <c r="W8" s="47">
        <v>1</v>
      </c>
      <c r="X8" s="47">
        <v>2491148</v>
      </c>
      <c r="Y8" s="47">
        <v>-4.4350500000000002E-4</v>
      </c>
      <c r="Z8" s="47">
        <v>6.3357799999999998E-4</v>
      </c>
      <c r="AA8" s="47">
        <v>-4.4350500000000002E-4</v>
      </c>
      <c r="AB8" s="47" t="s">
        <v>81</v>
      </c>
      <c r="AC8" s="47">
        <v>-7.3429999999999995E-2</v>
      </c>
      <c r="AD8" s="47">
        <v>-7.3429999999999995E-2</v>
      </c>
      <c r="AE8" s="47">
        <v>1</v>
      </c>
      <c r="AF8" s="47">
        <v>0.10489999999999999</v>
      </c>
      <c r="AG8" s="47">
        <v>0.10489999999999999</v>
      </c>
      <c r="AH8" s="47">
        <v>1</v>
      </c>
      <c r="AI8" s="47">
        <v>-7.3429999999999995E-2</v>
      </c>
      <c r="AJ8" s="47">
        <v>0</v>
      </c>
      <c r="AK8" s="47">
        <v>1</v>
      </c>
      <c r="AL8" s="47" t="s">
        <v>82</v>
      </c>
      <c r="AM8" s="47" t="s">
        <v>1333</v>
      </c>
      <c r="AN8" s="47">
        <v>10.49</v>
      </c>
      <c r="AO8" s="47">
        <v>1</v>
      </c>
      <c r="AP8" s="47">
        <v>10.49</v>
      </c>
      <c r="AQ8" s="47">
        <v>3.1</v>
      </c>
      <c r="AR8" s="47">
        <v>5.59</v>
      </c>
      <c r="AS8" s="47">
        <v>15.73</v>
      </c>
      <c r="AT8" s="47" t="s">
        <v>107</v>
      </c>
      <c r="AU8" s="47" t="s">
        <v>109</v>
      </c>
      <c r="AV8" s="47" t="s">
        <v>133</v>
      </c>
      <c r="AW8" s="47" t="s">
        <v>134</v>
      </c>
      <c r="AX8" s="47" t="s">
        <v>86</v>
      </c>
      <c r="AY8" s="47">
        <v>0</v>
      </c>
      <c r="AZ8" s="47">
        <v>0</v>
      </c>
      <c r="BA8" s="47" t="s">
        <v>391</v>
      </c>
      <c r="BB8" s="47" t="s">
        <v>88</v>
      </c>
      <c r="BC8" s="47" t="s">
        <v>134</v>
      </c>
      <c r="BD8" s="47" t="s">
        <v>90</v>
      </c>
      <c r="BE8" s="47" t="s">
        <v>1374</v>
      </c>
      <c r="BF8" s="47" t="s">
        <v>312</v>
      </c>
      <c r="BG8" s="47" t="s">
        <v>312</v>
      </c>
      <c r="BH8" s="47" t="s">
        <v>312</v>
      </c>
      <c r="BI8" s="47" t="s">
        <v>312</v>
      </c>
      <c r="BJ8" s="47" t="s">
        <v>312</v>
      </c>
      <c r="BK8" s="47" t="s">
        <v>91</v>
      </c>
      <c r="BL8" s="47" t="s">
        <v>116</v>
      </c>
      <c r="BM8" s="47">
        <v>1</v>
      </c>
      <c r="BN8" s="47" t="s">
        <v>134</v>
      </c>
      <c r="BO8" s="47" t="s">
        <v>312</v>
      </c>
      <c r="BP8" s="47" t="s">
        <v>312</v>
      </c>
      <c r="BQ8" s="47" t="s">
        <v>92</v>
      </c>
      <c r="BR8" s="47" t="s">
        <v>134</v>
      </c>
      <c r="BS8" s="47" t="s">
        <v>312</v>
      </c>
      <c r="BT8" s="47" t="s">
        <v>312</v>
      </c>
      <c r="BU8" s="47">
        <v>2001</v>
      </c>
      <c r="BV8" s="47">
        <v>2018</v>
      </c>
      <c r="BW8" s="47" t="s">
        <v>901</v>
      </c>
      <c r="BX8" s="47" t="s">
        <v>95</v>
      </c>
      <c r="BY8" s="47" t="s">
        <v>748</v>
      </c>
      <c r="BZ8" s="47">
        <v>1</v>
      </c>
      <c r="CA8" s="47">
        <v>1</v>
      </c>
      <c r="CB8" s="47" t="s">
        <v>2131</v>
      </c>
      <c r="CC8" s="47" t="s">
        <v>2127</v>
      </c>
      <c r="CD8" s="47">
        <v>0</v>
      </c>
      <c r="CE8" s="47" t="s">
        <v>97</v>
      </c>
      <c r="CF8" s="47">
        <v>0</v>
      </c>
      <c r="CG8" s="47" t="s">
        <v>97</v>
      </c>
      <c r="CH8" s="47">
        <v>0</v>
      </c>
      <c r="CI8" s="47" t="s">
        <v>2128</v>
      </c>
      <c r="CJ8" s="47" t="s">
        <v>98</v>
      </c>
      <c r="CK8" s="47">
        <v>20</v>
      </c>
      <c r="CL8" s="47">
        <v>0</v>
      </c>
      <c r="CM8" s="47" t="s">
        <v>99</v>
      </c>
      <c r="CN8" s="47" t="s">
        <v>1457</v>
      </c>
      <c r="CO8" s="47" t="s">
        <v>717</v>
      </c>
      <c r="CP8" s="47" t="s">
        <v>126</v>
      </c>
      <c r="CQ8" s="48">
        <v>46259</v>
      </c>
      <c r="CR8" s="47"/>
      <c r="CS8" s="47" t="s">
        <v>2139</v>
      </c>
      <c r="CT8" s="47"/>
      <c r="CU8" s="47"/>
      <c r="CV8" s="47"/>
      <c r="CW8" s="47"/>
      <c r="CX8" s="47"/>
      <c r="CY8" s="47"/>
      <c r="CZ8" s="47"/>
    </row>
    <row r="9" spans="1:104" s="23" customFormat="1" x14ac:dyDescent="0.35">
      <c r="A9" s="46" t="s">
        <v>2123</v>
      </c>
      <c r="B9" s="46" t="s">
        <v>2141</v>
      </c>
      <c r="C9" s="47" t="s">
        <v>2124</v>
      </c>
      <c r="D9" s="47">
        <v>2022</v>
      </c>
      <c r="E9" s="46" t="s">
        <v>2125</v>
      </c>
      <c r="F9" s="46" t="s">
        <v>312</v>
      </c>
      <c r="G9" s="47" t="s">
        <v>102</v>
      </c>
      <c r="H9" s="47">
        <v>0</v>
      </c>
      <c r="I9" s="47" t="s">
        <v>1967</v>
      </c>
      <c r="J9" s="47" t="s">
        <v>312</v>
      </c>
      <c r="K9" s="47">
        <v>6</v>
      </c>
      <c r="L9" s="47" t="s">
        <v>104</v>
      </c>
      <c r="M9" s="47" t="s">
        <v>380</v>
      </c>
      <c r="N9" s="47">
        <v>-0.02</v>
      </c>
      <c r="O9" s="47" t="s">
        <v>312</v>
      </c>
      <c r="P9" s="47" t="s">
        <v>312</v>
      </c>
      <c r="Q9" s="47" t="s">
        <v>312</v>
      </c>
      <c r="R9" s="47" t="s">
        <v>312</v>
      </c>
      <c r="S9" s="47" t="s">
        <v>312</v>
      </c>
      <c r="T9" s="47">
        <v>1</v>
      </c>
      <c r="U9" s="47">
        <v>2491151</v>
      </c>
      <c r="V9" s="47">
        <v>3</v>
      </c>
      <c r="W9" s="47">
        <v>1</v>
      </c>
      <c r="X9" s="47">
        <v>2491148</v>
      </c>
      <c r="Y9" s="47" t="s">
        <v>312</v>
      </c>
      <c r="Z9" s="47" t="s">
        <v>312</v>
      </c>
      <c r="AA9" s="47" t="s">
        <v>312</v>
      </c>
      <c r="AB9" s="47" t="s">
        <v>81</v>
      </c>
      <c r="AC9" s="47">
        <v>-0.20979999999999999</v>
      </c>
      <c r="AD9" s="47">
        <v>-0.20979999999999999</v>
      </c>
      <c r="AE9" s="47">
        <v>1</v>
      </c>
      <c r="AF9" s="47" t="s">
        <v>312</v>
      </c>
      <c r="AG9" s="47" t="s">
        <v>312</v>
      </c>
      <c r="AH9" s="47">
        <v>1</v>
      </c>
      <c r="AI9" s="47">
        <v>-0.20979999999999999</v>
      </c>
      <c r="AJ9" s="47">
        <v>0</v>
      </c>
      <c r="AK9" s="47" t="s">
        <v>312</v>
      </c>
      <c r="AL9" s="47" t="s">
        <v>82</v>
      </c>
      <c r="AM9" s="47" t="s">
        <v>1333</v>
      </c>
      <c r="AN9" s="47">
        <v>10.49</v>
      </c>
      <c r="AO9" s="47">
        <v>1</v>
      </c>
      <c r="AP9" s="47">
        <v>10.49</v>
      </c>
      <c r="AQ9" s="47">
        <v>3.1</v>
      </c>
      <c r="AR9" s="47">
        <v>5.59</v>
      </c>
      <c r="AS9" s="47">
        <v>15.73</v>
      </c>
      <c r="AT9" s="47" t="s">
        <v>107</v>
      </c>
      <c r="AU9" s="47" t="s">
        <v>109</v>
      </c>
      <c r="AV9" s="47" t="s">
        <v>133</v>
      </c>
      <c r="AW9" s="47" t="s">
        <v>134</v>
      </c>
      <c r="AX9" s="47" t="s">
        <v>86</v>
      </c>
      <c r="AY9" s="47">
        <v>0</v>
      </c>
      <c r="AZ9" s="47">
        <v>0</v>
      </c>
      <c r="BA9" s="47" t="s">
        <v>391</v>
      </c>
      <c r="BB9" s="47" t="s">
        <v>88</v>
      </c>
      <c r="BC9" s="47" t="s">
        <v>134</v>
      </c>
      <c r="BD9" s="47" t="s">
        <v>114</v>
      </c>
      <c r="BE9" s="47" t="s">
        <v>1374</v>
      </c>
      <c r="BF9" s="47" t="s">
        <v>312</v>
      </c>
      <c r="BG9" s="47" t="s">
        <v>312</v>
      </c>
      <c r="BH9" s="47" t="s">
        <v>312</v>
      </c>
      <c r="BI9" s="47" t="s">
        <v>312</v>
      </c>
      <c r="BJ9" s="47" t="s">
        <v>312</v>
      </c>
      <c r="BK9" s="47" t="s">
        <v>91</v>
      </c>
      <c r="BL9" s="47" t="s">
        <v>116</v>
      </c>
      <c r="BM9" s="47">
        <v>1</v>
      </c>
      <c r="BN9" s="47" t="s">
        <v>134</v>
      </c>
      <c r="BO9" s="47" t="s">
        <v>312</v>
      </c>
      <c r="BP9" s="47" t="s">
        <v>312</v>
      </c>
      <c r="BQ9" s="47" t="s">
        <v>92</v>
      </c>
      <c r="BR9" s="47" t="s">
        <v>134</v>
      </c>
      <c r="BS9" s="47" t="s">
        <v>312</v>
      </c>
      <c r="BT9" s="47" t="s">
        <v>312</v>
      </c>
      <c r="BU9" s="47">
        <v>2001</v>
      </c>
      <c r="BV9" s="47">
        <v>2018</v>
      </c>
      <c r="BW9" s="47" t="s">
        <v>901</v>
      </c>
      <c r="BX9" s="47" t="s">
        <v>95</v>
      </c>
      <c r="BY9" s="47" t="s">
        <v>748</v>
      </c>
      <c r="BZ9" s="47">
        <v>1</v>
      </c>
      <c r="CA9" s="47">
        <v>1</v>
      </c>
      <c r="CB9" s="47" t="s">
        <v>2131</v>
      </c>
      <c r="CC9" s="47" t="s">
        <v>2127</v>
      </c>
      <c r="CD9" s="47">
        <v>0</v>
      </c>
      <c r="CE9" s="47" t="s">
        <v>97</v>
      </c>
      <c r="CF9" s="47">
        <v>0</v>
      </c>
      <c r="CG9" s="47" t="s">
        <v>97</v>
      </c>
      <c r="CH9" s="47">
        <v>0</v>
      </c>
      <c r="CI9" s="47" t="s">
        <v>2128</v>
      </c>
      <c r="CJ9" s="47" t="s">
        <v>98</v>
      </c>
      <c r="CK9" s="47">
        <v>20</v>
      </c>
      <c r="CL9" s="47">
        <v>0</v>
      </c>
      <c r="CM9" s="47" t="s">
        <v>99</v>
      </c>
      <c r="CN9" s="47" t="s">
        <v>2142</v>
      </c>
      <c r="CO9" s="47" t="s">
        <v>717</v>
      </c>
      <c r="CP9" s="47" t="s">
        <v>126</v>
      </c>
      <c r="CQ9" s="48">
        <v>46259</v>
      </c>
      <c r="CR9" s="47"/>
      <c r="CS9" s="47" t="s">
        <v>2143</v>
      </c>
      <c r="CT9" s="47"/>
      <c r="CU9" s="47"/>
      <c r="CV9" s="47"/>
      <c r="CW9" s="47"/>
      <c r="CX9" s="47"/>
      <c r="CY9" s="47"/>
      <c r="CZ9" s="47"/>
    </row>
    <row r="10" spans="1:104" s="23" customFormat="1" x14ac:dyDescent="0.35">
      <c r="A10" s="46" t="s">
        <v>2123</v>
      </c>
      <c r="B10" s="46" t="s">
        <v>2144</v>
      </c>
      <c r="C10" s="47" t="s">
        <v>2124</v>
      </c>
      <c r="D10" s="47">
        <v>2022</v>
      </c>
      <c r="E10" s="46" t="s">
        <v>2125</v>
      </c>
      <c r="F10" s="46" t="s">
        <v>312</v>
      </c>
      <c r="G10" s="47" t="s">
        <v>102</v>
      </c>
      <c r="H10" s="47">
        <v>0</v>
      </c>
      <c r="I10" s="47" t="s">
        <v>1967</v>
      </c>
      <c r="J10" s="47" t="s">
        <v>312</v>
      </c>
      <c r="K10" s="47">
        <v>6</v>
      </c>
      <c r="L10" s="47" t="s">
        <v>104</v>
      </c>
      <c r="M10" s="47" t="s">
        <v>380</v>
      </c>
      <c r="N10" s="47">
        <v>-1.4999999999999999E-2</v>
      </c>
      <c r="O10" s="47">
        <v>0.01</v>
      </c>
      <c r="P10" s="47">
        <v>-1.5</v>
      </c>
      <c r="Q10" s="47" t="s">
        <v>312</v>
      </c>
      <c r="R10" s="47">
        <v>-3.4599999999999999E-2</v>
      </c>
      <c r="S10" s="47">
        <v>4.5999999999999999E-3</v>
      </c>
      <c r="T10" s="47">
        <v>1</v>
      </c>
      <c r="U10" s="47">
        <v>2491151</v>
      </c>
      <c r="V10" s="47">
        <v>3</v>
      </c>
      <c r="W10" s="47">
        <v>1</v>
      </c>
      <c r="X10" s="47">
        <v>2491148</v>
      </c>
      <c r="Y10" s="47">
        <v>-9.5036700000000003E-4</v>
      </c>
      <c r="Z10" s="47">
        <v>6.3357799999999998E-4</v>
      </c>
      <c r="AA10" s="47">
        <v>-9.5036700000000003E-4</v>
      </c>
      <c r="AB10" s="47" t="s">
        <v>81</v>
      </c>
      <c r="AC10" s="47">
        <v>-0.15734999999999999</v>
      </c>
      <c r="AD10" s="47">
        <v>-0.15734999999999999</v>
      </c>
      <c r="AE10" s="47">
        <v>1</v>
      </c>
      <c r="AF10" s="47">
        <v>0.10489999999999999</v>
      </c>
      <c r="AG10" s="47">
        <v>0.10489999999999999</v>
      </c>
      <c r="AH10" s="47">
        <v>1</v>
      </c>
      <c r="AI10" s="47">
        <v>-0.15734999999999999</v>
      </c>
      <c r="AJ10" s="47">
        <v>0</v>
      </c>
      <c r="AK10" s="47">
        <v>1</v>
      </c>
      <c r="AL10" s="47" t="s">
        <v>82</v>
      </c>
      <c r="AM10" s="47" t="s">
        <v>1333</v>
      </c>
      <c r="AN10" s="47">
        <v>10.49</v>
      </c>
      <c r="AO10" s="47">
        <v>1</v>
      </c>
      <c r="AP10" s="47">
        <v>10.49</v>
      </c>
      <c r="AQ10" s="47">
        <v>3.1</v>
      </c>
      <c r="AR10" s="47">
        <v>5.59</v>
      </c>
      <c r="AS10" s="47">
        <v>15.73</v>
      </c>
      <c r="AT10" s="47" t="s">
        <v>107</v>
      </c>
      <c r="AU10" s="47" t="s">
        <v>109</v>
      </c>
      <c r="AV10" s="47" t="s">
        <v>133</v>
      </c>
      <c r="AW10" s="47" t="s">
        <v>134</v>
      </c>
      <c r="AX10" s="47" t="s">
        <v>86</v>
      </c>
      <c r="AY10" s="47">
        <v>0</v>
      </c>
      <c r="AZ10" s="47">
        <v>0</v>
      </c>
      <c r="BA10" s="47" t="s">
        <v>391</v>
      </c>
      <c r="BB10" s="47" t="s">
        <v>88</v>
      </c>
      <c r="BC10" s="47" t="s">
        <v>134</v>
      </c>
      <c r="BD10" s="47" t="s">
        <v>90</v>
      </c>
      <c r="BE10" s="47" t="s">
        <v>1374</v>
      </c>
      <c r="BF10" s="47" t="s">
        <v>312</v>
      </c>
      <c r="BG10" s="47" t="s">
        <v>312</v>
      </c>
      <c r="BH10" s="47" t="s">
        <v>312</v>
      </c>
      <c r="BI10" s="47" t="s">
        <v>312</v>
      </c>
      <c r="BJ10" s="47" t="s">
        <v>312</v>
      </c>
      <c r="BK10" s="47" t="s">
        <v>91</v>
      </c>
      <c r="BL10" s="47" t="s">
        <v>116</v>
      </c>
      <c r="BM10" s="47">
        <v>1</v>
      </c>
      <c r="BN10" s="47" t="s">
        <v>134</v>
      </c>
      <c r="BO10" s="47" t="s">
        <v>312</v>
      </c>
      <c r="BP10" s="47" t="s">
        <v>312</v>
      </c>
      <c r="BQ10" s="47" t="s">
        <v>92</v>
      </c>
      <c r="BR10" s="47" t="s">
        <v>134</v>
      </c>
      <c r="BS10" s="47" t="s">
        <v>312</v>
      </c>
      <c r="BT10" s="47" t="s">
        <v>312</v>
      </c>
      <c r="BU10" s="47">
        <v>2001</v>
      </c>
      <c r="BV10" s="47">
        <v>2018</v>
      </c>
      <c r="BW10" s="47" t="s">
        <v>901</v>
      </c>
      <c r="BX10" s="47" t="s">
        <v>95</v>
      </c>
      <c r="BY10" s="47" t="s">
        <v>748</v>
      </c>
      <c r="BZ10" s="47">
        <v>1</v>
      </c>
      <c r="CA10" s="47">
        <v>1</v>
      </c>
      <c r="CB10" s="47" t="s">
        <v>2131</v>
      </c>
      <c r="CC10" s="47" t="s">
        <v>2127</v>
      </c>
      <c r="CD10" s="47">
        <v>0</v>
      </c>
      <c r="CE10" s="47" t="s">
        <v>97</v>
      </c>
      <c r="CF10" s="47">
        <v>0</v>
      </c>
      <c r="CG10" s="47" t="s">
        <v>97</v>
      </c>
      <c r="CH10" s="47">
        <v>0</v>
      </c>
      <c r="CI10" s="47" t="s">
        <v>2128</v>
      </c>
      <c r="CJ10" s="47" t="s">
        <v>98</v>
      </c>
      <c r="CK10" s="47">
        <v>20</v>
      </c>
      <c r="CL10" s="47">
        <v>0</v>
      </c>
      <c r="CM10" s="47" t="s">
        <v>99</v>
      </c>
      <c r="CN10" s="47" t="s">
        <v>2142</v>
      </c>
      <c r="CO10" s="47" t="s">
        <v>717</v>
      </c>
      <c r="CP10" s="47" t="s">
        <v>126</v>
      </c>
      <c r="CQ10" s="48">
        <v>46259</v>
      </c>
      <c r="CR10" s="47"/>
      <c r="CS10" s="47" t="s">
        <v>2143</v>
      </c>
      <c r="CT10" s="47"/>
      <c r="CU10" s="47"/>
      <c r="CV10" s="47"/>
      <c r="CW10" s="47"/>
      <c r="CX10" s="47"/>
      <c r="CY10" s="47"/>
      <c r="CZ10" s="47"/>
    </row>
    <row r="11" spans="1:104" s="23" customFormat="1" x14ac:dyDescent="0.35">
      <c r="A11" s="46" t="s">
        <v>2123</v>
      </c>
      <c r="B11" s="46" t="s">
        <v>2145</v>
      </c>
      <c r="C11" s="47" t="s">
        <v>2124</v>
      </c>
      <c r="D11" s="47">
        <v>2022</v>
      </c>
      <c r="E11" s="46" t="s">
        <v>2125</v>
      </c>
      <c r="F11" s="46" t="s">
        <v>312</v>
      </c>
      <c r="G11" s="47" t="s">
        <v>102</v>
      </c>
      <c r="H11" s="47">
        <v>0</v>
      </c>
      <c r="I11" s="47" t="s">
        <v>1967</v>
      </c>
      <c r="J11" s="47" t="s">
        <v>312</v>
      </c>
      <c r="K11" s="47">
        <v>6</v>
      </c>
      <c r="L11" s="47" t="s">
        <v>104</v>
      </c>
      <c r="M11" s="47" t="s">
        <v>380</v>
      </c>
      <c r="N11" s="47">
        <v>-2.8000000000000001E-2</v>
      </c>
      <c r="O11" s="47">
        <v>0</v>
      </c>
      <c r="P11" s="47" t="e">
        <v>#DIV/0!</v>
      </c>
      <c r="Q11" s="47" t="s">
        <v>312</v>
      </c>
      <c r="R11" s="47">
        <v>-2.8000000000000001E-2</v>
      </c>
      <c r="S11" s="47">
        <v>-2.8000000000000001E-2</v>
      </c>
      <c r="T11" s="47">
        <v>1</v>
      </c>
      <c r="U11" s="47">
        <v>5345407</v>
      </c>
      <c r="V11" s="47">
        <v>1</v>
      </c>
      <c r="W11" s="47">
        <v>1</v>
      </c>
      <c r="X11" s="47">
        <v>5345406</v>
      </c>
      <c r="Y11" s="47" t="e">
        <v>#DIV/0!</v>
      </c>
      <c r="Z11" s="47" t="e">
        <v>#DIV/0!</v>
      </c>
      <c r="AA11" s="47" t="e">
        <v>#DIV/0!</v>
      </c>
      <c r="AB11" s="47" t="s">
        <v>81</v>
      </c>
      <c r="AC11" s="47">
        <v>-0.29371999999999998</v>
      </c>
      <c r="AD11" s="47">
        <v>-0.29371999999999998</v>
      </c>
      <c r="AE11" s="47">
        <v>1</v>
      </c>
      <c r="AF11" s="47">
        <v>0</v>
      </c>
      <c r="AG11" s="47">
        <v>0</v>
      </c>
      <c r="AH11" s="47">
        <v>1</v>
      </c>
      <c r="AI11" s="47">
        <v>-0.29371999999999998</v>
      </c>
      <c r="AJ11" s="47">
        <v>0</v>
      </c>
      <c r="AK11" s="47" t="e">
        <v>#DIV/0!</v>
      </c>
      <c r="AL11" s="47" t="s">
        <v>82</v>
      </c>
      <c r="AM11" s="47" t="s">
        <v>1333</v>
      </c>
      <c r="AN11" s="47">
        <v>10.49</v>
      </c>
      <c r="AO11" s="47">
        <v>1</v>
      </c>
      <c r="AP11" s="47">
        <v>10.49</v>
      </c>
      <c r="AQ11" s="47">
        <v>3.1</v>
      </c>
      <c r="AR11" s="47">
        <v>5.59</v>
      </c>
      <c r="AS11" s="47">
        <v>15.73</v>
      </c>
      <c r="AT11" s="47" t="s">
        <v>107</v>
      </c>
      <c r="AU11" s="47" t="s">
        <v>109</v>
      </c>
      <c r="AV11" s="47" t="s">
        <v>133</v>
      </c>
      <c r="AW11" s="47" t="s">
        <v>134</v>
      </c>
      <c r="AX11" s="47" t="s">
        <v>86</v>
      </c>
      <c r="AY11" s="47">
        <v>0</v>
      </c>
      <c r="AZ11" s="47">
        <v>0</v>
      </c>
      <c r="BA11" s="47" t="s">
        <v>391</v>
      </c>
      <c r="BB11" s="47" t="s">
        <v>88</v>
      </c>
      <c r="BC11" s="47" t="s">
        <v>134</v>
      </c>
      <c r="BD11" s="47" t="s">
        <v>134</v>
      </c>
      <c r="BE11" s="47" t="s">
        <v>1374</v>
      </c>
      <c r="BF11" s="47" t="s">
        <v>312</v>
      </c>
      <c r="BG11" s="47" t="s">
        <v>312</v>
      </c>
      <c r="BH11" s="47" t="s">
        <v>312</v>
      </c>
      <c r="BI11" s="47" t="s">
        <v>312</v>
      </c>
      <c r="BJ11" s="47" t="s">
        <v>312</v>
      </c>
      <c r="BK11" s="47" t="s">
        <v>91</v>
      </c>
      <c r="BL11" s="47" t="s">
        <v>116</v>
      </c>
      <c r="BM11" s="47">
        <v>1</v>
      </c>
      <c r="BN11" s="47" t="s">
        <v>134</v>
      </c>
      <c r="BO11" s="47" t="s">
        <v>312</v>
      </c>
      <c r="BP11" s="47" t="s">
        <v>312</v>
      </c>
      <c r="BQ11" s="47" t="s">
        <v>92</v>
      </c>
      <c r="BR11" s="47" t="s">
        <v>134</v>
      </c>
      <c r="BS11" s="47" t="s">
        <v>312</v>
      </c>
      <c r="BT11" s="47" t="s">
        <v>312</v>
      </c>
      <c r="BU11" s="47">
        <v>2001</v>
      </c>
      <c r="BV11" s="47">
        <v>2018</v>
      </c>
      <c r="BW11" s="47" t="s">
        <v>901</v>
      </c>
      <c r="BX11" s="47" t="s">
        <v>95</v>
      </c>
      <c r="BY11" s="47" t="s">
        <v>748</v>
      </c>
      <c r="BZ11" s="47">
        <v>1</v>
      </c>
      <c r="CA11" s="47">
        <v>1</v>
      </c>
      <c r="CB11" s="47" t="s">
        <v>2131</v>
      </c>
      <c r="CC11" s="47" t="s">
        <v>2127</v>
      </c>
      <c r="CD11" s="47">
        <v>0</v>
      </c>
      <c r="CE11" s="47" t="s">
        <v>97</v>
      </c>
      <c r="CF11" s="47">
        <v>0</v>
      </c>
      <c r="CG11" s="47" t="s">
        <v>97</v>
      </c>
      <c r="CH11" s="47">
        <v>0</v>
      </c>
      <c r="CI11" s="47" t="s">
        <v>2128</v>
      </c>
      <c r="CJ11" s="47" t="s">
        <v>98</v>
      </c>
      <c r="CK11" s="47">
        <v>20</v>
      </c>
      <c r="CL11" s="47">
        <v>0</v>
      </c>
      <c r="CM11" s="47" t="s">
        <v>99</v>
      </c>
      <c r="CN11" s="47" t="s">
        <v>2146</v>
      </c>
      <c r="CO11" s="47" t="s">
        <v>717</v>
      </c>
      <c r="CP11" s="47" t="s">
        <v>126</v>
      </c>
      <c r="CQ11" s="48">
        <v>46259</v>
      </c>
      <c r="CR11" s="47"/>
      <c r="CS11" s="47" t="s">
        <v>2147</v>
      </c>
      <c r="CT11" s="47"/>
      <c r="CU11" s="47"/>
      <c r="CV11" s="47"/>
      <c r="CW11" s="47"/>
      <c r="CX11" s="47"/>
      <c r="CY11" s="47"/>
      <c r="CZ11" s="47"/>
    </row>
    <row r="12" spans="1:104" s="23" customFormat="1" x14ac:dyDescent="0.35">
      <c r="A12" s="46" t="s">
        <v>2123</v>
      </c>
      <c r="B12" s="46" t="s">
        <v>2148</v>
      </c>
      <c r="C12" s="47" t="s">
        <v>2124</v>
      </c>
      <c r="D12" s="47">
        <v>2022</v>
      </c>
      <c r="E12" s="46" t="s">
        <v>2125</v>
      </c>
      <c r="F12" s="46" t="s">
        <v>312</v>
      </c>
      <c r="G12" s="47" t="s">
        <v>102</v>
      </c>
      <c r="H12" s="47">
        <v>0</v>
      </c>
      <c r="I12" s="47" t="s">
        <v>1967</v>
      </c>
      <c r="J12" s="47" t="s">
        <v>312</v>
      </c>
      <c r="K12" s="47">
        <v>6</v>
      </c>
      <c r="L12" s="47" t="s">
        <v>104</v>
      </c>
      <c r="M12" s="47" t="s">
        <v>380</v>
      </c>
      <c r="N12" s="47">
        <v>-3.3000000000000002E-2</v>
      </c>
      <c r="O12" s="47" t="s">
        <v>312</v>
      </c>
      <c r="P12" s="47" t="s">
        <v>312</v>
      </c>
      <c r="Q12" s="47" t="s">
        <v>312</v>
      </c>
      <c r="R12" s="47" t="s">
        <v>312</v>
      </c>
      <c r="S12" s="47" t="s">
        <v>312</v>
      </c>
      <c r="T12" s="47">
        <v>1</v>
      </c>
      <c r="U12" s="47">
        <v>2491151</v>
      </c>
      <c r="V12" s="47">
        <v>3</v>
      </c>
      <c r="W12" s="47">
        <v>1</v>
      </c>
      <c r="X12" s="47">
        <v>2491148</v>
      </c>
      <c r="Y12" s="47" t="s">
        <v>312</v>
      </c>
      <c r="Z12" s="47" t="s">
        <v>312</v>
      </c>
      <c r="AA12" s="47" t="s">
        <v>312</v>
      </c>
      <c r="AB12" s="47" t="s">
        <v>81</v>
      </c>
      <c r="AC12" s="47">
        <v>-0.34616999999999998</v>
      </c>
      <c r="AD12" s="47">
        <v>-0.34616999999999998</v>
      </c>
      <c r="AE12" s="47">
        <v>1</v>
      </c>
      <c r="AF12" s="47" t="s">
        <v>312</v>
      </c>
      <c r="AG12" s="47" t="s">
        <v>312</v>
      </c>
      <c r="AH12" s="47">
        <v>1</v>
      </c>
      <c r="AI12" s="47">
        <v>-0.34616999999999998</v>
      </c>
      <c r="AJ12" s="47">
        <v>0</v>
      </c>
      <c r="AK12" s="47" t="s">
        <v>312</v>
      </c>
      <c r="AL12" s="47" t="s">
        <v>82</v>
      </c>
      <c r="AM12" s="47" t="s">
        <v>1333</v>
      </c>
      <c r="AN12" s="47">
        <v>10.49</v>
      </c>
      <c r="AO12" s="47">
        <v>1</v>
      </c>
      <c r="AP12" s="47">
        <v>10.49</v>
      </c>
      <c r="AQ12" s="47">
        <v>3.1</v>
      </c>
      <c r="AR12" s="47">
        <v>5.59</v>
      </c>
      <c r="AS12" s="47">
        <v>15.73</v>
      </c>
      <c r="AT12" s="47" t="s">
        <v>107</v>
      </c>
      <c r="AU12" s="47" t="s">
        <v>109</v>
      </c>
      <c r="AV12" s="47" t="s">
        <v>133</v>
      </c>
      <c r="AW12" s="47" t="s">
        <v>134</v>
      </c>
      <c r="AX12" s="47" t="s">
        <v>86</v>
      </c>
      <c r="AY12" s="47">
        <v>0</v>
      </c>
      <c r="AZ12" s="47">
        <v>0</v>
      </c>
      <c r="BA12" s="47" t="s">
        <v>391</v>
      </c>
      <c r="BB12" s="47" t="s">
        <v>88</v>
      </c>
      <c r="BC12" s="47" t="s">
        <v>134</v>
      </c>
      <c r="BD12" s="47" t="s">
        <v>134</v>
      </c>
      <c r="BE12" s="47" t="s">
        <v>1374</v>
      </c>
      <c r="BF12" s="47" t="s">
        <v>312</v>
      </c>
      <c r="BG12" s="47" t="s">
        <v>312</v>
      </c>
      <c r="BH12" s="47" t="s">
        <v>312</v>
      </c>
      <c r="BI12" s="47" t="s">
        <v>312</v>
      </c>
      <c r="BJ12" s="47" t="s">
        <v>312</v>
      </c>
      <c r="BK12" s="47" t="s">
        <v>91</v>
      </c>
      <c r="BL12" s="47" t="s">
        <v>116</v>
      </c>
      <c r="BM12" s="47">
        <v>1</v>
      </c>
      <c r="BN12" s="47" t="s">
        <v>134</v>
      </c>
      <c r="BO12" s="47" t="s">
        <v>312</v>
      </c>
      <c r="BP12" s="47" t="s">
        <v>312</v>
      </c>
      <c r="BQ12" s="47" t="s">
        <v>92</v>
      </c>
      <c r="BR12" s="47" t="s">
        <v>93</v>
      </c>
      <c r="BS12" s="47" t="s">
        <v>312</v>
      </c>
      <c r="BT12" s="47" t="s">
        <v>312</v>
      </c>
      <c r="BU12" s="47">
        <v>2001</v>
      </c>
      <c r="BV12" s="47">
        <v>2018</v>
      </c>
      <c r="BW12" s="47" t="s">
        <v>901</v>
      </c>
      <c r="BX12" s="47" t="s">
        <v>95</v>
      </c>
      <c r="BY12" s="47" t="s">
        <v>748</v>
      </c>
      <c r="BZ12" s="47">
        <v>1</v>
      </c>
      <c r="CA12" s="47">
        <v>1</v>
      </c>
      <c r="CB12" s="47" t="s">
        <v>2131</v>
      </c>
      <c r="CC12" s="47" t="s">
        <v>2127</v>
      </c>
      <c r="CD12" s="47">
        <v>0</v>
      </c>
      <c r="CE12" s="47" t="s">
        <v>97</v>
      </c>
      <c r="CF12" s="47">
        <v>0</v>
      </c>
      <c r="CG12" s="47" t="s">
        <v>97</v>
      </c>
      <c r="CH12" s="47">
        <v>0</v>
      </c>
      <c r="CI12" s="47" t="s">
        <v>2128</v>
      </c>
      <c r="CJ12" s="47" t="s">
        <v>98</v>
      </c>
      <c r="CK12" s="47">
        <v>20</v>
      </c>
      <c r="CL12" s="47">
        <v>0</v>
      </c>
      <c r="CM12" s="47" t="s">
        <v>99</v>
      </c>
      <c r="CN12" s="47" t="s">
        <v>943</v>
      </c>
      <c r="CO12" s="47" t="s">
        <v>717</v>
      </c>
      <c r="CP12" s="47" t="s">
        <v>126</v>
      </c>
      <c r="CQ12" s="48">
        <v>46259</v>
      </c>
      <c r="CR12" s="47"/>
      <c r="CS12" s="47" t="s">
        <v>780</v>
      </c>
      <c r="CT12" s="47"/>
      <c r="CU12" s="47"/>
      <c r="CV12" s="47"/>
      <c r="CW12" s="47"/>
      <c r="CX12" s="47"/>
      <c r="CY12" s="47"/>
      <c r="CZ12" s="47"/>
    </row>
    <row r="13" spans="1:104" s="23" customFormat="1" x14ac:dyDescent="0.35">
      <c r="A13" s="46" t="s">
        <v>2123</v>
      </c>
      <c r="B13" s="46" t="s">
        <v>2149</v>
      </c>
      <c r="C13" s="47" t="s">
        <v>2124</v>
      </c>
      <c r="D13" s="47">
        <v>2022</v>
      </c>
      <c r="E13" s="46" t="s">
        <v>2125</v>
      </c>
      <c r="F13" s="46" t="s">
        <v>312</v>
      </c>
      <c r="G13" s="47" t="s">
        <v>102</v>
      </c>
      <c r="H13" s="47">
        <v>0</v>
      </c>
      <c r="I13" s="47" t="s">
        <v>1967</v>
      </c>
      <c r="J13" s="47" t="s">
        <v>312</v>
      </c>
      <c r="K13" s="47">
        <v>6</v>
      </c>
      <c r="L13" s="47" t="s">
        <v>104</v>
      </c>
      <c r="M13" s="47" t="s">
        <v>380</v>
      </c>
      <c r="N13" s="47">
        <v>-1.2E-2</v>
      </c>
      <c r="O13" s="47">
        <v>0.02</v>
      </c>
      <c r="P13" s="47">
        <v>-0.6</v>
      </c>
      <c r="Q13" s="47" t="s">
        <v>312</v>
      </c>
      <c r="R13" s="47">
        <v>-5.1200000000000002E-2</v>
      </c>
      <c r="S13" s="47">
        <v>2.7199999999999998E-2</v>
      </c>
      <c r="T13" s="47">
        <v>1</v>
      </c>
      <c r="U13" s="47">
        <v>2491151</v>
      </c>
      <c r="V13" s="47">
        <v>3</v>
      </c>
      <c r="W13" s="47">
        <v>1</v>
      </c>
      <c r="X13" s="47">
        <v>2491148</v>
      </c>
      <c r="Y13" s="47">
        <v>-3.80147E-4</v>
      </c>
      <c r="Z13" s="47">
        <v>6.3357799999999998E-4</v>
      </c>
      <c r="AA13" s="47">
        <v>-3.80147E-4</v>
      </c>
      <c r="AB13" s="47" t="s">
        <v>81</v>
      </c>
      <c r="AC13" s="47">
        <v>-0.12587999999999999</v>
      </c>
      <c r="AD13" s="47">
        <v>-0.12587999999999999</v>
      </c>
      <c r="AE13" s="47">
        <v>1</v>
      </c>
      <c r="AF13" s="47">
        <v>0.20979999999999999</v>
      </c>
      <c r="AG13" s="47">
        <v>0.20979999999999999</v>
      </c>
      <c r="AH13" s="47">
        <v>1</v>
      </c>
      <c r="AI13" s="47">
        <v>-0.12587999999999999</v>
      </c>
      <c r="AJ13" s="47">
        <v>0</v>
      </c>
      <c r="AK13" s="47">
        <v>1</v>
      </c>
      <c r="AL13" s="47" t="s">
        <v>82</v>
      </c>
      <c r="AM13" s="47" t="s">
        <v>1333</v>
      </c>
      <c r="AN13" s="47">
        <v>10.49</v>
      </c>
      <c r="AO13" s="47">
        <v>1</v>
      </c>
      <c r="AP13" s="47">
        <v>10.49</v>
      </c>
      <c r="AQ13" s="47">
        <v>3.1</v>
      </c>
      <c r="AR13" s="47">
        <v>5.59</v>
      </c>
      <c r="AS13" s="47">
        <v>15.73</v>
      </c>
      <c r="AT13" s="47" t="s">
        <v>107</v>
      </c>
      <c r="AU13" s="47" t="s">
        <v>109</v>
      </c>
      <c r="AV13" s="47" t="s">
        <v>133</v>
      </c>
      <c r="AW13" s="47" t="s">
        <v>134</v>
      </c>
      <c r="AX13" s="47" t="s">
        <v>86</v>
      </c>
      <c r="AY13" s="47">
        <v>0</v>
      </c>
      <c r="AZ13" s="47">
        <v>0</v>
      </c>
      <c r="BA13" s="47" t="s">
        <v>391</v>
      </c>
      <c r="BB13" s="47" t="s">
        <v>88</v>
      </c>
      <c r="BC13" s="47" t="s">
        <v>134</v>
      </c>
      <c r="BD13" s="47" t="s">
        <v>134</v>
      </c>
      <c r="BE13" s="47" t="s">
        <v>1374</v>
      </c>
      <c r="BF13" s="47" t="s">
        <v>312</v>
      </c>
      <c r="BG13" s="47" t="s">
        <v>312</v>
      </c>
      <c r="BH13" s="47" t="s">
        <v>312</v>
      </c>
      <c r="BI13" s="47" t="s">
        <v>312</v>
      </c>
      <c r="BJ13" s="47" t="s">
        <v>312</v>
      </c>
      <c r="BK13" s="47" t="s">
        <v>91</v>
      </c>
      <c r="BL13" s="47" t="s">
        <v>116</v>
      </c>
      <c r="BM13" s="47">
        <v>1</v>
      </c>
      <c r="BN13" s="47" t="s">
        <v>134</v>
      </c>
      <c r="BO13" s="47" t="s">
        <v>312</v>
      </c>
      <c r="BP13" s="47" t="s">
        <v>312</v>
      </c>
      <c r="BQ13" s="47" t="s">
        <v>92</v>
      </c>
      <c r="BR13" s="47" t="s">
        <v>118</v>
      </c>
      <c r="BS13" s="47" t="s">
        <v>312</v>
      </c>
      <c r="BT13" s="47" t="s">
        <v>312</v>
      </c>
      <c r="BU13" s="47">
        <v>2001</v>
      </c>
      <c r="BV13" s="47">
        <v>2018</v>
      </c>
      <c r="BW13" s="47" t="s">
        <v>901</v>
      </c>
      <c r="BX13" s="47" t="s">
        <v>95</v>
      </c>
      <c r="BY13" s="47" t="s">
        <v>748</v>
      </c>
      <c r="BZ13" s="47">
        <v>1</v>
      </c>
      <c r="CA13" s="47">
        <v>1</v>
      </c>
      <c r="CB13" s="47" t="s">
        <v>2131</v>
      </c>
      <c r="CC13" s="47" t="s">
        <v>2127</v>
      </c>
      <c r="CD13" s="47">
        <v>0</v>
      </c>
      <c r="CE13" s="47" t="s">
        <v>97</v>
      </c>
      <c r="CF13" s="47">
        <v>0</v>
      </c>
      <c r="CG13" s="47" t="s">
        <v>97</v>
      </c>
      <c r="CH13" s="47">
        <v>0</v>
      </c>
      <c r="CI13" s="47" t="s">
        <v>2128</v>
      </c>
      <c r="CJ13" s="47" t="s">
        <v>98</v>
      </c>
      <c r="CK13" s="47">
        <v>20</v>
      </c>
      <c r="CL13" s="47">
        <v>0</v>
      </c>
      <c r="CM13" s="47" t="s">
        <v>99</v>
      </c>
      <c r="CN13" s="47" t="s">
        <v>943</v>
      </c>
      <c r="CO13" s="47" t="s">
        <v>717</v>
      </c>
      <c r="CP13" s="47" t="s">
        <v>126</v>
      </c>
      <c r="CQ13" s="48">
        <v>46259</v>
      </c>
      <c r="CR13" s="47"/>
      <c r="CS13" s="47" t="s">
        <v>780</v>
      </c>
      <c r="CT13" s="47"/>
      <c r="CU13" s="47"/>
      <c r="CV13" s="47"/>
      <c r="CW13" s="47"/>
      <c r="CX13" s="47"/>
      <c r="CY13" s="47"/>
      <c r="CZ13" s="47"/>
    </row>
    <row r="14" spans="1:104" s="23" customFormat="1" x14ac:dyDescent="0.35">
      <c r="A14" s="46" t="s">
        <v>2123</v>
      </c>
      <c r="B14" s="46" t="s">
        <v>2150</v>
      </c>
      <c r="C14" s="47" t="s">
        <v>2124</v>
      </c>
      <c r="D14" s="47">
        <v>2022</v>
      </c>
      <c r="E14" s="46" t="s">
        <v>2125</v>
      </c>
      <c r="F14" s="46" t="s">
        <v>312</v>
      </c>
      <c r="G14" s="47" t="s">
        <v>102</v>
      </c>
      <c r="H14" s="47">
        <v>0</v>
      </c>
      <c r="I14" s="47" t="s">
        <v>1967</v>
      </c>
      <c r="J14" s="47" t="s">
        <v>312</v>
      </c>
      <c r="K14" s="47">
        <v>6</v>
      </c>
      <c r="L14" s="47" t="s">
        <v>104</v>
      </c>
      <c r="M14" s="47" t="s">
        <v>380</v>
      </c>
      <c r="N14" s="47">
        <v>-1E-3</v>
      </c>
      <c r="O14" s="47" t="s">
        <v>312</v>
      </c>
      <c r="P14" s="47" t="s">
        <v>312</v>
      </c>
      <c r="Q14" s="47" t="s">
        <v>312</v>
      </c>
      <c r="R14" s="47" t="s">
        <v>312</v>
      </c>
      <c r="S14" s="47" t="s">
        <v>312</v>
      </c>
      <c r="T14" s="47">
        <v>1</v>
      </c>
      <c r="U14" s="47">
        <v>2491151</v>
      </c>
      <c r="V14" s="47">
        <v>4</v>
      </c>
      <c r="W14" s="47">
        <v>1</v>
      </c>
      <c r="X14" s="47">
        <v>2491147</v>
      </c>
      <c r="Y14" s="47" t="s">
        <v>312</v>
      </c>
      <c r="Z14" s="47" t="s">
        <v>312</v>
      </c>
      <c r="AA14" s="47" t="s">
        <v>312</v>
      </c>
      <c r="AB14" s="47" t="s">
        <v>81</v>
      </c>
      <c r="AC14" s="47">
        <v>-1.0489999999999999E-2</v>
      </c>
      <c r="AD14" s="47">
        <v>-1.0489999999999999E-2</v>
      </c>
      <c r="AE14" s="47">
        <v>1</v>
      </c>
      <c r="AF14" s="47" t="s">
        <v>312</v>
      </c>
      <c r="AG14" s="47" t="s">
        <v>312</v>
      </c>
      <c r="AH14" s="47">
        <v>1</v>
      </c>
      <c r="AI14" s="47">
        <v>-1.0489999999999999E-2</v>
      </c>
      <c r="AJ14" s="47">
        <v>0</v>
      </c>
      <c r="AK14" s="47" t="s">
        <v>312</v>
      </c>
      <c r="AL14" s="47" t="s">
        <v>82</v>
      </c>
      <c r="AM14" s="47" t="s">
        <v>1333</v>
      </c>
      <c r="AN14" s="47">
        <v>10.49</v>
      </c>
      <c r="AO14" s="47">
        <v>1</v>
      </c>
      <c r="AP14" s="47">
        <v>10.49</v>
      </c>
      <c r="AQ14" s="47">
        <v>3.1</v>
      </c>
      <c r="AR14" s="47">
        <v>5.59</v>
      </c>
      <c r="AS14" s="47">
        <v>15.73</v>
      </c>
      <c r="AT14" s="47" t="s">
        <v>107</v>
      </c>
      <c r="AU14" s="47" t="s">
        <v>109</v>
      </c>
      <c r="AV14" s="47" t="s">
        <v>133</v>
      </c>
      <c r="AW14" s="47" t="s">
        <v>134</v>
      </c>
      <c r="AX14" s="47" t="s">
        <v>86</v>
      </c>
      <c r="AY14" s="47">
        <v>0</v>
      </c>
      <c r="AZ14" s="47">
        <v>0</v>
      </c>
      <c r="BA14" s="47" t="s">
        <v>391</v>
      </c>
      <c r="BB14" s="47" t="s">
        <v>88</v>
      </c>
      <c r="BC14" s="47" t="s">
        <v>134</v>
      </c>
      <c r="BD14" s="47" t="s">
        <v>134</v>
      </c>
      <c r="BE14" s="47" t="s">
        <v>1374</v>
      </c>
      <c r="BF14" s="47" t="s">
        <v>312</v>
      </c>
      <c r="BG14" s="47" t="s">
        <v>312</v>
      </c>
      <c r="BH14" s="47" t="s">
        <v>312</v>
      </c>
      <c r="BI14" s="47" t="s">
        <v>312</v>
      </c>
      <c r="BJ14" s="47" t="s">
        <v>312</v>
      </c>
      <c r="BK14" s="47" t="s">
        <v>91</v>
      </c>
      <c r="BL14" s="47" t="s">
        <v>116</v>
      </c>
      <c r="BM14" s="47">
        <v>1</v>
      </c>
      <c r="BN14" s="47" t="s">
        <v>134</v>
      </c>
      <c r="BO14" s="47" t="s">
        <v>312</v>
      </c>
      <c r="BP14" s="47" t="s">
        <v>312</v>
      </c>
      <c r="BQ14" s="47" t="s">
        <v>92</v>
      </c>
      <c r="BR14" s="47" t="s">
        <v>2151</v>
      </c>
      <c r="BS14" s="47" t="s">
        <v>312</v>
      </c>
      <c r="BT14" s="47" t="s">
        <v>312</v>
      </c>
      <c r="BU14" s="47">
        <v>2001</v>
      </c>
      <c r="BV14" s="47">
        <v>2018</v>
      </c>
      <c r="BW14" s="47" t="s">
        <v>901</v>
      </c>
      <c r="BX14" s="47" t="s">
        <v>95</v>
      </c>
      <c r="BY14" s="47" t="s">
        <v>748</v>
      </c>
      <c r="BZ14" s="47">
        <v>1</v>
      </c>
      <c r="CA14" s="47">
        <v>1</v>
      </c>
      <c r="CB14" s="47" t="s">
        <v>2131</v>
      </c>
      <c r="CC14" s="47" t="s">
        <v>2127</v>
      </c>
      <c r="CD14" s="47">
        <v>0</v>
      </c>
      <c r="CE14" s="47" t="s">
        <v>97</v>
      </c>
      <c r="CF14" s="47">
        <v>0</v>
      </c>
      <c r="CG14" s="47" t="s">
        <v>97</v>
      </c>
      <c r="CH14" s="47">
        <v>0</v>
      </c>
      <c r="CI14" s="47" t="s">
        <v>2128</v>
      </c>
      <c r="CJ14" s="47" t="s">
        <v>98</v>
      </c>
      <c r="CK14" s="47">
        <v>20</v>
      </c>
      <c r="CL14" s="47">
        <v>0</v>
      </c>
      <c r="CM14" s="47" t="s">
        <v>99</v>
      </c>
      <c r="CN14" s="47" t="s">
        <v>943</v>
      </c>
      <c r="CO14" s="47" t="s">
        <v>717</v>
      </c>
      <c r="CP14" s="47" t="s">
        <v>126</v>
      </c>
      <c r="CQ14" s="48">
        <v>46259</v>
      </c>
      <c r="CR14" s="47"/>
      <c r="CS14" s="47" t="s">
        <v>673</v>
      </c>
      <c r="CT14" s="47"/>
      <c r="CU14" s="47"/>
      <c r="CV14" s="47"/>
      <c r="CW14" s="47"/>
      <c r="CX14" s="47"/>
      <c r="CY14" s="47"/>
      <c r="CZ14" s="47"/>
    </row>
    <row r="15" spans="1:104" s="23" customFormat="1" x14ac:dyDescent="0.35">
      <c r="A15" s="46" t="s">
        <v>2123</v>
      </c>
      <c r="B15" s="46" t="s">
        <v>2152</v>
      </c>
      <c r="C15" s="47" t="s">
        <v>2124</v>
      </c>
      <c r="D15" s="47">
        <v>2022</v>
      </c>
      <c r="E15" s="46" t="s">
        <v>2125</v>
      </c>
      <c r="F15" s="46" t="s">
        <v>312</v>
      </c>
      <c r="G15" s="47" t="s">
        <v>102</v>
      </c>
      <c r="H15" s="47">
        <v>0</v>
      </c>
      <c r="I15" s="47" t="s">
        <v>1967</v>
      </c>
      <c r="J15" s="47" t="s">
        <v>312</v>
      </c>
      <c r="K15" s="47">
        <v>6</v>
      </c>
      <c r="L15" s="47" t="s">
        <v>104</v>
      </c>
      <c r="M15" s="47" t="s">
        <v>380</v>
      </c>
      <c r="N15" s="47">
        <v>1.4E-2</v>
      </c>
      <c r="O15" s="47">
        <v>0.01</v>
      </c>
      <c r="P15" s="47">
        <v>1.4</v>
      </c>
      <c r="Q15" s="47" t="s">
        <v>312</v>
      </c>
      <c r="R15" s="47">
        <v>-5.5999999999999999E-3</v>
      </c>
      <c r="S15" s="47">
        <v>3.3599999999999998E-2</v>
      </c>
      <c r="T15" s="47">
        <v>1</v>
      </c>
      <c r="U15" s="47">
        <v>2491151</v>
      </c>
      <c r="V15" s="47">
        <v>4</v>
      </c>
      <c r="W15" s="47">
        <v>1</v>
      </c>
      <c r="X15" s="47">
        <v>2491147</v>
      </c>
      <c r="Y15" s="47">
        <v>8.8700900000000002E-4</v>
      </c>
      <c r="Z15" s="47">
        <v>6.3357799999999998E-4</v>
      </c>
      <c r="AA15" s="47">
        <v>8.8700900000000002E-4</v>
      </c>
      <c r="AB15" s="47" t="s">
        <v>81</v>
      </c>
      <c r="AC15" s="47">
        <v>0.14685999999999999</v>
      </c>
      <c r="AD15" s="47">
        <v>0.14685999999999999</v>
      </c>
      <c r="AE15" s="47">
        <v>1</v>
      </c>
      <c r="AF15" s="47">
        <v>0.10489999999999999</v>
      </c>
      <c r="AG15" s="47">
        <v>0.10489999999999999</v>
      </c>
      <c r="AH15" s="47">
        <v>1</v>
      </c>
      <c r="AI15" s="47">
        <v>0.14685999999999999</v>
      </c>
      <c r="AJ15" s="47">
        <v>0</v>
      </c>
      <c r="AK15" s="47">
        <v>1</v>
      </c>
      <c r="AL15" s="47" t="s">
        <v>82</v>
      </c>
      <c r="AM15" s="47" t="s">
        <v>1333</v>
      </c>
      <c r="AN15" s="47">
        <v>10.49</v>
      </c>
      <c r="AO15" s="47">
        <v>1</v>
      </c>
      <c r="AP15" s="47">
        <v>10.49</v>
      </c>
      <c r="AQ15" s="47">
        <v>3.1</v>
      </c>
      <c r="AR15" s="47">
        <v>5.59</v>
      </c>
      <c r="AS15" s="47">
        <v>15.73</v>
      </c>
      <c r="AT15" s="47" t="s">
        <v>107</v>
      </c>
      <c r="AU15" s="47" t="s">
        <v>109</v>
      </c>
      <c r="AV15" s="47" t="s">
        <v>133</v>
      </c>
      <c r="AW15" s="47" t="s">
        <v>134</v>
      </c>
      <c r="AX15" s="47" t="s">
        <v>86</v>
      </c>
      <c r="AY15" s="47">
        <v>0</v>
      </c>
      <c r="AZ15" s="47">
        <v>0</v>
      </c>
      <c r="BA15" s="47" t="s">
        <v>391</v>
      </c>
      <c r="BB15" s="47" t="s">
        <v>88</v>
      </c>
      <c r="BC15" s="47" t="s">
        <v>134</v>
      </c>
      <c r="BD15" s="47" t="s">
        <v>134</v>
      </c>
      <c r="BE15" s="47" t="s">
        <v>1374</v>
      </c>
      <c r="BF15" s="47" t="s">
        <v>312</v>
      </c>
      <c r="BG15" s="47" t="s">
        <v>312</v>
      </c>
      <c r="BH15" s="47" t="s">
        <v>312</v>
      </c>
      <c r="BI15" s="47" t="s">
        <v>312</v>
      </c>
      <c r="BJ15" s="47" t="s">
        <v>312</v>
      </c>
      <c r="BK15" s="47" t="s">
        <v>91</v>
      </c>
      <c r="BL15" s="47" t="s">
        <v>116</v>
      </c>
      <c r="BM15" s="47">
        <v>1</v>
      </c>
      <c r="BN15" s="47" t="s">
        <v>134</v>
      </c>
      <c r="BO15" s="47" t="s">
        <v>312</v>
      </c>
      <c r="BP15" s="47" t="s">
        <v>312</v>
      </c>
      <c r="BQ15" s="47" t="s">
        <v>92</v>
      </c>
      <c r="BR15" s="47" t="s">
        <v>118</v>
      </c>
      <c r="BS15" s="47" t="s">
        <v>312</v>
      </c>
      <c r="BT15" s="47" t="s">
        <v>312</v>
      </c>
      <c r="BU15" s="47">
        <v>2001</v>
      </c>
      <c r="BV15" s="47">
        <v>2018</v>
      </c>
      <c r="BW15" s="47" t="s">
        <v>901</v>
      </c>
      <c r="BX15" s="47" t="s">
        <v>95</v>
      </c>
      <c r="BY15" s="47" t="s">
        <v>748</v>
      </c>
      <c r="BZ15" s="47">
        <v>1</v>
      </c>
      <c r="CA15" s="47">
        <v>1</v>
      </c>
      <c r="CB15" s="47" t="s">
        <v>2131</v>
      </c>
      <c r="CC15" s="47" t="s">
        <v>2127</v>
      </c>
      <c r="CD15" s="47">
        <v>0</v>
      </c>
      <c r="CE15" s="47" t="s">
        <v>97</v>
      </c>
      <c r="CF15" s="47">
        <v>0</v>
      </c>
      <c r="CG15" s="47" t="s">
        <v>97</v>
      </c>
      <c r="CH15" s="47">
        <v>0</v>
      </c>
      <c r="CI15" s="47" t="s">
        <v>2128</v>
      </c>
      <c r="CJ15" s="47" t="s">
        <v>98</v>
      </c>
      <c r="CK15" s="47">
        <v>20</v>
      </c>
      <c r="CL15" s="47">
        <v>0</v>
      </c>
      <c r="CM15" s="47" t="s">
        <v>99</v>
      </c>
      <c r="CN15" s="47" t="s">
        <v>943</v>
      </c>
      <c r="CO15" s="47" t="s">
        <v>717</v>
      </c>
      <c r="CP15" s="47" t="s">
        <v>126</v>
      </c>
      <c r="CQ15" s="48">
        <v>46259</v>
      </c>
      <c r="CR15" s="47"/>
      <c r="CS15" s="47" t="s">
        <v>673</v>
      </c>
      <c r="CT15" s="47"/>
      <c r="CU15" s="47"/>
      <c r="CV15" s="47"/>
      <c r="CW15" s="47"/>
      <c r="CX15" s="47"/>
      <c r="CY15" s="47"/>
      <c r="CZ15" s="47"/>
    </row>
    <row r="16" spans="1:104" s="23" customFormat="1" x14ac:dyDescent="0.35">
      <c r="A16" s="46" t="s">
        <v>2123</v>
      </c>
      <c r="B16" s="46" t="s">
        <v>2153</v>
      </c>
      <c r="C16" s="47" t="s">
        <v>2124</v>
      </c>
      <c r="D16" s="47">
        <v>2022</v>
      </c>
      <c r="E16" s="46" t="s">
        <v>2125</v>
      </c>
      <c r="F16" s="46" t="s">
        <v>312</v>
      </c>
      <c r="G16" s="47" t="s">
        <v>102</v>
      </c>
      <c r="H16" s="47">
        <v>0</v>
      </c>
      <c r="I16" s="47" t="s">
        <v>1967</v>
      </c>
      <c r="J16" s="47" t="s">
        <v>312</v>
      </c>
      <c r="K16" s="47">
        <v>6</v>
      </c>
      <c r="L16" s="47" t="s">
        <v>104</v>
      </c>
      <c r="M16" s="47" t="s">
        <v>380</v>
      </c>
      <c r="N16" s="47">
        <v>-1.9E-2</v>
      </c>
      <c r="O16" s="47">
        <v>0</v>
      </c>
      <c r="P16" s="47" t="e">
        <v>#DIV/0!</v>
      </c>
      <c r="Q16" s="47" t="s">
        <v>312</v>
      </c>
      <c r="R16" s="47">
        <v>-1.9E-2</v>
      </c>
      <c r="S16" s="47">
        <v>-1.9E-2</v>
      </c>
      <c r="T16" s="47">
        <v>1</v>
      </c>
      <c r="U16" s="47">
        <v>1271255</v>
      </c>
      <c r="V16" s="47">
        <v>1</v>
      </c>
      <c r="W16" s="47">
        <v>1</v>
      </c>
      <c r="X16" s="47">
        <v>1271254</v>
      </c>
      <c r="Y16" s="47" t="e">
        <v>#DIV/0!</v>
      </c>
      <c r="Z16" s="47" t="e">
        <v>#DIV/0!</v>
      </c>
      <c r="AA16" s="47" t="e">
        <v>#DIV/0!</v>
      </c>
      <c r="AB16" s="47" t="s">
        <v>81</v>
      </c>
      <c r="AC16" s="47">
        <v>-0.19930999999999999</v>
      </c>
      <c r="AD16" s="47">
        <v>-0.19930999999999999</v>
      </c>
      <c r="AE16" s="47">
        <v>1</v>
      </c>
      <c r="AF16" s="47">
        <v>0</v>
      </c>
      <c r="AG16" s="47">
        <v>0</v>
      </c>
      <c r="AH16" s="47">
        <v>1</v>
      </c>
      <c r="AI16" s="47">
        <v>-0.19930999999999999</v>
      </c>
      <c r="AJ16" s="47">
        <v>0</v>
      </c>
      <c r="AK16" s="47" t="e">
        <v>#DIV/0!</v>
      </c>
      <c r="AL16" s="47" t="s">
        <v>82</v>
      </c>
      <c r="AM16" s="47" t="s">
        <v>1333</v>
      </c>
      <c r="AN16" s="47">
        <v>10.49</v>
      </c>
      <c r="AO16" s="47">
        <v>1</v>
      </c>
      <c r="AP16" s="47">
        <v>10.49</v>
      </c>
      <c r="AQ16" s="47">
        <v>3.1</v>
      </c>
      <c r="AR16" s="47">
        <v>5.59</v>
      </c>
      <c r="AS16" s="47">
        <v>15.73</v>
      </c>
      <c r="AT16" s="47" t="s">
        <v>107</v>
      </c>
      <c r="AU16" s="47" t="s">
        <v>109</v>
      </c>
      <c r="AV16" s="47" t="s">
        <v>133</v>
      </c>
      <c r="AW16" s="47" t="s">
        <v>134</v>
      </c>
      <c r="AX16" s="47" t="s">
        <v>86</v>
      </c>
      <c r="AY16" s="47">
        <v>0</v>
      </c>
      <c r="AZ16" s="47">
        <v>0</v>
      </c>
      <c r="BA16" s="47" t="s">
        <v>391</v>
      </c>
      <c r="BB16" s="47" t="s">
        <v>88</v>
      </c>
      <c r="BC16" s="47" t="s">
        <v>134</v>
      </c>
      <c r="BD16" s="47" t="s">
        <v>134</v>
      </c>
      <c r="BE16" s="47" t="s">
        <v>1374</v>
      </c>
      <c r="BF16" s="47" t="s">
        <v>312</v>
      </c>
      <c r="BG16" s="47" t="s">
        <v>312</v>
      </c>
      <c r="BH16" s="47" t="s">
        <v>312</v>
      </c>
      <c r="BI16" s="47" t="s">
        <v>312</v>
      </c>
      <c r="BJ16" s="47" t="s">
        <v>312</v>
      </c>
      <c r="BK16" s="47" t="s">
        <v>91</v>
      </c>
      <c r="BL16" s="47" t="s">
        <v>116</v>
      </c>
      <c r="BM16" s="47">
        <v>1</v>
      </c>
      <c r="BN16" s="47" t="s">
        <v>134</v>
      </c>
      <c r="BO16" s="47" t="s">
        <v>312</v>
      </c>
      <c r="BP16" s="47" t="s">
        <v>312</v>
      </c>
      <c r="BQ16" s="47" t="s">
        <v>92</v>
      </c>
      <c r="BR16" s="47" t="s">
        <v>134</v>
      </c>
      <c r="BS16" s="47" t="s">
        <v>312</v>
      </c>
      <c r="BT16" s="47" t="s">
        <v>312</v>
      </c>
      <c r="BU16" s="47">
        <v>2001</v>
      </c>
      <c r="BV16" s="47">
        <v>2018</v>
      </c>
      <c r="BW16" s="47" t="s">
        <v>901</v>
      </c>
      <c r="BX16" s="47" t="s">
        <v>95</v>
      </c>
      <c r="BY16" s="47" t="s">
        <v>748</v>
      </c>
      <c r="BZ16" s="47">
        <v>1</v>
      </c>
      <c r="CA16" s="47">
        <v>1</v>
      </c>
      <c r="CB16" s="47" t="s">
        <v>2131</v>
      </c>
      <c r="CC16" s="47" t="s">
        <v>2127</v>
      </c>
      <c r="CD16" s="47">
        <v>0</v>
      </c>
      <c r="CE16" s="47" t="s">
        <v>97</v>
      </c>
      <c r="CF16" s="47">
        <v>0</v>
      </c>
      <c r="CG16" s="47" t="s">
        <v>97</v>
      </c>
      <c r="CH16" s="47">
        <v>0</v>
      </c>
      <c r="CI16" s="47" t="s">
        <v>2128</v>
      </c>
      <c r="CJ16" s="47" t="s">
        <v>98</v>
      </c>
      <c r="CK16" s="47">
        <v>20</v>
      </c>
      <c r="CL16" s="47">
        <v>0</v>
      </c>
      <c r="CM16" s="47" t="s">
        <v>99</v>
      </c>
      <c r="CN16" s="47" t="s">
        <v>2154</v>
      </c>
      <c r="CO16" s="47" t="s">
        <v>717</v>
      </c>
      <c r="CP16" s="47" t="s">
        <v>126</v>
      </c>
      <c r="CQ16" s="48">
        <v>46259</v>
      </c>
      <c r="CR16" s="47"/>
      <c r="CS16" s="47" t="s">
        <v>782</v>
      </c>
      <c r="CT16" s="47"/>
      <c r="CU16" s="47"/>
      <c r="CV16" s="47"/>
      <c r="CW16" s="47"/>
      <c r="CX16" s="47"/>
      <c r="CY16" s="47"/>
      <c r="CZ16" s="47"/>
    </row>
    <row r="17" spans="1:104" s="23" customFormat="1" x14ac:dyDescent="0.35">
      <c r="A17" s="46" t="s">
        <v>2123</v>
      </c>
      <c r="B17" s="46" t="s">
        <v>2155</v>
      </c>
      <c r="C17" s="47" t="s">
        <v>2124</v>
      </c>
      <c r="D17" s="47">
        <v>2022</v>
      </c>
      <c r="E17" s="46" t="s">
        <v>2125</v>
      </c>
      <c r="F17" s="46" t="s">
        <v>312</v>
      </c>
      <c r="G17" s="47" t="s">
        <v>102</v>
      </c>
      <c r="H17" s="47">
        <v>0</v>
      </c>
      <c r="I17" s="47" t="s">
        <v>1967</v>
      </c>
      <c r="J17" s="47" t="s">
        <v>312</v>
      </c>
      <c r="K17" s="47">
        <v>6</v>
      </c>
      <c r="L17" s="47" t="s">
        <v>104</v>
      </c>
      <c r="M17" s="47" t="s">
        <v>380</v>
      </c>
      <c r="N17" s="47">
        <v>-2.1000000000000001E-2</v>
      </c>
      <c r="O17" s="47">
        <v>0</v>
      </c>
      <c r="P17" s="47" t="e">
        <v>#DIV/0!</v>
      </c>
      <c r="Q17" s="47" t="s">
        <v>312</v>
      </c>
      <c r="R17" s="47">
        <v>-2.1000000000000001E-2</v>
      </c>
      <c r="S17" s="47">
        <v>-2.1000000000000001E-2</v>
      </c>
      <c r="T17" s="47">
        <v>1</v>
      </c>
      <c r="U17" s="47">
        <v>1565171</v>
      </c>
      <c r="V17" s="47">
        <v>1</v>
      </c>
      <c r="W17" s="47">
        <v>1</v>
      </c>
      <c r="X17" s="47">
        <v>1565170</v>
      </c>
      <c r="Y17" s="47" t="e">
        <v>#DIV/0!</v>
      </c>
      <c r="Z17" s="47" t="e">
        <v>#DIV/0!</v>
      </c>
      <c r="AA17" s="47" t="e">
        <v>#DIV/0!</v>
      </c>
      <c r="AB17" s="47" t="s">
        <v>81</v>
      </c>
      <c r="AC17" s="47">
        <v>-0.22029000000000001</v>
      </c>
      <c r="AD17" s="47">
        <v>-0.22029000000000001</v>
      </c>
      <c r="AE17" s="47">
        <v>1</v>
      </c>
      <c r="AF17" s="47">
        <v>0</v>
      </c>
      <c r="AG17" s="47">
        <v>0</v>
      </c>
      <c r="AH17" s="47">
        <v>1</v>
      </c>
      <c r="AI17" s="47">
        <v>-0.22029000000000001</v>
      </c>
      <c r="AJ17" s="47">
        <v>0</v>
      </c>
      <c r="AK17" s="47" t="e">
        <v>#DIV/0!</v>
      </c>
      <c r="AL17" s="47" t="s">
        <v>82</v>
      </c>
      <c r="AM17" s="47" t="s">
        <v>1333</v>
      </c>
      <c r="AN17" s="47">
        <v>10.49</v>
      </c>
      <c r="AO17" s="47">
        <v>1</v>
      </c>
      <c r="AP17" s="47">
        <v>10.49</v>
      </c>
      <c r="AQ17" s="47">
        <v>3.1</v>
      </c>
      <c r="AR17" s="47">
        <v>5.59</v>
      </c>
      <c r="AS17" s="47">
        <v>15.73</v>
      </c>
      <c r="AT17" s="47" t="s">
        <v>107</v>
      </c>
      <c r="AU17" s="47" t="s">
        <v>109</v>
      </c>
      <c r="AV17" s="47" t="s">
        <v>133</v>
      </c>
      <c r="AW17" s="47" t="s">
        <v>134</v>
      </c>
      <c r="AX17" s="47" t="s">
        <v>86</v>
      </c>
      <c r="AY17" s="47">
        <v>0</v>
      </c>
      <c r="AZ17" s="47">
        <v>0</v>
      </c>
      <c r="BA17" s="47" t="s">
        <v>391</v>
      </c>
      <c r="BB17" s="47" t="s">
        <v>88</v>
      </c>
      <c r="BC17" s="47" t="s">
        <v>134</v>
      </c>
      <c r="BD17" s="47" t="s">
        <v>134</v>
      </c>
      <c r="BE17" s="47" t="s">
        <v>1374</v>
      </c>
      <c r="BF17" s="47" t="s">
        <v>312</v>
      </c>
      <c r="BG17" s="47" t="s">
        <v>312</v>
      </c>
      <c r="BH17" s="47" t="s">
        <v>312</v>
      </c>
      <c r="BI17" s="47" t="s">
        <v>312</v>
      </c>
      <c r="BJ17" s="47" t="s">
        <v>312</v>
      </c>
      <c r="BK17" s="47" t="s">
        <v>91</v>
      </c>
      <c r="BL17" s="47" t="s">
        <v>116</v>
      </c>
      <c r="BM17" s="47">
        <v>1</v>
      </c>
      <c r="BN17" s="47" t="s">
        <v>134</v>
      </c>
      <c r="BO17" s="47" t="s">
        <v>312</v>
      </c>
      <c r="BP17" s="47" t="s">
        <v>312</v>
      </c>
      <c r="BQ17" s="47" t="s">
        <v>92</v>
      </c>
      <c r="BR17" s="47" t="s">
        <v>134</v>
      </c>
      <c r="BS17" s="47" t="s">
        <v>312</v>
      </c>
      <c r="BT17" s="47" t="s">
        <v>312</v>
      </c>
      <c r="BU17" s="47">
        <v>2001</v>
      </c>
      <c r="BV17" s="47">
        <v>2018</v>
      </c>
      <c r="BW17" s="47" t="s">
        <v>901</v>
      </c>
      <c r="BX17" s="47" t="s">
        <v>95</v>
      </c>
      <c r="BY17" s="47" t="s">
        <v>748</v>
      </c>
      <c r="BZ17" s="47">
        <v>1</v>
      </c>
      <c r="CA17" s="47">
        <v>1</v>
      </c>
      <c r="CB17" s="47" t="s">
        <v>2131</v>
      </c>
      <c r="CC17" s="47" t="s">
        <v>2127</v>
      </c>
      <c r="CD17" s="47">
        <v>0</v>
      </c>
      <c r="CE17" s="47" t="s">
        <v>97</v>
      </c>
      <c r="CF17" s="47">
        <v>0</v>
      </c>
      <c r="CG17" s="47" t="s">
        <v>97</v>
      </c>
      <c r="CH17" s="47">
        <v>0</v>
      </c>
      <c r="CI17" s="47" t="s">
        <v>2128</v>
      </c>
      <c r="CJ17" s="47" t="s">
        <v>98</v>
      </c>
      <c r="CK17" s="47">
        <v>20</v>
      </c>
      <c r="CL17" s="47">
        <v>0</v>
      </c>
      <c r="CM17" s="47" t="s">
        <v>99</v>
      </c>
      <c r="CN17" s="47" t="s">
        <v>2154</v>
      </c>
      <c r="CO17" s="47" t="s">
        <v>717</v>
      </c>
      <c r="CP17" s="47" t="s">
        <v>126</v>
      </c>
      <c r="CQ17" s="48">
        <v>46259</v>
      </c>
      <c r="CR17" s="47"/>
      <c r="CS17" s="47" t="s">
        <v>783</v>
      </c>
      <c r="CT17" s="47"/>
      <c r="CU17" s="47"/>
      <c r="CV17" s="47"/>
      <c r="CW17" s="47"/>
      <c r="CX17" s="47"/>
      <c r="CY17" s="47"/>
      <c r="CZ17" s="47"/>
    </row>
    <row r="18" spans="1:104" s="23" customFormat="1" x14ac:dyDescent="0.35">
      <c r="A18" s="46" t="s">
        <v>2123</v>
      </c>
      <c r="B18" s="46" t="s">
        <v>2156</v>
      </c>
      <c r="C18" s="47" t="s">
        <v>2124</v>
      </c>
      <c r="D18" s="47">
        <v>2022</v>
      </c>
      <c r="E18" s="46" t="s">
        <v>2125</v>
      </c>
      <c r="F18" s="46" t="s">
        <v>312</v>
      </c>
      <c r="G18" s="47" t="s">
        <v>102</v>
      </c>
      <c r="H18" s="47">
        <v>0</v>
      </c>
      <c r="I18" s="47" t="s">
        <v>1967</v>
      </c>
      <c r="J18" s="47" t="s">
        <v>312</v>
      </c>
      <c r="K18" s="47">
        <v>6</v>
      </c>
      <c r="L18" s="47" t="s">
        <v>104</v>
      </c>
      <c r="M18" s="47" t="s">
        <v>380</v>
      </c>
      <c r="N18" s="47">
        <v>-2.8000000000000001E-2</v>
      </c>
      <c r="O18" s="47">
        <v>0</v>
      </c>
      <c r="P18" s="47" t="e">
        <v>#DIV/0!</v>
      </c>
      <c r="Q18" s="47" t="s">
        <v>312</v>
      </c>
      <c r="R18" s="47">
        <v>-2.8000000000000001E-2</v>
      </c>
      <c r="S18" s="47">
        <v>-2.8000000000000001E-2</v>
      </c>
      <c r="T18" s="47">
        <v>1</v>
      </c>
      <c r="U18" s="47">
        <v>1144747</v>
      </c>
      <c r="V18" s="47">
        <v>1</v>
      </c>
      <c r="W18" s="47">
        <v>1</v>
      </c>
      <c r="X18" s="47">
        <v>1144746</v>
      </c>
      <c r="Y18" s="47" t="e">
        <v>#DIV/0!</v>
      </c>
      <c r="Z18" s="47" t="e">
        <v>#DIV/0!</v>
      </c>
      <c r="AA18" s="47" t="e">
        <v>#DIV/0!</v>
      </c>
      <c r="AB18" s="47" t="s">
        <v>81</v>
      </c>
      <c r="AC18" s="47">
        <v>-0.29371999999999998</v>
      </c>
      <c r="AD18" s="47">
        <v>-0.29371999999999998</v>
      </c>
      <c r="AE18" s="47">
        <v>1</v>
      </c>
      <c r="AF18" s="47">
        <v>0</v>
      </c>
      <c r="AG18" s="47">
        <v>0</v>
      </c>
      <c r="AH18" s="47">
        <v>1</v>
      </c>
      <c r="AI18" s="47">
        <v>-0.29371999999999998</v>
      </c>
      <c r="AJ18" s="47">
        <v>0</v>
      </c>
      <c r="AK18" s="47" t="e">
        <v>#DIV/0!</v>
      </c>
      <c r="AL18" s="47" t="s">
        <v>82</v>
      </c>
      <c r="AM18" s="47" t="s">
        <v>1333</v>
      </c>
      <c r="AN18" s="47">
        <v>10.49</v>
      </c>
      <c r="AO18" s="47">
        <v>1</v>
      </c>
      <c r="AP18" s="47">
        <v>10.49</v>
      </c>
      <c r="AQ18" s="47">
        <v>3.1</v>
      </c>
      <c r="AR18" s="47">
        <v>5.59</v>
      </c>
      <c r="AS18" s="47">
        <v>15.73</v>
      </c>
      <c r="AT18" s="47" t="s">
        <v>107</v>
      </c>
      <c r="AU18" s="47" t="s">
        <v>109</v>
      </c>
      <c r="AV18" s="47" t="s">
        <v>133</v>
      </c>
      <c r="AW18" s="47" t="s">
        <v>134</v>
      </c>
      <c r="AX18" s="47" t="s">
        <v>86</v>
      </c>
      <c r="AY18" s="47">
        <v>0</v>
      </c>
      <c r="AZ18" s="47">
        <v>0</v>
      </c>
      <c r="BA18" s="47" t="s">
        <v>391</v>
      </c>
      <c r="BB18" s="47" t="s">
        <v>88</v>
      </c>
      <c r="BC18" s="47" t="s">
        <v>134</v>
      </c>
      <c r="BD18" s="47" t="s">
        <v>134</v>
      </c>
      <c r="BE18" s="47" t="s">
        <v>1374</v>
      </c>
      <c r="BF18" s="47" t="s">
        <v>312</v>
      </c>
      <c r="BG18" s="47" t="s">
        <v>312</v>
      </c>
      <c r="BH18" s="47" t="s">
        <v>312</v>
      </c>
      <c r="BI18" s="47" t="s">
        <v>312</v>
      </c>
      <c r="BJ18" s="47" t="s">
        <v>312</v>
      </c>
      <c r="BK18" s="47" t="s">
        <v>91</v>
      </c>
      <c r="BL18" s="47" t="s">
        <v>116</v>
      </c>
      <c r="BM18" s="47">
        <v>1</v>
      </c>
      <c r="BN18" s="47" t="s">
        <v>134</v>
      </c>
      <c r="BO18" s="47" t="s">
        <v>312</v>
      </c>
      <c r="BP18" s="47" t="s">
        <v>312</v>
      </c>
      <c r="BQ18" s="47" t="s">
        <v>92</v>
      </c>
      <c r="BR18" s="47" t="s">
        <v>134</v>
      </c>
      <c r="BS18" s="47" t="s">
        <v>312</v>
      </c>
      <c r="BT18" s="47" t="s">
        <v>312</v>
      </c>
      <c r="BU18" s="47">
        <v>2001</v>
      </c>
      <c r="BV18" s="47">
        <v>2018</v>
      </c>
      <c r="BW18" s="47" t="s">
        <v>901</v>
      </c>
      <c r="BX18" s="47" t="s">
        <v>95</v>
      </c>
      <c r="BY18" s="47" t="s">
        <v>748</v>
      </c>
      <c r="BZ18" s="47">
        <v>1</v>
      </c>
      <c r="CA18" s="47">
        <v>1</v>
      </c>
      <c r="CB18" s="47" t="s">
        <v>2131</v>
      </c>
      <c r="CC18" s="47" t="s">
        <v>2127</v>
      </c>
      <c r="CD18" s="47">
        <v>0</v>
      </c>
      <c r="CE18" s="47" t="s">
        <v>97</v>
      </c>
      <c r="CF18" s="47">
        <v>0</v>
      </c>
      <c r="CG18" s="47" t="s">
        <v>97</v>
      </c>
      <c r="CH18" s="47">
        <v>0</v>
      </c>
      <c r="CI18" s="47" t="s">
        <v>2128</v>
      </c>
      <c r="CJ18" s="47" t="s">
        <v>98</v>
      </c>
      <c r="CK18" s="47">
        <v>20</v>
      </c>
      <c r="CL18" s="47">
        <v>0</v>
      </c>
      <c r="CM18" s="47" t="s">
        <v>99</v>
      </c>
      <c r="CN18" s="47" t="s">
        <v>2157</v>
      </c>
      <c r="CO18" s="47" t="s">
        <v>717</v>
      </c>
      <c r="CP18" s="47" t="s">
        <v>126</v>
      </c>
      <c r="CQ18" s="48">
        <v>46259</v>
      </c>
      <c r="CR18" s="47"/>
      <c r="CS18" s="47" t="s">
        <v>1432</v>
      </c>
      <c r="CT18" s="47"/>
      <c r="CU18" s="47"/>
      <c r="CV18" s="47"/>
      <c r="CW18" s="47"/>
      <c r="CX18" s="47"/>
      <c r="CY18" s="47"/>
      <c r="CZ18" s="47"/>
    </row>
    <row r="19" spans="1:104" s="23" customFormat="1" x14ac:dyDescent="0.35">
      <c r="A19" s="46" t="s">
        <v>2123</v>
      </c>
      <c r="B19" s="46" t="s">
        <v>2158</v>
      </c>
      <c r="C19" s="47" t="s">
        <v>2124</v>
      </c>
      <c r="D19" s="47">
        <v>2022</v>
      </c>
      <c r="E19" s="46" t="s">
        <v>2125</v>
      </c>
      <c r="F19" s="46" t="s">
        <v>312</v>
      </c>
      <c r="G19" s="47" t="s">
        <v>102</v>
      </c>
      <c r="H19" s="47">
        <v>0</v>
      </c>
      <c r="I19" s="47" t="s">
        <v>1967</v>
      </c>
      <c r="J19" s="47" t="s">
        <v>312</v>
      </c>
      <c r="K19" s="47">
        <v>6</v>
      </c>
      <c r="L19" s="47" t="s">
        <v>104</v>
      </c>
      <c r="M19" s="47" t="s">
        <v>380</v>
      </c>
      <c r="N19" s="47">
        <v>-0.11600000000000001</v>
      </c>
      <c r="O19" s="47" t="s">
        <v>312</v>
      </c>
      <c r="P19" s="47" t="s">
        <v>312</v>
      </c>
      <c r="Q19" s="47" t="s">
        <v>312</v>
      </c>
      <c r="R19" s="47" t="s">
        <v>312</v>
      </c>
      <c r="S19" s="47" t="s">
        <v>312</v>
      </c>
      <c r="T19" s="47">
        <v>1</v>
      </c>
      <c r="U19" s="47">
        <v>2491151</v>
      </c>
      <c r="V19" s="47">
        <v>3</v>
      </c>
      <c r="W19" s="47">
        <v>1</v>
      </c>
      <c r="X19" s="47">
        <v>2491148</v>
      </c>
      <c r="Y19" s="47" t="s">
        <v>312</v>
      </c>
      <c r="Z19" s="47" t="s">
        <v>312</v>
      </c>
      <c r="AA19" s="47" t="s">
        <v>312</v>
      </c>
      <c r="AB19" s="47" t="s">
        <v>81</v>
      </c>
      <c r="AC19" s="47">
        <v>-1.2168399999999999</v>
      </c>
      <c r="AD19" s="47">
        <v>-1.2168399999999999</v>
      </c>
      <c r="AE19" s="47">
        <v>1</v>
      </c>
      <c r="AF19" s="47" t="s">
        <v>312</v>
      </c>
      <c r="AG19" s="47" t="s">
        <v>312</v>
      </c>
      <c r="AH19" s="47">
        <v>1</v>
      </c>
      <c r="AI19" s="47">
        <v>-1.2168399999999999</v>
      </c>
      <c r="AJ19" s="47">
        <v>0</v>
      </c>
      <c r="AK19" s="47" t="s">
        <v>312</v>
      </c>
      <c r="AL19" s="47" t="s">
        <v>82</v>
      </c>
      <c r="AM19" s="47" t="s">
        <v>1333</v>
      </c>
      <c r="AN19" s="47">
        <v>10.49</v>
      </c>
      <c r="AO19" s="47">
        <v>1</v>
      </c>
      <c r="AP19" s="47">
        <v>10.49</v>
      </c>
      <c r="AQ19" s="47">
        <v>3.1</v>
      </c>
      <c r="AR19" s="47">
        <v>5.59</v>
      </c>
      <c r="AS19" s="47">
        <v>15.73</v>
      </c>
      <c r="AT19" s="47" t="s">
        <v>107</v>
      </c>
      <c r="AU19" s="47" t="s">
        <v>109</v>
      </c>
      <c r="AV19" s="47" t="s">
        <v>133</v>
      </c>
      <c r="AW19" s="47" t="s">
        <v>134</v>
      </c>
      <c r="AX19" s="47" t="s">
        <v>86</v>
      </c>
      <c r="AY19" s="47">
        <v>0</v>
      </c>
      <c r="AZ19" s="47">
        <v>0</v>
      </c>
      <c r="BA19" s="47" t="s">
        <v>391</v>
      </c>
      <c r="BB19" s="47" t="s">
        <v>88</v>
      </c>
      <c r="BC19" s="47" t="s">
        <v>134</v>
      </c>
      <c r="BD19" s="47" t="s">
        <v>134</v>
      </c>
      <c r="BE19" s="47" t="s">
        <v>1374</v>
      </c>
      <c r="BF19" s="47" t="s">
        <v>312</v>
      </c>
      <c r="BG19" s="47" t="s">
        <v>312</v>
      </c>
      <c r="BH19" s="47" t="s">
        <v>312</v>
      </c>
      <c r="BI19" s="47" t="s">
        <v>312</v>
      </c>
      <c r="BJ19" s="47" t="s">
        <v>312</v>
      </c>
      <c r="BK19" s="47" t="s">
        <v>91</v>
      </c>
      <c r="BL19" s="47" t="s">
        <v>116</v>
      </c>
      <c r="BM19" s="47">
        <v>1</v>
      </c>
      <c r="BN19" s="47" t="s">
        <v>134</v>
      </c>
      <c r="BO19" s="47" t="s">
        <v>312</v>
      </c>
      <c r="BP19" s="47" t="s">
        <v>312</v>
      </c>
      <c r="BQ19" s="47" t="s">
        <v>92</v>
      </c>
      <c r="BR19" s="47" t="s">
        <v>93</v>
      </c>
      <c r="BS19" s="47" t="s">
        <v>312</v>
      </c>
      <c r="BT19" s="47" t="s">
        <v>312</v>
      </c>
      <c r="BU19" s="47">
        <v>2001</v>
      </c>
      <c r="BV19" s="47">
        <v>2018</v>
      </c>
      <c r="BW19" s="47" t="s">
        <v>901</v>
      </c>
      <c r="BX19" s="47" t="s">
        <v>95</v>
      </c>
      <c r="BY19" s="47" t="s">
        <v>748</v>
      </c>
      <c r="BZ19" s="47">
        <v>1</v>
      </c>
      <c r="CA19" s="47">
        <v>1</v>
      </c>
      <c r="CB19" s="47" t="s">
        <v>2131</v>
      </c>
      <c r="CC19" s="47" t="s">
        <v>2127</v>
      </c>
      <c r="CD19" s="47">
        <v>0</v>
      </c>
      <c r="CE19" s="47" t="s">
        <v>97</v>
      </c>
      <c r="CF19" s="47">
        <v>0</v>
      </c>
      <c r="CG19" s="47" t="s">
        <v>97</v>
      </c>
      <c r="CH19" s="47">
        <v>0</v>
      </c>
      <c r="CI19" s="47" t="s">
        <v>2128</v>
      </c>
      <c r="CJ19" s="47" t="s">
        <v>98</v>
      </c>
      <c r="CK19" s="47">
        <v>20</v>
      </c>
      <c r="CL19" s="47">
        <v>0</v>
      </c>
      <c r="CM19" s="47" t="s">
        <v>99</v>
      </c>
      <c r="CN19" s="47" t="s">
        <v>1962</v>
      </c>
      <c r="CO19" s="47" t="s">
        <v>717</v>
      </c>
      <c r="CP19" s="47" t="s">
        <v>126</v>
      </c>
      <c r="CQ19" s="48">
        <v>46259</v>
      </c>
      <c r="CR19" s="47"/>
      <c r="CS19" s="47" t="s">
        <v>2014</v>
      </c>
      <c r="CT19" s="47"/>
      <c r="CU19" s="47"/>
      <c r="CV19" s="47"/>
      <c r="CW19" s="47"/>
      <c r="CX19" s="47"/>
      <c r="CY19" s="47"/>
      <c r="CZ19" s="47"/>
    </row>
    <row r="20" spans="1:104" s="23" customFormat="1" x14ac:dyDescent="0.35">
      <c r="A20" s="46" t="s">
        <v>2123</v>
      </c>
      <c r="B20" s="46" t="s">
        <v>2159</v>
      </c>
      <c r="C20" s="47" t="s">
        <v>2124</v>
      </c>
      <c r="D20" s="47">
        <v>2022</v>
      </c>
      <c r="E20" s="46" t="s">
        <v>2125</v>
      </c>
      <c r="F20" s="46" t="s">
        <v>312</v>
      </c>
      <c r="G20" s="47" t="s">
        <v>102</v>
      </c>
      <c r="H20" s="47">
        <v>0</v>
      </c>
      <c r="I20" s="47" t="s">
        <v>1967</v>
      </c>
      <c r="J20" s="47" t="s">
        <v>312</v>
      </c>
      <c r="K20" s="47">
        <v>6</v>
      </c>
      <c r="L20" s="47" t="s">
        <v>104</v>
      </c>
      <c r="M20" s="47" t="s">
        <v>380</v>
      </c>
      <c r="N20" s="47">
        <v>-6.0000000000000001E-3</v>
      </c>
      <c r="O20" s="47">
        <v>0.05</v>
      </c>
      <c r="P20" s="47">
        <v>-0.12</v>
      </c>
      <c r="Q20" s="47" t="s">
        <v>312</v>
      </c>
      <c r="R20" s="47">
        <v>-0.104</v>
      </c>
      <c r="S20" s="47">
        <v>9.1999999999999998E-2</v>
      </c>
      <c r="T20" s="47">
        <v>1</v>
      </c>
      <c r="U20" s="47">
        <v>2491151</v>
      </c>
      <c r="V20" s="47">
        <v>3</v>
      </c>
      <c r="W20" s="47">
        <v>1</v>
      </c>
      <c r="X20" s="47">
        <v>2491148</v>
      </c>
      <c r="Y20" s="86">
        <v>-7.6029400000000001E-5</v>
      </c>
      <c r="Z20" s="47">
        <v>6.3357799999999998E-4</v>
      </c>
      <c r="AA20" s="86">
        <v>-7.6029400000000001E-5</v>
      </c>
      <c r="AB20" s="47" t="s">
        <v>81</v>
      </c>
      <c r="AC20" s="47">
        <v>-6.2939999999999996E-2</v>
      </c>
      <c r="AD20" s="47">
        <v>-6.2939999999999996E-2</v>
      </c>
      <c r="AE20" s="47">
        <v>1</v>
      </c>
      <c r="AF20" s="47">
        <v>0.52449999999999997</v>
      </c>
      <c r="AG20" s="47">
        <v>0.52449999999999997</v>
      </c>
      <c r="AH20" s="47">
        <v>1</v>
      </c>
      <c r="AI20" s="47">
        <v>-6.2939999999999996E-2</v>
      </c>
      <c r="AJ20" s="47">
        <v>0</v>
      </c>
      <c r="AK20" s="47">
        <v>1</v>
      </c>
      <c r="AL20" s="47" t="s">
        <v>82</v>
      </c>
      <c r="AM20" s="47" t="s">
        <v>1333</v>
      </c>
      <c r="AN20" s="47">
        <v>10.49</v>
      </c>
      <c r="AO20" s="47">
        <v>1</v>
      </c>
      <c r="AP20" s="47">
        <v>10.49</v>
      </c>
      <c r="AQ20" s="47">
        <v>3.1</v>
      </c>
      <c r="AR20" s="47">
        <v>5.59</v>
      </c>
      <c r="AS20" s="47">
        <v>15.73</v>
      </c>
      <c r="AT20" s="47" t="s">
        <v>107</v>
      </c>
      <c r="AU20" s="47" t="s">
        <v>109</v>
      </c>
      <c r="AV20" s="47" t="s">
        <v>133</v>
      </c>
      <c r="AW20" s="47" t="s">
        <v>134</v>
      </c>
      <c r="AX20" s="47" t="s">
        <v>86</v>
      </c>
      <c r="AY20" s="47">
        <v>0</v>
      </c>
      <c r="AZ20" s="47">
        <v>0</v>
      </c>
      <c r="BA20" s="47" t="s">
        <v>391</v>
      </c>
      <c r="BB20" s="47" t="s">
        <v>88</v>
      </c>
      <c r="BC20" s="47" t="s">
        <v>134</v>
      </c>
      <c r="BD20" s="47" t="s">
        <v>134</v>
      </c>
      <c r="BE20" s="47" t="s">
        <v>1374</v>
      </c>
      <c r="BF20" s="47" t="s">
        <v>312</v>
      </c>
      <c r="BG20" s="47" t="s">
        <v>312</v>
      </c>
      <c r="BH20" s="47" t="s">
        <v>312</v>
      </c>
      <c r="BI20" s="47" t="s">
        <v>312</v>
      </c>
      <c r="BJ20" s="47" t="s">
        <v>312</v>
      </c>
      <c r="BK20" s="47" t="s">
        <v>91</v>
      </c>
      <c r="BL20" s="47" t="s">
        <v>116</v>
      </c>
      <c r="BM20" s="47">
        <v>1</v>
      </c>
      <c r="BN20" s="47" t="s">
        <v>134</v>
      </c>
      <c r="BO20" s="47" t="s">
        <v>312</v>
      </c>
      <c r="BP20" s="47" t="s">
        <v>312</v>
      </c>
      <c r="BQ20" s="47" t="s">
        <v>92</v>
      </c>
      <c r="BR20" s="47" t="s">
        <v>118</v>
      </c>
      <c r="BS20" s="47" t="s">
        <v>312</v>
      </c>
      <c r="BT20" s="47" t="s">
        <v>312</v>
      </c>
      <c r="BU20" s="47">
        <v>2001</v>
      </c>
      <c r="BV20" s="47">
        <v>2018</v>
      </c>
      <c r="BW20" s="47" t="s">
        <v>901</v>
      </c>
      <c r="BX20" s="47" t="s">
        <v>95</v>
      </c>
      <c r="BY20" s="47" t="s">
        <v>748</v>
      </c>
      <c r="BZ20" s="47">
        <v>1</v>
      </c>
      <c r="CA20" s="47">
        <v>1</v>
      </c>
      <c r="CB20" s="47" t="s">
        <v>2131</v>
      </c>
      <c r="CC20" s="47" t="s">
        <v>2127</v>
      </c>
      <c r="CD20" s="47">
        <v>0</v>
      </c>
      <c r="CE20" s="47" t="s">
        <v>97</v>
      </c>
      <c r="CF20" s="47">
        <v>0</v>
      </c>
      <c r="CG20" s="47" t="s">
        <v>97</v>
      </c>
      <c r="CH20" s="47">
        <v>0</v>
      </c>
      <c r="CI20" s="47" t="s">
        <v>2128</v>
      </c>
      <c r="CJ20" s="47" t="s">
        <v>98</v>
      </c>
      <c r="CK20" s="47">
        <v>20</v>
      </c>
      <c r="CL20" s="47">
        <v>0</v>
      </c>
      <c r="CM20" s="47" t="s">
        <v>99</v>
      </c>
      <c r="CN20" s="47" t="s">
        <v>1962</v>
      </c>
      <c r="CO20" s="47" t="s">
        <v>717</v>
      </c>
      <c r="CP20" s="47" t="s">
        <v>126</v>
      </c>
      <c r="CQ20" s="48">
        <v>46259</v>
      </c>
      <c r="CR20" s="47"/>
      <c r="CS20" s="47" t="s">
        <v>2014</v>
      </c>
      <c r="CT20" s="47"/>
      <c r="CU20" s="47"/>
      <c r="CV20" s="47"/>
      <c r="CW20" s="47"/>
      <c r="CX20" s="47"/>
      <c r="CY20" s="47"/>
      <c r="CZ20" s="47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Valeur non autorisee" error="Valeur hors liste - voir feuille Listes" xr:uid="{B6925412-A9F5-4982-BB9F-EEC087FE60A5}">
          <x14:formula1>
            <xm:f>Listes!$D$3:$D$6</xm:f>
          </x14:formula1>
          <xm:sqref>M1:M20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Extraction</vt:lpstr>
      <vt:lpstr>Listes</vt:lpstr>
      <vt:lpstr>Codebook</vt:lpstr>
      <vt:lpstr>Kogel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Clara BARBARIT</cp:lastModifiedBy>
  <dcterms:created xsi:type="dcterms:W3CDTF">2026-07-07T14:47:42Z</dcterms:created>
  <dcterms:modified xsi:type="dcterms:W3CDTF">2026-09-03T13:07:34Z</dcterms:modified>
</cp:coreProperties>
</file>